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hidePivotFieldList="1" defaultThemeVersion="124226"/>
  <mc:AlternateContent xmlns:mc="http://schemas.openxmlformats.org/markup-compatibility/2006">
    <mc:Choice Requires="x15">
      <x15ac:absPath xmlns:x15ac="http://schemas.microsoft.com/office/spreadsheetml/2010/11/ac" url="C:\Users\HACIENDA123\Desktop\CONTROL INTERNO-MIPG\AVANCE MONITOREOS\"/>
    </mc:Choice>
  </mc:AlternateContent>
  <xr:revisionPtr revIDLastSave="0" documentId="13_ncr:1_{2C0A22BF-02DC-4E03-BD07-6F671262F638}" xr6:coauthVersionLast="36" xr6:coauthVersionMax="36" xr10:uidLastSave="{00000000-0000-0000-0000-000000000000}"/>
  <bookViews>
    <workbookView xWindow="0" yWindow="0" windowWidth="28800" windowHeight="11730"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 r:id="rId11"/>
  </externalReferences>
  <calcPr calcId="191029"/>
  <pivotCaches>
    <pivotCache cacheId="0" r:id="rId12"/>
  </pivotCaches>
</workbook>
</file>

<file path=xl/calcChain.xml><?xml version="1.0" encoding="utf-8"?>
<calcChain xmlns="http://schemas.openxmlformats.org/spreadsheetml/2006/main">
  <c r="J18" i="1" l="1"/>
  <c r="K18" i="1" s="1"/>
  <c r="J24" i="1"/>
  <c r="J30" i="1"/>
  <c r="K30" i="1" s="1"/>
  <c r="J36" i="1"/>
  <c r="K36" i="1" s="1"/>
  <c r="J42" i="1"/>
  <c r="K42" i="1" s="1"/>
  <c r="J48" i="1"/>
  <c r="K48" i="1" s="1"/>
  <c r="J54" i="1"/>
  <c r="K54" i="1" s="1"/>
  <c r="J60" i="1"/>
  <c r="K60" i="1" s="1"/>
  <c r="V29" i="1"/>
  <c r="S29" i="1"/>
  <c r="V28" i="1"/>
  <c r="S28" i="1"/>
  <c r="AD29" i="1" s="1"/>
  <c r="AC29" i="1" s="1"/>
  <c r="V27" i="1"/>
  <c r="S27" i="1"/>
  <c r="AD28" i="1" s="1"/>
  <c r="AC28" i="1" s="1"/>
  <c r="V26" i="1"/>
  <c r="S26" i="1"/>
  <c r="V25" i="1"/>
  <c r="S25" i="1"/>
  <c r="V24" i="1"/>
  <c r="S24" i="1"/>
  <c r="AD25" i="1" s="1"/>
  <c r="AC25" i="1" s="1"/>
  <c r="V23" i="1"/>
  <c r="S23" i="1"/>
  <c r="V22" i="1"/>
  <c r="S22" i="1"/>
  <c r="V21" i="1"/>
  <c r="S21" i="1"/>
  <c r="V20" i="1"/>
  <c r="S20" i="1"/>
  <c r="AD21" i="1" s="1"/>
  <c r="AC21" i="1" s="1"/>
  <c r="V19" i="1"/>
  <c r="S19" i="1"/>
  <c r="AD20" i="1" s="1"/>
  <c r="AC20" i="1" s="1"/>
  <c r="V18" i="1"/>
  <c r="S18" i="1"/>
  <c r="V17" i="1"/>
  <c r="V16" i="1"/>
  <c r="V15" i="1"/>
  <c r="V14" i="1"/>
  <c r="V12" i="1"/>
  <c r="V13" i="1"/>
  <c r="V11" i="1"/>
  <c r="M35" i="1"/>
  <c r="M52" i="1"/>
  <c r="M26" i="1"/>
  <c r="M25" i="1"/>
  <c r="M53" i="1"/>
  <c r="M43" i="1"/>
  <c r="M49" i="1"/>
  <c r="M27" i="1"/>
  <c r="M44" i="1"/>
  <c r="M61" i="1"/>
  <c r="M28" i="1"/>
  <c r="M45" i="1"/>
  <c r="M62" i="1"/>
  <c r="M29" i="1"/>
  <c r="M46" i="1"/>
  <c r="M63" i="1"/>
  <c r="M64" i="1"/>
  <c r="M38" i="1"/>
  <c r="M55" i="1"/>
  <c r="M56" i="1"/>
  <c r="M19" i="1"/>
  <c r="M47" i="1"/>
  <c r="M33" i="1"/>
  <c r="M34" i="1"/>
  <c r="M51" i="1"/>
  <c r="M20" i="1"/>
  <c r="M37" i="1"/>
  <c r="M65" i="1"/>
  <c r="M21" i="1"/>
  <c r="M22" i="1"/>
  <c r="M39" i="1"/>
  <c r="M50" i="1"/>
  <c r="M23" i="1"/>
  <c r="M40" i="1"/>
  <c r="M57" i="1"/>
  <c r="M41" i="1"/>
  <c r="M58" i="1"/>
  <c r="M59" i="1"/>
  <c r="M32" i="1"/>
  <c r="M31" i="1"/>
  <c r="AD19" i="1" l="1"/>
  <c r="AC19" i="1" s="1"/>
  <c r="Z23" i="1"/>
  <c r="AA23" i="1" s="1"/>
  <c r="AD27" i="1"/>
  <c r="AC27" i="1" s="1"/>
  <c r="AD22" i="1"/>
  <c r="AC22" i="1" s="1"/>
  <c r="Z26" i="1"/>
  <c r="AB26" i="1" s="1"/>
  <c r="K24" i="1"/>
  <c r="Z24" i="1"/>
  <c r="Z28" i="1"/>
  <c r="AD24" i="1"/>
  <c r="AC24" i="1" s="1"/>
  <c r="AD26" i="1"/>
  <c r="AC26" i="1" s="1"/>
  <c r="Z25" i="1"/>
  <c r="Z27" i="1"/>
  <c r="Z29" i="1"/>
  <c r="Z20" i="1"/>
  <c r="Z18" i="1"/>
  <c r="Z22" i="1"/>
  <c r="AD18" i="1"/>
  <c r="AC18" i="1" s="1"/>
  <c r="Z21" i="1"/>
  <c r="Z19" i="1"/>
  <c r="AD23" i="1"/>
  <c r="AC23" i="1" s="1"/>
  <c r="AB23" i="1" l="1"/>
  <c r="AA26" i="1"/>
  <c r="AE26" i="1" s="1"/>
  <c r="AB28" i="1"/>
  <c r="AA28" i="1"/>
  <c r="AE28" i="1" s="1"/>
  <c r="AB27" i="1"/>
  <c r="AA27" i="1"/>
  <c r="AE27" i="1" s="1"/>
  <c r="AB24" i="1"/>
  <c r="AA24" i="1"/>
  <c r="AE24" i="1" s="1"/>
  <c r="AA29" i="1"/>
  <c r="AE29" i="1" s="1"/>
  <c r="AB29" i="1"/>
  <c r="AB25" i="1"/>
  <c r="AA25" i="1"/>
  <c r="AE25" i="1" s="1"/>
  <c r="AB19" i="1"/>
  <c r="AA19" i="1"/>
  <c r="AE19" i="1" s="1"/>
  <c r="AB18" i="1"/>
  <c r="AA18" i="1"/>
  <c r="AE18" i="1" s="1"/>
  <c r="AE23" i="1"/>
  <c r="AB21" i="1"/>
  <c r="AA21" i="1"/>
  <c r="AE21" i="1" s="1"/>
  <c r="AB22" i="1"/>
  <c r="AA22" i="1"/>
  <c r="AE22" i="1" s="1"/>
  <c r="AB20" i="1"/>
  <c r="AA20" i="1"/>
  <c r="AE20" i="1" s="1"/>
  <c r="S11" i="1" l="1"/>
  <c r="F217" i="13"/>
  <c r="S12" i="1"/>
  <c r="S13" i="1"/>
  <c r="Z12" i="1" l="1"/>
  <c r="AD12" i="1" l="1"/>
  <c r="AC12" i="1" s="1"/>
  <c r="AA12" i="1"/>
  <c r="AB12" i="1"/>
  <c r="Z13" i="1" s="1"/>
  <c r="AD13" i="1"/>
  <c r="AE12" i="1" l="1"/>
  <c r="AC13" i="1"/>
  <c r="AA13" i="1"/>
  <c r="AB13" i="1"/>
  <c r="AE13" i="1" l="1"/>
  <c r="V10" i="1"/>
  <c r="S10" i="1"/>
  <c r="Z11" i="1" l="1"/>
  <c r="AD11" i="1"/>
  <c r="AC11" i="1" s="1"/>
  <c r="J10" i="1"/>
  <c r="K10" i="1" s="1"/>
  <c r="M17" i="1"/>
  <c r="M15" i="1"/>
  <c r="M16" i="1"/>
  <c r="AA11" i="1" l="1"/>
  <c r="AE11" i="1" s="1"/>
  <c r="AB11" i="1"/>
  <c r="F221" i="13"/>
  <c r="F211" i="13"/>
  <c r="F212" i="13"/>
  <c r="F213" i="13"/>
  <c r="F214" i="13"/>
  <c r="F215" i="13"/>
  <c r="F216" i="13"/>
  <c r="F218" i="13"/>
  <c r="F219" i="13"/>
  <c r="F220" i="13"/>
  <c r="F210" i="13"/>
  <c r="B221" i="13" a="1"/>
  <c r="M13" i="1"/>
  <c r="M11" i="1"/>
  <c r="M12" i="1"/>
  <c r="B221" i="13" l="1"/>
  <c r="S48"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5" i="1" l="1"/>
  <c r="S65" i="1"/>
  <c r="V64" i="1"/>
  <c r="S64" i="1"/>
  <c r="V63" i="1"/>
  <c r="S63" i="1"/>
  <c r="V62" i="1"/>
  <c r="S62" i="1"/>
  <c r="V61" i="1"/>
  <c r="S61" i="1"/>
  <c r="V60" i="1"/>
  <c r="S60" i="1"/>
  <c r="V59" i="1"/>
  <c r="S59" i="1"/>
  <c r="V58" i="1"/>
  <c r="S58" i="1"/>
  <c r="V57" i="1"/>
  <c r="S57" i="1"/>
  <c r="V56" i="1"/>
  <c r="S56" i="1"/>
  <c r="V55" i="1"/>
  <c r="S55" i="1"/>
  <c r="V54" i="1"/>
  <c r="S54" i="1"/>
  <c r="V53" i="1"/>
  <c r="S53" i="1"/>
  <c r="V52" i="1"/>
  <c r="S52" i="1"/>
  <c r="V51" i="1"/>
  <c r="S51" i="1"/>
  <c r="V50" i="1"/>
  <c r="S50" i="1"/>
  <c r="V49" i="1"/>
  <c r="S49" i="1"/>
  <c r="AD49" i="1" s="1"/>
  <c r="V48" i="1"/>
  <c r="J14" i="1"/>
  <c r="S17" i="1"/>
  <c r="S16" i="1"/>
  <c r="Z15" i="1" l="1"/>
  <c r="Z16" i="1"/>
  <c r="AD17" i="1"/>
  <c r="AC17" i="1" s="1"/>
  <c r="Z17" i="1"/>
  <c r="AD61" i="1"/>
  <c r="AD55" i="1"/>
  <c r="K14" i="1"/>
  <c r="Z14" i="1" s="1"/>
  <c r="Z60" i="1"/>
  <c r="Z54" i="1"/>
  <c r="Z48" i="1"/>
  <c r="AB14" i="1" l="1"/>
  <c r="AA14" i="1"/>
  <c r="AB17" i="1"/>
  <c r="AA17" i="1"/>
  <c r="AE17" i="1" s="1"/>
  <c r="AA16" i="1"/>
  <c r="AB16" i="1"/>
  <c r="AA15" i="1"/>
  <c r="AB15" i="1"/>
  <c r="AA60" i="1"/>
  <c r="AB60" i="1"/>
  <c r="Z61" i="1" s="1"/>
  <c r="AA61" i="1" s="1"/>
  <c r="AA54" i="1"/>
  <c r="AB54" i="1"/>
  <c r="Z55" i="1" s="1"/>
  <c r="AB55" i="1" s="1"/>
  <c r="Z56" i="1" s="1"/>
  <c r="AA48" i="1"/>
  <c r="AB48" i="1"/>
  <c r="Z49" i="1" s="1"/>
  <c r="AB49" i="1" s="1"/>
  <c r="Z50" i="1" s="1"/>
  <c r="AA55" i="1" l="1"/>
  <c r="AA49" i="1"/>
  <c r="AB56" i="1"/>
  <c r="Z57" i="1" s="1"/>
  <c r="AA56" i="1"/>
  <c r="AB50" i="1"/>
  <c r="Z51" i="1" s="1"/>
  <c r="AA50" i="1"/>
  <c r="AB61" i="1"/>
  <c r="Z62"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57" i="1" l="1"/>
  <c r="AB57" i="1"/>
  <c r="AA51" i="1"/>
  <c r="AB51" i="1"/>
  <c r="Z52" i="1" s="1"/>
  <c r="AA62" i="1"/>
  <c r="AB62" i="1"/>
  <c r="Z63" i="1" s="1"/>
  <c r="AA52" i="1" l="1"/>
  <c r="AB52" i="1"/>
  <c r="Z53" i="1" s="1"/>
  <c r="Z58" i="1"/>
  <c r="Z59" i="1"/>
  <c r="AB63" i="1"/>
  <c r="AA63" i="1"/>
  <c r="AA59" i="1" l="1"/>
  <c r="AB59" i="1"/>
  <c r="AA58" i="1"/>
  <c r="AB58" i="1"/>
  <c r="AA53" i="1"/>
  <c r="AB53" i="1"/>
  <c r="Z64" i="1"/>
  <c r="Z65" i="1"/>
  <c r="Z10" i="1"/>
  <c r="AA10" i="1" s="1"/>
  <c r="AA65" i="1" l="1"/>
  <c r="AB65" i="1"/>
  <c r="AA64" i="1"/>
  <c r="AB64" i="1"/>
  <c r="AB10" i="1" l="1"/>
  <c r="AD60" i="1" l="1"/>
  <c r="AC60" i="1" l="1"/>
  <c r="AD62" i="1"/>
  <c r="AD54" i="1"/>
  <c r="AD48" i="1"/>
  <c r="AC48"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0" i="1"/>
  <c r="P25" i="19"/>
  <c r="V55" i="19"/>
  <c r="J15" i="19"/>
  <c r="AB15" i="19"/>
  <c r="J35" i="19"/>
  <c r="AB35" i="19"/>
  <c r="J55" i="19"/>
  <c r="AB25" i="19"/>
  <c r="P35" i="19"/>
  <c r="P55" i="19"/>
  <c r="AB45" i="19"/>
  <c r="P15" i="19"/>
  <c r="AE4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4" i="1"/>
  <c r="AC6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2" i="1"/>
  <c r="AD6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49" i="1"/>
  <c r="AD50" i="1"/>
  <c r="AC55" i="1"/>
  <c r="AD56" i="1"/>
  <c r="AC63" i="1" l="1"/>
  <c r="AD64" i="1"/>
  <c r="K35" i="19"/>
  <c r="AC25" i="19"/>
  <c r="K45" i="19"/>
  <c r="AI45" i="19"/>
  <c r="W45" i="19"/>
  <c r="Q35" i="19"/>
  <c r="K55" i="19"/>
  <c r="AC15" i="19"/>
  <c r="Q15" i="19"/>
  <c r="AC35" i="19"/>
  <c r="AI35" i="19"/>
  <c r="Q55" i="19"/>
  <c r="AI25" i="19"/>
  <c r="AE6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2"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4"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0" i="1"/>
  <c r="AD5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C56" i="1"/>
  <c r="AD57"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49"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1" i="1"/>
  <c r="AD52" i="1"/>
  <c r="AC64" i="1"/>
  <c r="AD65" i="1"/>
  <c r="AC65" i="1" s="1"/>
  <c r="AJ43" i="19"/>
  <c r="AD33" i="19"/>
  <c r="X33" i="19"/>
  <c r="X13" i="19"/>
  <c r="AD43" i="19"/>
  <c r="L43" i="19"/>
  <c r="AE50" i="1"/>
  <c r="X23" i="19"/>
  <c r="R33" i="19"/>
  <c r="R43" i="19"/>
  <c r="AD53" i="19"/>
  <c r="AJ13" i="19"/>
  <c r="R23" i="19"/>
  <c r="R13" i="19"/>
  <c r="AJ53" i="19"/>
  <c r="L33" i="19"/>
  <c r="L23" i="19"/>
  <c r="X43" i="19"/>
  <c r="X53" i="19"/>
  <c r="AD13" i="19"/>
  <c r="L53" i="19"/>
  <c r="L13" i="19"/>
  <c r="AD23" i="19"/>
  <c r="AJ33" i="19"/>
  <c r="AJ23" i="19"/>
  <c r="R53" i="19"/>
  <c r="M55" i="19"/>
  <c r="AK15" i="19"/>
  <c r="AE25" i="19"/>
  <c r="AE63"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57" i="1"/>
  <c r="AD58"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6"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7"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5"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4"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2" i="1"/>
  <c r="AD53" i="1"/>
  <c r="AC53"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8" i="1"/>
  <c r="AD59" i="1"/>
  <c r="AC59"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1"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59" i="1"/>
  <c r="AA14" i="19"/>
  <c r="O54" i="19"/>
  <c r="U44" i="19"/>
  <c r="U43" i="19"/>
  <c r="U13" i="19"/>
  <c r="AM53" i="19"/>
  <c r="AA53" i="19"/>
  <c r="AA43" i="19"/>
  <c r="O53" i="19"/>
  <c r="O23" i="19"/>
  <c r="O13" i="19"/>
  <c r="AG43" i="19"/>
  <c r="U33" i="19"/>
  <c r="U23" i="19"/>
  <c r="AM13" i="19"/>
  <c r="AM23" i="19"/>
  <c r="AG13" i="19"/>
  <c r="AA23" i="19"/>
  <c r="AG33" i="19"/>
  <c r="AA33" i="19"/>
  <c r="AM33" i="19"/>
  <c r="AA13" i="19"/>
  <c r="AE53"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8" i="1"/>
  <c r="AF53" i="19"/>
  <c r="T43" i="19"/>
  <c r="Z53" i="19"/>
  <c r="N43" i="19"/>
  <c r="T23" i="19"/>
  <c r="AF43" i="19"/>
  <c r="Z13" i="19"/>
  <c r="Z43" i="19"/>
  <c r="AF23" i="19"/>
  <c r="AL13" i="19"/>
  <c r="Z23" i="19"/>
  <c r="AL43" i="19"/>
  <c r="AF13" i="19"/>
  <c r="AL23" i="19"/>
  <c r="N13" i="19"/>
  <c r="T33" i="19"/>
  <c r="AL53" i="19"/>
  <c r="N23" i="19"/>
  <c r="N53" i="19"/>
  <c r="AF33" i="19"/>
  <c r="N33" i="19"/>
  <c r="AE52"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8" i="1" l="1"/>
  <c r="N18" i="1" s="1"/>
  <c r="M10" i="1"/>
  <c r="N10" i="1" s="1"/>
  <c r="M42" i="1"/>
  <c r="N42" i="1" s="1"/>
  <c r="M14" i="1"/>
  <c r="N14" i="1" s="1"/>
  <c r="M60" i="1"/>
  <c r="N60" i="1" s="1"/>
  <c r="M48" i="1"/>
  <c r="N48" i="1" s="1"/>
  <c r="M24" i="1"/>
  <c r="N24" i="1" s="1"/>
  <c r="M54" i="1"/>
  <c r="N54" i="1" s="1"/>
  <c r="M30" i="1"/>
  <c r="N30" i="1" s="1"/>
  <c r="M36" i="1"/>
  <c r="N36" i="1" s="1"/>
  <c r="O54" i="1" l="1"/>
  <c r="P54" i="1"/>
  <c r="Z42" i="18"/>
  <c r="T18" i="18"/>
  <c r="N18" i="18"/>
  <c r="T26" i="18"/>
  <c r="N34" i="18"/>
  <c r="T34" i="18"/>
  <c r="N42" i="18"/>
  <c r="Z18" i="18"/>
  <c r="N10" i="18"/>
  <c r="AF26" i="18"/>
  <c r="Z10" i="18"/>
  <c r="AL34" i="18"/>
  <c r="AF42" i="18"/>
  <c r="AL10" i="18"/>
  <c r="N26" i="18"/>
  <c r="AL18" i="18"/>
  <c r="AL42" i="18"/>
  <c r="AF18" i="18"/>
  <c r="Z26" i="18"/>
  <c r="AF10" i="18"/>
  <c r="AF34" i="18"/>
  <c r="T10" i="18"/>
  <c r="T42" i="18"/>
  <c r="Z34" i="18"/>
  <c r="AL26" i="18"/>
  <c r="O24" i="1"/>
  <c r="P24" i="1"/>
  <c r="P16" i="18"/>
  <c r="P40" i="18"/>
  <c r="V32" i="18"/>
  <c r="J24" i="18"/>
  <c r="P24" i="18"/>
  <c r="P32" i="18"/>
  <c r="V8" i="18"/>
  <c r="AH24" i="18"/>
  <c r="AH8" i="18"/>
  <c r="P8" i="18"/>
  <c r="J8" i="18"/>
  <c r="AB32" i="18"/>
  <c r="AB8" i="18"/>
  <c r="AB40" i="18"/>
  <c r="J32" i="18"/>
  <c r="AH16" i="18"/>
  <c r="V16" i="18"/>
  <c r="AH40" i="18"/>
  <c r="AH32" i="18"/>
  <c r="J16" i="18"/>
  <c r="AB16" i="18"/>
  <c r="V40" i="18"/>
  <c r="AB24" i="18"/>
  <c r="J40" i="18"/>
  <c r="V24" i="18"/>
  <c r="P48" i="1"/>
  <c r="O48" i="1"/>
  <c r="R18" i="18"/>
  <c r="AJ10" i="18"/>
  <c r="L18" i="18"/>
  <c r="AJ34" i="18"/>
  <c r="R26" i="18"/>
  <c r="AJ42" i="18"/>
  <c r="R10" i="18"/>
  <c r="X42" i="18"/>
  <c r="L26" i="18"/>
  <c r="R34" i="18"/>
  <c r="L34" i="18"/>
  <c r="AJ18" i="18"/>
  <c r="R42" i="18"/>
  <c r="X26" i="18"/>
  <c r="AD26" i="18"/>
  <c r="X18" i="18"/>
  <c r="AD42" i="18"/>
  <c r="AJ26" i="18"/>
  <c r="X34" i="18"/>
  <c r="L10" i="18"/>
  <c r="L42" i="18"/>
  <c r="X10" i="18"/>
  <c r="AD18" i="18"/>
  <c r="AD10" i="18"/>
  <c r="AD34" i="18"/>
  <c r="O60" i="1"/>
  <c r="P60" i="1"/>
  <c r="V12" i="18"/>
  <c r="V36" i="18"/>
  <c r="V20" i="18"/>
  <c r="V44" i="18"/>
  <c r="V28" i="18"/>
  <c r="AH28" i="18"/>
  <c r="J28" i="18"/>
  <c r="P20" i="18"/>
  <c r="AB20" i="18"/>
  <c r="AH36" i="18"/>
  <c r="J36" i="18"/>
  <c r="AB44" i="18"/>
  <c r="P36" i="18"/>
  <c r="AH44" i="18"/>
  <c r="AB36" i="18"/>
  <c r="J12" i="18"/>
  <c r="J44" i="18"/>
  <c r="AB28" i="18"/>
  <c r="AH12" i="18"/>
  <c r="J20" i="18"/>
  <c r="P12" i="18"/>
  <c r="P28" i="18"/>
  <c r="P44" i="18"/>
  <c r="AB12" i="18"/>
  <c r="AH20" i="18"/>
  <c r="L30" i="18"/>
  <c r="R38" i="18"/>
  <c r="AJ14" i="18"/>
  <c r="R14" i="18"/>
  <c r="L14" i="18"/>
  <c r="AD22" i="18"/>
  <c r="AD30" i="18"/>
  <c r="AJ38" i="18"/>
  <c r="AJ22" i="18"/>
  <c r="X30" i="18"/>
  <c r="P14" i="1"/>
  <c r="AJ6" i="18"/>
  <c r="L38" i="18"/>
  <c r="AD14" i="18"/>
  <c r="X38" i="18"/>
  <c r="R30" i="18"/>
  <c r="AD38" i="18"/>
  <c r="AD6" i="18"/>
  <c r="O14" i="1"/>
  <c r="AD14" i="1" s="1"/>
  <c r="L22" i="18"/>
  <c r="R6" i="18"/>
  <c r="X14" i="18"/>
  <c r="X22" i="18"/>
  <c r="X6" i="18"/>
  <c r="AJ30" i="18"/>
  <c r="R22" i="18"/>
  <c r="L6" i="18"/>
  <c r="O42" i="1"/>
  <c r="P42" i="1"/>
  <c r="AB10" i="18"/>
  <c r="J18" i="18"/>
  <c r="P18" i="18"/>
  <c r="AB18" i="18"/>
  <c r="P34" i="18"/>
  <c r="AH18" i="18"/>
  <c r="J26" i="18"/>
  <c r="AH10" i="18"/>
  <c r="AB42" i="18"/>
  <c r="V18" i="18"/>
  <c r="AB34" i="18"/>
  <c r="V10" i="18"/>
  <c r="P26" i="18"/>
  <c r="P42" i="18"/>
  <c r="V34" i="18"/>
  <c r="AH26" i="18"/>
  <c r="J10" i="18"/>
  <c r="V42" i="18"/>
  <c r="V26" i="18"/>
  <c r="J42" i="18"/>
  <c r="AB26" i="18"/>
  <c r="J34" i="18"/>
  <c r="AH34" i="18"/>
  <c r="P10" i="18"/>
  <c r="AH42" i="18"/>
  <c r="O36" i="1"/>
  <c r="P36" i="1"/>
  <c r="AL32" i="18"/>
  <c r="N40" i="18"/>
  <c r="AF16" i="18"/>
  <c r="T8" i="18"/>
  <c r="AL8" i="18"/>
  <c r="Z8" i="18"/>
  <c r="AF40" i="18"/>
  <c r="Z32" i="18"/>
  <c r="N24" i="18"/>
  <c r="AL40" i="18"/>
  <c r="T40" i="18"/>
  <c r="AL24" i="18"/>
  <c r="T24" i="18"/>
  <c r="Z16" i="18"/>
  <c r="AL16" i="18"/>
  <c r="N8" i="18"/>
  <c r="AF32" i="18"/>
  <c r="AF8" i="18"/>
  <c r="AF24" i="18"/>
  <c r="T16" i="18"/>
  <c r="Z24" i="18"/>
  <c r="Z40" i="18"/>
  <c r="N32" i="18"/>
  <c r="N16" i="18"/>
  <c r="T32" i="18"/>
  <c r="J30" i="18"/>
  <c r="P38" i="18"/>
  <c r="AB6" i="18"/>
  <c r="AB38" i="18"/>
  <c r="AB30" i="18"/>
  <c r="V38" i="18"/>
  <c r="J14" i="18"/>
  <c r="J38" i="18"/>
  <c r="AH6" i="18"/>
  <c r="V6" i="18"/>
  <c r="O10" i="1"/>
  <c r="AD10" i="1" s="1"/>
  <c r="AC10" i="1" s="1"/>
  <c r="AH38" i="18"/>
  <c r="J6" i="18"/>
  <c r="P30" i="18"/>
  <c r="AH22" i="18"/>
  <c r="P6" i="18"/>
  <c r="P22" i="18"/>
  <c r="P10" i="1"/>
  <c r="V30" i="18"/>
  <c r="AH14" i="18"/>
  <c r="AH30" i="18"/>
  <c r="J22" i="18"/>
  <c r="AB22" i="18"/>
  <c r="P14" i="18"/>
  <c r="V22" i="18"/>
  <c r="V14" i="18"/>
  <c r="AB14" i="18"/>
  <c r="P30" i="1"/>
  <c r="O30" i="1"/>
  <c r="L16" i="18"/>
  <c r="AJ16" i="18"/>
  <c r="R8" i="18"/>
  <c r="AD32" i="18"/>
  <c r="R24" i="18"/>
  <c r="R32" i="18"/>
  <c r="AD8" i="18"/>
  <c r="X40" i="18"/>
  <c r="AD16" i="18"/>
  <c r="AJ32" i="18"/>
  <c r="L32" i="18"/>
  <c r="X8" i="18"/>
  <c r="L40" i="18"/>
  <c r="AJ8" i="18"/>
  <c r="L8" i="18"/>
  <c r="R40" i="18"/>
  <c r="X16" i="18"/>
  <c r="AJ24" i="18"/>
  <c r="AJ40" i="18"/>
  <c r="R16" i="18"/>
  <c r="AD40" i="18"/>
  <c r="X32" i="18"/>
  <c r="AD24" i="18"/>
  <c r="L24" i="18"/>
  <c r="X24" i="18"/>
  <c r="O18" i="1"/>
  <c r="P18" i="1"/>
  <c r="AL6" i="18"/>
  <c r="Z30" i="18"/>
  <c r="N30" i="18"/>
  <c r="AF30" i="18"/>
  <c r="Z6" i="18"/>
  <c r="AL38" i="18"/>
  <c r="N14" i="18"/>
  <c r="T14" i="18"/>
  <c r="AL14" i="18"/>
  <c r="N22" i="18"/>
  <c r="Z38" i="18"/>
  <c r="T22" i="18"/>
  <c r="AF6" i="18"/>
  <c r="AF38" i="18"/>
  <c r="T38" i="18"/>
  <c r="N6" i="18"/>
  <c r="AL22" i="18"/>
  <c r="T6" i="18"/>
  <c r="N38" i="18"/>
  <c r="Z14" i="18"/>
  <c r="AF22" i="18"/>
  <c r="AL30" i="18"/>
  <c r="T30" i="18"/>
  <c r="Z22" i="18"/>
  <c r="AF14" i="18"/>
  <c r="AC14" i="1" l="1"/>
  <c r="AE14" i="1" s="1"/>
  <c r="AD15" i="1"/>
  <c r="V26" i="19"/>
  <c r="AH36" i="19"/>
  <c r="P26" i="19"/>
  <c r="V16" i="19"/>
  <c r="V36" i="19"/>
  <c r="AE10" i="1"/>
  <c r="AB36" i="19"/>
  <c r="AB6" i="19"/>
  <c r="P36" i="19"/>
  <c r="J36" i="19"/>
  <c r="AH46" i="19"/>
  <c r="J16" i="19"/>
  <c r="AH16" i="19"/>
  <c r="J26" i="19"/>
  <c r="V6" i="19"/>
  <c r="J46" i="19"/>
  <c r="V46" i="19"/>
  <c r="AB46" i="19"/>
  <c r="P16" i="19"/>
  <c r="P6" i="19"/>
  <c r="AH6" i="19"/>
  <c r="J6" i="19"/>
  <c r="P46" i="19"/>
  <c r="AB26" i="19"/>
  <c r="AB16" i="19"/>
  <c r="AH26" i="19"/>
  <c r="J17" i="19" l="1"/>
  <c r="AH27" i="19"/>
  <c r="P37" i="19"/>
  <c r="J27" i="19"/>
  <c r="V17" i="19"/>
  <c r="AB37" i="19"/>
  <c r="J47" i="19"/>
  <c r="P7" i="19"/>
  <c r="V37" i="19"/>
  <c r="J37" i="19"/>
  <c r="P47" i="19"/>
  <c r="P27" i="19"/>
  <c r="AB17" i="19"/>
  <c r="V47" i="19"/>
  <c r="AB27" i="19"/>
  <c r="V7" i="19"/>
  <c r="P17" i="19"/>
  <c r="AB47" i="19"/>
  <c r="V27" i="19"/>
  <c r="J7" i="19"/>
  <c r="AH7" i="19"/>
  <c r="AB7" i="19"/>
  <c r="AH47" i="19"/>
  <c r="AH17" i="19"/>
  <c r="AH37" i="19"/>
  <c r="AC15" i="1"/>
  <c r="AE15" i="1" s="1"/>
  <c r="AD16" i="1"/>
  <c r="AC16" i="1" s="1"/>
  <c r="Q47" i="19" l="1"/>
  <c r="AI37" i="19"/>
  <c r="AC37" i="19"/>
  <c r="AI27" i="19"/>
  <c r="K37" i="19"/>
  <c r="W27" i="19"/>
  <c r="W17" i="19"/>
  <c r="AC27" i="19"/>
  <c r="AI17" i="19"/>
  <c r="W47" i="19"/>
  <c r="Q17" i="19"/>
  <c r="K47" i="19"/>
  <c r="K7" i="19"/>
  <c r="Q27" i="19"/>
  <c r="AC7" i="19"/>
  <c r="W7" i="19"/>
  <c r="AI7" i="19"/>
  <c r="AC17" i="19"/>
  <c r="K17" i="19"/>
  <c r="AI47" i="19"/>
  <c r="AC47" i="19"/>
  <c r="K27" i="19"/>
  <c r="W37" i="19"/>
  <c r="Q37" i="19"/>
  <c r="Q7" i="19"/>
  <c r="AE16" i="1"/>
  <c r="AJ7" i="19"/>
  <c r="X47" i="19"/>
  <c r="L47" i="19"/>
  <c r="R47" i="19"/>
  <c r="X7" i="19"/>
  <c r="AJ37" i="19"/>
  <c r="L7" i="19"/>
  <c r="R37" i="19"/>
  <c r="AD37" i="19"/>
  <c r="AJ17" i="19"/>
  <c r="L27" i="19"/>
  <c r="L17" i="19"/>
  <c r="AD7" i="19"/>
  <c r="R27" i="19"/>
  <c r="X37" i="19"/>
  <c r="X27" i="19"/>
  <c r="AD27" i="19"/>
  <c r="AD17" i="19"/>
  <c r="L37" i="19"/>
  <c r="X17" i="19"/>
  <c r="AJ47" i="19"/>
  <c r="AD47" i="19"/>
  <c r="R17" i="19"/>
  <c r="R7" i="19"/>
  <c r="AJ2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<sst xmlns="http://schemas.openxmlformats.org/spreadsheetml/2006/main" count="497" uniqueCount="235">
  <si>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</si>
  <si>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</si>
  <si>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</si>
  <si>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</si>
  <si>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</si>
  <si>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</si>
  <si>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</si>
  <si>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</si>
  <si>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</si>
  <si>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</si>
  <si>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</si>
  <si>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</si>
  <si>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</si>
  <si>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</si>
  <si>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</si>
  <si>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</si>
  <si>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</si>
  <si>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</si>
  <si>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</si>
  <si>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</si>
  <si>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</si>
  <si>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</si>
  <si>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</si>
  <si>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</si>
  <si>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</si>
  <si>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</si>
  <si>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</si>
  <si>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</si>
  <si>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</si>
  <si>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</si>
  <si>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</si>
  <si>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</si>
  <si>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</si>
  <si>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</si>
  <si>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</si>
  <si>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</si>
  <si>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</si>
  <si>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</si>
  <si>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</si>
  <si>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</si>
  <si>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</si>
  <si>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</si>
  <si>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</si>
  <si>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</si>
  <si>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</si>
  <si>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</si>
  <si>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</si>
  <si>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</si>
  <si>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</si>
  <si>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</si>
  <si>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</si>
  <si>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</si>
  <si>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</si>
  <si>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</si>
  <si>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</si>
  <si>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</si>
  <si>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</si>
  <si>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</si>
  <si>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</si>
  <si>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</si>
  <si>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</si>
  <si>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</si>
  <si>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</si>
  <si>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</si>
  <si>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</si>
  <si>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</si>
  <si>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</si>
  <si>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</si>
  <si>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</si>
  <si>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</si>
  <si>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</si>
  <si>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</si>
  <si>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</si>
  <si>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</si>
  <si>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</si>
  <si>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</si>
  <si>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</si>
  <si>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</si>
  <si>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</si>
  <si>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</si>
  <si>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</si>
  <si>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</si>
  <si>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</si>
  <si>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</si>
  <si>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</si>
  <si>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</si>
  <si>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</si>
  <si>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</si>
  <si>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</si>
  <si>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</si>
  <si>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</si>
  <si>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</si>
  <si>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</si>
  <si>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</si>
  <si>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</si>
  <si>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</si>
  <si>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</si>
  <si>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</si>
  <si>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</si>
  <si>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</si>
  <si>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</si>
  <si>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</si>
  <si>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</si>
  <si>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</si>
  <si>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</si>
  <si>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</si>
  <si>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</si>
  <si>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</si>
  <si>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</si>
  <si>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</si>
  <si>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</si>
  <si>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</si>
  <si>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</si>
  <si>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</si>
  <si>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</si>
  <si>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</si>
  <si>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</si>
  <si>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</si>
  <si>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</si>
  <si>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</si>
  <si>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</si>
  <si>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</si>
  <si>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</si>
  <si>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</si>
  <si>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</si>
  <si>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</si>
  <si>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</si>
  <si>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</si>
  <si>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</si>
  <si>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</si>
  <si>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</si>
  <si>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</si>
  <si>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</si>
  <si>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</si>
  <si>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</si>
  <si>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</si>
  <si>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</si>
  <si>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</si>
  <si>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</si>
  <si>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</si>
  <si>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</si>
  <si>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</si>
  <si>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</si>
  <si>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</si>
  <si>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</si>
  <si>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</si>
  <si>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</si>
  <si>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</si>
  <si>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</si>
  <si>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</si>
  <si>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</si>
  <si>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</si>
  <si>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</si>
  <si>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</si>
  <si>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</si>
  <si>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</si>
  <si>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</si>
  <si>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</si>
  <si>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</si>
  <si>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</si>
  <si>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</si>
  <si>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</si>
  <si>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</si>
  <si>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</si>
  <si>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</si>
  <si>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</si>
  <si>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</si>
  <si>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</si>
  <si>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</si>
  <si>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</si>
  <si>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</si>
  <si>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</si>
  <si>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</si>
  <si>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</si>
  <si>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</si>
  <si>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</si>
  <si>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</si>
  <si>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</si>
  <si>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</si>
  <si>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</si>
  <si>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</si>
  <si>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</si>
  <si>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</si>
  <si>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</si>
  <si>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</si>
  <si>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</si>
  <si>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</si>
  <si>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</si>
  <si>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</si>
  <si>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</si>
  <si>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</si>
  <si>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</si>
  <si>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</si>
  <si>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</si>
  <si>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</si>
  <si>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</si>
  <si>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</si>
  <si>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</si>
  <si>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</si>
  <si>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</si>
  <si>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</si>
  <si>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</si>
  <si>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</si>
  <si>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</si>
  <si>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</si>
  <si>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</si>
  <si>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</si>
  <si>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</si>
  <si>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</si>
  <si>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</si>
  <si>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</si>
  <si>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</si>
  <si>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</si>
  <si>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</si>
  <si>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</si>
  <si>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</si>
  <si>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Gestión inoportuna para dar cumplimiento a las providencias  por parte de los Secretarios de Despacho</t>
  </si>
  <si>
    <t xml:space="preserve">EFECTUAR SEGUIMIENTO AL CUMPLIMIENTO DEL FALLO CONDENATORIO 
EJERCER LA REPRESENTACIÓN DEL MUNICIPIO EN EL PROCESO JUDICIAL
REALIZAR ASESORÍA Y ACOMPAÑAMIENTO JURÍDICO
                          </t>
  </si>
  <si>
    <t>Insuficiencia o inoportunidad en la entrega de informes y/o elementos materiales probatorios que se deban presentar en la actuaciones procesales por parte de las dependencias ejecutoras</t>
  </si>
  <si>
    <t xml:space="preserve">Sanciones Disciplinarias, penales y administrativas -  incidentes de desacato  </t>
  </si>
  <si>
    <t>i</t>
  </si>
  <si>
    <t xml:space="preserve">
inadecuada defensa juridica </t>
  </si>
  <si>
    <t xml:space="preserve">fallos desfavorables en los procesos judiciales </t>
  </si>
  <si>
    <t xml:space="preserve">EJERCER LA REPRESENTACIÓN DEL MUNICIPIO EN EL PROCESO JUDICIAL
EJERCER LA REPRESENTACIÓN DEL MUNICIPIO EN EL PROCESO ADMINISTRATIVO
EFECTUAR SEGUIMIENTO AL CUMPLIMIENTO DEL FALLO CONDENATORIO
</t>
  </si>
  <si>
    <t>la jefe de oficina junto con los asesores y contratistas que ejercen Representacion Judicial, verifican la aplicacion de la adecuada normatividad en el caso concreto, en un comite juridico cada dos meses, en el que se estudien los procesos mas relavantes y la normatividad aplicable a los procesos que cursen en la dependencia, dejando acta de lo socializado en el comite.</t>
  </si>
  <si>
    <t>probabilidad</t>
  </si>
  <si>
    <t>No cumplimiento de las decisiones impartidas por los  despachos judiciales</t>
  </si>
  <si>
    <t>posibilidad de perdida economica y reputacional, debido sanciones disciplinarias e incidente de desacato, por el incumploimiento de las decisiones impartidas por los  despachos judiciales</t>
  </si>
  <si>
    <t xml:space="preserve">Posibilidad de perdida econocmica y reputacional, debido a fallos desfavorables en los procesos judiciales como consecuencia de una inadecuada defensa juridica.   </t>
  </si>
  <si>
    <t xml:space="preserve"> </t>
  </si>
  <si>
    <t xml:space="preserve">Ausencia de propuestas de defensa  al interor de cada caso en concreto </t>
  </si>
  <si>
    <t>La Jefe de oficina juridica, junto con su equipo de tecnicos operativos  verifica en el sistema de control de procesos judiciales, disciplinarios y contratos de la alcaldia de Ibauge SOFTCON  si los apoderados judiciales  han realizado la valoracion de probabilidad de condena de los procesos que tienen a cargo., dejando como evidencia la actuacion registrada en SOFTCON.</t>
  </si>
  <si>
    <t>falta de actualizacion de las normas y jurisprudencia aplicable a cada caso concreto.</t>
  </si>
  <si>
    <t xml:space="preserve">La Jefe de oficina juridica, enviara a capacitaciones al personal de la oficina para la actualizacion de la normatividad vigente y  validarala la socializacion de los conocimientos adquiridos atravez de los comites juridicos dirigidos por los asistentes a la capacitacion, quienes socializaran al personal de la oficina juridica, dejando como evidencia acta. </t>
  </si>
  <si>
    <t xml:space="preserve">la jefe de oficina juridica junto con los asesores y contratistas que ejercen Representacion Judicial, constatan el cumplimiento de las sentencias judiciales por parte de los secretarios de despacho y directores, mediante remision de memorandos solicitando el informe de cumplimiento de la decision judicial a la secretaria competente, cada vez que lo requiera el despacho judicial, previo control semanal de los procesos asignados a cada apoderado judicial, quedando como evidencia en PISAMI el memorando remisorio.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</si>
</sst>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4659260841701"/>
      </left>
      <right style="dashed">
        <color theme="9" tint="-0.24994659260841701"/>
      </right>
      <top/>
      <bottom style="dashed">
        <color theme="9" tint="-0.249977111117893"/>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style="dashed">
        <color theme="9" tint="-0.249977111117893"/>
      </right>
      <top style="dashed">
        <color theme="9" tint="-0.24994659260841701"/>
      </top>
      <bottom/>
      <diagonal/>
    </border>
    <border>
      <left style="dashed">
        <color theme="9" tint="-0.249977111117893"/>
      </left>
      <right style="dashed">
        <color theme="9" tint="-0.249977111117893"/>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5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applyProtection="1"/>
    <xf numFmtId="0" fontId="40" fillId="3" borderId="52" xfId="2" applyFont="1" applyFill="1" applyBorder="1" applyProtection="1"/>
    <xf numFmtId="0" fontId="40" fillId="3" borderId="53" xfId="2" applyFont="1" applyFill="1" applyBorder="1" applyProtection="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applyProtection="1"/>
    <xf numFmtId="0" fontId="45" fillId="3" borderId="0" xfId="0" applyFont="1" applyFill="1" applyBorder="1" applyAlignment="1" applyProtection="1">
      <alignment horizontal="left" vertical="center" wrapText="1"/>
    </xf>
    <xf numFmtId="0" fontId="46" fillId="3" borderId="0" xfId="0" applyFont="1" applyFill="1" applyBorder="1" applyAlignment="1" applyProtection="1">
      <alignment horizontal="left" vertical="top" wrapText="1"/>
    </xf>
    <xf numFmtId="0" fontId="40" fillId="3" borderId="0" xfId="2" applyFont="1" applyFill="1" applyBorder="1" applyProtection="1"/>
    <xf numFmtId="0" fontId="40" fillId="3" borderId="15" xfId="2" applyFont="1" applyFill="1" applyBorder="1" applyProtection="1"/>
    <xf numFmtId="0" fontId="40" fillId="3" borderId="16" xfId="2" applyFont="1" applyFill="1" applyBorder="1" applyProtection="1"/>
    <xf numFmtId="0" fontId="40" fillId="3" borderId="18" xfId="2" applyFont="1" applyFill="1" applyBorder="1" applyProtection="1"/>
    <xf numFmtId="0" fontId="40" fillId="3" borderId="17" xfId="2" applyFont="1" applyFill="1" applyBorder="1" applyProtection="1"/>
    <xf numFmtId="0" fontId="44" fillId="3" borderId="0" xfId="2" applyFont="1" applyFill="1" applyBorder="1" applyAlignment="1" applyProtection="1">
      <alignment horizontal="left" vertical="center" wrapText="1"/>
    </xf>
    <xf numFmtId="0" fontId="40" fillId="3" borderId="0" xfId="2" applyFont="1" applyFill="1" applyBorder="1" applyAlignment="1" applyProtection="1">
      <alignment horizontal="left" vertical="center" wrapText="1"/>
    </xf>
    <xf numFmtId="0" fontId="40" fillId="3" borderId="0" xfId="2" quotePrefix="1" applyFont="1" applyFill="1" applyBorder="1" applyAlignment="1" applyProtection="1">
      <alignment horizontal="left" vertical="center" wrapText="1"/>
    </xf>
    <xf numFmtId="0" fontId="40" fillId="3" borderId="15" xfId="2" applyFont="1" applyFill="1" applyBorder="1" applyAlignment="1" applyProtection="1"/>
    <xf numFmtId="0" fontId="42" fillId="3" borderId="14" xfId="2" quotePrefix="1" applyFont="1" applyFill="1" applyBorder="1" applyAlignment="1" applyProtection="1">
      <alignment horizontal="left" vertical="top" wrapText="1"/>
    </xf>
    <xf numFmtId="0" fontId="43" fillId="3" borderId="0" xfId="2" quotePrefix="1" applyFont="1" applyFill="1" applyBorder="1" applyAlignment="1" applyProtection="1">
      <alignment horizontal="left" vertical="top" wrapText="1"/>
    </xf>
    <xf numFmtId="0" fontId="4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9" fontId="1" fillId="0" borderId="4" xfId="0" applyNumberFormat="1" applyFont="1" applyFill="1" applyBorder="1" applyAlignment="1" applyProtection="1">
      <alignment horizontal="center" vertical="top"/>
      <protection hidden="1"/>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Fill="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9" fontId="27"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Border="1" applyAlignment="1">
      <alignment horizontal="justify" vertical="center" wrapText="1" readingOrder="1"/>
    </xf>
    <xf numFmtId="0" fontId="55" fillId="3" borderId="0" xfId="0" applyFont="1" applyFill="1" applyAlignment="1">
      <alignment vertical="center"/>
    </xf>
    <xf numFmtId="0" fontId="54" fillId="0" borderId="0" xfId="0" applyFont="1" applyBorder="1" applyAlignment="1">
      <alignment horizontal="justify" vertical="center" wrapText="1" readingOrder="1"/>
    </xf>
    <xf numFmtId="0" fontId="54" fillId="0" borderId="0" xfId="0" applyFont="1" applyFill="1" applyAlignment="1">
      <alignment vertical="center"/>
    </xf>
    <xf numFmtId="0" fontId="12" fillId="0" borderId="0" xfId="0" pivotButton="1" applyFont="1"/>
    <xf numFmtId="0" fontId="56" fillId="0" borderId="0" xfId="0" applyFont="1" applyFill="1" applyAlignment="1">
      <alignment horizontal="center" wrapText="1"/>
    </xf>
    <xf numFmtId="0" fontId="57" fillId="0" borderId="0" xfId="0" applyFont="1"/>
    <xf numFmtId="0" fontId="1" fillId="0" borderId="78" xfId="0" applyFont="1" applyBorder="1" applyAlignment="1" applyProtection="1">
      <alignment vertical="top" wrapText="1"/>
      <protection locked="0"/>
    </xf>
    <xf numFmtId="0" fontId="1" fillId="0" borderId="79" xfId="0" applyFont="1" applyBorder="1" applyAlignment="1" applyProtection="1">
      <alignment vertical="top" wrapText="1"/>
      <protection locked="0"/>
    </xf>
    <xf numFmtId="0" fontId="1" fillId="3" borderId="2" xfId="0" applyFont="1" applyFill="1" applyBorder="1" applyAlignment="1" applyProtection="1">
      <alignment horizontal="justify" vertical="top"/>
      <protection locked="0"/>
    </xf>
    <xf numFmtId="0" fontId="6" fillId="3" borderId="2" xfId="0" applyFont="1" applyFill="1" applyBorder="1" applyAlignment="1" applyProtection="1">
      <alignment horizontal="justify" vertical="top" wrapText="1"/>
      <protection locked="0"/>
    </xf>
    <xf numFmtId="0" fontId="1" fillId="3" borderId="2" xfId="0" applyFont="1" applyFill="1" applyBorder="1" applyAlignment="1" applyProtection="1">
      <alignment horizontal="justify" vertical="top" wrapText="1"/>
      <protection locked="0"/>
    </xf>
    <xf numFmtId="0" fontId="41" fillId="14" borderId="48" xfId="2" applyFont="1" applyFill="1" applyBorder="1" applyAlignment="1" applyProtection="1">
      <alignment horizontal="center" vertical="center" wrapText="1"/>
    </xf>
    <xf numFmtId="0" fontId="41" fillId="14" borderId="49" xfId="2" applyFont="1" applyFill="1" applyBorder="1" applyAlignment="1" applyProtection="1">
      <alignment horizontal="center" vertical="center" wrapText="1"/>
    </xf>
    <xf numFmtId="0" fontId="41" fillId="14" borderId="50" xfId="2" applyFont="1" applyFill="1" applyBorder="1" applyAlignment="1" applyProtection="1">
      <alignment horizontal="center" vertical="center" wrapText="1"/>
    </xf>
    <xf numFmtId="0" fontId="40" fillId="0" borderId="14" xfId="2" quotePrefix="1" applyFont="1" applyBorder="1" applyAlignment="1" applyProtection="1">
      <alignment horizontal="left" vertical="center" wrapText="1"/>
    </xf>
    <xf numFmtId="0" fontId="40" fillId="0" borderId="0" xfId="2" quotePrefix="1" applyFont="1" applyBorder="1" applyAlignment="1" applyProtection="1">
      <alignment horizontal="left" vertical="center" wrapText="1"/>
    </xf>
    <xf numFmtId="0" fontId="40" fillId="0" borderId="15" xfId="2" quotePrefix="1" applyFont="1" applyBorder="1" applyAlignment="1" applyProtection="1">
      <alignment horizontal="left" vertical="center" wrapText="1"/>
    </xf>
    <xf numFmtId="0" fontId="40" fillId="0" borderId="68" xfId="2" quotePrefix="1" applyFont="1" applyBorder="1" applyAlignment="1" applyProtection="1">
      <alignment horizontal="left" vertical="center" wrapText="1"/>
    </xf>
    <xf numFmtId="0" fontId="40" fillId="0" borderId="69" xfId="2" quotePrefix="1" applyFont="1" applyBorder="1" applyAlignment="1" applyProtection="1">
      <alignment horizontal="left" vertical="center" wrapText="1"/>
    </xf>
    <xf numFmtId="0" fontId="40" fillId="0" borderId="70" xfId="2" quotePrefix="1" applyFont="1" applyBorder="1" applyAlignment="1" applyProtection="1">
      <alignment horizontal="left" vertical="center" wrapText="1"/>
    </xf>
    <xf numFmtId="0" fontId="42" fillId="3" borderId="51" xfId="2" quotePrefix="1" applyFont="1" applyFill="1" applyBorder="1" applyAlignment="1" applyProtection="1">
      <alignment horizontal="left" vertical="top" wrapText="1"/>
    </xf>
    <xf numFmtId="0" fontId="43" fillId="3" borderId="52" xfId="2" quotePrefix="1" applyFont="1" applyFill="1" applyBorder="1" applyAlignment="1" applyProtection="1">
      <alignment horizontal="left" vertical="top" wrapText="1"/>
    </xf>
    <xf numFmtId="0" fontId="43" fillId="3" borderId="53" xfId="2" quotePrefix="1" applyFont="1" applyFill="1" applyBorder="1" applyAlignment="1" applyProtection="1">
      <alignment horizontal="left" vertical="top" wrapText="1"/>
    </xf>
    <xf numFmtId="0" fontId="40" fillId="0" borderId="14" xfId="2" quotePrefix="1" applyFont="1" applyBorder="1" applyAlignment="1" applyProtection="1">
      <alignment horizontal="left" vertical="top" wrapText="1"/>
    </xf>
    <xf numFmtId="0" fontId="40" fillId="0" borderId="0" xfId="2" quotePrefix="1" applyFont="1" applyBorder="1" applyAlignment="1" applyProtection="1">
      <alignment horizontal="left" vertical="top" wrapText="1"/>
    </xf>
    <xf numFmtId="0" fontId="40" fillId="0" borderId="15" xfId="2" quotePrefix="1" applyFont="1" applyBorder="1" applyAlignment="1" applyProtection="1">
      <alignment horizontal="left" vertical="top" wrapText="1"/>
    </xf>
    <xf numFmtId="0" fontId="45" fillId="14" borderId="54" xfId="3" applyFont="1" applyFill="1" applyBorder="1" applyAlignment="1" applyProtection="1">
      <alignment horizontal="center" vertical="center" wrapText="1"/>
    </xf>
    <xf numFmtId="0" fontId="45" fillId="14" borderId="55" xfId="3" applyFont="1" applyFill="1" applyBorder="1" applyAlignment="1" applyProtection="1">
      <alignment horizontal="center" vertical="center" wrapText="1"/>
    </xf>
    <xf numFmtId="0" fontId="45" fillId="14" borderId="56" xfId="2" applyFont="1" applyFill="1" applyBorder="1" applyAlignment="1" applyProtection="1">
      <alignment horizontal="center" vertical="center"/>
    </xf>
    <xf numFmtId="0" fontId="4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45" fillId="3" borderId="58" xfId="3" applyFont="1" applyFill="1" applyBorder="1" applyAlignment="1" applyProtection="1">
      <alignment horizontal="left" vertical="top" wrapText="1" readingOrder="1"/>
    </xf>
    <xf numFmtId="0" fontId="45" fillId="3" borderId="59" xfId="3" applyFont="1" applyFill="1" applyBorder="1" applyAlignment="1" applyProtection="1">
      <alignment horizontal="left" vertical="top" wrapText="1" readingOrder="1"/>
    </xf>
    <xf numFmtId="0" fontId="46" fillId="3" borderId="60" xfId="2" applyFont="1" applyFill="1" applyBorder="1" applyAlignment="1" applyProtection="1">
      <alignment horizontal="justify" vertical="center" wrapText="1"/>
    </xf>
    <xf numFmtId="0" fontId="46" fillId="3" borderId="61" xfId="2" applyFont="1" applyFill="1" applyBorder="1" applyAlignment="1" applyProtection="1">
      <alignment horizontal="justify" vertical="center" wrapText="1"/>
    </xf>
    <xf numFmtId="0" fontId="45" fillId="3" borderId="62" xfId="0" applyFont="1" applyFill="1" applyBorder="1" applyAlignment="1" applyProtection="1">
      <alignment horizontal="left" vertical="center" wrapText="1"/>
    </xf>
    <xf numFmtId="0" fontId="45" fillId="3" borderId="63" xfId="0" applyFont="1" applyFill="1" applyBorder="1" applyAlignment="1" applyProtection="1">
      <alignment horizontal="left" vertical="center" wrapText="1"/>
    </xf>
    <xf numFmtId="0" fontId="46" fillId="3" borderId="64" xfId="2" applyFont="1" applyFill="1" applyBorder="1" applyAlignment="1" applyProtection="1">
      <alignment horizontal="justify" vertical="center" wrapText="1"/>
    </xf>
    <xf numFmtId="0" fontId="46" fillId="3" borderId="65" xfId="2" applyFont="1" applyFill="1" applyBorder="1" applyAlignment="1" applyProtection="1">
      <alignment horizontal="justify" vertical="center" wrapText="1"/>
    </xf>
    <xf numFmtId="0" fontId="40" fillId="3" borderId="14" xfId="2" applyFont="1" applyFill="1" applyBorder="1" applyAlignment="1" applyProtection="1">
      <alignment horizontal="left" vertical="top" wrapText="1"/>
    </xf>
    <xf numFmtId="0" fontId="40" fillId="3" borderId="0" xfId="2" applyFont="1" applyFill="1" applyBorder="1" applyAlignment="1" applyProtection="1">
      <alignment horizontal="left" vertical="top" wrapText="1"/>
    </xf>
    <xf numFmtId="0" fontId="40" fillId="3" borderId="15" xfId="2" applyFont="1" applyFill="1" applyBorder="1" applyAlignment="1" applyProtection="1">
      <alignment horizontal="left" vertical="top" wrapText="1"/>
    </xf>
    <xf numFmtId="0" fontId="45" fillId="3" borderId="71" xfId="0" applyFont="1" applyFill="1" applyBorder="1" applyAlignment="1" applyProtection="1">
      <alignment horizontal="left" vertical="center" wrapText="1"/>
    </xf>
    <xf numFmtId="0" fontId="45" fillId="3" borderId="72" xfId="0" applyFont="1" applyFill="1" applyBorder="1" applyAlignment="1" applyProtection="1">
      <alignment horizontal="left" vertical="center" wrapText="1"/>
    </xf>
    <xf numFmtId="0" fontId="45" fillId="3" borderId="73" xfId="0" applyFont="1" applyFill="1" applyBorder="1" applyAlignment="1" applyProtection="1">
      <alignment horizontal="left" vertical="center" wrapText="1"/>
    </xf>
    <xf numFmtId="0" fontId="45" fillId="3" borderId="74" xfId="0" applyFont="1" applyFill="1" applyBorder="1" applyAlignment="1" applyProtection="1">
      <alignment horizontal="left" vertical="center" wrapText="1"/>
    </xf>
    <xf numFmtId="0" fontId="46" fillId="3" borderId="66" xfId="0" applyFont="1" applyFill="1" applyBorder="1" applyAlignment="1" applyProtection="1">
      <alignment horizontal="justify" vertical="center" wrapText="1"/>
    </xf>
    <xf numFmtId="0" fontId="46" fillId="3" borderId="67" xfId="0" applyFont="1" applyFill="1" applyBorder="1" applyAlignment="1" applyProtection="1">
      <alignment horizontal="justify" vertical="center" wrapText="1"/>
    </xf>
    <xf numFmtId="0" fontId="50" fillId="0" borderId="4" xfId="0" applyFont="1" applyBorder="1" applyAlignment="1" applyProtection="1">
      <alignment horizontal="center" vertical="top" wrapText="1"/>
      <protection locked="0"/>
    </xf>
    <xf numFmtId="0" fontId="50" fillId="0" borderId="8" xfId="0" applyFont="1" applyBorder="1" applyAlignment="1" applyProtection="1">
      <alignment horizontal="center" vertical="top" wrapText="1"/>
      <protection locked="0"/>
    </xf>
    <xf numFmtId="0" fontId="50" fillId="0" borderId="77"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77" xfId="0" applyFont="1" applyBorder="1" applyAlignment="1" applyProtection="1">
      <alignment horizontal="center" vertical="top" wrapText="1"/>
      <protection locked="0"/>
    </xf>
    <xf numFmtId="0" fontId="46" fillId="0" borderId="80" xfId="0" applyFont="1" applyBorder="1" applyAlignment="1" applyProtection="1">
      <alignment horizontal="center" vertical="top" wrapText="1"/>
      <protection locked="0"/>
    </xf>
    <xf numFmtId="0" fontId="46" fillId="0" borderId="81" xfId="0" applyFont="1" applyBorder="1" applyAlignment="1" applyProtection="1">
      <alignment horizontal="center" vertical="top" wrapText="1"/>
      <protection locked="0"/>
    </xf>
    <xf numFmtId="0" fontId="46" fillId="0" borderId="79" xfId="0" applyFont="1" applyBorder="1" applyAlignment="1" applyProtection="1">
      <alignment horizontal="center" vertical="top" wrapText="1"/>
      <protection locked="0"/>
    </xf>
    <xf numFmtId="0" fontId="1" fillId="0" borderId="78" xfId="0" applyFont="1" applyBorder="1" applyAlignment="1" applyProtection="1">
      <alignment horizontal="center" vertical="top" wrapText="1"/>
      <protection locked="0"/>
    </xf>
    <xf numFmtId="0" fontId="1" fillId="0" borderId="79" xfId="0" applyFont="1" applyBorder="1" applyAlignment="1" applyProtection="1">
      <alignment horizontal="center" vertical="top" wrapText="1"/>
      <protection locked="0"/>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49" fillId="0" borderId="4" xfId="0" applyFont="1" applyFill="1" applyBorder="1" applyAlignment="1" applyProtection="1">
      <alignment horizontal="center" vertical="top" wrapText="1"/>
      <protection hidden="1"/>
    </xf>
    <xf numFmtId="0" fontId="49" fillId="0" borderId="8"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27" fillId="0" borderId="4"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46" fillId="0" borderId="4" xfId="0" applyFont="1" applyBorder="1" applyAlignment="1" applyProtection="1">
      <alignment horizontal="left" vertical="top" wrapText="1"/>
      <protection locked="0"/>
    </xf>
    <xf numFmtId="0" fontId="46" fillId="0" borderId="8" xfId="0" applyFont="1" applyBorder="1" applyAlignment="1" applyProtection="1">
      <alignment horizontal="left" vertical="top" wrapText="1"/>
      <protection locked="0"/>
    </xf>
    <xf numFmtId="0" fontId="46" fillId="0" borderId="5" xfId="0" applyFont="1" applyBorder="1" applyAlignment="1" applyProtection="1">
      <alignment horizontal="left" vertical="top"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2" fillId="0" borderId="81" xfId="0" applyFont="1" applyBorder="1" applyAlignment="1" applyProtection="1">
      <alignment horizontal="center" vertical="top" wrapText="1"/>
      <protection locked="0"/>
    </xf>
    <xf numFmtId="0" fontId="2" fillId="0" borderId="79"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7" fillId="3" borderId="75" xfId="0" applyFont="1" applyFill="1" applyBorder="1" applyAlignment="1" applyProtection="1">
      <alignment horizontal="center" vertical="center"/>
      <protection locked="0"/>
    </xf>
    <xf numFmtId="0" fontId="27" fillId="3" borderId="75" xfId="0" applyFont="1" applyFill="1" applyBorder="1" applyAlignment="1" applyProtection="1">
      <alignment horizontal="center"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5" fillId="0" borderId="0"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Border="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89">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ACIENDA123/Downloads/Formato%20Matriz%20de%20Riesg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Tabla Impacto"/>
      <sheetName val="Mapa final"/>
      <sheetName val="Hoja2"/>
      <sheetName val="Matriz Calor Inherente"/>
      <sheetName val="Matriz Calor Residual"/>
      <sheetName val="Tabla probabilidad"/>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29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C24" zoomScale="185" workbookViewId="0">
      <selection activeCell="E25" sqref="E25:F25"/>
    </sheetView>
  </sheetViews>
  <sheetFormatPr baseColWidth="10" defaultRowHeight="15" x14ac:dyDescent="0.25"/>
  <cols>
    <col min="1" max="1" width="2.85546875" style="68" customWidth="1"/>
    <col min="2" max="3" width="24.7109375" style="68" customWidth="1"/>
    <col min="4" max="4" width="16" style="68" customWidth="1"/>
    <col min="5" max="5" width="24.7109375" style="68" customWidth="1"/>
    <col min="6" max="6" width="27.7109375" style="68" customWidth="1"/>
    <col min="7" max="8" width="24.7109375" style="68" customWidth="1"/>
    <col min="9" max="16384" width="11.42578125" style="68"/>
  </cols>
  <sheetData>
    <row r="1" spans="2:8" ht="15.75" thickBot="1" x14ac:dyDescent="0.3"/>
    <row r="2" spans="2:8" ht="18" x14ac:dyDescent="0.25">
      <c r="B2" s="164" t="s">
        <v>155</v>
      </c>
      <c r="C2" s="165"/>
      <c r="D2" s="165"/>
      <c r="E2" s="165"/>
      <c r="F2" s="165"/>
      <c r="G2" s="165"/>
      <c r="H2" s="166"/>
    </row>
    <row r="3" spans="2:8" x14ac:dyDescent="0.25">
      <c r="B3" s="69"/>
      <c r="C3" s="70"/>
      <c r="D3" s="70"/>
      <c r="E3" s="70"/>
      <c r="F3" s="70"/>
      <c r="G3" s="70"/>
      <c r="H3" s="71"/>
    </row>
    <row r="4" spans="2:8" ht="63" customHeight="1" x14ac:dyDescent="0.25">
      <c r="B4" s="167" t="s">
        <v>198</v>
      </c>
      <c r="C4" s="168"/>
      <c r="D4" s="168"/>
      <c r="E4" s="168"/>
      <c r="F4" s="168"/>
      <c r="G4" s="168"/>
      <c r="H4" s="169"/>
    </row>
    <row r="5" spans="2:8" ht="63" customHeight="1" x14ac:dyDescent="0.25">
      <c r="B5" s="170"/>
      <c r="C5" s="171"/>
      <c r="D5" s="171"/>
      <c r="E5" s="171"/>
      <c r="F5" s="171"/>
      <c r="G5" s="171"/>
      <c r="H5" s="172"/>
    </row>
    <row r="6" spans="2:8" ht="16.5" x14ac:dyDescent="0.25">
      <c r="B6" s="173" t="s">
        <v>153</v>
      </c>
      <c r="C6" s="174"/>
      <c r="D6" s="174"/>
      <c r="E6" s="174"/>
      <c r="F6" s="174"/>
      <c r="G6" s="174"/>
      <c r="H6" s="175"/>
    </row>
    <row r="7" spans="2:8" ht="95.25" customHeight="1" x14ac:dyDescent="0.25">
      <c r="B7" s="183" t="s">
        <v>158</v>
      </c>
      <c r="C7" s="184"/>
      <c r="D7" s="184"/>
      <c r="E7" s="184"/>
      <c r="F7" s="184"/>
      <c r="G7" s="184"/>
      <c r="H7" s="185"/>
    </row>
    <row r="8" spans="2:8" ht="16.5" x14ac:dyDescent="0.25">
      <c r="B8" s="104"/>
      <c r="C8" s="105"/>
      <c r="D8" s="105"/>
      <c r="E8" s="105"/>
      <c r="F8" s="105"/>
      <c r="G8" s="105"/>
      <c r="H8" s="106"/>
    </row>
    <row r="9" spans="2:8" ht="16.5" customHeight="1" x14ac:dyDescent="0.25">
      <c r="B9" s="176" t="s">
        <v>191</v>
      </c>
      <c r="C9" s="177"/>
      <c r="D9" s="177"/>
      <c r="E9" s="177"/>
      <c r="F9" s="177"/>
      <c r="G9" s="177"/>
      <c r="H9" s="178"/>
    </row>
    <row r="10" spans="2:8" ht="44.25" customHeight="1" x14ac:dyDescent="0.25">
      <c r="B10" s="176"/>
      <c r="C10" s="177"/>
      <c r="D10" s="177"/>
      <c r="E10" s="177"/>
      <c r="F10" s="177"/>
      <c r="G10" s="177"/>
      <c r="H10" s="178"/>
    </row>
    <row r="11" spans="2:8" ht="15.75" thickBot="1" x14ac:dyDescent="0.3">
      <c r="B11" s="92"/>
      <c r="C11" s="95"/>
      <c r="D11" s="100"/>
      <c r="E11" s="101"/>
      <c r="F11" s="101"/>
      <c r="G11" s="102"/>
      <c r="H11" s="103"/>
    </row>
    <row r="12" spans="2:8" ht="15.75" thickTop="1" x14ac:dyDescent="0.25">
      <c r="B12" s="92"/>
      <c r="C12" s="179" t="s">
        <v>154</v>
      </c>
      <c r="D12" s="180"/>
      <c r="E12" s="181" t="s">
        <v>192</v>
      </c>
      <c r="F12" s="182"/>
      <c r="G12" s="95"/>
      <c r="H12" s="96"/>
    </row>
    <row r="13" spans="2:8" ht="35.25" customHeight="1" x14ac:dyDescent="0.25">
      <c r="B13" s="92"/>
      <c r="C13" s="186" t="s">
        <v>185</v>
      </c>
      <c r="D13" s="187"/>
      <c r="E13" s="188" t="s">
        <v>190</v>
      </c>
      <c r="F13" s="189"/>
      <c r="G13" s="95"/>
      <c r="H13" s="96"/>
    </row>
    <row r="14" spans="2:8" ht="17.25" customHeight="1" x14ac:dyDescent="0.25">
      <c r="B14" s="92"/>
      <c r="C14" s="186" t="s">
        <v>186</v>
      </c>
      <c r="D14" s="187"/>
      <c r="E14" s="188" t="s">
        <v>188</v>
      </c>
      <c r="F14" s="189"/>
      <c r="G14" s="95"/>
      <c r="H14" s="96"/>
    </row>
    <row r="15" spans="2:8" ht="19.5" customHeight="1" x14ac:dyDescent="0.25">
      <c r="B15" s="92"/>
      <c r="C15" s="186" t="s">
        <v>187</v>
      </c>
      <c r="D15" s="187"/>
      <c r="E15" s="188" t="s">
        <v>189</v>
      </c>
      <c r="F15" s="189"/>
      <c r="G15" s="95"/>
      <c r="H15" s="96"/>
    </row>
    <row r="16" spans="2:8" ht="69.75" customHeight="1" x14ac:dyDescent="0.25">
      <c r="B16" s="92"/>
      <c r="C16" s="186" t="s">
        <v>156</v>
      </c>
      <c r="D16" s="187"/>
      <c r="E16" s="188" t="s">
        <v>157</v>
      </c>
      <c r="F16" s="189"/>
      <c r="G16" s="95"/>
      <c r="H16" s="96"/>
    </row>
    <row r="17" spans="2:8" ht="34.5" customHeight="1" x14ac:dyDescent="0.25">
      <c r="B17" s="92"/>
      <c r="C17" s="190" t="s">
        <v>2</v>
      </c>
      <c r="D17" s="191"/>
      <c r="E17" s="192" t="s">
        <v>199</v>
      </c>
      <c r="F17" s="193"/>
      <c r="G17" s="95"/>
      <c r="H17" s="96"/>
    </row>
    <row r="18" spans="2:8" ht="27.75" customHeight="1" x14ac:dyDescent="0.25">
      <c r="B18" s="92"/>
      <c r="C18" s="190" t="s">
        <v>3</v>
      </c>
      <c r="D18" s="191"/>
      <c r="E18" s="192" t="s">
        <v>200</v>
      </c>
      <c r="F18" s="193"/>
      <c r="G18" s="95"/>
      <c r="H18" s="96"/>
    </row>
    <row r="19" spans="2:8" ht="28.5" customHeight="1" x14ac:dyDescent="0.25">
      <c r="B19" s="92"/>
      <c r="C19" s="190" t="s">
        <v>42</v>
      </c>
      <c r="D19" s="191"/>
      <c r="E19" s="192" t="s">
        <v>201</v>
      </c>
      <c r="F19" s="193"/>
      <c r="G19" s="95"/>
      <c r="H19" s="96"/>
    </row>
    <row r="20" spans="2:8" ht="72.75" customHeight="1" x14ac:dyDescent="0.25">
      <c r="B20" s="92"/>
      <c r="C20" s="190" t="s">
        <v>1</v>
      </c>
      <c r="D20" s="191"/>
      <c r="E20" s="192" t="s">
        <v>202</v>
      </c>
      <c r="F20" s="193"/>
      <c r="G20" s="95"/>
      <c r="H20" s="96"/>
    </row>
    <row r="21" spans="2:8" ht="64.5" customHeight="1" x14ac:dyDescent="0.25">
      <c r="B21" s="92"/>
      <c r="C21" s="190" t="s">
        <v>50</v>
      </c>
      <c r="D21" s="191"/>
      <c r="E21" s="192" t="s">
        <v>160</v>
      </c>
      <c r="F21" s="193"/>
      <c r="G21" s="95"/>
      <c r="H21" s="96"/>
    </row>
    <row r="22" spans="2:8" ht="71.25" customHeight="1" x14ac:dyDescent="0.25">
      <c r="B22" s="92"/>
      <c r="C22" s="190" t="s">
        <v>159</v>
      </c>
      <c r="D22" s="191"/>
      <c r="E22" s="192" t="s">
        <v>161</v>
      </c>
      <c r="F22" s="193"/>
      <c r="G22" s="95"/>
      <c r="H22" s="96"/>
    </row>
    <row r="23" spans="2:8" ht="55.5" customHeight="1" x14ac:dyDescent="0.25">
      <c r="B23" s="92"/>
      <c r="C23" s="197" t="s">
        <v>162</v>
      </c>
      <c r="D23" s="198"/>
      <c r="E23" s="192" t="s">
        <v>163</v>
      </c>
      <c r="F23" s="193"/>
      <c r="G23" s="95"/>
      <c r="H23" s="96"/>
    </row>
    <row r="24" spans="2:8" ht="42" customHeight="1" x14ac:dyDescent="0.25">
      <c r="B24" s="92"/>
      <c r="C24" s="197" t="s">
        <v>48</v>
      </c>
      <c r="D24" s="198"/>
      <c r="E24" s="192" t="s">
        <v>164</v>
      </c>
      <c r="F24" s="193"/>
      <c r="G24" s="95"/>
      <c r="H24" s="96"/>
    </row>
    <row r="25" spans="2:8" ht="59.25" customHeight="1" x14ac:dyDescent="0.25">
      <c r="B25" s="92"/>
      <c r="C25" s="197" t="s">
        <v>152</v>
      </c>
      <c r="D25" s="198"/>
      <c r="E25" s="192" t="s">
        <v>165</v>
      </c>
      <c r="F25" s="193"/>
      <c r="G25" s="95"/>
      <c r="H25" s="96"/>
    </row>
    <row r="26" spans="2:8" ht="23.25" customHeight="1" x14ac:dyDescent="0.25">
      <c r="B26" s="92"/>
      <c r="C26" s="197" t="s">
        <v>12</v>
      </c>
      <c r="D26" s="198"/>
      <c r="E26" s="192" t="s">
        <v>166</v>
      </c>
      <c r="F26" s="193"/>
      <c r="G26" s="95"/>
      <c r="H26" s="96"/>
    </row>
    <row r="27" spans="2:8" ht="30.75" customHeight="1" x14ac:dyDescent="0.25">
      <c r="B27" s="92"/>
      <c r="C27" s="197" t="s">
        <v>170</v>
      </c>
      <c r="D27" s="198"/>
      <c r="E27" s="192" t="s">
        <v>167</v>
      </c>
      <c r="F27" s="193"/>
      <c r="G27" s="95"/>
      <c r="H27" s="96"/>
    </row>
    <row r="28" spans="2:8" ht="35.25" customHeight="1" x14ac:dyDescent="0.25">
      <c r="B28" s="92"/>
      <c r="C28" s="197" t="s">
        <v>171</v>
      </c>
      <c r="D28" s="198"/>
      <c r="E28" s="192" t="s">
        <v>168</v>
      </c>
      <c r="F28" s="193"/>
      <c r="G28" s="95"/>
      <c r="H28" s="96"/>
    </row>
    <row r="29" spans="2:8" ht="33" customHeight="1" x14ac:dyDescent="0.25">
      <c r="B29" s="92"/>
      <c r="C29" s="197" t="s">
        <v>171</v>
      </c>
      <c r="D29" s="198"/>
      <c r="E29" s="192" t="s">
        <v>168</v>
      </c>
      <c r="F29" s="193"/>
      <c r="G29" s="95"/>
      <c r="H29" s="96"/>
    </row>
    <row r="30" spans="2:8" ht="30" customHeight="1" x14ac:dyDescent="0.25">
      <c r="B30" s="92"/>
      <c r="C30" s="197" t="s">
        <v>172</v>
      </c>
      <c r="D30" s="198"/>
      <c r="E30" s="192" t="s">
        <v>169</v>
      </c>
      <c r="F30" s="193"/>
      <c r="G30" s="95"/>
      <c r="H30" s="96"/>
    </row>
    <row r="31" spans="2:8" ht="35.25" customHeight="1" x14ac:dyDescent="0.25">
      <c r="B31" s="92"/>
      <c r="C31" s="197" t="s">
        <v>173</v>
      </c>
      <c r="D31" s="198"/>
      <c r="E31" s="192" t="s">
        <v>174</v>
      </c>
      <c r="F31" s="193"/>
      <c r="G31" s="95"/>
      <c r="H31" s="96"/>
    </row>
    <row r="32" spans="2:8" ht="31.5" customHeight="1" x14ac:dyDescent="0.25">
      <c r="B32" s="92"/>
      <c r="C32" s="197" t="s">
        <v>175</v>
      </c>
      <c r="D32" s="198"/>
      <c r="E32" s="192" t="s">
        <v>176</v>
      </c>
      <c r="F32" s="193"/>
      <c r="G32" s="95"/>
      <c r="H32" s="96"/>
    </row>
    <row r="33" spans="2:8" ht="35.25" customHeight="1" x14ac:dyDescent="0.25">
      <c r="B33" s="92"/>
      <c r="C33" s="197" t="s">
        <v>177</v>
      </c>
      <c r="D33" s="198"/>
      <c r="E33" s="192" t="s">
        <v>178</v>
      </c>
      <c r="F33" s="193"/>
      <c r="G33" s="95"/>
      <c r="H33" s="96"/>
    </row>
    <row r="34" spans="2:8" ht="59.25" customHeight="1" x14ac:dyDescent="0.25">
      <c r="B34" s="92"/>
      <c r="C34" s="197" t="s">
        <v>179</v>
      </c>
      <c r="D34" s="198"/>
      <c r="E34" s="192" t="s">
        <v>180</v>
      </c>
      <c r="F34" s="193"/>
      <c r="G34" s="95"/>
      <c r="H34" s="96"/>
    </row>
    <row r="35" spans="2:8" ht="29.25" customHeight="1" x14ac:dyDescent="0.25">
      <c r="B35" s="92"/>
      <c r="C35" s="197" t="s">
        <v>29</v>
      </c>
      <c r="D35" s="198"/>
      <c r="E35" s="192" t="s">
        <v>181</v>
      </c>
      <c r="F35" s="193"/>
      <c r="G35" s="95"/>
      <c r="H35" s="96"/>
    </row>
    <row r="36" spans="2:8" ht="82.5" customHeight="1" x14ac:dyDescent="0.25">
      <c r="B36" s="92"/>
      <c r="C36" s="197" t="s">
        <v>183</v>
      </c>
      <c r="D36" s="198"/>
      <c r="E36" s="192" t="s">
        <v>182</v>
      </c>
      <c r="F36" s="193"/>
      <c r="G36" s="95"/>
      <c r="H36" s="96"/>
    </row>
    <row r="37" spans="2:8" ht="46.5" customHeight="1" x14ac:dyDescent="0.25">
      <c r="B37" s="92"/>
      <c r="C37" s="197" t="s">
        <v>39</v>
      </c>
      <c r="D37" s="198"/>
      <c r="E37" s="192" t="s">
        <v>184</v>
      </c>
      <c r="F37" s="193"/>
      <c r="G37" s="95"/>
      <c r="H37" s="96"/>
    </row>
    <row r="38" spans="2:8" ht="6.75" customHeight="1" thickBot="1" x14ac:dyDescent="0.3">
      <c r="B38" s="92"/>
      <c r="C38" s="199"/>
      <c r="D38" s="200"/>
      <c r="E38" s="201"/>
      <c r="F38" s="202"/>
      <c r="G38" s="95"/>
      <c r="H38" s="96"/>
    </row>
    <row r="39" spans="2:8" ht="15.75" thickTop="1" x14ac:dyDescent="0.25">
      <c r="B39" s="92"/>
      <c r="C39" s="93"/>
      <c r="D39" s="93"/>
      <c r="E39" s="94"/>
      <c r="F39" s="94"/>
      <c r="G39" s="95"/>
      <c r="H39" s="96"/>
    </row>
    <row r="40" spans="2:8" ht="21" customHeight="1" x14ac:dyDescent="0.25">
      <c r="B40" s="194" t="s">
        <v>193</v>
      </c>
      <c r="C40" s="195"/>
      <c r="D40" s="195"/>
      <c r="E40" s="195"/>
      <c r="F40" s="195"/>
      <c r="G40" s="195"/>
      <c r="H40" s="196"/>
    </row>
    <row r="41" spans="2:8" ht="20.25" customHeight="1" x14ac:dyDescent="0.25">
      <c r="B41" s="194" t="s">
        <v>194</v>
      </c>
      <c r="C41" s="195"/>
      <c r="D41" s="195"/>
      <c r="E41" s="195"/>
      <c r="F41" s="195"/>
      <c r="G41" s="195"/>
      <c r="H41" s="196"/>
    </row>
    <row r="42" spans="2:8" ht="20.25" customHeight="1" x14ac:dyDescent="0.25">
      <c r="B42" s="194" t="s">
        <v>195</v>
      </c>
      <c r="C42" s="195"/>
      <c r="D42" s="195"/>
      <c r="E42" s="195"/>
      <c r="F42" s="195"/>
      <c r="G42" s="195"/>
      <c r="H42" s="196"/>
    </row>
    <row r="43" spans="2:8" ht="20.25" customHeight="1" x14ac:dyDescent="0.25">
      <c r="B43" s="194" t="s">
        <v>196</v>
      </c>
      <c r="C43" s="195"/>
      <c r="D43" s="195"/>
      <c r="E43" s="195"/>
      <c r="F43" s="195"/>
      <c r="G43" s="195"/>
      <c r="H43" s="196"/>
    </row>
    <row r="44" spans="2:8" x14ac:dyDescent="0.25">
      <c r="B44" s="194" t="s">
        <v>197</v>
      </c>
      <c r="C44" s="195"/>
      <c r="D44" s="195"/>
      <c r="E44" s="195"/>
      <c r="F44" s="195"/>
      <c r="G44" s="195"/>
      <c r="H44" s="196"/>
    </row>
    <row r="45" spans="2:8" ht="15.75" thickBot="1" x14ac:dyDescent="0.3">
      <c r="B45" s="97"/>
      <c r="C45" s="98"/>
      <c r="D45" s="98"/>
      <c r="E45" s="98"/>
      <c r="F45" s="98"/>
      <c r="G45" s="98"/>
      <c r="H45" s="99"/>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68"/>
  <sheetViews>
    <sheetView tabSelected="1" topLeftCell="D13" zoomScale="114" zoomScaleNormal="85" workbookViewId="0">
      <selection activeCell="I14" sqref="I14:I17"/>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28.28515625" style="1" hidden="1" customWidth="1"/>
    <col min="14" max="14" width="17.5703125" style="1" customWidth="1"/>
    <col min="15" max="15" width="6.28515625" style="1" bestFit="1" customWidth="1"/>
    <col min="16" max="16" width="16" style="1" customWidth="1"/>
    <col min="17" max="17" width="5.85546875" style="1" customWidth="1"/>
    <col min="18" max="18" width="55" style="1" customWidth="1"/>
    <col min="19" max="19" width="15.140625" style="1" bestFit="1" customWidth="1"/>
    <col min="20" max="20" width="8.5703125" style="1" customWidth="1"/>
    <col min="21" max="21" width="5" style="1" customWidth="1"/>
    <col min="22" max="22" width="5.5703125" style="1" customWidth="1"/>
    <col min="23" max="23" width="7.140625" style="1" customWidth="1"/>
    <col min="24" max="24" width="6.7109375" style="1" customWidth="1"/>
    <col min="25" max="25" width="4.7109375" style="1" bestFit="1" customWidth="1"/>
    <col min="26" max="26" width="38.5703125" style="1" bestFit="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4.85546875" style="1" customWidth="1"/>
    <col min="37" max="37" width="18.5703125" style="1" customWidth="1"/>
    <col min="38" max="38" width="21" style="1" customWidth="1"/>
    <col min="39" max="16384" width="11.42578125" style="1"/>
  </cols>
  <sheetData>
    <row r="1" spans="1:70" ht="16.5" customHeight="1" x14ac:dyDescent="0.3">
      <c r="A1" s="288" t="s">
        <v>139</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90"/>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91"/>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3"/>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47" t="s">
        <v>43</v>
      </c>
      <c r="B4" s="248"/>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3">
      <c r="A5" s="247" t="s">
        <v>125</v>
      </c>
      <c r="B5" s="248"/>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3">
      <c r="A6" s="247" t="s">
        <v>44</v>
      </c>
      <c r="B6" s="248"/>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94" t="s">
        <v>134</v>
      </c>
      <c r="B7" s="295"/>
      <c r="C7" s="296"/>
      <c r="D7" s="296"/>
      <c r="E7" s="296"/>
      <c r="F7" s="296"/>
      <c r="G7" s="296"/>
      <c r="H7" s="296"/>
      <c r="I7" s="297"/>
      <c r="J7" s="239" t="s">
        <v>135</v>
      </c>
      <c r="K7" s="296"/>
      <c r="L7" s="296"/>
      <c r="M7" s="296"/>
      <c r="N7" s="296"/>
      <c r="O7" s="296"/>
      <c r="P7" s="297"/>
      <c r="Q7" s="239" t="s">
        <v>136</v>
      </c>
      <c r="R7" s="296"/>
      <c r="S7" s="296"/>
      <c r="T7" s="296"/>
      <c r="U7" s="296"/>
      <c r="V7" s="296"/>
      <c r="W7" s="296"/>
      <c r="X7" s="296"/>
      <c r="Y7" s="297"/>
      <c r="Z7" s="239" t="s">
        <v>137</v>
      </c>
      <c r="AA7" s="296"/>
      <c r="AB7" s="296"/>
      <c r="AC7" s="296"/>
      <c r="AD7" s="296"/>
      <c r="AE7" s="296"/>
      <c r="AF7" s="297"/>
      <c r="AG7" s="239" t="s">
        <v>34</v>
      </c>
      <c r="AH7" s="296"/>
      <c r="AI7" s="296"/>
      <c r="AJ7" s="296"/>
      <c r="AK7" s="296"/>
      <c r="AL7" s="297"/>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49" t="s">
        <v>0</v>
      </c>
      <c r="B8" s="241" t="s">
        <v>2</v>
      </c>
      <c r="C8" s="235" t="s">
        <v>3</v>
      </c>
      <c r="D8" s="235" t="s">
        <v>42</v>
      </c>
      <c r="E8" s="242" t="s">
        <v>203</v>
      </c>
      <c r="F8" s="251" t="s">
        <v>1</v>
      </c>
      <c r="G8" s="149"/>
      <c r="H8" s="242" t="s">
        <v>50</v>
      </c>
      <c r="I8" s="235" t="s">
        <v>130</v>
      </c>
      <c r="J8" s="237" t="s">
        <v>33</v>
      </c>
      <c r="K8" s="238" t="s">
        <v>5</v>
      </c>
      <c r="L8" s="242" t="s">
        <v>86</v>
      </c>
      <c r="M8" s="242" t="s">
        <v>91</v>
      </c>
      <c r="N8" s="240" t="s">
        <v>45</v>
      </c>
      <c r="O8" s="238" t="s">
        <v>5</v>
      </c>
      <c r="P8" s="235" t="s">
        <v>48</v>
      </c>
      <c r="Q8" s="253" t="s">
        <v>11</v>
      </c>
      <c r="R8" s="236" t="s">
        <v>152</v>
      </c>
      <c r="S8" s="242" t="s">
        <v>12</v>
      </c>
      <c r="T8" s="236" t="s">
        <v>8</v>
      </c>
      <c r="U8" s="236"/>
      <c r="V8" s="236"/>
      <c r="W8" s="236"/>
      <c r="X8" s="236"/>
      <c r="Y8" s="236"/>
      <c r="Z8" s="234" t="s">
        <v>133</v>
      </c>
      <c r="AA8" s="234" t="s">
        <v>46</v>
      </c>
      <c r="AB8" s="234" t="s">
        <v>5</v>
      </c>
      <c r="AC8" s="234" t="s">
        <v>47</v>
      </c>
      <c r="AD8" s="234" t="s">
        <v>5</v>
      </c>
      <c r="AE8" s="234" t="s">
        <v>49</v>
      </c>
      <c r="AF8" s="253" t="s">
        <v>29</v>
      </c>
      <c r="AG8" s="236" t="s">
        <v>34</v>
      </c>
      <c r="AH8" s="236" t="s">
        <v>35</v>
      </c>
      <c r="AI8" s="236" t="s">
        <v>36</v>
      </c>
      <c r="AJ8" s="236" t="s">
        <v>38</v>
      </c>
      <c r="AK8" s="236" t="s">
        <v>37</v>
      </c>
      <c r="AL8" s="236"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25">
      <c r="A9" s="250"/>
      <c r="B9" s="241"/>
      <c r="C9" s="236"/>
      <c r="D9" s="236"/>
      <c r="E9" s="237"/>
      <c r="F9" s="252"/>
      <c r="G9" s="149" t="s">
        <v>204</v>
      </c>
      <c r="H9" s="235"/>
      <c r="I9" s="236"/>
      <c r="J9" s="235"/>
      <c r="K9" s="239"/>
      <c r="L9" s="235"/>
      <c r="M9" s="235"/>
      <c r="N9" s="239"/>
      <c r="O9" s="239"/>
      <c r="P9" s="236"/>
      <c r="Q9" s="254"/>
      <c r="R9" s="236"/>
      <c r="S9" s="235"/>
      <c r="T9" s="7" t="s">
        <v>13</v>
      </c>
      <c r="U9" s="7" t="s">
        <v>17</v>
      </c>
      <c r="V9" s="7" t="s">
        <v>28</v>
      </c>
      <c r="W9" s="7" t="s">
        <v>18</v>
      </c>
      <c r="X9" s="7" t="s">
        <v>21</v>
      </c>
      <c r="Y9" s="7" t="s">
        <v>24</v>
      </c>
      <c r="Z9" s="234"/>
      <c r="AA9" s="234"/>
      <c r="AB9" s="234"/>
      <c r="AC9" s="234"/>
      <c r="AD9" s="234"/>
      <c r="AE9" s="234"/>
      <c r="AF9" s="254"/>
      <c r="AG9" s="236"/>
      <c r="AH9" s="236"/>
      <c r="AI9" s="236"/>
      <c r="AJ9" s="236"/>
      <c r="AK9" s="236"/>
      <c r="AL9" s="236"/>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43.25" customHeight="1" x14ac:dyDescent="0.25">
      <c r="A10" s="219">
        <v>1</v>
      </c>
      <c r="B10" s="221" t="s">
        <v>129</v>
      </c>
      <c r="C10" s="221" t="s">
        <v>219</v>
      </c>
      <c r="D10" s="221" t="s">
        <v>226</v>
      </c>
      <c r="E10" s="232" t="s">
        <v>216</v>
      </c>
      <c r="F10" s="203" t="s">
        <v>227</v>
      </c>
      <c r="G10" s="229" t="s">
        <v>217</v>
      </c>
      <c r="H10" s="213" t="s">
        <v>118</v>
      </c>
      <c r="I10" s="215">
        <v>300</v>
      </c>
      <c r="J10" s="217" t="str">
        <f>IF(I10&lt;=0,"",IF(I10&lt;=2,"Muy Baja",IF(I10&lt;=24,"Baja",IF(I10&lt;=500,"Media",IF(I10&lt;=5000,"Alta","Muy Alta")))))</f>
        <v>Media</v>
      </c>
      <c r="K10" s="225">
        <f>IF(J10="","",IF(J10="Muy Baja",0.2,IF(J10="Baja",0.4,IF(J10="Media",0.6,IF(J10="Alta",0.8,IF(J10="Muy Alta",1,))))))</f>
        <v>0.6</v>
      </c>
      <c r="L10" s="227" t="s">
        <v>146</v>
      </c>
      <c r="M10" s="225"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217" t="str">
        <f ca="1">IF(OR(M10='Tabla Impacto'!$C$11,M10='Tabla Impacto'!$D$11),"Leve",IF(OR(M10='Tabla Impacto'!$C$12,M10='Tabla Impacto'!$D$12),"Menor",IF(OR(M10='Tabla Impacto'!$C$13,M10='Tabla Impacto'!$D$13),"Moderado",IF(OR(M10='Tabla Impacto'!$C$14,M10='Tabla Impacto'!$D$14),"Mayor",IF(OR(M10='Tabla Impacto'!$C$15,M10='Tabla Impacto'!$D$15),"Catastrófico","")))))</f>
        <v>Mayor</v>
      </c>
      <c r="O10" s="225">
        <f ca="1">IF(N10="","",IF(N10="Leve",0.2,IF(N10="Menor",0.4,IF(N10="Moderado",0.6,IF(N10="Mayor",0.8,IF(N10="Catastrófico",1,))))))</f>
        <v>0.8</v>
      </c>
      <c r="P10" s="223"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7">
        <v>1</v>
      </c>
      <c r="R10" s="163" t="s">
        <v>234</v>
      </c>
      <c r="S10" s="109" t="str">
        <f>IF(OR(T10="Preventivo",T10="Detectivo"),"Probabilidad",IF(T10="Correctivo","Impacto",""))</f>
        <v>Probabilidad</v>
      </c>
      <c r="T10" s="122" t="s">
        <v>14</v>
      </c>
      <c r="U10" s="122" t="s">
        <v>9</v>
      </c>
      <c r="V10" s="123" t="str">
        <f>IF(AND(T10="Preventivo",U10="Automático"),"50%",IF(AND(T10="Preventivo",U10="Manual"),"40%",IF(AND(T10="Detectivo",U10="Automático"),"40%",IF(AND(T10="Detectivo",U10="Manual"),"30%",IF(AND(T10="Correctivo",U10="Automático"),"35%",IF(AND(T10="Correctivo",U10="Manual"),"25%",""))))))</f>
        <v>40%</v>
      </c>
      <c r="W10" s="122" t="s">
        <v>19</v>
      </c>
      <c r="X10" s="122" t="s">
        <v>23</v>
      </c>
      <c r="Y10" s="122" t="s">
        <v>114</v>
      </c>
      <c r="Z10" s="112">
        <f>IFERROR(IF(S10="Probabilidad",(K10-(+K10*V10)),IF(S10="Impacto",K10,"")),"")</f>
        <v>0.36</v>
      </c>
      <c r="AA10" s="127" t="str">
        <f>IFERROR(IF(Z10="","",IF(Z10&lt;=0.2,"Muy Baja",IF(Z10&lt;=0.4,"Baja",IF(Z10&lt;=0.6,"Media",IF(Z10&lt;=0.8,"Alta","Muy Alta"))))),"")</f>
        <v>Baja</v>
      </c>
      <c r="AB10" s="128">
        <f>+Z10</f>
        <v>0.36</v>
      </c>
      <c r="AC10" s="127" t="str">
        <f ca="1">IFERROR(IF(AD10="","",IF(AD10&lt;=0.2,"Leve",IF(AD10&lt;=0.4,"Menor",IF(AD10&lt;=0.6,"Moderado",IF(AD10&lt;=0.8,"Mayor","Catastrófico"))))),"")</f>
        <v>Mayor</v>
      </c>
      <c r="AD10" s="128">
        <f ca="1">IFERROR(IF(S10="Impacto",(O10-(+O10*V10)),IF(S10="Probabilidad",O10,"")),"")</f>
        <v>0.8</v>
      </c>
      <c r="AE10" s="129"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130"/>
      <c r="AG10" s="124"/>
      <c r="AH10" s="125"/>
      <c r="AI10" s="126"/>
      <c r="AJ10" s="126"/>
      <c r="AK10" s="124"/>
      <c r="AL10" s="125"/>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32.25" customHeight="1" x14ac:dyDescent="0.3">
      <c r="A11" s="220"/>
      <c r="B11" s="222"/>
      <c r="C11" s="222"/>
      <c r="D11" s="222"/>
      <c r="E11" s="233"/>
      <c r="F11" s="204"/>
      <c r="G11" s="230"/>
      <c r="H11" s="214"/>
      <c r="I11" s="216"/>
      <c r="J11" s="218"/>
      <c r="K11" s="226"/>
      <c r="L11" s="228"/>
      <c r="M11" s="226">
        <f ca="1">IF(NOT(ISERROR(MATCH(L11,_xlfn.ANCHORARRAY(F18),0))),K20&amp;"Por favor no seleccionar los criterios de impacto",L11)</f>
        <v>0</v>
      </c>
      <c r="N11" s="218"/>
      <c r="O11" s="226"/>
      <c r="P11" s="224"/>
      <c r="Q11" s="107">
        <v>2</v>
      </c>
      <c r="R11" s="108"/>
      <c r="S11" s="109" t="str">
        <f>IF(OR(T11="Preventivo",T11="Detectivo"),"Probabilidad",IF(T11="Correctivo","Impacto",""))</f>
        <v/>
      </c>
      <c r="T11" s="122"/>
      <c r="U11" s="122"/>
      <c r="V11" s="123" t="str">
        <f t="shared" ref="V11" si="0">IF(AND(T11="Preventivo",U11="Automático"),"50%",IF(AND(T11="Preventivo",U11="Manual"),"40%",IF(AND(T11="Detectivo",U11="Automático"),"40%",IF(AND(T11="Detectivo",U11="Manual"),"30%",IF(AND(T11="Correctivo",U11="Automático"),"35%",IF(AND(T11="Correctivo",U11="Manual"),"25%",""))))))</f>
        <v/>
      </c>
      <c r="W11" s="122"/>
      <c r="X11" s="122"/>
      <c r="Y11" s="122"/>
      <c r="Z11" s="112" t="str">
        <f>IFERROR(IF(AND(S10="Probabilidad",S11="Probabilidad"),(AB10-(+AB10*V11)),IF(AND(S10="Impacto",S11="Probabilidad"),(AB9-(+AB9*V11)),IF(S11="Impacto",AB10,""))),"")</f>
        <v/>
      </c>
      <c r="AA11" s="127" t="str">
        <f t="shared" ref="AA11" si="1">IFERROR(IF(Z11="","",IF(Z11&lt;=0.2,"Muy Baja",IF(Z11&lt;=0.4,"Baja",IF(Z11&lt;=0.6,"Media",IF(Z11&lt;=0.8,"Alta","Muy Alta"))))),"")</f>
        <v/>
      </c>
      <c r="AB11" s="128" t="str">
        <f t="shared" ref="AB11" si="2">+Z11</f>
        <v/>
      </c>
      <c r="AC11" s="127" t="str">
        <f t="shared" ref="AC11" si="3">IFERROR(IF(AD11="","",IF(AD11&lt;=0.2,"Leve",IF(AD11&lt;=0.4,"Menor",IF(AD11&lt;=0.6,"Moderado",IF(AD11&lt;=0.8,"Mayor","Catastrófico"))))),"")</f>
        <v/>
      </c>
      <c r="AD11" s="131" t="str">
        <f>IFERROR(IF(AND(S10="Impacto",S11="Impacto"),(AD10-(+AD10*V11)),IF(AND(S10="Probabilidad",S11="Impacto"),(AD9-(+AD9*V11)),IF(S11="Probabilidad",AD10,""))),"")</f>
        <v/>
      </c>
      <c r="AE11" s="129" t="str">
        <f t="shared" ref="AE1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
      </c>
      <c r="AF11" s="130"/>
      <c r="AG11" s="117"/>
      <c r="AH11" s="118"/>
      <c r="AI11" s="119"/>
      <c r="AJ11" s="119"/>
      <c r="AK11" s="117"/>
      <c r="AL11" s="11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72.75" customHeight="1" x14ac:dyDescent="0.3">
      <c r="A12" s="220"/>
      <c r="B12" s="222"/>
      <c r="C12" s="222"/>
      <c r="D12" s="222"/>
      <c r="E12" s="206" t="s">
        <v>218</v>
      </c>
      <c r="F12" s="204"/>
      <c r="G12" s="230"/>
      <c r="H12" s="214"/>
      <c r="I12" s="216"/>
      <c r="J12" s="218"/>
      <c r="K12" s="226"/>
      <c r="L12" s="228"/>
      <c r="M12" s="226">
        <f ca="1">IF(NOT(ISERROR(MATCH(L12,_xlfn.ANCHORARRAY(F19),0))),K21&amp;"Por favor no seleccionar los criterios de impacto",L12)</f>
        <v>0</v>
      </c>
      <c r="N12" s="218"/>
      <c r="O12" s="226"/>
      <c r="P12" s="224"/>
      <c r="Q12" s="107">
        <v>3</v>
      </c>
      <c r="R12" s="120"/>
      <c r="S12" s="109" t="str">
        <f t="shared" ref="S12:S13" si="5">IF(OR(T12="Preventivo",T12="Detectivo"),"Probabilidad",IF(T12="Correctivo","Impacto",""))</f>
        <v/>
      </c>
      <c r="T12" s="122"/>
      <c r="U12" s="122"/>
      <c r="V12" s="123" t="str">
        <f t="shared" ref="V12:V13" si="6">IF(AND(T12="Preventivo",U12="Automático"),"50%",IF(AND(T12="Preventivo",U12="Manual"),"40%",IF(AND(T12="Detectivo",U12="Automático"),"40%",IF(AND(T12="Detectivo",U12="Manual"),"30%",IF(AND(T12="Correctivo",U12="Automático"),"35%",IF(AND(T12="Correctivo",U12="Manual"),"25%",""))))))</f>
        <v/>
      </c>
      <c r="W12" s="122"/>
      <c r="X12" s="122"/>
      <c r="Y12" s="122"/>
      <c r="Z12" s="112" t="str">
        <f t="shared" ref="Z12:Z13" si="7">IFERROR(IF(AND(S11="Probabilidad",S12="Probabilidad"),(AB11-(+AB11*V12)),IF(AND(S11="Impacto",S12="Probabilidad"),(AB10-(+AB10*V12)),IF(S12="Impacto",AB11,""))),"")</f>
        <v/>
      </c>
      <c r="AA12" s="127" t="str">
        <f t="shared" ref="AA12:AA13" si="8">IFERROR(IF(Z12="","",IF(Z12&lt;=0.2,"Muy Baja",IF(Z12&lt;=0.4,"Baja",IF(Z12&lt;=0.6,"Media",IF(Z12&lt;=0.8,"Alta","Muy Alta"))))),"")</f>
        <v/>
      </c>
      <c r="AB12" s="128" t="str">
        <f t="shared" ref="AB12:AB13" si="9">+Z12</f>
        <v/>
      </c>
      <c r="AC12" s="127" t="str">
        <f t="shared" ref="AC12:AC13" si="10">IFERROR(IF(AD12="","",IF(AD12&lt;=0.2,"Leve",IF(AD12&lt;=0.4,"Menor",IF(AD12&lt;=0.6,"Moderado",IF(AD12&lt;=0.8,"Mayor","Catastrófico"))))),"")</f>
        <v/>
      </c>
      <c r="AD12" s="131" t="str">
        <f t="shared" ref="AD12:AD13" si="11">IFERROR(IF(AND(S11="Impacto",S12="Impacto"),(AD11-(+AD11*V12)),IF(AND(S11="Probabilidad",S12="Impacto"),(AD10-(+AD10*V12)),IF(S12="Probabilidad",AD11,""))),"")</f>
        <v/>
      </c>
      <c r="AE12" s="129" t="str">
        <f t="shared" ref="AE12:AE13" si="12">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
      </c>
      <c r="AF12" s="130"/>
      <c r="AG12" s="117"/>
      <c r="AH12" s="118"/>
      <c r="AI12" s="119"/>
      <c r="AJ12" s="119"/>
      <c r="AK12" s="117"/>
      <c r="AL12" s="11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46.5" customHeight="1" x14ac:dyDescent="0.3">
      <c r="A13" s="220"/>
      <c r="B13" s="222"/>
      <c r="C13" s="222"/>
      <c r="D13" s="222"/>
      <c r="E13" s="207"/>
      <c r="F13" s="205"/>
      <c r="G13" s="231"/>
      <c r="H13" s="214"/>
      <c r="I13" s="216"/>
      <c r="J13" s="218"/>
      <c r="K13" s="226"/>
      <c r="L13" s="228"/>
      <c r="M13" s="226">
        <f ca="1">IF(NOT(ISERROR(MATCH(L13,_xlfn.ANCHORARRAY(F20),0))),K22&amp;"Por favor no seleccionar los criterios de impacto",L13)</f>
        <v>0</v>
      </c>
      <c r="N13" s="218"/>
      <c r="O13" s="226"/>
      <c r="P13" s="224"/>
      <c r="Q13" s="107">
        <v>4</v>
      </c>
      <c r="R13" s="108"/>
      <c r="S13" s="109" t="str">
        <f t="shared" si="5"/>
        <v/>
      </c>
      <c r="T13" s="122"/>
      <c r="U13" s="122"/>
      <c r="V13" s="123" t="str">
        <f t="shared" si="6"/>
        <v/>
      </c>
      <c r="W13" s="122"/>
      <c r="X13" s="122"/>
      <c r="Y13" s="122"/>
      <c r="Z13" s="112" t="str">
        <f t="shared" si="7"/>
        <v/>
      </c>
      <c r="AA13" s="127" t="str">
        <f t="shared" si="8"/>
        <v/>
      </c>
      <c r="AB13" s="128" t="str">
        <f t="shared" si="9"/>
        <v/>
      </c>
      <c r="AC13" s="127" t="str">
        <f t="shared" si="10"/>
        <v/>
      </c>
      <c r="AD13" s="131" t="str">
        <f t="shared" si="11"/>
        <v/>
      </c>
      <c r="AE13" s="129" t="str">
        <f t="shared" si="12"/>
        <v/>
      </c>
      <c r="AF13" s="130"/>
      <c r="AG13" s="117"/>
      <c r="AH13" s="118"/>
      <c r="AI13" s="119"/>
      <c r="AJ13" s="119"/>
      <c r="AK13" s="117"/>
      <c r="AL13" s="11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71.25" customHeight="1" x14ac:dyDescent="0.3">
      <c r="A14" s="219">
        <v>2</v>
      </c>
      <c r="B14" s="265" t="s">
        <v>129</v>
      </c>
      <c r="C14" s="265" t="s">
        <v>222</v>
      </c>
      <c r="D14" s="243" t="s">
        <v>221</v>
      </c>
      <c r="E14" s="159" t="s">
        <v>230</v>
      </c>
      <c r="F14" s="246" t="s">
        <v>228</v>
      </c>
      <c r="G14" s="208" t="s">
        <v>223</v>
      </c>
      <c r="H14" s="271" t="s">
        <v>118</v>
      </c>
      <c r="I14" s="274">
        <v>1060</v>
      </c>
      <c r="J14" s="258" t="str">
        <f>IF(I14&lt;=0,"",IF(I14&lt;=2,"Muy Baja",IF(I14&lt;=24,"Baja",IF(I14&lt;=500,"Media",IF(I14&lt;=5000,"Alta","Muy Alta")))))</f>
        <v>Alta</v>
      </c>
      <c r="K14" s="255">
        <f>IF(J14="","",IF(J14="Muy Baja",0.2,IF(J14="Baja",0.4,IF(J14="Media",0.6,IF(J14="Alta",0.8,IF(J14="Muy Alta",1,))))))</f>
        <v>0.8</v>
      </c>
      <c r="L14" s="277" t="s">
        <v>146</v>
      </c>
      <c r="M14" s="255" t="str">
        <f ca="1">IF(NOT(ISERROR(MATCH(L14,'Tabla Impacto'!$B$221:$B$223,0))),'Tabla Impacto'!$F$223&amp;"Por favor no seleccionar los criterios de impacto(Afectación Económica o presupuestal y Pérdida Reputacional)",L14)</f>
        <v xml:space="preserve">     El riesgo afecta la imagen de de la entidad con efecto publicitario sostenido a nivel de sector administrativo, nivel departamental o municipal</v>
      </c>
      <c r="N14" s="258" t="str">
        <f ca="1">IF(OR(M14='Tabla Impacto'!$C$11,M14='Tabla Impacto'!$D$11),"Leve",IF(OR(M14='Tabla Impacto'!$C$12,M14='Tabla Impacto'!$D$12),"Menor",IF(OR(M14='Tabla Impacto'!$C$13,M14='Tabla Impacto'!$D$13),"Moderado",IF(OR(M14='Tabla Impacto'!$C$14,M14='Tabla Impacto'!$D$14),"Mayor",IF(OR(M14='Tabla Impacto'!$C$15,M14='Tabla Impacto'!$D$15),"Catastrófico","")))))</f>
        <v>Mayor</v>
      </c>
      <c r="O14" s="255">
        <f ca="1">IF(N14="","",IF(N14="Leve",0.2,IF(N14="Menor",0.4,IF(N14="Moderado",0.6,IF(N14="Mayor",0.8,IF(N14="Catastrófico",1,))))))</f>
        <v>0.8</v>
      </c>
      <c r="P14" s="261" t="str">
        <f ca="1">IF(OR(AND(J14="Muy Baja",N14="Leve"),AND(J14="Muy Baja",N14="Menor"),AND(J14="Baja",N14="Leve")),"Bajo",IF(OR(AND(J14="Muy baja",N14="Moderado"),AND(J14="Baja",N14="Menor"),AND(J14="Baja",N14="Moderado"),AND(J14="Media",N14="Leve"),AND(J14="Media",N14="Menor"),AND(J14="Media",N14="Moderado"),AND(J14="Alta",N14="Leve"),AND(J14="Alta",N14="Menor")),"Moderado",IF(OR(AND(J14="Muy Baja",N14="Mayor"),AND(J14="Baja",N14="Mayor"),AND(J14="Media",N14="Mayor"),AND(J14="Alta",N14="Moderado"),AND(J14="Alta",N14="Mayor"),AND(J14="Muy Alta",N14="Leve"),AND(J14="Muy Alta",N14="Menor"),AND(J14="Muy Alta",N14="Moderado"),AND(J14="Muy Alta",N14="Mayor")),"Alto",IF(OR(AND(J14="Muy Baja",N14="Catastrófico"),AND(J14="Baja",N14="Catastrófico"),AND(J14="Media",N14="Catastrófico"),AND(J14="Alta",N14="Catastrófico"),AND(J14="Muy Alta",N14="Catastrófico")),"Extremo",""))))</f>
        <v>Alto</v>
      </c>
      <c r="Q14" s="107">
        <v>1</v>
      </c>
      <c r="R14" s="162" t="s">
        <v>224</v>
      </c>
      <c r="S14" s="109" t="s">
        <v>225</v>
      </c>
      <c r="T14" s="122" t="s">
        <v>14</v>
      </c>
      <c r="U14" s="122" t="s">
        <v>9</v>
      </c>
      <c r="V14" s="123" t="str">
        <f>IF(AND(T14="Preventivo",U14="Automático"),"50%",IF(AND(T14="Preventivo",U14="Manual"),"40%",IF(AND(T14="Detectivo",U14="Automático"),"40%",IF(AND(T14="Detectivo",U14="Manual"),"30%",IF(AND(T14="Correctivo",U14="Automático"),"35%",IF(AND(T14="Correctivo",U14="Manual"),"25%",""))))))</f>
        <v>40%</v>
      </c>
      <c r="W14" s="122" t="s">
        <v>19</v>
      </c>
      <c r="X14" s="122" t="s">
        <v>23</v>
      </c>
      <c r="Y14" s="122" t="s">
        <v>114</v>
      </c>
      <c r="Z14" s="112">
        <f>IFERROR(IF(S14="Probabilidad",(K14-(+K14*V14)),IF(S14="Impacto",K14,"")),"")</f>
        <v>0.48</v>
      </c>
      <c r="AA14" s="127" t="str">
        <f>IFERROR(IF(Z14="","",IF(Z14&lt;=0.2,"Muy Baja",IF(Z14&lt;=0.4,"Baja",IF(Z14&lt;=0.6,"Media",IF(Z14&lt;=0.8,"Alta","Muy Alta"))))),"")</f>
        <v>Media</v>
      </c>
      <c r="AB14" s="128">
        <f>+Z14</f>
        <v>0.48</v>
      </c>
      <c r="AC14" s="127" t="str">
        <f ca="1">IFERROR(IF(AD14="","",IF(AD14&lt;=0.2,"Leve",IF(AD14&lt;=0.4,"Menor",IF(AD14&lt;=0.6,"Moderado",IF(AD14&lt;=0.8,"Mayor","Catastrófico"))))),"")</f>
        <v>Mayor</v>
      </c>
      <c r="AD14" s="128">
        <f ca="1">IFERROR(IF(S14="Impacto",(O14-(+O14*V14)),IF(S14="Probabilidad",O14,"")),"")</f>
        <v>0.8</v>
      </c>
      <c r="AE14" s="129" t="str">
        <f ca="1">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Alto</v>
      </c>
      <c r="AF14" s="116"/>
      <c r="AG14" s="117"/>
      <c r="AH14" s="118"/>
      <c r="AI14" s="119"/>
      <c r="AJ14" s="119"/>
      <c r="AK14" s="117"/>
      <c r="AL14" s="11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66" customHeight="1" x14ac:dyDescent="0.3">
      <c r="A15" s="220"/>
      <c r="B15" s="266"/>
      <c r="C15" s="266"/>
      <c r="D15" s="244"/>
      <c r="E15" s="160" t="s">
        <v>232</v>
      </c>
      <c r="F15" s="246"/>
      <c r="G15" s="209"/>
      <c r="H15" s="272"/>
      <c r="I15" s="275"/>
      <c r="J15" s="259"/>
      <c r="K15" s="256"/>
      <c r="L15" s="278"/>
      <c r="M15" s="256">
        <f ca="1">IF(NOT(ISERROR(MATCH(L15,_xlfn.ANCHORARRAY(F24),0))),K26&amp;"Por favor no seleccionar los criterios de impacto",L15)</f>
        <v>0</v>
      </c>
      <c r="N15" s="259"/>
      <c r="O15" s="256"/>
      <c r="P15" s="262"/>
      <c r="Q15" s="107">
        <v>2</v>
      </c>
      <c r="R15" s="162" t="s">
        <v>231</v>
      </c>
      <c r="S15" s="109" t="s">
        <v>4</v>
      </c>
      <c r="T15" s="122" t="s">
        <v>14</v>
      </c>
      <c r="U15" s="122" t="s">
        <v>9</v>
      </c>
      <c r="V15" s="123" t="str">
        <f t="shared" ref="V15:V17" si="13">IF(AND(T15="Preventivo",U15="Automático"),"50%",IF(AND(T15="Preventivo",U15="Manual"),"40%",IF(AND(T15="Detectivo",U15="Automático"),"40%",IF(AND(T15="Detectivo",U15="Manual"),"30%",IF(AND(T15="Correctivo",U15="Automático"),"35%",IF(AND(T15="Correctivo",U15="Manual"),"25%",""))))))</f>
        <v>40%</v>
      </c>
      <c r="W15" s="122" t="s">
        <v>19</v>
      </c>
      <c r="X15" s="122" t="s">
        <v>23</v>
      </c>
      <c r="Y15" s="122" t="s">
        <v>114</v>
      </c>
      <c r="Z15" s="112">
        <f>IFERROR(IF(AND(S14="Probabilidad",S15="Probabilidad"),(AB14-(+AB14*V15)),IF(AND(S14="Impacto",S15="Probabilidad"),(#REF!-(+#REF!*V15)),IF(S15="Impacto",AB14,""))),"")</f>
        <v>0.28799999999999998</v>
      </c>
      <c r="AA15" s="127" t="str">
        <f t="shared" ref="AA15:AA17" si="14">IFERROR(IF(Z15="","",IF(Z15&lt;=0.2,"Muy Baja",IF(Z15&lt;=0.4,"Baja",IF(Z15&lt;=0.6,"Media",IF(Z15&lt;=0.8,"Alta","Muy Alta"))))),"")</f>
        <v>Baja</v>
      </c>
      <c r="AB15" s="128">
        <f t="shared" ref="AB15:AB17" si="15">+Z15</f>
        <v>0.28799999999999998</v>
      </c>
      <c r="AC15" s="127" t="str">
        <f t="shared" ref="AC15:AC17" ca="1" si="16">IFERROR(IF(AD15="","",IF(AD15&lt;=0.2,"Leve",IF(AD15&lt;=0.4,"Menor",IF(AD15&lt;=0.6,"Moderado",IF(AD15&lt;=0.8,"Mayor","Catastrófico"))))),"")</f>
        <v>Mayor</v>
      </c>
      <c r="AD15" s="131">
        <f ca="1">IFERROR(IF(AND(S14="Impacto",S15="Impacto"),(AD14-(+AD14*V15)),IF(AND(S14="Probabilidad",S15="Impacto"),(#REF!-(+#REF!*V15)),IF(S15="Probabilidad",AD14,""))),"")</f>
        <v>0.8</v>
      </c>
      <c r="AE15" s="129" t="str">
        <f t="shared" ref="AE15:AE17" ca="1" si="17">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Alto</v>
      </c>
      <c r="AF15" s="116"/>
      <c r="AG15" s="117"/>
      <c r="AH15" s="118"/>
      <c r="AI15" s="119"/>
      <c r="AJ15" s="119"/>
      <c r="AK15" s="117"/>
      <c r="AL15" s="11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112.5" customHeight="1" x14ac:dyDescent="0.3">
      <c r="A16" s="220"/>
      <c r="B16" s="266"/>
      <c r="C16" s="266"/>
      <c r="D16" s="244"/>
      <c r="E16" s="211" t="s">
        <v>229</v>
      </c>
      <c r="F16" s="246"/>
      <c r="G16" s="209"/>
      <c r="H16" s="272"/>
      <c r="I16" s="275"/>
      <c r="J16" s="259"/>
      <c r="K16" s="256"/>
      <c r="L16" s="278"/>
      <c r="M16" s="256">
        <f ca="1">IF(NOT(ISERROR(MATCH(L16,_xlfn.ANCHORARRAY(F25),0))),K27&amp;"Por favor no seleccionar los criterios de impacto",L16)</f>
        <v>0</v>
      </c>
      <c r="N16" s="259"/>
      <c r="O16" s="256"/>
      <c r="P16" s="262"/>
      <c r="Q16" s="107">
        <v>3</v>
      </c>
      <c r="R16" s="161" t="s">
        <v>233</v>
      </c>
      <c r="S16" s="109" t="str">
        <f>IF(OR(T16="Preventivo",T16="Detectivo"),"Probabilidad",IF(T16="Correctivo","Impacto",""))</f>
        <v>Probabilidad</v>
      </c>
      <c r="T16" s="122" t="s">
        <v>14</v>
      </c>
      <c r="U16" s="122" t="s">
        <v>9</v>
      </c>
      <c r="V16" s="123" t="str">
        <f t="shared" si="13"/>
        <v>40%</v>
      </c>
      <c r="W16" s="122" t="s">
        <v>19</v>
      </c>
      <c r="X16" s="122" t="s">
        <v>23</v>
      </c>
      <c r="Y16" s="122" t="s">
        <v>114</v>
      </c>
      <c r="Z16" s="112">
        <f t="shared" ref="Z16" si="18">IFERROR(IF(AND(S15="Probabilidad",S16="Probabilidad"),(AB15-(+AB15*V16)),IF(AND(S15="Impacto",S16="Probabilidad"),(AB14-(+AB14*V16)),IF(S16="Impacto",AB15,""))),"")</f>
        <v>0.17279999999999998</v>
      </c>
      <c r="AA16" s="127" t="str">
        <f t="shared" si="14"/>
        <v>Muy Baja</v>
      </c>
      <c r="AB16" s="128">
        <f t="shared" si="15"/>
        <v>0.17279999999999998</v>
      </c>
      <c r="AC16" s="127" t="str">
        <f t="shared" ca="1" si="16"/>
        <v>Mayor</v>
      </c>
      <c r="AD16" s="131">
        <f t="shared" ref="AD16" ca="1" si="19">IFERROR(IF(AND(S15="Impacto",S16="Impacto"),(AD15-(+AD15*V16)),IF(AND(S15="Probabilidad",S16="Impacto"),(AD14-(+AD14*V16)),IF(S16="Probabilidad",AD15,""))),"")</f>
        <v>0.8</v>
      </c>
      <c r="AE16" s="129" t="str">
        <f t="shared" ca="1" si="17"/>
        <v>Alto</v>
      </c>
      <c r="AF16" s="116"/>
      <c r="AG16" s="117"/>
      <c r="AH16" s="118"/>
      <c r="AI16" s="119"/>
      <c r="AJ16" s="119"/>
      <c r="AK16" s="117"/>
      <c r="AL16" s="11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25.5" customHeight="1" x14ac:dyDescent="0.3">
      <c r="A17" s="264"/>
      <c r="B17" s="267"/>
      <c r="C17" s="267"/>
      <c r="D17" s="245"/>
      <c r="E17" s="212"/>
      <c r="F17" s="246"/>
      <c r="G17" s="210"/>
      <c r="H17" s="273"/>
      <c r="I17" s="276"/>
      <c r="J17" s="260"/>
      <c r="K17" s="257"/>
      <c r="L17" s="279"/>
      <c r="M17" s="257">
        <f ca="1">IF(NOT(ISERROR(MATCH(L17,_xlfn.ANCHORARRAY(F28),0))),K30&amp;"Por favor no seleccionar los criterios de impacto",L17)</f>
        <v>0</v>
      </c>
      <c r="N17" s="260"/>
      <c r="O17" s="257"/>
      <c r="P17" s="263"/>
      <c r="Q17" s="107">
        <v>4</v>
      </c>
      <c r="R17" s="108"/>
      <c r="S17" s="109" t="str">
        <f t="shared" ref="S17" si="20">IF(OR(T17="Preventivo",T17="Detectivo"),"Probabilidad",IF(T17="Correctivo","Impacto",""))</f>
        <v/>
      </c>
      <c r="T17" s="122"/>
      <c r="U17" s="122"/>
      <c r="V17" s="123" t="str">
        <f t="shared" si="13"/>
        <v/>
      </c>
      <c r="W17" s="122"/>
      <c r="X17" s="122"/>
      <c r="Y17" s="122"/>
      <c r="Z17" s="112" t="str">
        <f>IFERROR(IF(AND(#REF!="Probabilidad",S17="Probabilidad"),(#REF!-(+#REF!*V17)),IF(AND(#REF!="Impacto",S17="Probabilidad"),(#REF!-(+#REF!*V17)),IF(S17="Impacto",#REF!,""))),"")</f>
        <v/>
      </c>
      <c r="AA17" s="127" t="str">
        <f t="shared" si="14"/>
        <v/>
      </c>
      <c r="AB17" s="128" t="str">
        <f t="shared" si="15"/>
        <v/>
      </c>
      <c r="AC17" s="127" t="str">
        <f t="shared" si="16"/>
        <v/>
      </c>
      <c r="AD17" s="131" t="str">
        <f>IFERROR(IF(AND(#REF!="Impacto",S17="Impacto"),(#REF!-(+#REF!*V17)),IF(AND(#REF!="Probabilidad",S17="Impacto"),(#REF!-(+#REF!*V17)),IF(S17="Probabilidad",#REF!,""))),"")</f>
        <v/>
      </c>
      <c r="AE17" s="129" t="str">
        <f t="shared" si="17"/>
        <v/>
      </c>
      <c r="AF17" s="116"/>
      <c r="AG17" s="117"/>
      <c r="AH17" s="118"/>
      <c r="AI17" s="119"/>
      <c r="AJ17" s="119"/>
      <c r="AK17" s="117"/>
      <c r="AL17" s="11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30.75" customHeight="1" x14ac:dyDescent="0.3">
      <c r="A18" s="219">
        <v>3</v>
      </c>
      <c r="B18" s="265"/>
      <c r="C18" s="265" t="s">
        <v>220</v>
      </c>
      <c r="D18" s="243"/>
      <c r="E18" s="150"/>
      <c r="F18" s="268"/>
      <c r="G18" s="151"/>
      <c r="H18" s="271"/>
      <c r="I18" s="274"/>
      <c r="J18" s="258" t="str">
        <f t="shared" ref="J18" si="21">IF(I18&lt;=0,"",IF(I18&lt;=2,"Muy Baja",IF(I18&lt;=24,"Baja",IF(I18&lt;=500,"Media",IF(I18&lt;=5000,"Alta","Muy Alta")))))</f>
        <v/>
      </c>
      <c r="K18" s="255" t="str">
        <f t="shared" ref="K18" si="22">IF(J18="","",IF(J18="Muy Baja",0.2,IF(J18="Baja",0.4,IF(J18="Media",0.6,IF(J18="Alta",0.8,IF(J18="Muy Alta",1,))))))</f>
        <v/>
      </c>
      <c r="L18" s="277"/>
      <c r="M18" s="255">
        <f ca="1">IF(NOT(ISERROR(MATCH(L18,'Tabla Impacto'!$B$221:$B$223,0))),'Tabla Impacto'!$F$223&amp;"Por favor no seleccionar los criterios de impacto(Afectación Económica o presupuestal y Pérdida Reputacional)",L18)</f>
        <v>0</v>
      </c>
      <c r="N18" s="258" t="str">
        <f ca="1">IF(OR(M18='Tabla Impacto'!$C$11,M18='Tabla Impacto'!$D$11),"Leve",IF(OR(M18='Tabla Impacto'!$C$12,M18='Tabla Impacto'!$D$12),"Menor",IF(OR(M18='Tabla Impacto'!$C$13,M18='Tabla Impacto'!$D$13),"Moderado",IF(OR(M18='Tabla Impacto'!$C$14,M18='Tabla Impacto'!$D$14),"Mayor",IF(OR(M18='Tabla Impacto'!$C$15,M18='Tabla Impacto'!$D$15),"Catastrófico","")))))</f>
        <v/>
      </c>
      <c r="O18" s="255" t="str">
        <f t="shared" ref="O18" ca="1" si="23">IF(N18="","",IF(N18="Leve",0.2,IF(N18="Menor",0.4,IF(N18="Moderado",0.6,IF(N18="Mayor",0.8,IF(N18="Catastrófico",1,))))))</f>
        <v/>
      </c>
      <c r="P18" s="261" t="str">
        <f t="shared" ref="P18" ca="1" si="24">IF(OR(AND(J18="Muy Baja",N18="Leve"),AND(J18="Muy Baja",N18="Menor"),AND(J18="Baja",N18="Leve")),"Bajo",IF(OR(AND(J18="Muy baja",N18="Moderado"),AND(J18="Baja",N18="Menor"),AND(J18="Baja",N18="Moderado"),AND(J18="Media",N18="Leve"),AND(J18="Media",N18="Menor"),AND(J18="Media",N18="Moderado"),AND(J18="Alta",N18="Leve"),AND(J18="Alta",N18="Menor")),"Moderado",IF(OR(AND(J18="Muy Baja",N18="Mayor"),AND(J18="Baja",N18="Mayor"),AND(J18="Media",N18="Mayor"),AND(J18="Alta",N18="Moderado"),AND(J18="Alta",N18="Mayor"),AND(J18="Muy Alta",N18="Leve"),AND(J18="Muy Alta",N18="Menor"),AND(J18="Muy Alta",N18="Moderado"),AND(J18="Muy Alta",N18="Mayor")),"Alto",IF(OR(AND(J18="Muy Baja",N18="Catastrófico"),AND(J18="Baja",N18="Catastrófico"),AND(J18="Media",N18="Catastrófico"),AND(J18="Alta",N18="Catastrófico"),AND(J18="Muy Alta",N18="Catastrófico")),"Extremo",""))))</f>
        <v/>
      </c>
      <c r="Q18" s="107">
        <v>1</v>
      </c>
      <c r="R18" s="108"/>
      <c r="S18" s="109" t="str">
        <f>IF(OR(T18="Preventivo",T18="Detectivo"),"Probabilidad",IF(T18="Correctivo","Impacto",""))</f>
        <v/>
      </c>
      <c r="T18" s="110"/>
      <c r="U18" s="110"/>
      <c r="V18" s="111" t="str">
        <f>IF(AND(T18="Preventivo",U18="Automático"),"50%",IF(AND(T18="Preventivo",U18="Manual"),"40%",IF(AND(T18="Detectivo",U18="Automático"),"40%",IF(AND(T18="Detectivo",U18="Manual"),"30%",IF(AND(T18="Correctivo",U18="Automático"),"35%",IF(AND(T18="Correctivo",U18="Manual"),"25%",""))))))</f>
        <v/>
      </c>
      <c r="W18" s="110"/>
      <c r="X18" s="110"/>
      <c r="Y18" s="110"/>
      <c r="Z18" s="112" t="str">
        <f>IFERROR(IF(S18="Probabilidad",(K18-(+K18*V18)),IF(S18="Impacto",K18,"")),"")</f>
        <v/>
      </c>
      <c r="AA18" s="113" t="str">
        <f>IFERROR(IF(Z18="","",IF(Z18&lt;=0.2,"Muy Baja",IF(Z18&lt;=0.4,"Baja",IF(Z18&lt;=0.6,"Media",IF(Z18&lt;=0.8,"Alta","Muy Alta"))))),"")</f>
        <v/>
      </c>
      <c r="AB18" s="114" t="str">
        <f>+Z18</f>
        <v/>
      </c>
      <c r="AC18" s="113" t="str">
        <f>IFERROR(IF(AD18="","",IF(AD18&lt;=0.2,"Leve",IF(AD18&lt;=0.4,"Menor",IF(AD18&lt;=0.6,"Moderado",IF(AD18&lt;=0.8,"Mayor","Catastrófico"))))),"")</f>
        <v/>
      </c>
      <c r="AD18" s="121" t="str">
        <f>IFERROR(IF(S18="Impacto",(O18-(+O18*V18)),IF(S18="Probabilidad",O18,"")),"")</f>
        <v/>
      </c>
      <c r="AE18" s="115" t="str">
        <f>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
      </c>
      <c r="AF18" s="116"/>
      <c r="AG18" s="117"/>
      <c r="AH18" s="118"/>
      <c r="AI18" s="119"/>
      <c r="AJ18" s="119"/>
      <c r="AK18" s="117"/>
      <c r="AL18" s="11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6.25" customHeight="1" x14ac:dyDescent="0.3">
      <c r="A19" s="220"/>
      <c r="B19" s="266"/>
      <c r="C19" s="266"/>
      <c r="D19" s="244"/>
      <c r="E19" s="150"/>
      <c r="F19" s="269"/>
      <c r="G19" s="151"/>
      <c r="H19" s="272"/>
      <c r="I19" s="275"/>
      <c r="J19" s="259"/>
      <c r="K19" s="256"/>
      <c r="L19" s="278"/>
      <c r="M19" s="256">
        <f ca="1">IF(NOT(ISERROR(MATCH(L19,_xlfn.ANCHORARRAY(F30),0))),K32&amp;"Por favor no seleccionar los criterios de impacto",L19)</f>
        <v>0</v>
      </c>
      <c r="N19" s="259"/>
      <c r="O19" s="256"/>
      <c r="P19" s="262"/>
      <c r="Q19" s="107">
        <v>2</v>
      </c>
      <c r="R19" s="108"/>
      <c r="S19" s="109" t="str">
        <f>IF(OR(T19="Preventivo",T19="Detectivo"),"Probabilidad",IF(T19="Correctivo","Impacto",""))</f>
        <v/>
      </c>
      <c r="T19" s="110"/>
      <c r="U19" s="110"/>
      <c r="V19" s="111" t="str">
        <f t="shared" ref="V19:V23" si="25">IF(AND(T19="Preventivo",U19="Automático"),"50%",IF(AND(T19="Preventivo",U19="Manual"),"40%",IF(AND(T19="Detectivo",U19="Automático"),"40%",IF(AND(T19="Detectivo",U19="Manual"),"30%",IF(AND(T19="Correctivo",U19="Automático"),"35%",IF(AND(T19="Correctivo",U19="Manual"),"25%",""))))))</f>
        <v/>
      </c>
      <c r="W19" s="110"/>
      <c r="X19" s="110"/>
      <c r="Y19" s="110"/>
      <c r="Z19" s="112" t="str">
        <f>IFERROR(IF(AND(S18="Probabilidad",S19="Probabilidad"),(AB18-(+AB18*V19)),IF(AND(S18="Impacto",S19="Probabilidad"),(AB17-(+AB17*V19)),IF(S19="Impacto",AB18,""))),"")</f>
        <v/>
      </c>
      <c r="AA19" s="113" t="str">
        <f t="shared" ref="AA19:AA23" si="26">IFERROR(IF(Z19="","",IF(Z19&lt;=0.2,"Muy Baja",IF(Z19&lt;=0.4,"Baja",IF(Z19&lt;=0.6,"Media",IF(Z19&lt;=0.8,"Alta","Muy Alta"))))),"")</f>
        <v/>
      </c>
      <c r="AB19" s="114" t="str">
        <f t="shared" ref="AB19:AB23" si="27">+Z19</f>
        <v/>
      </c>
      <c r="AC19" s="113" t="str">
        <f t="shared" ref="AC19:AC23" si="28">IFERROR(IF(AD19="","",IF(AD19&lt;=0.2,"Leve",IF(AD19&lt;=0.4,"Menor",IF(AD19&lt;=0.6,"Moderado",IF(AD19&lt;=0.8,"Mayor","Catastrófico"))))),"")</f>
        <v/>
      </c>
      <c r="AD19" s="121" t="str">
        <f>IFERROR(IF(AND(S18="Impacto",S19="Impacto"),(AD18-(+AD18*V19)),IF(AND(S18="Probabilidad",S19="Impacto"),(AD17-(+AD17*V19)),IF(S19="Probabilidad",AD18,""))),"")</f>
        <v/>
      </c>
      <c r="AE19" s="115" t="str">
        <f t="shared" ref="AE19:AE23" si="29">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16"/>
      <c r="AG19" s="117"/>
      <c r="AH19" s="118"/>
      <c r="AI19" s="119"/>
      <c r="AJ19" s="119"/>
      <c r="AK19" s="117"/>
      <c r="AL19" s="11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6.25" customHeight="1" x14ac:dyDescent="0.3">
      <c r="A20" s="220"/>
      <c r="B20" s="266"/>
      <c r="C20" s="266"/>
      <c r="D20" s="244"/>
      <c r="E20" s="150"/>
      <c r="F20" s="269"/>
      <c r="G20" s="151"/>
      <c r="H20" s="272"/>
      <c r="I20" s="275"/>
      <c r="J20" s="259"/>
      <c r="K20" s="256"/>
      <c r="L20" s="278"/>
      <c r="M20" s="256">
        <f ca="1">IF(NOT(ISERROR(MATCH(L20,_xlfn.ANCHORARRAY(F31),0))),K33&amp;"Por favor no seleccionar los criterios de impacto",L20)</f>
        <v>0</v>
      </c>
      <c r="N20" s="259"/>
      <c r="O20" s="256"/>
      <c r="P20" s="262"/>
      <c r="Q20" s="107">
        <v>3</v>
      </c>
      <c r="R20" s="120"/>
      <c r="S20" s="109" t="str">
        <f>IF(OR(T20="Preventivo",T20="Detectivo"),"Probabilidad",IF(T20="Correctivo","Impacto",""))</f>
        <v/>
      </c>
      <c r="T20" s="110"/>
      <c r="U20" s="110"/>
      <c r="V20" s="111" t="str">
        <f t="shared" si="25"/>
        <v/>
      </c>
      <c r="W20" s="110"/>
      <c r="X20" s="110"/>
      <c r="Y20" s="110"/>
      <c r="Z20" s="112" t="str">
        <f t="shared" ref="Z20:Z23" si="30">IFERROR(IF(AND(S19="Probabilidad",S20="Probabilidad"),(AB19-(+AB19*V20)),IF(AND(S19="Impacto",S20="Probabilidad"),(AB18-(+AB18*V20)),IF(S20="Impacto",AB19,""))),"")</f>
        <v/>
      </c>
      <c r="AA20" s="113" t="str">
        <f t="shared" si="26"/>
        <v/>
      </c>
      <c r="AB20" s="114" t="str">
        <f t="shared" si="27"/>
        <v/>
      </c>
      <c r="AC20" s="113" t="str">
        <f t="shared" si="28"/>
        <v/>
      </c>
      <c r="AD20" s="121" t="str">
        <f t="shared" ref="AD20:AD23" si="31">IFERROR(IF(AND(S19="Impacto",S20="Impacto"),(AD19-(+AD19*V20)),IF(AND(S19="Probabilidad",S20="Impacto"),(AD18-(+AD18*V20)),IF(S20="Probabilidad",AD19,""))),"")</f>
        <v/>
      </c>
      <c r="AE20" s="115" t="str">
        <f t="shared" si="29"/>
        <v/>
      </c>
      <c r="AF20" s="116"/>
      <c r="AG20" s="117"/>
      <c r="AH20" s="118"/>
      <c r="AI20" s="119"/>
      <c r="AJ20" s="119"/>
      <c r="AK20" s="117"/>
      <c r="AL20" s="11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6.25" customHeight="1" x14ac:dyDescent="0.3">
      <c r="A21" s="220"/>
      <c r="B21" s="266"/>
      <c r="C21" s="266"/>
      <c r="D21" s="244"/>
      <c r="E21" s="150"/>
      <c r="F21" s="269"/>
      <c r="G21" s="151"/>
      <c r="H21" s="272"/>
      <c r="I21" s="275"/>
      <c r="J21" s="259"/>
      <c r="K21" s="256"/>
      <c r="L21" s="278"/>
      <c r="M21" s="256">
        <f ca="1">IF(NOT(ISERROR(MATCH(L21,_xlfn.ANCHORARRAY(F32),0))),K34&amp;"Por favor no seleccionar los criterios de impacto",L21)</f>
        <v>0</v>
      </c>
      <c r="N21" s="259"/>
      <c r="O21" s="256"/>
      <c r="P21" s="262"/>
      <c r="Q21" s="107">
        <v>4</v>
      </c>
      <c r="R21" s="108"/>
      <c r="S21" s="109" t="str">
        <f t="shared" ref="S21:S23" si="32">IF(OR(T21="Preventivo",T21="Detectivo"),"Probabilidad",IF(T21="Correctivo","Impacto",""))</f>
        <v/>
      </c>
      <c r="T21" s="110"/>
      <c r="U21" s="110"/>
      <c r="V21" s="111" t="str">
        <f t="shared" si="25"/>
        <v/>
      </c>
      <c r="W21" s="110"/>
      <c r="X21" s="110"/>
      <c r="Y21" s="110"/>
      <c r="Z21" s="112" t="str">
        <f t="shared" si="30"/>
        <v/>
      </c>
      <c r="AA21" s="113" t="str">
        <f t="shared" si="26"/>
        <v/>
      </c>
      <c r="AB21" s="114" t="str">
        <f t="shared" si="27"/>
        <v/>
      </c>
      <c r="AC21" s="113" t="str">
        <f t="shared" si="28"/>
        <v/>
      </c>
      <c r="AD21" s="121" t="str">
        <f t="shared" si="31"/>
        <v/>
      </c>
      <c r="AE21" s="115" t="str">
        <f t="shared" si="29"/>
        <v/>
      </c>
      <c r="AF21" s="116"/>
      <c r="AG21" s="117"/>
      <c r="AH21" s="118"/>
      <c r="AI21" s="119"/>
      <c r="AJ21" s="119"/>
      <c r="AK21" s="117"/>
      <c r="AL21" s="11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26.25" customHeight="1" x14ac:dyDescent="0.3">
      <c r="A22" s="220"/>
      <c r="B22" s="266"/>
      <c r="C22" s="266"/>
      <c r="D22" s="244"/>
      <c r="E22" s="150"/>
      <c r="F22" s="269"/>
      <c r="G22" s="151"/>
      <c r="H22" s="272"/>
      <c r="I22" s="275"/>
      <c r="J22" s="259"/>
      <c r="K22" s="256"/>
      <c r="L22" s="278"/>
      <c r="M22" s="256">
        <f ca="1">IF(NOT(ISERROR(MATCH(L22,_xlfn.ANCHORARRAY(F33),0))),K35&amp;"Por favor no seleccionar los criterios de impacto",L22)</f>
        <v>0</v>
      </c>
      <c r="N22" s="259"/>
      <c r="O22" s="256"/>
      <c r="P22" s="262"/>
      <c r="Q22" s="107">
        <v>5</v>
      </c>
      <c r="R22" s="108"/>
      <c r="S22" s="109" t="str">
        <f t="shared" si="32"/>
        <v/>
      </c>
      <c r="T22" s="110"/>
      <c r="U22" s="110"/>
      <c r="V22" s="111" t="str">
        <f t="shared" si="25"/>
        <v/>
      </c>
      <c r="W22" s="110"/>
      <c r="X22" s="110"/>
      <c r="Y22" s="110"/>
      <c r="Z22" s="112" t="str">
        <f t="shared" si="30"/>
        <v/>
      </c>
      <c r="AA22" s="113" t="str">
        <f t="shared" si="26"/>
        <v/>
      </c>
      <c r="AB22" s="114" t="str">
        <f t="shared" si="27"/>
        <v/>
      </c>
      <c r="AC22" s="113" t="str">
        <f t="shared" si="28"/>
        <v/>
      </c>
      <c r="AD22" s="121" t="str">
        <f t="shared" si="31"/>
        <v/>
      </c>
      <c r="AE22" s="115" t="str">
        <f t="shared" si="29"/>
        <v/>
      </c>
      <c r="AF22" s="116"/>
      <c r="AG22" s="117"/>
      <c r="AH22" s="118"/>
      <c r="AI22" s="119"/>
      <c r="AJ22" s="119"/>
      <c r="AK22" s="117"/>
      <c r="AL22" s="11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3">
      <c r="A23" s="264"/>
      <c r="B23" s="267"/>
      <c r="C23" s="267"/>
      <c r="D23" s="245"/>
      <c r="E23" s="150"/>
      <c r="F23" s="270"/>
      <c r="G23" s="151"/>
      <c r="H23" s="273"/>
      <c r="I23" s="276"/>
      <c r="J23" s="260"/>
      <c r="K23" s="257"/>
      <c r="L23" s="279"/>
      <c r="M23" s="257">
        <f ca="1">IF(NOT(ISERROR(MATCH(L23,_xlfn.ANCHORARRAY(F34),0))),K36&amp;"Por favor no seleccionar los criterios de impacto",L23)</f>
        <v>0</v>
      </c>
      <c r="N23" s="260"/>
      <c r="O23" s="257"/>
      <c r="P23" s="263"/>
      <c r="Q23" s="107">
        <v>6</v>
      </c>
      <c r="R23" s="108"/>
      <c r="S23" s="109" t="str">
        <f t="shared" si="32"/>
        <v/>
      </c>
      <c r="T23" s="110"/>
      <c r="U23" s="110"/>
      <c r="V23" s="111" t="str">
        <f t="shared" si="25"/>
        <v/>
      </c>
      <c r="W23" s="110"/>
      <c r="X23" s="110"/>
      <c r="Y23" s="110"/>
      <c r="Z23" s="112" t="str">
        <f t="shared" si="30"/>
        <v/>
      </c>
      <c r="AA23" s="113" t="str">
        <f t="shared" si="26"/>
        <v/>
      </c>
      <c r="AB23" s="114" t="str">
        <f t="shared" si="27"/>
        <v/>
      </c>
      <c r="AC23" s="113" t="str">
        <f t="shared" si="28"/>
        <v/>
      </c>
      <c r="AD23" s="121" t="str">
        <f t="shared" si="31"/>
        <v/>
      </c>
      <c r="AE23" s="115" t="str">
        <f t="shared" si="29"/>
        <v/>
      </c>
      <c r="AF23" s="116"/>
      <c r="AG23" s="117"/>
      <c r="AH23" s="118"/>
      <c r="AI23" s="119"/>
      <c r="AJ23" s="119"/>
      <c r="AK23" s="117"/>
      <c r="AL23" s="11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3">
      <c r="A24" s="219">
        <v>4</v>
      </c>
      <c r="B24" s="265"/>
      <c r="C24" s="265"/>
      <c r="D24" s="243"/>
      <c r="E24" s="150"/>
      <c r="F24" s="246"/>
      <c r="G24" s="151"/>
      <c r="H24" s="271"/>
      <c r="I24" s="274"/>
      <c r="J24" s="258" t="str">
        <f t="shared" ref="J24" si="33">IF(I24&lt;=0,"",IF(I24&lt;=2,"Muy Baja",IF(I24&lt;=24,"Baja",IF(I24&lt;=500,"Media",IF(I24&lt;=5000,"Alta","Muy Alta")))))</f>
        <v/>
      </c>
      <c r="K24" s="255" t="str">
        <f t="shared" ref="K24" si="34">IF(J24="","",IF(J24="Muy Baja",0.2,IF(J24="Baja",0.4,IF(J24="Media",0.6,IF(J24="Alta",0.8,IF(J24="Muy Alta",1,))))))</f>
        <v/>
      </c>
      <c r="L24" s="277"/>
      <c r="M24" s="255">
        <f ca="1">IF(NOT(ISERROR(MATCH(L24,'Tabla Impacto'!$B$221:$B$223,0))),'Tabla Impacto'!$F$223&amp;"Por favor no seleccionar los criterios de impacto(Afectación Económica o presupuestal y Pérdida Reputacional)",L24)</f>
        <v>0</v>
      </c>
      <c r="N24" s="258" t="str">
        <f ca="1">IF(OR(M24='Tabla Impacto'!$C$11,M24='Tabla Impacto'!$D$11),"Leve",IF(OR(M24='Tabla Impacto'!$C$12,M24='Tabla Impacto'!$D$12),"Menor",IF(OR(M24='Tabla Impacto'!$C$13,M24='Tabla Impacto'!$D$13),"Moderado",IF(OR(M24='Tabla Impacto'!$C$14,M24='Tabla Impacto'!$D$14),"Mayor",IF(OR(M24='Tabla Impacto'!$C$15,M24='Tabla Impacto'!$D$15),"Catastrófico","")))))</f>
        <v/>
      </c>
      <c r="O24" s="255" t="str">
        <f t="shared" ref="O24" ca="1" si="35">IF(N24="","",IF(N24="Leve",0.2,IF(N24="Menor",0.4,IF(N24="Moderado",0.6,IF(N24="Mayor",0.8,IF(N24="Catastrófico",1,))))))</f>
        <v/>
      </c>
      <c r="P24" s="261" t="str">
        <f t="shared" ref="P24" ca="1" si="36">IF(OR(AND(J24="Muy Baja",N24="Leve"),AND(J24="Muy Baja",N24="Menor"),AND(J24="Baja",N24="Leve")),"Bajo",IF(OR(AND(J24="Muy baja",N24="Moderado"),AND(J24="Baja",N24="Menor"),AND(J24="Baja",N24="Moderado"),AND(J24="Media",N24="Leve"),AND(J24="Media",N24="Menor"),AND(J24="Media",N24="Moderado"),AND(J24="Alta",N24="Leve"),AND(J24="Alta",N24="Menor")),"Moderado",IF(OR(AND(J24="Muy Baja",N24="Mayor"),AND(J24="Baja",N24="Mayor"),AND(J24="Media",N24="Mayor"),AND(J24="Alta",N24="Moderado"),AND(J24="Alta",N24="Mayor"),AND(J24="Muy Alta",N24="Leve"),AND(J24="Muy Alta",N24="Menor"),AND(J24="Muy Alta",N24="Moderado"),AND(J24="Muy Alta",N24="Mayor")),"Alto",IF(OR(AND(J24="Muy Baja",N24="Catastrófico"),AND(J24="Baja",N24="Catastrófico"),AND(J24="Media",N24="Catastrófico"),AND(J24="Alta",N24="Catastrófico"),AND(J24="Muy Alta",N24="Catastrófico")),"Extremo",""))))</f>
        <v/>
      </c>
      <c r="Q24" s="107">
        <v>1</v>
      </c>
      <c r="R24" s="108"/>
      <c r="S24" s="109" t="str">
        <f>IF(OR(T24="Preventivo",T24="Detectivo"),"Probabilidad",IF(T24="Correctivo","Impacto",""))</f>
        <v/>
      </c>
      <c r="T24" s="110"/>
      <c r="U24" s="110"/>
      <c r="V24" s="111" t="str">
        <f>IF(AND(T24="Preventivo",U24="Automático"),"50%",IF(AND(T24="Preventivo",U24="Manual"),"40%",IF(AND(T24="Detectivo",U24="Automático"),"40%",IF(AND(T24="Detectivo",U24="Manual"),"30%",IF(AND(T24="Correctivo",U24="Automático"),"35%",IF(AND(T24="Correctivo",U24="Manual"),"25%",""))))))</f>
        <v/>
      </c>
      <c r="W24" s="110"/>
      <c r="X24" s="110"/>
      <c r="Y24" s="110"/>
      <c r="Z24" s="112" t="str">
        <f>IFERROR(IF(S24="Probabilidad",(K24-(+K24*V24)),IF(S24="Impacto",K24,"")),"")</f>
        <v/>
      </c>
      <c r="AA24" s="113" t="str">
        <f>IFERROR(IF(Z24="","",IF(Z24&lt;=0.2,"Muy Baja",IF(Z24&lt;=0.4,"Baja",IF(Z24&lt;=0.6,"Media",IF(Z24&lt;=0.8,"Alta","Muy Alta"))))),"")</f>
        <v/>
      </c>
      <c r="AB24" s="114" t="str">
        <f>+Z24</f>
        <v/>
      </c>
      <c r="AC24" s="113" t="str">
        <f>IFERROR(IF(AD24="","",IF(AD24&lt;=0.2,"Leve",IF(AD24&lt;=0.4,"Menor",IF(AD24&lt;=0.6,"Moderado",IF(AD24&lt;=0.8,"Mayor","Catastrófico"))))),"")</f>
        <v/>
      </c>
      <c r="AD24" s="121" t="str">
        <f>IFERROR(IF(S24="Impacto",(O24-(+O24*V24)),IF(S24="Probabilidad",O24,"")),"")</f>
        <v/>
      </c>
      <c r="AE24" s="115" t="str">
        <f>IFERROR(IF(OR(AND(AA24="Muy Baja",AC24="Leve"),AND(AA24="Muy Baja",AC24="Menor"),AND(AA24="Baja",AC24="Leve")),"Bajo",IF(OR(AND(AA24="Muy baja",AC24="Moderado"),AND(AA24="Baja",AC24="Menor"),AND(AA24="Baja",AC24="Moderado"),AND(AA24="Media",AC24="Leve"),AND(AA24="Media",AC24="Menor"),AND(AA24="Media",AC24="Moderado"),AND(AA24="Alta",AC24="Leve"),AND(AA24="Alta",AC24="Menor")),"Moderado",IF(OR(AND(AA24="Muy Baja",AC24="Mayor"),AND(AA24="Baja",AC24="Mayor"),AND(AA24="Media",AC24="Mayor"),AND(AA24="Alta",AC24="Moderado"),AND(AA24="Alta",AC24="Mayor"),AND(AA24="Muy Alta",AC24="Leve"),AND(AA24="Muy Alta",AC24="Menor"),AND(AA24="Muy Alta",AC24="Moderado"),AND(AA24="Muy Alta",AC24="Mayor")),"Alto",IF(OR(AND(AA24="Muy Baja",AC24="Catastrófico"),AND(AA24="Baja",AC24="Catastrófico"),AND(AA24="Media",AC24="Catastrófico"),AND(AA24="Alta",AC24="Catastrófico"),AND(AA24="Muy Alta",AC24="Catastrófico")),"Extremo","")))),"")</f>
        <v/>
      </c>
      <c r="AF24" s="116"/>
      <c r="AG24" s="117"/>
      <c r="AH24" s="118"/>
      <c r="AI24" s="119"/>
      <c r="AJ24" s="119"/>
      <c r="AK24" s="117"/>
      <c r="AL24" s="11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3">
      <c r="A25" s="220"/>
      <c r="B25" s="266"/>
      <c r="C25" s="266"/>
      <c r="D25" s="244"/>
      <c r="E25" s="150"/>
      <c r="F25" s="246"/>
      <c r="G25" s="151"/>
      <c r="H25" s="272"/>
      <c r="I25" s="275"/>
      <c r="J25" s="259"/>
      <c r="K25" s="256"/>
      <c r="L25" s="278"/>
      <c r="M25" s="256">
        <f ca="1">IF(NOT(ISERROR(MATCH(L25,_xlfn.ANCHORARRAY(F36),0))),K38&amp;"Por favor no seleccionar los criterios de impacto",L25)</f>
        <v>0</v>
      </c>
      <c r="N25" s="259"/>
      <c r="O25" s="256"/>
      <c r="P25" s="262"/>
      <c r="Q25" s="107">
        <v>2</v>
      </c>
      <c r="R25" s="108"/>
      <c r="S25" s="109" t="str">
        <f>IF(OR(T25="Preventivo",T25="Detectivo"),"Probabilidad",IF(T25="Correctivo","Impacto",""))</f>
        <v/>
      </c>
      <c r="T25" s="110"/>
      <c r="U25" s="110"/>
      <c r="V25" s="111" t="str">
        <f t="shared" ref="V25:V29" si="37">IF(AND(T25="Preventivo",U25="Automático"),"50%",IF(AND(T25="Preventivo",U25="Manual"),"40%",IF(AND(T25="Detectivo",U25="Automático"),"40%",IF(AND(T25="Detectivo",U25="Manual"),"30%",IF(AND(T25="Correctivo",U25="Automático"),"35%",IF(AND(T25="Correctivo",U25="Manual"),"25%",""))))))</f>
        <v/>
      </c>
      <c r="W25" s="110"/>
      <c r="X25" s="110"/>
      <c r="Y25" s="110"/>
      <c r="Z25" s="112" t="str">
        <f>IFERROR(IF(AND(S24="Probabilidad",S25="Probabilidad"),(AB24-(+AB24*V25)),IF(AND(S24="Impacto",S25="Probabilidad"),(AB23-(+AB23*V25)),IF(S25="Impacto",AB24,""))),"")</f>
        <v/>
      </c>
      <c r="AA25" s="113" t="str">
        <f t="shared" ref="AA25:AA29" si="38">IFERROR(IF(Z25="","",IF(Z25&lt;=0.2,"Muy Baja",IF(Z25&lt;=0.4,"Baja",IF(Z25&lt;=0.6,"Media",IF(Z25&lt;=0.8,"Alta","Muy Alta"))))),"")</f>
        <v/>
      </c>
      <c r="AB25" s="114" t="str">
        <f t="shared" ref="AB25:AB29" si="39">+Z25</f>
        <v/>
      </c>
      <c r="AC25" s="113" t="str">
        <f t="shared" ref="AC25:AC29" si="40">IFERROR(IF(AD25="","",IF(AD25&lt;=0.2,"Leve",IF(AD25&lt;=0.4,"Menor",IF(AD25&lt;=0.6,"Moderado",IF(AD25&lt;=0.8,"Mayor","Catastrófico"))))),"")</f>
        <v/>
      </c>
      <c r="AD25" s="121" t="str">
        <f>IFERROR(IF(AND(S24="Impacto",S25="Impacto"),(AD24-(+AD24*V25)),IF(AND(S24="Probabilidad",S25="Impacto"),(AD23-(+AD23*V25)),IF(S25="Probabilidad",AD24,""))),"")</f>
        <v/>
      </c>
      <c r="AE25" s="115" t="str">
        <f t="shared" ref="AE25:AE29" si="41">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16"/>
      <c r="AG25" s="117"/>
      <c r="AH25" s="118"/>
      <c r="AI25" s="119"/>
      <c r="AJ25" s="119"/>
      <c r="AK25" s="117"/>
      <c r="AL25" s="11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3">
      <c r="A26" s="220"/>
      <c r="B26" s="266"/>
      <c r="C26" s="266"/>
      <c r="D26" s="244"/>
      <c r="E26" s="150"/>
      <c r="F26" s="246"/>
      <c r="G26" s="151"/>
      <c r="H26" s="272"/>
      <c r="I26" s="275"/>
      <c r="J26" s="259"/>
      <c r="K26" s="256"/>
      <c r="L26" s="278"/>
      <c r="M26" s="256">
        <f ca="1">IF(NOT(ISERROR(MATCH(L26,_xlfn.ANCHORARRAY(F37),0))),K39&amp;"Por favor no seleccionar los criterios de impacto",L26)</f>
        <v>0</v>
      </c>
      <c r="N26" s="259"/>
      <c r="O26" s="256"/>
      <c r="P26" s="262"/>
      <c r="Q26" s="107">
        <v>3</v>
      </c>
      <c r="R26" s="120"/>
      <c r="S26" s="109" t="str">
        <f>IF(OR(T26="Preventivo",T26="Detectivo"),"Probabilidad",IF(T26="Correctivo","Impacto",""))</f>
        <v/>
      </c>
      <c r="T26" s="110"/>
      <c r="U26" s="110"/>
      <c r="V26" s="111" t="str">
        <f t="shared" si="37"/>
        <v/>
      </c>
      <c r="W26" s="110"/>
      <c r="X26" s="110"/>
      <c r="Y26" s="110"/>
      <c r="Z26" s="112" t="str">
        <f t="shared" ref="Z26:Z29" si="42">IFERROR(IF(AND(S25="Probabilidad",S26="Probabilidad"),(AB25-(+AB25*V26)),IF(AND(S25="Impacto",S26="Probabilidad"),(AB24-(+AB24*V26)),IF(S26="Impacto",AB25,""))),"")</f>
        <v/>
      </c>
      <c r="AA26" s="113" t="str">
        <f t="shared" si="38"/>
        <v/>
      </c>
      <c r="AB26" s="114" t="str">
        <f t="shared" si="39"/>
        <v/>
      </c>
      <c r="AC26" s="113" t="str">
        <f t="shared" si="40"/>
        <v/>
      </c>
      <c r="AD26" s="121" t="str">
        <f t="shared" ref="AD26:AD29" si="43">IFERROR(IF(AND(S25="Impacto",S26="Impacto"),(AD25-(+AD25*V26)),IF(AND(S25="Probabilidad",S26="Impacto"),(AD24-(+AD24*V26)),IF(S26="Probabilidad",AD25,""))),"")</f>
        <v/>
      </c>
      <c r="AE26" s="115" t="str">
        <f t="shared" si="41"/>
        <v/>
      </c>
      <c r="AF26" s="116"/>
      <c r="AG26" s="117"/>
      <c r="AH26" s="118"/>
      <c r="AI26" s="119"/>
      <c r="AJ26" s="119"/>
      <c r="AK26" s="117"/>
      <c r="AL26" s="11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3">
      <c r="A27" s="220"/>
      <c r="B27" s="266"/>
      <c r="C27" s="266"/>
      <c r="D27" s="244"/>
      <c r="E27" s="150"/>
      <c r="F27" s="246"/>
      <c r="G27" s="151"/>
      <c r="H27" s="272"/>
      <c r="I27" s="275"/>
      <c r="J27" s="259"/>
      <c r="K27" s="256"/>
      <c r="L27" s="278"/>
      <c r="M27" s="256">
        <f ca="1">IF(NOT(ISERROR(MATCH(L27,_xlfn.ANCHORARRAY(F38),0))),K40&amp;"Por favor no seleccionar los criterios de impacto",L27)</f>
        <v>0</v>
      </c>
      <c r="N27" s="259"/>
      <c r="O27" s="256"/>
      <c r="P27" s="262"/>
      <c r="Q27" s="107">
        <v>4</v>
      </c>
      <c r="R27" s="108"/>
      <c r="S27" s="109" t="str">
        <f t="shared" ref="S27:S29" si="44">IF(OR(T27="Preventivo",T27="Detectivo"),"Probabilidad",IF(T27="Correctivo","Impacto",""))</f>
        <v/>
      </c>
      <c r="T27" s="110"/>
      <c r="U27" s="110"/>
      <c r="V27" s="111" t="str">
        <f t="shared" si="37"/>
        <v/>
      </c>
      <c r="W27" s="110"/>
      <c r="X27" s="110"/>
      <c r="Y27" s="110"/>
      <c r="Z27" s="112" t="str">
        <f t="shared" si="42"/>
        <v/>
      </c>
      <c r="AA27" s="113" t="str">
        <f t="shared" si="38"/>
        <v/>
      </c>
      <c r="AB27" s="114" t="str">
        <f t="shared" si="39"/>
        <v/>
      </c>
      <c r="AC27" s="113" t="str">
        <f t="shared" si="40"/>
        <v/>
      </c>
      <c r="AD27" s="121" t="str">
        <f t="shared" si="43"/>
        <v/>
      </c>
      <c r="AE27" s="115" t="str">
        <f t="shared" si="41"/>
        <v/>
      </c>
      <c r="AF27" s="116"/>
      <c r="AG27" s="117"/>
      <c r="AH27" s="118"/>
      <c r="AI27" s="119"/>
      <c r="AJ27" s="119"/>
      <c r="AK27" s="117"/>
      <c r="AL27" s="11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3">
      <c r="A28" s="220"/>
      <c r="B28" s="266"/>
      <c r="C28" s="266"/>
      <c r="D28" s="244"/>
      <c r="E28" s="150"/>
      <c r="F28" s="246"/>
      <c r="G28" s="151"/>
      <c r="H28" s="272"/>
      <c r="I28" s="275"/>
      <c r="J28" s="259"/>
      <c r="K28" s="256"/>
      <c r="L28" s="278"/>
      <c r="M28" s="256">
        <f ca="1">IF(NOT(ISERROR(MATCH(L28,_xlfn.ANCHORARRAY(F39),0))),K41&amp;"Por favor no seleccionar los criterios de impacto",L28)</f>
        <v>0</v>
      </c>
      <c r="N28" s="259"/>
      <c r="O28" s="256"/>
      <c r="P28" s="262"/>
      <c r="Q28" s="107">
        <v>5</v>
      </c>
      <c r="R28" s="108"/>
      <c r="S28" s="109" t="str">
        <f t="shared" si="44"/>
        <v/>
      </c>
      <c r="T28" s="110"/>
      <c r="U28" s="110"/>
      <c r="V28" s="111" t="str">
        <f t="shared" si="37"/>
        <v/>
      </c>
      <c r="W28" s="110"/>
      <c r="X28" s="110"/>
      <c r="Y28" s="110"/>
      <c r="Z28" s="112" t="str">
        <f t="shared" si="42"/>
        <v/>
      </c>
      <c r="AA28" s="113" t="str">
        <f t="shared" si="38"/>
        <v/>
      </c>
      <c r="AB28" s="114" t="str">
        <f t="shared" si="39"/>
        <v/>
      </c>
      <c r="AC28" s="113" t="str">
        <f t="shared" si="40"/>
        <v/>
      </c>
      <c r="AD28" s="121" t="str">
        <f t="shared" si="43"/>
        <v/>
      </c>
      <c r="AE28" s="115" t="str">
        <f t="shared" si="41"/>
        <v/>
      </c>
      <c r="AF28" s="116"/>
      <c r="AG28" s="117"/>
      <c r="AH28" s="118"/>
      <c r="AI28" s="119"/>
      <c r="AJ28" s="119"/>
      <c r="AK28" s="117"/>
      <c r="AL28" s="11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3">
      <c r="A29" s="264"/>
      <c r="B29" s="267"/>
      <c r="C29" s="267"/>
      <c r="D29" s="245"/>
      <c r="E29" s="150"/>
      <c r="F29" s="246"/>
      <c r="G29" s="151"/>
      <c r="H29" s="273"/>
      <c r="I29" s="276"/>
      <c r="J29" s="260"/>
      <c r="K29" s="257"/>
      <c r="L29" s="279"/>
      <c r="M29" s="257">
        <f ca="1">IF(NOT(ISERROR(MATCH(L29,_xlfn.ANCHORARRAY(F40),0))),K42&amp;"Por favor no seleccionar los criterios de impacto",L29)</f>
        <v>0</v>
      </c>
      <c r="N29" s="260"/>
      <c r="O29" s="257"/>
      <c r="P29" s="263"/>
      <c r="Q29" s="107">
        <v>6</v>
      </c>
      <c r="R29" s="108"/>
      <c r="S29" s="109" t="str">
        <f t="shared" si="44"/>
        <v/>
      </c>
      <c r="T29" s="110"/>
      <c r="U29" s="110"/>
      <c r="V29" s="111" t="str">
        <f t="shared" si="37"/>
        <v/>
      </c>
      <c r="W29" s="110"/>
      <c r="X29" s="110"/>
      <c r="Y29" s="110"/>
      <c r="Z29" s="112" t="str">
        <f t="shared" si="42"/>
        <v/>
      </c>
      <c r="AA29" s="113" t="str">
        <f t="shared" si="38"/>
        <v/>
      </c>
      <c r="AB29" s="114" t="str">
        <f t="shared" si="39"/>
        <v/>
      </c>
      <c r="AC29" s="113" t="str">
        <f t="shared" si="40"/>
        <v/>
      </c>
      <c r="AD29" s="121" t="str">
        <f t="shared" si="43"/>
        <v/>
      </c>
      <c r="AE29" s="115" t="str">
        <f t="shared" si="41"/>
        <v/>
      </c>
      <c r="AF29" s="116"/>
      <c r="AG29" s="117"/>
      <c r="AH29" s="118"/>
      <c r="AI29" s="119"/>
      <c r="AJ29" s="119"/>
      <c r="AK29" s="117"/>
      <c r="AL29" s="11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3">
      <c r="A30" s="219">
        <v>5</v>
      </c>
      <c r="B30" s="265"/>
      <c r="C30" s="265"/>
      <c r="D30" s="243"/>
      <c r="E30" s="150"/>
      <c r="F30" s="246"/>
      <c r="G30" s="151"/>
      <c r="H30" s="271"/>
      <c r="I30" s="274"/>
      <c r="J30" s="258" t="str">
        <f t="shared" ref="J30" si="45">IF(I30&lt;=0,"",IF(I30&lt;=2,"Muy Baja",IF(I30&lt;=24,"Baja",IF(I30&lt;=500,"Media",IF(I30&lt;=5000,"Alta","Muy Alta")))))</f>
        <v/>
      </c>
      <c r="K30" s="255" t="str">
        <f t="shared" ref="K30" si="46">IF(J30="","",IF(J30="Muy Baja",0.2,IF(J30="Baja",0.4,IF(J30="Media",0.6,IF(J30="Alta",0.8,IF(J30="Muy Alta",1,))))))</f>
        <v/>
      </c>
      <c r="L30" s="277"/>
      <c r="M30" s="255">
        <f ca="1">IF(NOT(ISERROR(MATCH(L30,'Tabla Impacto'!$B$221:$B$223,0))),'Tabla Impacto'!$F$223&amp;"Por favor no seleccionar los criterios de impacto(Afectación Económica o presupuestal y Pérdida Reputacional)",L30)</f>
        <v>0</v>
      </c>
      <c r="N30" s="258" t="str">
        <f ca="1">IF(OR(M30='Tabla Impacto'!$C$11,M30='Tabla Impacto'!$D$11),"Leve",IF(OR(M30='Tabla Impacto'!$C$12,M30='Tabla Impacto'!$D$12),"Menor",IF(OR(M30='Tabla Impacto'!$C$13,M30='Tabla Impacto'!$D$13),"Moderado",IF(OR(M30='Tabla Impacto'!$C$14,M30='Tabla Impacto'!$D$14),"Mayor",IF(OR(M30='Tabla Impacto'!$C$15,M30='Tabla Impacto'!$D$15),"Catastrófico","")))))</f>
        <v/>
      </c>
      <c r="O30" s="255" t="str">
        <f t="shared" ref="O30" ca="1" si="47">IF(N30="","",IF(N30="Leve",0.2,IF(N30="Menor",0.4,IF(N30="Moderado",0.6,IF(N30="Mayor",0.8,IF(N30="Catastrófico",1,))))))</f>
        <v/>
      </c>
      <c r="P30" s="261" t="str">
        <f t="shared" ref="P30" ca="1" si="48">IF(OR(AND(J30="Muy Baja",N30="Leve"),AND(J30="Muy Baja",N30="Menor"),AND(J30="Baja",N30="Leve")),"Bajo",IF(OR(AND(J30="Muy baja",N30="Moderado"),AND(J30="Baja",N30="Menor"),AND(J30="Baja",N30="Moderado"),AND(J30="Media",N30="Leve"),AND(J30="Media",N30="Menor"),AND(J30="Media",N30="Moderado"),AND(J30="Alta",N30="Leve"),AND(J30="Alta",N30="Menor")),"Moderado",IF(OR(AND(J30="Muy Baja",N30="Mayor"),AND(J30="Baja",N30="Mayor"),AND(J30="Media",N30="Mayor"),AND(J30="Alta",N30="Moderado"),AND(J30="Alta",N30="Mayor"),AND(J30="Muy Alta",N30="Leve"),AND(J30="Muy Alta",N30="Menor"),AND(J30="Muy Alta",N30="Moderado"),AND(J30="Muy Alta",N30="Mayor")),"Alto",IF(OR(AND(J30="Muy Baja",N30="Catastrófico"),AND(J30="Baja",N30="Catastrófico"),AND(J30="Media",N30="Catastrófico"),AND(J30="Alta",N30="Catastrófico"),AND(J30="Muy Alta",N30="Catastrófico")),"Extremo",""))))</f>
        <v/>
      </c>
      <c r="Q30" s="107">
        <v>1</v>
      </c>
      <c r="R30" s="108"/>
      <c r="S30" s="109" t="s">
        <v>215</v>
      </c>
      <c r="T30" s="110"/>
      <c r="U30" s="110"/>
      <c r="V30" s="111" t="s">
        <v>215</v>
      </c>
      <c r="W30" s="110"/>
      <c r="X30" s="110"/>
      <c r="Y30" s="110"/>
      <c r="Z30" s="112" t="s">
        <v>215</v>
      </c>
      <c r="AA30" s="113" t="s">
        <v>215</v>
      </c>
      <c r="AB30" s="114" t="s">
        <v>215</v>
      </c>
      <c r="AC30" s="113" t="s">
        <v>215</v>
      </c>
      <c r="AD30" s="121" t="s">
        <v>215</v>
      </c>
      <c r="AE30" s="115" t="s">
        <v>215</v>
      </c>
      <c r="AF30" s="116"/>
      <c r="AG30" s="117"/>
      <c r="AH30" s="118"/>
      <c r="AI30" s="119"/>
      <c r="AJ30" s="119"/>
      <c r="AK30" s="117"/>
      <c r="AL30" s="11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3">
      <c r="A31" s="220"/>
      <c r="B31" s="266"/>
      <c r="C31" s="266"/>
      <c r="D31" s="244"/>
      <c r="E31" s="150"/>
      <c r="F31" s="246"/>
      <c r="G31" s="151"/>
      <c r="H31" s="272"/>
      <c r="I31" s="275"/>
      <c r="J31" s="259"/>
      <c r="K31" s="256"/>
      <c r="L31" s="278"/>
      <c r="M31" s="256">
        <f ca="1">IF(NOT(ISERROR(MATCH(L31,_xlfn.ANCHORARRAY(F42),0))),K44&amp;"Por favor no seleccionar los criterios de impacto",L31)</f>
        <v>0</v>
      </c>
      <c r="N31" s="259"/>
      <c r="O31" s="256"/>
      <c r="P31" s="262"/>
      <c r="Q31" s="107">
        <v>2</v>
      </c>
      <c r="R31" s="108"/>
      <c r="S31" s="109" t="s">
        <v>215</v>
      </c>
      <c r="T31" s="110"/>
      <c r="U31" s="110"/>
      <c r="V31" s="111" t="s">
        <v>215</v>
      </c>
      <c r="W31" s="110"/>
      <c r="X31" s="110"/>
      <c r="Y31" s="110"/>
      <c r="Z31" s="112" t="s">
        <v>215</v>
      </c>
      <c r="AA31" s="113" t="s">
        <v>215</v>
      </c>
      <c r="AB31" s="114" t="s">
        <v>215</v>
      </c>
      <c r="AC31" s="113" t="s">
        <v>215</v>
      </c>
      <c r="AD31" s="121" t="s">
        <v>215</v>
      </c>
      <c r="AE31" s="115" t="s">
        <v>215</v>
      </c>
      <c r="AF31" s="116"/>
      <c r="AG31" s="117"/>
      <c r="AH31" s="118"/>
      <c r="AI31" s="119"/>
      <c r="AJ31" s="119"/>
      <c r="AK31" s="117"/>
      <c r="AL31" s="11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3">
      <c r="A32" s="220"/>
      <c r="B32" s="266"/>
      <c r="C32" s="266"/>
      <c r="D32" s="244"/>
      <c r="E32" s="150"/>
      <c r="F32" s="246"/>
      <c r="G32" s="151"/>
      <c r="H32" s="272"/>
      <c r="I32" s="275"/>
      <c r="J32" s="259"/>
      <c r="K32" s="256"/>
      <c r="L32" s="278"/>
      <c r="M32" s="256">
        <f ca="1">IF(NOT(ISERROR(MATCH(L32,_xlfn.ANCHORARRAY(F43),0))),K45&amp;"Por favor no seleccionar los criterios de impacto",L32)</f>
        <v>0</v>
      </c>
      <c r="N32" s="259"/>
      <c r="O32" s="256"/>
      <c r="P32" s="262"/>
      <c r="Q32" s="107">
        <v>3</v>
      </c>
      <c r="R32" s="120"/>
      <c r="S32" s="109" t="s">
        <v>215</v>
      </c>
      <c r="T32" s="110"/>
      <c r="U32" s="110"/>
      <c r="V32" s="111" t="s">
        <v>215</v>
      </c>
      <c r="W32" s="110"/>
      <c r="X32" s="110"/>
      <c r="Y32" s="110"/>
      <c r="Z32" s="112" t="s">
        <v>215</v>
      </c>
      <c r="AA32" s="113" t="s">
        <v>215</v>
      </c>
      <c r="AB32" s="114" t="s">
        <v>215</v>
      </c>
      <c r="AC32" s="113" t="s">
        <v>215</v>
      </c>
      <c r="AD32" s="121" t="s">
        <v>215</v>
      </c>
      <c r="AE32" s="115" t="s">
        <v>215</v>
      </c>
      <c r="AF32" s="116"/>
      <c r="AG32" s="117"/>
      <c r="AH32" s="118"/>
      <c r="AI32" s="119"/>
      <c r="AJ32" s="119"/>
      <c r="AK32" s="117"/>
      <c r="AL32" s="11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3">
      <c r="A33" s="220"/>
      <c r="B33" s="266"/>
      <c r="C33" s="266"/>
      <c r="D33" s="244"/>
      <c r="E33" s="150"/>
      <c r="F33" s="246"/>
      <c r="G33" s="151"/>
      <c r="H33" s="272"/>
      <c r="I33" s="275"/>
      <c r="J33" s="259"/>
      <c r="K33" s="256"/>
      <c r="L33" s="278"/>
      <c r="M33" s="256">
        <f ca="1">IF(NOT(ISERROR(MATCH(L33,_xlfn.ANCHORARRAY(F44),0))),K46&amp;"Por favor no seleccionar los criterios de impacto",L33)</f>
        <v>0</v>
      </c>
      <c r="N33" s="259"/>
      <c r="O33" s="256"/>
      <c r="P33" s="262"/>
      <c r="Q33" s="107">
        <v>4</v>
      </c>
      <c r="R33" s="108"/>
      <c r="S33" s="109" t="s">
        <v>215</v>
      </c>
      <c r="T33" s="110"/>
      <c r="U33" s="110"/>
      <c r="V33" s="111" t="s">
        <v>215</v>
      </c>
      <c r="W33" s="110"/>
      <c r="X33" s="110"/>
      <c r="Y33" s="110"/>
      <c r="Z33" s="112" t="s">
        <v>215</v>
      </c>
      <c r="AA33" s="113" t="s">
        <v>215</v>
      </c>
      <c r="AB33" s="114" t="s">
        <v>215</v>
      </c>
      <c r="AC33" s="113" t="s">
        <v>215</v>
      </c>
      <c r="AD33" s="121" t="s">
        <v>215</v>
      </c>
      <c r="AE33" s="115" t="s">
        <v>215</v>
      </c>
      <c r="AF33" s="116"/>
      <c r="AG33" s="117"/>
      <c r="AH33" s="118"/>
      <c r="AI33" s="119"/>
      <c r="AJ33" s="119"/>
      <c r="AK33" s="117"/>
      <c r="AL33" s="11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3">
      <c r="A34" s="220"/>
      <c r="B34" s="266"/>
      <c r="C34" s="266"/>
      <c r="D34" s="244"/>
      <c r="E34" s="150"/>
      <c r="F34" s="246"/>
      <c r="G34" s="151"/>
      <c r="H34" s="272"/>
      <c r="I34" s="275"/>
      <c r="J34" s="259"/>
      <c r="K34" s="256"/>
      <c r="L34" s="278"/>
      <c r="M34" s="256">
        <f ca="1">IF(NOT(ISERROR(MATCH(L34,_xlfn.ANCHORARRAY(F45),0))),K47&amp;"Por favor no seleccionar los criterios de impacto",L34)</f>
        <v>0</v>
      </c>
      <c r="N34" s="259"/>
      <c r="O34" s="256"/>
      <c r="P34" s="262"/>
      <c r="Q34" s="107">
        <v>5</v>
      </c>
      <c r="R34" s="108"/>
      <c r="S34" s="109" t="s">
        <v>215</v>
      </c>
      <c r="T34" s="110"/>
      <c r="U34" s="110"/>
      <c r="V34" s="111" t="s">
        <v>215</v>
      </c>
      <c r="W34" s="110"/>
      <c r="X34" s="110"/>
      <c r="Y34" s="110"/>
      <c r="Z34" s="112" t="s">
        <v>215</v>
      </c>
      <c r="AA34" s="113" t="s">
        <v>215</v>
      </c>
      <c r="AB34" s="114" t="s">
        <v>215</v>
      </c>
      <c r="AC34" s="113" t="s">
        <v>215</v>
      </c>
      <c r="AD34" s="121" t="s">
        <v>215</v>
      </c>
      <c r="AE34" s="115" t="s">
        <v>215</v>
      </c>
      <c r="AF34" s="116"/>
      <c r="AG34" s="117"/>
      <c r="AH34" s="118"/>
      <c r="AI34" s="119"/>
      <c r="AJ34" s="119"/>
      <c r="AK34" s="117"/>
      <c r="AL34" s="11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3">
      <c r="A35" s="264"/>
      <c r="B35" s="267"/>
      <c r="C35" s="267"/>
      <c r="D35" s="245"/>
      <c r="E35" s="150"/>
      <c r="F35" s="246"/>
      <c r="G35" s="151"/>
      <c r="H35" s="273"/>
      <c r="I35" s="276"/>
      <c r="J35" s="260"/>
      <c r="K35" s="257"/>
      <c r="L35" s="279"/>
      <c r="M35" s="257">
        <f ca="1">IF(NOT(ISERROR(MATCH(L35,_xlfn.ANCHORARRAY(F46),0))),K48&amp;"Por favor no seleccionar los criterios de impacto",L35)</f>
        <v>0</v>
      </c>
      <c r="N35" s="260"/>
      <c r="O35" s="257"/>
      <c r="P35" s="263"/>
      <c r="Q35" s="107">
        <v>6</v>
      </c>
      <c r="R35" s="108"/>
      <c r="S35" s="109" t="s">
        <v>215</v>
      </c>
      <c r="T35" s="110"/>
      <c r="U35" s="110"/>
      <c r="V35" s="111" t="s">
        <v>215</v>
      </c>
      <c r="W35" s="110"/>
      <c r="X35" s="110"/>
      <c r="Y35" s="110"/>
      <c r="Z35" s="112" t="s">
        <v>215</v>
      </c>
      <c r="AA35" s="113" t="s">
        <v>215</v>
      </c>
      <c r="AB35" s="114" t="s">
        <v>215</v>
      </c>
      <c r="AC35" s="113" t="s">
        <v>215</v>
      </c>
      <c r="AD35" s="121" t="s">
        <v>215</v>
      </c>
      <c r="AE35" s="115" t="s">
        <v>215</v>
      </c>
      <c r="AF35" s="116"/>
      <c r="AG35" s="117"/>
      <c r="AH35" s="118"/>
      <c r="AI35" s="119"/>
      <c r="AJ35" s="119"/>
      <c r="AK35" s="117"/>
      <c r="AL35" s="11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3">
      <c r="A36" s="219">
        <v>6</v>
      </c>
      <c r="B36" s="265"/>
      <c r="C36" s="265"/>
      <c r="D36" s="243"/>
      <c r="E36" s="150"/>
      <c r="F36" s="246"/>
      <c r="G36" s="151"/>
      <c r="H36" s="271"/>
      <c r="I36" s="274"/>
      <c r="J36" s="258" t="str">
        <f t="shared" ref="J36" si="49">IF(I36&lt;=0,"",IF(I36&lt;=2,"Muy Baja",IF(I36&lt;=24,"Baja",IF(I36&lt;=500,"Media",IF(I36&lt;=5000,"Alta","Muy Alta")))))</f>
        <v/>
      </c>
      <c r="K36" s="255" t="str">
        <f t="shared" ref="K36" si="50">IF(J36="","",IF(J36="Muy Baja",0.2,IF(J36="Baja",0.4,IF(J36="Media",0.6,IF(J36="Alta",0.8,IF(J36="Muy Alta",1,))))))</f>
        <v/>
      </c>
      <c r="L36" s="277"/>
      <c r="M36" s="255">
        <f ca="1">IF(NOT(ISERROR(MATCH(L36,'Tabla Impacto'!$B$221:$B$223,0))),'Tabla Impacto'!$F$223&amp;"Por favor no seleccionar los criterios de impacto(Afectación Económica o presupuestal y Pérdida Reputacional)",L36)</f>
        <v>0</v>
      </c>
      <c r="N36" s="258" t="str">
        <f ca="1">IF(OR(M36='Tabla Impacto'!$C$11,M36='Tabla Impacto'!$D$11),"Leve",IF(OR(M36='Tabla Impacto'!$C$12,M36='Tabla Impacto'!$D$12),"Menor",IF(OR(M36='Tabla Impacto'!$C$13,M36='Tabla Impacto'!$D$13),"Moderado",IF(OR(M36='Tabla Impacto'!$C$14,M36='Tabla Impacto'!$D$14),"Mayor",IF(OR(M36='Tabla Impacto'!$C$15,M36='Tabla Impacto'!$D$15),"Catastrófico","")))))</f>
        <v/>
      </c>
      <c r="O36" s="255" t="str">
        <f t="shared" ref="O36" ca="1" si="51">IF(N36="","",IF(N36="Leve",0.2,IF(N36="Menor",0.4,IF(N36="Moderado",0.6,IF(N36="Mayor",0.8,IF(N36="Catastrófico",1,))))))</f>
        <v/>
      </c>
      <c r="P36" s="261" t="str">
        <f t="shared" ref="P36" ca="1" si="52">IF(OR(AND(J36="Muy Baja",N36="Leve"),AND(J36="Muy Baja",N36="Menor"),AND(J36="Baja",N36="Leve")),"Bajo",IF(OR(AND(J36="Muy baja",N36="Moderado"),AND(J36="Baja",N36="Menor"),AND(J36="Baja",N36="Moderado"),AND(J36="Media",N36="Leve"),AND(J36="Media",N36="Menor"),AND(J36="Media",N36="Moderado"),AND(J36="Alta",N36="Leve"),AND(J36="Alta",N36="Menor")),"Moderado",IF(OR(AND(J36="Muy Baja",N36="Mayor"),AND(J36="Baja",N36="Mayor"),AND(J36="Media",N36="Mayor"),AND(J36="Alta",N36="Moderado"),AND(J36="Alta",N36="Mayor"),AND(J36="Muy Alta",N36="Leve"),AND(J36="Muy Alta",N36="Menor"),AND(J36="Muy Alta",N36="Moderado"),AND(J36="Muy Alta",N36="Mayor")),"Alto",IF(OR(AND(J36="Muy Baja",N36="Catastrófico"),AND(J36="Baja",N36="Catastrófico"),AND(J36="Media",N36="Catastrófico"),AND(J36="Alta",N36="Catastrófico"),AND(J36="Muy Alta",N36="Catastrófico")),"Extremo",""))))</f>
        <v/>
      </c>
      <c r="Q36" s="107">
        <v>1</v>
      </c>
      <c r="R36" s="108"/>
      <c r="S36" s="109" t="s">
        <v>215</v>
      </c>
      <c r="T36" s="110"/>
      <c r="U36" s="110"/>
      <c r="V36" s="111" t="s">
        <v>215</v>
      </c>
      <c r="W36" s="110"/>
      <c r="X36" s="110"/>
      <c r="Y36" s="110"/>
      <c r="Z36" s="112" t="s">
        <v>215</v>
      </c>
      <c r="AA36" s="113" t="s">
        <v>215</v>
      </c>
      <c r="AB36" s="114" t="s">
        <v>215</v>
      </c>
      <c r="AC36" s="113" t="s">
        <v>215</v>
      </c>
      <c r="AD36" s="121" t="s">
        <v>215</v>
      </c>
      <c r="AE36" s="115" t="s">
        <v>215</v>
      </c>
      <c r="AF36" s="116"/>
      <c r="AG36" s="117"/>
      <c r="AH36" s="118"/>
      <c r="AI36" s="119"/>
      <c r="AJ36" s="119"/>
      <c r="AK36" s="117"/>
      <c r="AL36" s="11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3">
      <c r="A37" s="220"/>
      <c r="B37" s="266"/>
      <c r="C37" s="266"/>
      <c r="D37" s="244"/>
      <c r="E37" s="150"/>
      <c r="F37" s="246"/>
      <c r="G37" s="151"/>
      <c r="H37" s="272"/>
      <c r="I37" s="275"/>
      <c r="J37" s="259"/>
      <c r="K37" s="256"/>
      <c r="L37" s="278"/>
      <c r="M37" s="256">
        <f ca="1">IF(NOT(ISERROR(MATCH(L37,_xlfn.ANCHORARRAY(F48),0))),K50&amp;"Por favor no seleccionar los criterios de impacto",L37)</f>
        <v>0</v>
      </c>
      <c r="N37" s="259"/>
      <c r="O37" s="256"/>
      <c r="P37" s="262"/>
      <c r="Q37" s="107">
        <v>2</v>
      </c>
      <c r="R37" s="108"/>
      <c r="S37" s="109" t="s">
        <v>215</v>
      </c>
      <c r="T37" s="110"/>
      <c r="U37" s="110"/>
      <c r="V37" s="111" t="s">
        <v>215</v>
      </c>
      <c r="W37" s="110"/>
      <c r="X37" s="110"/>
      <c r="Y37" s="110"/>
      <c r="Z37" s="112" t="s">
        <v>215</v>
      </c>
      <c r="AA37" s="113" t="s">
        <v>215</v>
      </c>
      <c r="AB37" s="114" t="s">
        <v>215</v>
      </c>
      <c r="AC37" s="113" t="s">
        <v>215</v>
      </c>
      <c r="AD37" s="121" t="s">
        <v>215</v>
      </c>
      <c r="AE37" s="115" t="s">
        <v>215</v>
      </c>
      <c r="AF37" s="116"/>
      <c r="AG37" s="117"/>
      <c r="AH37" s="118"/>
      <c r="AI37" s="119"/>
      <c r="AJ37" s="119"/>
      <c r="AK37" s="117"/>
      <c r="AL37" s="11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3">
      <c r="A38" s="220"/>
      <c r="B38" s="266"/>
      <c r="C38" s="266"/>
      <c r="D38" s="244"/>
      <c r="E38" s="150"/>
      <c r="F38" s="246"/>
      <c r="G38" s="151"/>
      <c r="H38" s="272"/>
      <c r="I38" s="275"/>
      <c r="J38" s="259"/>
      <c r="K38" s="256"/>
      <c r="L38" s="278"/>
      <c r="M38" s="256">
        <f ca="1">IF(NOT(ISERROR(MATCH(L38,_xlfn.ANCHORARRAY(F49),0))),K51&amp;"Por favor no seleccionar los criterios de impacto",L38)</f>
        <v>0</v>
      </c>
      <c r="N38" s="259"/>
      <c r="O38" s="256"/>
      <c r="P38" s="262"/>
      <c r="Q38" s="107">
        <v>3</v>
      </c>
      <c r="R38" s="120"/>
      <c r="S38" s="109" t="s">
        <v>215</v>
      </c>
      <c r="T38" s="110"/>
      <c r="U38" s="110"/>
      <c r="V38" s="111" t="s">
        <v>215</v>
      </c>
      <c r="W38" s="110"/>
      <c r="X38" s="110"/>
      <c r="Y38" s="110"/>
      <c r="Z38" s="112" t="s">
        <v>215</v>
      </c>
      <c r="AA38" s="113" t="s">
        <v>215</v>
      </c>
      <c r="AB38" s="114" t="s">
        <v>215</v>
      </c>
      <c r="AC38" s="113" t="s">
        <v>215</v>
      </c>
      <c r="AD38" s="121" t="s">
        <v>215</v>
      </c>
      <c r="AE38" s="115" t="s">
        <v>215</v>
      </c>
      <c r="AF38" s="116"/>
      <c r="AG38" s="117"/>
      <c r="AH38" s="118"/>
      <c r="AI38" s="119"/>
      <c r="AJ38" s="119"/>
      <c r="AK38" s="117"/>
      <c r="AL38" s="11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3">
      <c r="A39" s="220"/>
      <c r="B39" s="266"/>
      <c r="C39" s="266"/>
      <c r="D39" s="244"/>
      <c r="E39" s="150"/>
      <c r="F39" s="246"/>
      <c r="G39" s="151"/>
      <c r="H39" s="272"/>
      <c r="I39" s="275"/>
      <c r="J39" s="259"/>
      <c r="K39" s="256"/>
      <c r="L39" s="278"/>
      <c r="M39" s="256">
        <f ca="1">IF(NOT(ISERROR(MATCH(L39,_xlfn.ANCHORARRAY(F50),0))),K52&amp;"Por favor no seleccionar los criterios de impacto",L39)</f>
        <v>0</v>
      </c>
      <c r="N39" s="259"/>
      <c r="O39" s="256"/>
      <c r="P39" s="262"/>
      <c r="Q39" s="107">
        <v>4</v>
      </c>
      <c r="R39" s="108"/>
      <c r="S39" s="109" t="s">
        <v>215</v>
      </c>
      <c r="T39" s="110"/>
      <c r="U39" s="110"/>
      <c r="V39" s="111" t="s">
        <v>215</v>
      </c>
      <c r="W39" s="110"/>
      <c r="X39" s="110"/>
      <c r="Y39" s="110"/>
      <c r="Z39" s="112" t="s">
        <v>215</v>
      </c>
      <c r="AA39" s="113" t="s">
        <v>215</v>
      </c>
      <c r="AB39" s="114" t="s">
        <v>215</v>
      </c>
      <c r="AC39" s="113" t="s">
        <v>215</v>
      </c>
      <c r="AD39" s="121" t="s">
        <v>215</v>
      </c>
      <c r="AE39" s="115" t="s">
        <v>215</v>
      </c>
      <c r="AF39" s="116"/>
      <c r="AG39" s="117"/>
      <c r="AH39" s="118"/>
      <c r="AI39" s="119"/>
      <c r="AJ39" s="119"/>
      <c r="AK39" s="117"/>
      <c r="AL39" s="11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3">
      <c r="A40" s="220"/>
      <c r="B40" s="266"/>
      <c r="C40" s="266"/>
      <c r="D40" s="244"/>
      <c r="E40" s="150"/>
      <c r="F40" s="246"/>
      <c r="G40" s="151"/>
      <c r="H40" s="272"/>
      <c r="I40" s="275"/>
      <c r="J40" s="259"/>
      <c r="K40" s="256"/>
      <c r="L40" s="278"/>
      <c r="M40" s="256">
        <f ca="1">IF(NOT(ISERROR(MATCH(L40,_xlfn.ANCHORARRAY(F51),0))),K53&amp;"Por favor no seleccionar los criterios de impacto",L40)</f>
        <v>0</v>
      </c>
      <c r="N40" s="259"/>
      <c r="O40" s="256"/>
      <c r="P40" s="262"/>
      <c r="Q40" s="107">
        <v>5</v>
      </c>
      <c r="R40" s="108"/>
      <c r="S40" s="109" t="s">
        <v>215</v>
      </c>
      <c r="T40" s="110"/>
      <c r="U40" s="110"/>
      <c r="V40" s="111" t="s">
        <v>215</v>
      </c>
      <c r="W40" s="110"/>
      <c r="X40" s="110"/>
      <c r="Y40" s="110"/>
      <c r="Z40" s="112" t="s">
        <v>215</v>
      </c>
      <c r="AA40" s="113" t="s">
        <v>215</v>
      </c>
      <c r="AB40" s="114" t="s">
        <v>215</v>
      </c>
      <c r="AC40" s="113" t="s">
        <v>215</v>
      </c>
      <c r="AD40" s="121" t="s">
        <v>215</v>
      </c>
      <c r="AE40" s="115" t="s">
        <v>215</v>
      </c>
      <c r="AF40" s="116"/>
      <c r="AG40" s="117"/>
      <c r="AH40" s="118"/>
      <c r="AI40" s="119"/>
      <c r="AJ40" s="119"/>
      <c r="AK40" s="117"/>
      <c r="AL40" s="11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3">
      <c r="A41" s="264"/>
      <c r="B41" s="267"/>
      <c r="C41" s="267"/>
      <c r="D41" s="245"/>
      <c r="E41" s="150"/>
      <c r="F41" s="246"/>
      <c r="G41" s="151"/>
      <c r="H41" s="273"/>
      <c r="I41" s="276"/>
      <c r="J41" s="260"/>
      <c r="K41" s="257"/>
      <c r="L41" s="279"/>
      <c r="M41" s="257">
        <f ca="1">IF(NOT(ISERROR(MATCH(L41,_xlfn.ANCHORARRAY(F52),0))),K54&amp;"Por favor no seleccionar los criterios de impacto",L41)</f>
        <v>0</v>
      </c>
      <c r="N41" s="260"/>
      <c r="O41" s="257"/>
      <c r="P41" s="263"/>
      <c r="Q41" s="107">
        <v>6</v>
      </c>
      <c r="R41" s="108"/>
      <c r="S41" s="109" t="s">
        <v>215</v>
      </c>
      <c r="T41" s="110"/>
      <c r="U41" s="110"/>
      <c r="V41" s="111" t="s">
        <v>215</v>
      </c>
      <c r="W41" s="110"/>
      <c r="X41" s="110"/>
      <c r="Y41" s="110"/>
      <c r="Z41" s="112" t="s">
        <v>215</v>
      </c>
      <c r="AA41" s="113" t="s">
        <v>215</v>
      </c>
      <c r="AB41" s="114" t="s">
        <v>215</v>
      </c>
      <c r="AC41" s="113" t="s">
        <v>215</v>
      </c>
      <c r="AD41" s="121" t="s">
        <v>215</v>
      </c>
      <c r="AE41" s="115" t="s">
        <v>215</v>
      </c>
      <c r="AF41" s="116"/>
      <c r="AG41" s="117"/>
      <c r="AH41" s="118"/>
      <c r="AI41" s="119"/>
      <c r="AJ41" s="119"/>
      <c r="AK41" s="117"/>
      <c r="AL41" s="11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3">
      <c r="A42" s="219">
        <v>7</v>
      </c>
      <c r="B42" s="265"/>
      <c r="C42" s="265"/>
      <c r="D42" s="265"/>
      <c r="E42" s="135"/>
      <c r="F42" s="281"/>
      <c r="G42" s="137"/>
      <c r="H42" s="265"/>
      <c r="I42" s="274"/>
      <c r="J42" s="258" t="str">
        <f t="shared" ref="J42" si="53">IF(I42&lt;=0,"",IF(I42&lt;=2,"Muy Baja",IF(I42&lt;=24,"Baja",IF(I42&lt;=500,"Media",IF(I42&lt;=5000,"Alta","Muy Alta")))))</f>
        <v/>
      </c>
      <c r="K42" s="255" t="str">
        <f t="shared" ref="K42" si="54">IF(J42="","",IF(J42="Muy Baja",0.2,IF(J42="Baja",0.4,IF(J42="Media",0.6,IF(J42="Alta",0.8,IF(J42="Muy Alta",1,))))))</f>
        <v/>
      </c>
      <c r="L42" s="277"/>
      <c r="M42" s="255">
        <f ca="1">IF(NOT(ISERROR(MATCH(L42,'Tabla Impacto'!$B$221:$B$223,0))),'Tabla Impacto'!$F$223&amp;"Por favor no seleccionar los criterios de impacto(Afectación Económica o presupuestal y Pérdida Reputacional)",L42)</f>
        <v>0</v>
      </c>
      <c r="N42" s="258" t="str">
        <f ca="1">IF(OR(M42='Tabla Impacto'!$C$11,M42='Tabla Impacto'!$D$11),"Leve",IF(OR(M42='Tabla Impacto'!$C$12,M42='Tabla Impacto'!$D$12),"Menor",IF(OR(M42='Tabla Impacto'!$C$13,M42='Tabla Impacto'!$D$13),"Moderado",IF(OR(M42='Tabla Impacto'!$C$14,M42='Tabla Impacto'!$D$14),"Mayor",IF(OR(M42='Tabla Impacto'!$C$15,M42='Tabla Impacto'!$D$15),"Catastrófico","")))))</f>
        <v/>
      </c>
      <c r="O42" s="255" t="str">
        <f t="shared" ref="O42" ca="1" si="55">IF(N42="","",IF(N42="Leve",0.2,IF(N42="Menor",0.4,IF(N42="Moderado",0.6,IF(N42="Mayor",0.8,IF(N42="Catastrófico",1,))))))</f>
        <v/>
      </c>
      <c r="P42" s="261" t="str">
        <f t="shared" ref="P42" ca="1" si="56">IF(OR(AND(J42="Muy Baja",N42="Leve"),AND(J42="Muy Baja",N42="Menor"),AND(J42="Baja",N42="Leve")),"Bajo",IF(OR(AND(J42="Muy baja",N42="Moderado"),AND(J42="Baja",N42="Menor"),AND(J42="Baja",N42="Moderado"),AND(J42="Media",N42="Leve"),AND(J42="Media",N42="Menor"),AND(J42="Media",N42="Moderado"),AND(J42="Alta",N42="Leve"),AND(J42="Alta",N42="Menor")),"Moderado",IF(OR(AND(J42="Muy Baja",N42="Mayor"),AND(J42="Baja",N42="Mayor"),AND(J42="Media",N42="Mayor"),AND(J42="Alta",N42="Moderado"),AND(J42="Alta",N42="Mayor"),AND(J42="Muy Alta",N42="Leve"),AND(J42="Muy Alta",N42="Menor"),AND(J42="Muy Alta",N42="Moderado"),AND(J42="Muy Alta",N42="Mayor")),"Alto",IF(OR(AND(J42="Muy Baja",N42="Catastrófico"),AND(J42="Baja",N42="Catastrófico"),AND(J42="Media",N42="Catastrófico"),AND(J42="Alta",N42="Catastrófico"),AND(J42="Muy Alta",N42="Catastrófico")),"Extremo",""))))</f>
        <v/>
      </c>
      <c r="Q42" s="107">
        <v>1</v>
      </c>
      <c r="R42" s="108"/>
      <c r="S42" s="109" t="s">
        <v>215</v>
      </c>
      <c r="T42" s="110"/>
      <c r="U42" s="110"/>
      <c r="V42" s="111" t="s">
        <v>215</v>
      </c>
      <c r="W42" s="110"/>
      <c r="X42" s="110"/>
      <c r="Y42" s="110"/>
      <c r="Z42" s="112" t="s">
        <v>215</v>
      </c>
      <c r="AA42" s="113" t="s">
        <v>215</v>
      </c>
      <c r="AB42" s="114" t="s">
        <v>215</v>
      </c>
      <c r="AC42" s="113" t="s">
        <v>215</v>
      </c>
      <c r="AD42" s="121" t="s">
        <v>215</v>
      </c>
      <c r="AE42" s="115" t="s">
        <v>215</v>
      </c>
      <c r="AF42" s="116"/>
      <c r="AG42" s="117"/>
      <c r="AH42" s="118"/>
      <c r="AI42" s="119"/>
      <c r="AJ42" s="119"/>
      <c r="AK42" s="117"/>
      <c r="AL42" s="11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3">
      <c r="A43" s="220"/>
      <c r="B43" s="266"/>
      <c r="C43" s="266"/>
      <c r="D43" s="266"/>
      <c r="E43" s="133"/>
      <c r="F43" s="281"/>
      <c r="G43" s="137"/>
      <c r="H43" s="266"/>
      <c r="I43" s="275"/>
      <c r="J43" s="259"/>
      <c r="K43" s="256"/>
      <c r="L43" s="278"/>
      <c r="M43" s="256">
        <f ca="1">IF(NOT(ISERROR(MATCH(L43,_xlfn.ANCHORARRAY(F54),0))),K56&amp;"Por favor no seleccionar los criterios de impacto",L43)</f>
        <v>0</v>
      </c>
      <c r="N43" s="259"/>
      <c r="O43" s="256"/>
      <c r="P43" s="262"/>
      <c r="Q43" s="107">
        <v>2</v>
      </c>
      <c r="R43" s="108"/>
      <c r="S43" s="109" t="s">
        <v>215</v>
      </c>
      <c r="T43" s="110"/>
      <c r="U43" s="110"/>
      <c r="V43" s="111" t="s">
        <v>215</v>
      </c>
      <c r="W43" s="110"/>
      <c r="X43" s="110"/>
      <c r="Y43" s="110"/>
      <c r="Z43" s="112" t="s">
        <v>215</v>
      </c>
      <c r="AA43" s="113" t="s">
        <v>215</v>
      </c>
      <c r="AB43" s="114" t="s">
        <v>215</v>
      </c>
      <c r="AC43" s="113" t="s">
        <v>215</v>
      </c>
      <c r="AD43" s="121" t="s">
        <v>215</v>
      </c>
      <c r="AE43" s="115" t="s">
        <v>215</v>
      </c>
      <c r="AF43" s="116"/>
      <c r="AG43" s="117"/>
      <c r="AH43" s="118"/>
      <c r="AI43" s="119"/>
      <c r="AJ43" s="119"/>
      <c r="AK43" s="117"/>
      <c r="AL43" s="11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3">
      <c r="A44" s="220"/>
      <c r="B44" s="266"/>
      <c r="C44" s="266"/>
      <c r="D44" s="266"/>
      <c r="E44" s="133"/>
      <c r="F44" s="281"/>
      <c r="G44" s="137"/>
      <c r="H44" s="266"/>
      <c r="I44" s="275"/>
      <c r="J44" s="259"/>
      <c r="K44" s="256"/>
      <c r="L44" s="278"/>
      <c r="M44" s="256">
        <f ca="1">IF(NOT(ISERROR(MATCH(L44,_xlfn.ANCHORARRAY(F55),0))),K57&amp;"Por favor no seleccionar los criterios de impacto",L44)</f>
        <v>0</v>
      </c>
      <c r="N44" s="259"/>
      <c r="O44" s="256"/>
      <c r="P44" s="262"/>
      <c r="Q44" s="107">
        <v>3</v>
      </c>
      <c r="R44" s="120"/>
      <c r="S44" s="109" t="s">
        <v>215</v>
      </c>
      <c r="T44" s="110"/>
      <c r="U44" s="110"/>
      <c r="V44" s="111" t="s">
        <v>215</v>
      </c>
      <c r="W44" s="110"/>
      <c r="X44" s="110"/>
      <c r="Y44" s="110"/>
      <c r="Z44" s="112" t="s">
        <v>215</v>
      </c>
      <c r="AA44" s="113" t="s">
        <v>215</v>
      </c>
      <c r="AB44" s="114" t="s">
        <v>215</v>
      </c>
      <c r="AC44" s="113" t="s">
        <v>215</v>
      </c>
      <c r="AD44" s="121" t="s">
        <v>215</v>
      </c>
      <c r="AE44" s="115" t="s">
        <v>215</v>
      </c>
      <c r="AF44" s="116"/>
      <c r="AG44" s="117"/>
      <c r="AH44" s="118"/>
      <c r="AI44" s="119"/>
      <c r="AJ44" s="119"/>
      <c r="AK44" s="117"/>
      <c r="AL44" s="11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3">
      <c r="A45" s="220"/>
      <c r="B45" s="266"/>
      <c r="C45" s="266"/>
      <c r="D45" s="266"/>
      <c r="E45" s="133"/>
      <c r="F45" s="281"/>
      <c r="G45" s="137"/>
      <c r="H45" s="266"/>
      <c r="I45" s="275"/>
      <c r="J45" s="259"/>
      <c r="K45" s="256"/>
      <c r="L45" s="278"/>
      <c r="M45" s="256">
        <f ca="1">IF(NOT(ISERROR(MATCH(L45,_xlfn.ANCHORARRAY(F56),0))),K58&amp;"Por favor no seleccionar los criterios de impacto",L45)</f>
        <v>0</v>
      </c>
      <c r="N45" s="259"/>
      <c r="O45" s="256"/>
      <c r="P45" s="262"/>
      <c r="Q45" s="107">
        <v>4</v>
      </c>
      <c r="R45" s="108"/>
      <c r="S45" s="109" t="s">
        <v>215</v>
      </c>
      <c r="T45" s="110"/>
      <c r="U45" s="110"/>
      <c r="V45" s="111" t="s">
        <v>215</v>
      </c>
      <c r="W45" s="110"/>
      <c r="X45" s="110"/>
      <c r="Y45" s="110"/>
      <c r="Z45" s="112" t="s">
        <v>215</v>
      </c>
      <c r="AA45" s="113" t="s">
        <v>215</v>
      </c>
      <c r="AB45" s="114" t="s">
        <v>215</v>
      </c>
      <c r="AC45" s="113" t="s">
        <v>215</v>
      </c>
      <c r="AD45" s="121" t="s">
        <v>215</v>
      </c>
      <c r="AE45" s="115" t="s">
        <v>215</v>
      </c>
      <c r="AF45" s="116"/>
      <c r="AG45" s="117"/>
      <c r="AH45" s="118"/>
      <c r="AI45" s="119"/>
      <c r="AJ45" s="119"/>
      <c r="AK45" s="117"/>
      <c r="AL45" s="11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3">
      <c r="A46" s="220"/>
      <c r="B46" s="266"/>
      <c r="C46" s="266"/>
      <c r="D46" s="266"/>
      <c r="E46" s="133"/>
      <c r="F46" s="281"/>
      <c r="G46" s="137"/>
      <c r="H46" s="266"/>
      <c r="I46" s="275"/>
      <c r="J46" s="259"/>
      <c r="K46" s="256"/>
      <c r="L46" s="278"/>
      <c r="M46" s="256">
        <f ca="1">IF(NOT(ISERROR(MATCH(L46,_xlfn.ANCHORARRAY(F57),0))),K59&amp;"Por favor no seleccionar los criterios de impacto",L46)</f>
        <v>0</v>
      </c>
      <c r="N46" s="259"/>
      <c r="O46" s="256"/>
      <c r="P46" s="262"/>
      <c r="Q46" s="107">
        <v>5</v>
      </c>
      <c r="R46" s="108"/>
      <c r="S46" s="109" t="s">
        <v>215</v>
      </c>
      <c r="T46" s="110"/>
      <c r="U46" s="110"/>
      <c r="V46" s="111" t="s">
        <v>215</v>
      </c>
      <c r="W46" s="110"/>
      <c r="X46" s="110"/>
      <c r="Y46" s="110"/>
      <c r="Z46" s="112" t="s">
        <v>215</v>
      </c>
      <c r="AA46" s="113" t="s">
        <v>215</v>
      </c>
      <c r="AB46" s="114" t="s">
        <v>215</v>
      </c>
      <c r="AC46" s="113" t="s">
        <v>215</v>
      </c>
      <c r="AD46" s="121" t="s">
        <v>215</v>
      </c>
      <c r="AE46" s="115" t="s">
        <v>215</v>
      </c>
      <c r="AF46" s="116"/>
      <c r="AG46" s="117"/>
      <c r="AH46" s="118"/>
      <c r="AI46" s="119"/>
      <c r="AJ46" s="119"/>
      <c r="AK46" s="117"/>
      <c r="AL46" s="11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3">
      <c r="A47" s="264"/>
      <c r="B47" s="267"/>
      <c r="C47" s="267"/>
      <c r="D47" s="267"/>
      <c r="E47" s="134"/>
      <c r="F47" s="282"/>
      <c r="G47" s="138"/>
      <c r="H47" s="267"/>
      <c r="I47" s="276"/>
      <c r="J47" s="260"/>
      <c r="K47" s="257"/>
      <c r="L47" s="279"/>
      <c r="M47" s="257">
        <f ca="1">IF(NOT(ISERROR(MATCH(L47,_xlfn.ANCHORARRAY(F58),0))),K60&amp;"Por favor no seleccionar los criterios de impacto",L47)</f>
        <v>0</v>
      </c>
      <c r="N47" s="260"/>
      <c r="O47" s="257"/>
      <c r="P47" s="263"/>
      <c r="Q47" s="107">
        <v>6</v>
      </c>
      <c r="R47" s="108"/>
      <c r="S47" s="109" t="s">
        <v>215</v>
      </c>
      <c r="T47" s="110"/>
      <c r="U47" s="110"/>
      <c r="V47" s="111" t="s">
        <v>215</v>
      </c>
      <c r="W47" s="110"/>
      <c r="X47" s="110"/>
      <c r="Y47" s="110"/>
      <c r="Z47" s="112" t="s">
        <v>215</v>
      </c>
      <c r="AA47" s="113" t="s">
        <v>215</v>
      </c>
      <c r="AB47" s="114" t="s">
        <v>215</v>
      </c>
      <c r="AC47" s="113" t="s">
        <v>215</v>
      </c>
      <c r="AD47" s="121" t="s">
        <v>215</v>
      </c>
      <c r="AE47" s="115" t="s">
        <v>215</v>
      </c>
      <c r="AF47" s="116"/>
      <c r="AG47" s="117"/>
      <c r="AH47" s="118"/>
      <c r="AI47" s="119"/>
      <c r="AJ47" s="119"/>
      <c r="AK47" s="117"/>
      <c r="AL47" s="11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3">
      <c r="A48" s="219">
        <v>8</v>
      </c>
      <c r="B48" s="265"/>
      <c r="C48" s="265"/>
      <c r="D48" s="265"/>
      <c r="E48" s="132"/>
      <c r="F48" s="280"/>
      <c r="G48" s="136"/>
      <c r="H48" s="265"/>
      <c r="I48" s="274"/>
      <c r="J48" s="258" t="str">
        <f t="shared" ref="J48" si="57">IF(I48&lt;=0,"",IF(I48&lt;=2,"Muy Baja",IF(I48&lt;=24,"Baja",IF(I48&lt;=500,"Media",IF(I48&lt;=5000,"Alta","Muy Alta")))))</f>
        <v/>
      </c>
      <c r="K48" s="255" t="str">
        <f t="shared" ref="K48" si="58">IF(J48="","",IF(J48="Muy Baja",0.2,IF(J48="Baja",0.4,IF(J48="Media",0.6,IF(J48="Alta",0.8,IF(J48="Muy Alta",1,))))))</f>
        <v/>
      </c>
      <c r="L48" s="277"/>
      <c r="M48" s="255">
        <f ca="1">IF(NOT(ISERROR(MATCH(L48,'Tabla Impacto'!$B$221:$B$223,0))),'Tabla Impacto'!$F$223&amp;"Por favor no seleccionar los criterios de impacto(Afectación Económica o presupuestal y Pérdida Reputacional)",L48)</f>
        <v>0</v>
      </c>
      <c r="N48" s="258" t="str">
        <f ca="1">IF(OR(M48='Tabla Impacto'!$C$11,M48='Tabla Impacto'!$D$11),"Leve",IF(OR(M48='Tabla Impacto'!$C$12,M48='Tabla Impacto'!$D$12),"Menor",IF(OR(M48='Tabla Impacto'!$C$13,M48='Tabla Impacto'!$D$13),"Moderado",IF(OR(M48='Tabla Impacto'!$C$14,M48='Tabla Impacto'!$D$14),"Mayor",IF(OR(M48='Tabla Impacto'!$C$15,M48='Tabla Impacto'!$D$15),"Catastrófico","")))))</f>
        <v/>
      </c>
      <c r="O48" s="255" t="str">
        <f t="shared" ref="O48" ca="1" si="59">IF(N48="","",IF(N48="Leve",0.2,IF(N48="Menor",0.4,IF(N48="Moderado",0.6,IF(N48="Mayor",0.8,IF(N48="Catastrófico",1,))))))</f>
        <v/>
      </c>
      <c r="P48" s="261" t="str">
        <f t="shared" ref="P48" ca="1" si="60">IF(OR(AND(J48="Muy Baja",N48="Leve"),AND(J48="Muy Baja",N48="Menor"),AND(J48="Baja",N48="Leve")),"Bajo",IF(OR(AND(J48="Muy baja",N48="Moderado"),AND(J48="Baja",N48="Menor"),AND(J48="Baja",N48="Moderado"),AND(J48="Media",N48="Leve"),AND(J48="Media",N48="Menor"),AND(J48="Media",N48="Moderado"),AND(J48="Alta",N48="Leve"),AND(J48="Alta",N48="Menor")),"Moderado",IF(OR(AND(J48="Muy Baja",N48="Mayor"),AND(J48="Baja",N48="Mayor"),AND(J48="Media",N48="Mayor"),AND(J48="Alta",N48="Moderado"),AND(J48="Alta",N48="Mayor"),AND(J48="Muy Alta",N48="Leve"),AND(J48="Muy Alta",N48="Menor"),AND(J48="Muy Alta",N48="Moderado"),AND(J48="Muy Alta",N48="Mayor")),"Alto",IF(OR(AND(J48="Muy Baja",N48="Catastrófico"),AND(J48="Baja",N48="Catastrófico"),AND(J48="Media",N48="Catastrófico"),AND(J48="Alta",N48="Catastrófico"),AND(J48="Muy Alta",N48="Catastrófico")),"Extremo",""))))</f>
        <v/>
      </c>
      <c r="Q48" s="107">
        <v>1</v>
      </c>
      <c r="R48" s="108"/>
      <c r="S48" s="109" t="str">
        <f>IF(OR(T48="Preventivo",T48="Detectivo"),"Probabilidad",IF(T48="Correctivo","Impacto",""))</f>
        <v/>
      </c>
      <c r="T48" s="110"/>
      <c r="U48" s="110"/>
      <c r="V48" s="111" t="str">
        <f>IF(AND(T48="Preventivo",U48="Automático"),"50%",IF(AND(T48="Preventivo",U48="Manual"),"40%",IF(AND(T48="Detectivo",U48="Automático"),"40%",IF(AND(T48="Detectivo",U48="Manual"),"30%",IF(AND(T48="Correctivo",U48="Automático"),"35%",IF(AND(T48="Correctivo",U48="Manual"),"25%",""))))))</f>
        <v/>
      </c>
      <c r="W48" s="110"/>
      <c r="X48" s="110"/>
      <c r="Y48" s="110"/>
      <c r="Z48" s="112" t="str">
        <f>IFERROR(IF(S48="Probabilidad",(K48-(+K48*V48)),IF(S48="Impacto",K48,"")),"")</f>
        <v/>
      </c>
      <c r="AA48" s="113" t="str">
        <f>IFERROR(IF(Z48="","",IF(Z48&lt;=0.2,"Muy Baja",IF(Z48&lt;=0.4,"Baja",IF(Z48&lt;=0.6,"Media",IF(Z48&lt;=0.8,"Alta","Muy Alta"))))),"")</f>
        <v/>
      </c>
      <c r="AB48" s="114" t="str">
        <f>+Z48</f>
        <v/>
      </c>
      <c r="AC48" s="113" t="str">
        <f>IFERROR(IF(AD48="","",IF(AD48&lt;=0.2,"Leve",IF(AD48&lt;=0.4,"Menor",IF(AD48&lt;=0.6,"Moderado",IF(AD48&lt;=0.8,"Mayor","Catastrófico"))))),"")</f>
        <v/>
      </c>
      <c r="AD48" s="121" t="str">
        <f>IFERROR(IF(S48="Impacto",(O48-(+O48*V48)),IF(S48="Probabilidad",O48,"")),"")</f>
        <v/>
      </c>
      <c r="AE48" s="115" t="str">
        <f>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16"/>
      <c r="AG48" s="117"/>
      <c r="AH48" s="118"/>
      <c r="AI48" s="119"/>
      <c r="AJ48" s="119"/>
      <c r="AK48" s="117"/>
      <c r="AL48" s="11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3">
      <c r="A49" s="220"/>
      <c r="B49" s="266"/>
      <c r="C49" s="266"/>
      <c r="D49" s="266"/>
      <c r="E49" s="133"/>
      <c r="F49" s="281"/>
      <c r="G49" s="137"/>
      <c r="H49" s="266"/>
      <c r="I49" s="275"/>
      <c r="J49" s="259"/>
      <c r="K49" s="256"/>
      <c r="L49" s="278"/>
      <c r="M49" s="256">
        <f ca="1">IF(NOT(ISERROR(MATCH(L49,_xlfn.ANCHORARRAY(F60),0))),K62&amp;"Por favor no seleccionar los criterios de impacto",L49)</f>
        <v>0</v>
      </c>
      <c r="N49" s="259"/>
      <c r="O49" s="256"/>
      <c r="P49" s="262"/>
      <c r="Q49" s="107">
        <v>2</v>
      </c>
      <c r="R49" s="108"/>
      <c r="S49" s="109" t="str">
        <f>IF(OR(T49="Preventivo",T49="Detectivo"),"Probabilidad",IF(T49="Correctivo","Impacto",""))</f>
        <v/>
      </c>
      <c r="T49" s="110"/>
      <c r="U49" s="110"/>
      <c r="V49" s="111" t="str">
        <f t="shared" ref="V49:V53" si="61">IF(AND(T49="Preventivo",U49="Automático"),"50%",IF(AND(T49="Preventivo",U49="Manual"),"40%",IF(AND(T49="Detectivo",U49="Automático"),"40%",IF(AND(T49="Detectivo",U49="Manual"),"30%",IF(AND(T49="Correctivo",U49="Automático"),"35%",IF(AND(T49="Correctivo",U49="Manual"),"25%",""))))))</f>
        <v/>
      </c>
      <c r="W49" s="110"/>
      <c r="X49" s="110"/>
      <c r="Y49" s="110"/>
      <c r="Z49" s="112" t="str">
        <f>IFERROR(IF(AND(S48="Probabilidad",S49="Probabilidad"),(AB48-(+AB48*V49)),IF(S49="Probabilidad",(K48-(+K48*V49)),IF(S49="Impacto",AB48,""))),"")</f>
        <v/>
      </c>
      <c r="AA49" s="113" t="str">
        <f t="shared" ref="AA49:AA65" si="62">IFERROR(IF(Z49="","",IF(Z49&lt;=0.2,"Muy Baja",IF(Z49&lt;=0.4,"Baja",IF(Z49&lt;=0.6,"Media",IF(Z49&lt;=0.8,"Alta","Muy Alta"))))),"")</f>
        <v/>
      </c>
      <c r="AB49" s="114" t="str">
        <f t="shared" ref="AB49:AB53" si="63">+Z49</f>
        <v/>
      </c>
      <c r="AC49" s="113" t="str">
        <f t="shared" ref="AC49:AC65" si="64">IFERROR(IF(AD49="","",IF(AD49&lt;=0.2,"Leve",IF(AD49&lt;=0.4,"Menor",IF(AD49&lt;=0.6,"Moderado",IF(AD49&lt;=0.8,"Mayor","Catastrófico"))))),"")</f>
        <v/>
      </c>
      <c r="AD49" s="121" t="str">
        <f>IFERROR(IF(AND(S48="Impacto",S49="Impacto"),(AD48-(+AD48*V49)),IF(S49="Impacto",(O48-(+O48*V49)),IF(S49="Probabilidad",AD48,""))),"")</f>
        <v/>
      </c>
      <c r="AE49" s="115" t="str">
        <f t="shared" ref="AE49:AE50" si="65">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16"/>
      <c r="AG49" s="117"/>
      <c r="AH49" s="118"/>
      <c r="AI49" s="119"/>
      <c r="AJ49" s="119"/>
      <c r="AK49" s="117"/>
      <c r="AL49" s="11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3">
      <c r="A50" s="220"/>
      <c r="B50" s="266"/>
      <c r="C50" s="266"/>
      <c r="D50" s="266"/>
      <c r="E50" s="133"/>
      <c r="F50" s="281"/>
      <c r="G50" s="137"/>
      <c r="H50" s="266"/>
      <c r="I50" s="275"/>
      <c r="J50" s="259"/>
      <c r="K50" s="256"/>
      <c r="L50" s="278"/>
      <c r="M50" s="256">
        <f ca="1">IF(NOT(ISERROR(MATCH(L50,_xlfn.ANCHORARRAY(F61),0))),K63&amp;"Por favor no seleccionar los criterios de impacto",L50)</f>
        <v>0</v>
      </c>
      <c r="N50" s="259"/>
      <c r="O50" s="256"/>
      <c r="P50" s="262"/>
      <c r="Q50" s="107">
        <v>3</v>
      </c>
      <c r="R50" s="120"/>
      <c r="S50" s="109" t="str">
        <f>IF(OR(T50="Preventivo",T50="Detectivo"),"Probabilidad",IF(T50="Correctivo","Impacto",""))</f>
        <v/>
      </c>
      <c r="T50" s="110"/>
      <c r="U50" s="110"/>
      <c r="V50" s="111" t="str">
        <f t="shared" si="61"/>
        <v/>
      </c>
      <c r="W50" s="110"/>
      <c r="X50" s="110"/>
      <c r="Y50" s="110"/>
      <c r="Z50" s="112" t="str">
        <f>IFERROR(IF(AND(S49="Probabilidad",S50="Probabilidad"),(AB49-(+AB49*V50)),IF(AND(S49="Impacto",S50="Probabilidad"),(AB48-(+AB48*V50)),IF(S50="Impacto",AB49,""))),"")</f>
        <v/>
      </c>
      <c r="AA50" s="113" t="str">
        <f t="shared" si="62"/>
        <v/>
      </c>
      <c r="AB50" s="114" t="str">
        <f t="shared" si="63"/>
        <v/>
      </c>
      <c r="AC50" s="113" t="str">
        <f t="shared" si="64"/>
        <v/>
      </c>
      <c r="AD50" s="121" t="str">
        <f>IFERROR(IF(AND(S49="Impacto",S50="Impacto"),(AD49-(+AD49*V50)),IF(AND(S49="Probabilidad",S50="Impacto"),(AD48-(+AD48*V50)),IF(S50="Probabilidad",AD49,""))),"")</f>
        <v/>
      </c>
      <c r="AE50" s="115" t="str">
        <f t="shared" si="65"/>
        <v/>
      </c>
      <c r="AF50" s="116"/>
      <c r="AG50" s="117"/>
      <c r="AH50" s="118"/>
      <c r="AI50" s="119"/>
      <c r="AJ50" s="119"/>
      <c r="AK50" s="117"/>
      <c r="AL50" s="11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3">
      <c r="A51" s="220"/>
      <c r="B51" s="266"/>
      <c r="C51" s="266"/>
      <c r="D51" s="266"/>
      <c r="E51" s="133"/>
      <c r="F51" s="281"/>
      <c r="G51" s="137"/>
      <c r="H51" s="266"/>
      <c r="I51" s="275"/>
      <c r="J51" s="259"/>
      <c r="K51" s="256"/>
      <c r="L51" s="278"/>
      <c r="M51" s="256">
        <f ca="1">IF(NOT(ISERROR(MATCH(L51,_xlfn.ANCHORARRAY(F62),0))),K64&amp;"Por favor no seleccionar los criterios de impacto",L51)</f>
        <v>0</v>
      </c>
      <c r="N51" s="259"/>
      <c r="O51" s="256"/>
      <c r="P51" s="262"/>
      <c r="Q51" s="107">
        <v>4</v>
      </c>
      <c r="R51" s="108"/>
      <c r="S51" s="109" t="str">
        <f t="shared" ref="S51:S53" si="66">IF(OR(T51="Preventivo",T51="Detectivo"),"Probabilidad",IF(T51="Correctivo","Impacto",""))</f>
        <v/>
      </c>
      <c r="T51" s="110"/>
      <c r="U51" s="110"/>
      <c r="V51" s="111" t="str">
        <f t="shared" si="61"/>
        <v/>
      </c>
      <c r="W51" s="110"/>
      <c r="X51" s="110"/>
      <c r="Y51" s="110"/>
      <c r="Z51" s="112" t="str">
        <f t="shared" ref="Z51:Z53" si="67">IFERROR(IF(AND(S50="Probabilidad",S51="Probabilidad"),(AB50-(+AB50*V51)),IF(AND(S50="Impacto",S51="Probabilidad"),(AB49-(+AB49*V51)),IF(S51="Impacto",AB50,""))),"")</f>
        <v/>
      </c>
      <c r="AA51" s="113" t="str">
        <f t="shared" si="62"/>
        <v/>
      </c>
      <c r="AB51" s="114" t="str">
        <f t="shared" si="63"/>
        <v/>
      </c>
      <c r="AC51" s="113" t="str">
        <f t="shared" si="64"/>
        <v/>
      </c>
      <c r="AD51" s="121" t="str">
        <f t="shared" ref="AD51:AD53" si="68">IFERROR(IF(AND(S50="Impacto",S51="Impacto"),(AD50-(+AD50*V51)),IF(AND(S50="Probabilidad",S51="Impacto"),(AD49-(+AD49*V51)),IF(S51="Probabilidad",AD50,""))),"")</f>
        <v/>
      </c>
      <c r="AE51" s="115" t="str">
        <f>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16"/>
      <c r="AG51" s="117"/>
      <c r="AH51" s="118"/>
      <c r="AI51" s="119"/>
      <c r="AJ51" s="119"/>
      <c r="AK51" s="117"/>
      <c r="AL51" s="11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3">
      <c r="A52" s="220"/>
      <c r="B52" s="266"/>
      <c r="C52" s="266"/>
      <c r="D52" s="266"/>
      <c r="E52" s="133"/>
      <c r="F52" s="281"/>
      <c r="G52" s="137"/>
      <c r="H52" s="266"/>
      <c r="I52" s="275"/>
      <c r="J52" s="259"/>
      <c r="K52" s="256"/>
      <c r="L52" s="278"/>
      <c r="M52" s="256">
        <f ca="1">IF(NOT(ISERROR(MATCH(L52,_xlfn.ANCHORARRAY(F63),0))),K65&amp;"Por favor no seleccionar los criterios de impacto",L52)</f>
        <v>0</v>
      </c>
      <c r="N52" s="259"/>
      <c r="O52" s="256"/>
      <c r="P52" s="262"/>
      <c r="Q52" s="107">
        <v>5</v>
      </c>
      <c r="R52" s="108"/>
      <c r="S52" s="109" t="str">
        <f t="shared" si="66"/>
        <v/>
      </c>
      <c r="T52" s="110"/>
      <c r="U52" s="110"/>
      <c r="V52" s="111" t="str">
        <f t="shared" si="61"/>
        <v/>
      </c>
      <c r="W52" s="110"/>
      <c r="X52" s="110"/>
      <c r="Y52" s="110"/>
      <c r="Z52" s="112" t="str">
        <f t="shared" si="67"/>
        <v/>
      </c>
      <c r="AA52" s="113" t="str">
        <f t="shared" si="62"/>
        <v/>
      </c>
      <c r="AB52" s="114" t="str">
        <f t="shared" si="63"/>
        <v/>
      </c>
      <c r="AC52" s="113" t="str">
        <f t="shared" si="64"/>
        <v/>
      </c>
      <c r="AD52" s="121" t="str">
        <f t="shared" si="68"/>
        <v/>
      </c>
      <c r="AE52" s="115" t="str">
        <f t="shared" ref="AE52:AE53" si="69">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6"/>
      <c r="AG52" s="117"/>
      <c r="AH52" s="118"/>
      <c r="AI52" s="119"/>
      <c r="AJ52" s="119"/>
      <c r="AK52" s="117"/>
      <c r="AL52" s="11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3">
      <c r="A53" s="264"/>
      <c r="B53" s="267"/>
      <c r="C53" s="267"/>
      <c r="D53" s="267"/>
      <c r="E53" s="134"/>
      <c r="F53" s="282"/>
      <c r="G53" s="138"/>
      <c r="H53" s="267"/>
      <c r="I53" s="276"/>
      <c r="J53" s="260"/>
      <c r="K53" s="257"/>
      <c r="L53" s="279"/>
      <c r="M53" s="257">
        <f ca="1">IF(NOT(ISERROR(MATCH(L53,_xlfn.ANCHORARRAY(F64),0))),K66&amp;"Por favor no seleccionar los criterios de impacto",L53)</f>
        <v>0</v>
      </c>
      <c r="N53" s="260"/>
      <c r="O53" s="257"/>
      <c r="P53" s="263"/>
      <c r="Q53" s="107">
        <v>6</v>
      </c>
      <c r="R53" s="108"/>
      <c r="S53" s="109" t="str">
        <f t="shared" si="66"/>
        <v/>
      </c>
      <c r="T53" s="110"/>
      <c r="U53" s="110"/>
      <c r="V53" s="111" t="str">
        <f t="shared" si="61"/>
        <v/>
      </c>
      <c r="W53" s="110"/>
      <c r="X53" s="110"/>
      <c r="Y53" s="110"/>
      <c r="Z53" s="112" t="str">
        <f t="shared" si="67"/>
        <v/>
      </c>
      <c r="AA53" s="113" t="str">
        <f t="shared" si="62"/>
        <v/>
      </c>
      <c r="AB53" s="114" t="str">
        <f t="shared" si="63"/>
        <v/>
      </c>
      <c r="AC53" s="113" t="str">
        <f t="shared" si="64"/>
        <v/>
      </c>
      <c r="AD53" s="121" t="str">
        <f t="shared" si="68"/>
        <v/>
      </c>
      <c r="AE53" s="115" t="str">
        <f t="shared" si="69"/>
        <v/>
      </c>
      <c r="AF53" s="116"/>
      <c r="AG53" s="117"/>
      <c r="AH53" s="118"/>
      <c r="AI53" s="119"/>
      <c r="AJ53" s="119"/>
      <c r="AK53" s="117"/>
      <c r="AL53" s="11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3">
      <c r="A54" s="219">
        <v>9</v>
      </c>
      <c r="B54" s="265"/>
      <c r="C54" s="265"/>
      <c r="D54" s="265"/>
      <c r="E54" s="132"/>
      <c r="F54" s="280"/>
      <c r="G54" s="136"/>
      <c r="H54" s="265"/>
      <c r="I54" s="274"/>
      <c r="J54" s="258" t="str">
        <f t="shared" ref="J54" si="70">IF(I54&lt;=0,"",IF(I54&lt;=2,"Muy Baja",IF(I54&lt;=24,"Baja",IF(I54&lt;=500,"Media",IF(I54&lt;=5000,"Alta","Muy Alta")))))</f>
        <v/>
      </c>
      <c r="K54" s="255" t="str">
        <f t="shared" ref="K54" si="71">IF(J54="","",IF(J54="Muy Baja",0.2,IF(J54="Baja",0.4,IF(J54="Media",0.6,IF(J54="Alta",0.8,IF(J54="Muy Alta",1,))))))</f>
        <v/>
      </c>
      <c r="L54" s="277"/>
      <c r="M54" s="255">
        <f ca="1">IF(NOT(ISERROR(MATCH(L54,'Tabla Impacto'!$B$221:$B$223,0))),'Tabla Impacto'!$F$223&amp;"Por favor no seleccionar los criterios de impacto(Afectación Económica o presupuestal y Pérdida Reputacional)",L54)</f>
        <v>0</v>
      </c>
      <c r="N54" s="258" t="str">
        <f ca="1">IF(OR(M54='Tabla Impacto'!$C$11,M54='Tabla Impacto'!$D$11),"Leve",IF(OR(M54='Tabla Impacto'!$C$12,M54='Tabla Impacto'!$D$12),"Menor",IF(OR(M54='Tabla Impacto'!$C$13,M54='Tabla Impacto'!$D$13),"Moderado",IF(OR(M54='Tabla Impacto'!$C$14,M54='Tabla Impacto'!$D$14),"Mayor",IF(OR(M54='Tabla Impacto'!$C$15,M54='Tabla Impacto'!$D$15),"Catastrófico","")))))</f>
        <v/>
      </c>
      <c r="O54" s="255" t="str">
        <f t="shared" ref="O54" ca="1" si="72">IF(N54="","",IF(N54="Leve",0.2,IF(N54="Menor",0.4,IF(N54="Moderado",0.6,IF(N54="Mayor",0.8,IF(N54="Catastrófico",1,))))))</f>
        <v/>
      </c>
      <c r="P54" s="261" t="str">
        <f t="shared" ref="P54" ca="1" si="73">IF(OR(AND(J54="Muy Baja",N54="Leve"),AND(J54="Muy Baja",N54="Menor"),AND(J54="Baja",N54="Leve")),"Bajo",IF(OR(AND(J54="Muy baja",N54="Moderado"),AND(J54="Baja",N54="Menor"),AND(J54="Baja",N54="Moderado"),AND(J54="Media",N54="Leve"),AND(J54="Media",N54="Menor"),AND(J54="Media",N54="Moderado"),AND(J54="Alta",N54="Leve"),AND(J54="Alta",N54="Menor")),"Moderado",IF(OR(AND(J54="Muy Baja",N54="Mayor"),AND(J54="Baja",N54="Mayor"),AND(J54="Media",N54="Mayor"),AND(J54="Alta",N54="Moderado"),AND(J54="Alta",N54="Mayor"),AND(J54="Muy Alta",N54="Leve"),AND(J54="Muy Alta",N54="Menor"),AND(J54="Muy Alta",N54="Moderado"),AND(J54="Muy Alta",N54="Mayor")),"Alto",IF(OR(AND(J54="Muy Baja",N54="Catastrófico"),AND(J54="Baja",N54="Catastrófico"),AND(J54="Media",N54="Catastrófico"),AND(J54="Alta",N54="Catastrófico"),AND(J54="Muy Alta",N54="Catastrófico")),"Extremo",""))))</f>
        <v/>
      </c>
      <c r="Q54" s="107">
        <v>1</v>
      </c>
      <c r="R54" s="108"/>
      <c r="S54" s="109" t="str">
        <f>IF(OR(T54="Preventivo",T54="Detectivo"),"Probabilidad",IF(T54="Correctivo","Impacto",""))</f>
        <v/>
      </c>
      <c r="T54" s="110"/>
      <c r="U54" s="110"/>
      <c r="V54" s="111" t="str">
        <f>IF(AND(T54="Preventivo",U54="Automático"),"50%",IF(AND(T54="Preventivo",U54="Manual"),"40%",IF(AND(T54="Detectivo",U54="Automático"),"40%",IF(AND(T54="Detectivo",U54="Manual"),"30%",IF(AND(T54="Correctivo",U54="Automático"),"35%",IF(AND(T54="Correctivo",U54="Manual"),"25%",""))))))</f>
        <v/>
      </c>
      <c r="W54" s="110"/>
      <c r="X54" s="110"/>
      <c r="Y54" s="110"/>
      <c r="Z54" s="112" t="str">
        <f>IFERROR(IF(S54="Probabilidad",(K54-(+K54*V54)),IF(S54="Impacto",K54,"")),"")</f>
        <v/>
      </c>
      <c r="AA54" s="113" t="str">
        <f>IFERROR(IF(Z54="","",IF(Z54&lt;=0.2,"Muy Baja",IF(Z54&lt;=0.4,"Baja",IF(Z54&lt;=0.6,"Media",IF(Z54&lt;=0.8,"Alta","Muy Alta"))))),"")</f>
        <v/>
      </c>
      <c r="AB54" s="114" t="str">
        <f>+Z54</f>
        <v/>
      </c>
      <c r="AC54" s="113" t="str">
        <f>IFERROR(IF(AD54="","",IF(AD54&lt;=0.2,"Leve",IF(AD54&lt;=0.4,"Menor",IF(AD54&lt;=0.6,"Moderado",IF(AD54&lt;=0.8,"Mayor","Catastrófico"))))),"")</f>
        <v/>
      </c>
      <c r="AD54" s="121" t="str">
        <f>IFERROR(IF(S54="Impacto",(O54-(+O54*V54)),IF(S54="Probabilidad",O54,"")),"")</f>
        <v/>
      </c>
      <c r="AE54" s="115" t="str">
        <f>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16"/>
      <c r="AG54" s="117"/>
      <c r="AH54" s="118"/>
      <c r="AI54" s="119"/>
      <c r="AJ54" s="119"/>
      <c r="AK54" s="117"/>
      <c r="AL54" s="11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3">
      <c r="A55" s="220"/>
      <c r="B55" s="266"/>
      <c r="C55" s="266"/>
      <c r="D55" s="266"/>
      <c r="E55" s="133"/>
      <c r="F55" s="281"/>
      <c r="G55" s="137"/>
      <c r="H55" s="266"/>
      <c r="I55" s="275"/>
      <c r="J55" s="259"/>
      <c r="K55" s="256"/>
      <c r="L55" s="278"/>
      <c r="M55" s="256">
        <f ca="1">IF(NOT(ISERROR(MATCH(L55,_xlfn.ANCHORARRAY(F66),0))),K68&amp;"Por favor no seleccionar los criterios de impacto",L55)</f>
        <v>0</v>
      </c>
      <c r="N55" s="259"/>
      <c r="O55" s="256"/>
      <c r="P55" s="262"/>
      <c r="Q55" s="107">
        <v>2</v>
      </c>
      <c r="R55" s="108"/>
      <c r="S55" s="109" t="str">
        <f>IF(OR(T55="Preventivo",T55="Detectivo"),"Probabilidad",IF(T55="Correctivo","Impacto",""))</f>
        <v/>
      </c>
      <c r="T55" s="110"/>
      <c r="U55" s="110"/>
      <c r="V55" s="111" t="str">
        <f t="shared" ref="V55:V59" si="74">IF(AND(T55="Preventivo",U55="Automático"),"50%",IF(AND(T55="Preventivo",U55="Manual"),"40%",IF(AND(T55="Detectivo",U55="Automático"),"40%",IF(AND(T55="Detectivo",U55="Manual"),"30%",IF(AND(T55="Correctivo",U55="Automático"),"35%",IF(AND(T55="Correctivo",U55="Manual"),"25%",""))))))</f>
        <v/>
      </c>
      <c r="W55" s="110"/>
      <c r="X55" s="110"/>
      <c r="Y55" s="110"/>
      <c r="Z55" s="112" t="str">
        <f>IFERROR(IF(AND(S54="Probabilidad",S55="Probabilidad"),(AB54-(+AB54*V55)),IF(S55="Probabilidad",(K54-(+K54*V55)),IF(S55="Impacto",AB54,""))),"")</f>
        <v/>
      </c>
      <c r="AA55" s="113" t="str">
        <f t="shared" si="62"/>
        <v/>
      </c>
      <c r="AB55" s="114" t="str">
        <f t="shared" ref="AB55:AB59" si="75">+Z55</f>
        <v/>
      </c>
      <c r="AC55" s="113" t="str">
        <f t="shared" si="64"/>
        <v/>
      </c>
      <c r="AD55" s="121" t="str">
        <f>IFERROR(IF(AND(S54="Impacto",S55="Impacto"),(AD54-(+AD54*V55)),IF(S55="Impacto",(O54-(+O54*V55)),IF(S55="Probabilidad",AD54,""))),"")</f>
        <v/>
      </c>
      <c r="AE55" s="115" t="str">
        <f t="shared" ref="AE55:AE56" si="76">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6"/>
      <c r="AG55" s="117"/>
      <c r="AH55" s="118"/>
      <c r="AI55" s="119"/>
      <c r="AJ55" s="119"/>
      <c r="AK55" s="117"/>
      <c r="AL55" s="11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3">
      <c r="A56" s="220"/>
      <c r="B56" s="266"/>
      <c r="C56" s="266"/>
      <c r="D56" s="266"/>
      <c r="E56" s="133"/>
      <c r="F56" s="281"/>
      <c r="G56" s="137"/>
      <c r="H56" s="266"/>
      <c r="I56" s="275"/>
      <c r="J56" s="259"/>
      <c r="K56" s="256"/>
      <c r="L56" s="278"/>
      <c r="M56" s="256">
        <f ca="1">IF(NOT(ISERROR(MATCH(L56,_xlfn.ANCHORARRAY(F67),0))),K69&amp;"Por favor no seleccionar los criterios de impacto",L56)</f>
        <v>0</v>
      </c>
      <c r="N56" s="259"/>
      <c r="O56" s="256"/>
      <c r="P56" s="262"/>
      <c r="Q56" s="107">
        <v>3</v>
      </c>
      <c r="R56" s="120"/>
      <c r="S56" s="109" t="str">
        <f>IF(OR(T56="Preventivo",T56="Detectivo"),"Probabilidad",IF(T56="Correctivo","Impacto",""))</f>
        <v/>
      </c>
      <c r="T56" s="110"/>
      <c r="U56" s="110"/>
      <c r="V56" s="111" t="str">
        <f t="shared" si="74"/>
        <v/>
      </c>
      <c r="W56" s="110"/>
      <c r="X56" s="110"/>
      <c r="Y56" s="110"/>
      <c r="Z56" s="112" t="str">
        <f>IFERROR(IF(AND(S55="Probabilidad",S56="Probabilidad"),(AB55-(+AB55*V56)),IF(AND(S55="Impacto",S56="Probabilidad"),(AB54-(+AB54*V56)),IF(S56="Impacto",AB55,""))),"")</f>
        <v/>
      </c>
      <c r="AA56" s="113" t="str">
        <f t="shared" si="62"/>
        <v/>
      </c>
      <c r="AB56" s="114" t="str">
        <f t="shared" si="75"/>
        <v/>
      </c>
      <c r="AC56" s="113" t="str">
        <f t="shared" si="64"/>
        <v/>
      </c>
      <c r="AD56" s="121" t="str">
        <f>IFERROR(IF(AND(S55="Impacto",S56="Impacto"),(AD55-(+AD55*V56)),IF(AND(S55="Probabilidad",S56="Impacto"),(AD54-(+AD54*V56)),IF(S56="Probabilidad",AD55,""))),"")</f>
        <v/>
      </c>
      <c r="AE56" s="115" t="str">
        <f t="shared" si="76"/>
        <v/>
      </c>
      <c r="AF56" s="116"/>
      <c r="AG56" s="117"/>
      <c r="AH56" s="118"/>
      <c r="AI56" s="119"/>
      <c r="AJ56" s="119"/>
      <c r="AK56" s="117"/>
      <c r="AL56" s="11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3">
      <c r="A57" s="220"/>
      <c r="B57" s="266"/>
      <c r="C57" s="266"/>
      <c r="D57" s="266"/>
      <c r="E57" s="133"/>
      <c r="F57" s="281"/>
      <c r="G57" s="137"/>
      <c r="H57" s="266"/>
      <c r="I57" s="275"/>
      <c r="J57" s="259"/>
      <c r="K57" s="256"/>
      <c r="L57" s="278"/>
      <c r="M57" s="256">
        <f ca="1">IF(NOT(ISERROR(MATCH(L57,_xlfn.ANCHORARRAY(F68),0))),K70&amp;"Por favor no seleccionar los criterios de impacto",L57)</f>
        <v>0</v>
      </c>
      <c r="N57" s="259"/>
      <c r="O57" s="256"/>
      <c r="P57" s="262"/>
      <c r="Q57" s="107">
        <v>4</v>
      </c>
      <c r="R57" s="108"/>
      <c r="S57" s="109" t="str">
        <f t="shared" ref="S57:S59" si="77">IF(OR(T57="Preventivo",T57="Detectivo"),"Probabilidad",IF(T57="Correctivo","Impacto",""))</f>
        <v/>
      </c>
      <c r="T57" s="110"/>
      <c r="U57" s="110"/>
      <c r="V57" s="111" t="str">
        <f t="shared" si="74"/>
        <v/>
      </c>
      <c r="W57" s="110"/>
      <c r="X57" s="110"/>
      <c r="Y57" s="110"/>
      <c r="Z57" s="112" t="str">
        <f t="shared" ref="Z57:Z59" si="78">IFERROR(IF(AND(S56="Probabilidad",S57="Probabilidad"),(AB56-(+AB56*V57)),IF(AND(S56="Impacto",S57="Probabilidad"),(AB55-(+AB55*V57)),IF(S57="Impacto",AB56,""))),"")</f>
        <v/>
      </c>
      <c r="AA57" s="113" t="str">
        <f t="shared" si="62"/>
        <v/>
      </c>
      <c r="AB57" s="114" t="str">
        <f t="shared" si="75"/>
        <v/>
      </c>
      <c r="AC57" s="113" t="str">
        <f t="shared" si="64"/>
        <v/>
      </c>
      <c r="AD57" s="121" t="str">
        <f t="shared" ref="AD57:AD59" si="79">IFERROR(IF(AND(S56="Impacto",S57="Impacto"),(AD56-(+AD56*V57)),IF(AND(S56="Probabilidad",S57="Impacto"),(AD55-(+AD55*V57)),IF(S57="Probabilidad",AD56,""))),"")</f>
        <v/>
      </c>
      <c r="AE57" s="115" t="str">
        <f>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16"/>
      <c r="AG57" s="117"/>
      <c r="AH57" s="118"/>
      <c r="AI57" s="119"/>
      <c r="AJ57" s="119"/>
      <c r="AK57" s="117"/>
      <c r="AL57" s="11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3">
      <c r="A58" s="220"/>
      <c r="B58" s="266"/>
      <c r="C58" s="266"/>
      <c r="D58" s="266"/>
      <c r="E58" s="133"/>
      <c r="F58" s="281"/>
      <c r="G58" s="137"/>
      <c r="H58" s="266"/>
      <c r="I58" s="275"/>
      <c r="J58" s="259"/>
      <c r="K58" s="256"/>
      <c r="L58" s="278"/>
      <c r="M58" s="256">
        <f ca="1">IF(NOT(ISERROR(MATCH(L58,_xlfn.ANCHORARRAY(F69),0))),K71&amp;"Por favor no seleccionar los criterios de impacto",L58)</f>
        <v>0</v>
      </c>
      <c r="N58" s="259"/>
      <c r="O58" s="256"/>
      <c r="P58" s="262"/>
      <c r="Q58" s="107">
        <v>5</v>
      </c>
      <c r="R58" s="108"/>
      <c r="S58" s="109" t="str">
        <f t="shared" si="77"/>
        <v/>
      </c>
      <c r="T58" s="110"/>
      <c r="U58" s="110"/>
      <c r="V58" s="111" t="str">
        <f t="shared" si="74"/>
        <v/>
      </c>
      <c r="W58" s="110"/>
      <c r="X58" s="110"/>
      <c r="Y58" s="110"/>
      <c r="Z58" s="112" t="str">
        <f t="shared" si="78"/>
        <v/>
      </c>
      <c r="AA58" s="113" t="str">
        <f t="shared" si="62"/>
        <v/>
      </c>
      <c r="AB58" s="114" t="str">
        <f t="shared" si="75"/>
        <v/>
      </c>
      <c r="AC58" s="113" t="str">
        <f t="shared" si="64"/>
        <v/>
      </c>
      <c r="AD58" s="121" t="str">
        <f t="shared" si="79"/>
        <v/>
      </c>
      <c r="AE58" s="115" t="str">
        <f t="shared" ref="AE58:AE59" si="80">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6"/>
      <c r="AG58" s="117"/>
      <c r="AH58" s="118"/>
      <c r="AI58" s="119"/>
      <c r="AJ58" s="119"/>
      <c r="AK58" s="117"/>
      <c r="AL58" s="11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3">
      <c r="A59" s="264"/>
      <c r="B59" s="267"/>
      <c r="C59" s="267"/>
      <c r="D59" s="267"/>
      <c r="E59" s="134"/>
      <c r="F59" s="282"/>
      <c r="G59" s="138"/>
      <c r="H59" s="267"/>
      <c r="I59" s="276"/>
      <c r="J59" s="260"/>
      <c r="K59" s="257"/>
      <c r="L59" s="279"/>
      <c r="M59" s="257">
        <f ca="1">IF(NOT(ISERROR(MATCH(L59,_xlfn.ANCHORARRAY(F70),0))),K72&amp;"Por favor no seleccionar los criterios de impacto",L59)</f>
        <v>0</v>
      </c>
      <c r="N59" s="260"/>
      <c r="O59" s="257"/>
      <c r="P59" s="263"/>
      <c r="Q59" s="107">
        <v>6</v>
      </c>
      <c r="R59" s="108"/>
      <c r="S59" s="109" t="str">
        <f t="shared" si="77"/>
        <v/>
      </c>
      <c r="T59" s="110"/>
      <c r="U59" s="110"/>
      <c r="V59" s="111" t="str">
        <f t="shared" si="74"/>
        <v/>
      </c>
      <c r="W59" s="110"/>
      <c r="X59" s="110"/>
      <c r="Y59" s="110"/>
      <c r="Z59" s="112" t="str">
        <f t="shared" si="78"/>
        <v/>
      </c>
      <c r="AA59" s="113" t="str">
        <f t="shared" si="62"/>
        <v/>
      </c>
      <c r="AB59" s="114" t="str">
        <f t="shared" si="75"/>
        <v/>
      </c>
      <c r="AC59" s="113" t="str">
        <f t="shared" si="64"/>
        <v/>
      </c>
      <c r="AD59" s="121" t="str">
        <f t="shared" si="79"/>
        <v/>
      </c>
      <c r="AE59" s="115" t="str">
        <f t="shared" si="80"/>
        <v/>
      </c>
      <c r="AF59" s="116"/>
      <c r="AG59" s="117"/>
      <c r="AH59" s="118"/>
      <c r="AI59" s="119"/>
      <c r="AJ59" s="119"/>
      <c r="AK59" s="117"/>
      <c r="AL59" s="11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9.5" customHeight="1" x14ac:dyDescent="0.3">
      <c r="A60" s="219">
        <v>10</v>
      </c>
      <c r="B60" s="265"/>
      <c r="C60" s="265"/>
      <c r="D60" s="265"/>
      <c r="E60" s="132"/>
      <c r="F60" s="280"/>
      <c r="G60" s="136"/>
      <c r="H60" s="265"/>
      <c r="I60" s="274"/>
      <c r="J60" s="258" t="str">
        <f t="shared" ref="J60" si="81">IF(I60&lt;=0,"",IF(I60&lt;=2,"Muy Baja",IF(I60&lt;=24,"Baja",IF(I60&lt;=500,"Media",IF(I60&lt;=5000,"Alta","Muy Alta")))))</f>
        <v/>
      </c>
      <c r="K60" s="255" t="str">
        <f t="shared" ref="K60" si="82">IF(J60="","",IF(J60="Muy Baja",0.2,IF(J60="Baja",0.4,IF(J60="Media",0.6,IF(J60="Alta",0.8,IF(J60="Muy Alta",1,))))))</f>
        <v/>
      </c>
      <c r="L60" s="277"/>
      <c r="M60" s="255">
        <f ca="1">IF(NOT(ISERROR(MATCH(L60,'Tabla Impacto'!$B$221:$B$223,0))),'Tabla Impacto'!$F$223&amp;"Por favor no seleccionar los criterios de impacto(Afectación Económica o presupuestal y Pérdida Reputacional)",L60)</f>
        <v>0</v>
      </c>
      <c r="N60" s="258" t="str">
        <f ca="1">IF(OR(M60='Tabla Impacto'!$C$11,M60='Tabla Impacto'!$D$11),"Leve",IF(OR(M60='Tabla Impacto'!$C$12,M60='Tabla Impacto'!$D$12),"Menor",IF(OR(M60='Tabla Impacto'!$C$13,M60='Tabla Impacto'!$D$13),"Moderado",IF(OR(M60='Tabla Impacto'!$C$14,M60='Tabla Impacto'!$D$14),"Mayor",IF(OR(M60='Tabla Impacto'!$C$15,M60='Tabla Impacto'!$D$15),"Catastrófico","")))))</f>
        <v/>
      </c>
      <c r="O60" s="255" t="str">
        <f t="shared" ref="O60" ca="1" si="83">IF(N60="","",IF(N60="Leve",0.2,IF(N60="Menor",0.4,IF(N60="Moderado",0.6,IF(N60="Mayor",0.8,IF(N60="Catastrófico",1,))))))</f>
        <v/>
      </c>
      <c r="P60" s="261" t="str">
        <f t="shared" ref="P60" ca="1" si="84">IF(OR(AND(J60="Muy Baja",N60="Leve"),AND(J60="Muy Baja",N60="Menor"),AND(J60="Baja",N60="Leve")),"Bajo",IF(OR(AND(J60="Muy baja",N60="Moderado"),AND(J60="Baja",N60="Menor"),AND(J60="Baja",N60="Moderado"),AND(J60="Media",N60="Leve"),AND(J60="Media",N60="Menor"),AND(J60="Media",N60="Moderado"),AND(J60="Alta",N60="Leve"),AND(J60="Alta",N60="Menor")),"Moderado",IF(OR(AND(J60="Muy Baja",N60="Mayor"),AND(J60="Baja",N60="Mayor"),AND(J60="Media",N60="Mayor"),AND(J60="Alta",N60="Moderado"),AND(J60="Alta",N60="Mayor"),AND(J60="Muy Alta",N60="Leve"),AND(J60="Muy Alta",N60="Menor"),AND(J60="Muy Alta",N60="Moderado"),AND(J60="Muy Alta",N60="Mayor")),"Alto",IF(OR(AND(J60="Muy Baja",N60="Catastrófico"),AND(J60="Baja",N60="Catastrófico"),AND(J60="Media",N60="Catastrófico"),AND(J60="Alta",N60="Catastrófico"),AND(J60="Muy Alta",N60="Catastrófico")),"Extremo",""))))</f>
        <v/>
      </c>
      <c r="Q60" s="107">
        <v>1</v>
      </c>
      <c r="R60" s="108"/>
      <c r="S60" s="109" t="str">
        <f>IF(OR(T60="Preventivo",T60="Detectivo"),"Probabilidad",IF(T60="Correctivo","Impacto",""))</f>
        <v/>
      </c>
      <c r="T60" s="110"/>
      <c r="U60" s="110"/>
      <c r="V60" s="111" t="str">
        <f>IF(AND(T60="Preventivo",U60="Automático"),"50%",IF(AND(T60="Preventivo",U60="Manual"),"40%",IF(AND(T60="Detectivo",U60="Automático"),"40%",IF(AND(T60="Detectivo",U60="Manual"),"30%",IF(AND(T60="Correctivo",U60="Automático"),"35%",IF(AND(T60="Correctivo",U60="Manual"),"25%",""))))))</f>
        <v/>
      </c>
      <c r="W60" s="110"/>
      <c r="X60" s="110"/>
      <c r="Y60" s="110"/>
      <c r="Z60" s="112" t="str">
        <f>IFERROR(IF(S60="Probabilidad",(K60-(+K60*V60)),IF(S60="Impacto",K60,"")),"")</f>
        <v/>
      </c>
      <c r="AA60" s="113" t="str">
        <f>IFERROR(IF(Z60="","",IF(Z60&lt;=0.2,"Muy Baja",IF(Z60&lt;=0.4,"Baja",IF(Z60&lt;=0.6,"Media",IF(Z60&lt;=0.8,"Alta","Muy Alta"))))),"")</f>
        <v/>
      </c>
      <c r="AB60" s="114" t="str">
        <f>+Z60</f>
        <v/>
      </c>
      <c r="AC60" s="113" t="str">
        <f>IFERROR(IF(AD60="","",IF(AD60&lt;=0.2,"Leve",IF(AD60&lt;=0.4,"Menor",IF(AD60&lt;=0.6,"Moderado",IF(AD60&lt;=0.8,"Mayor","Catastrófico"))))),"")</f>
        <v/>
      </c>
      <c r="AD60" s="121" t="str">
        <f>IFERROR(IF(S60="Impacto",(O60-(+O60*V60)),IF(S60="Probabilidad",O60,"")),"")</f>
        <v/>
      </c>
      <c r="AE60" s="115" t="str">
        <f>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16"/>
      <c r="AG60" s="117"/>
      <c r="AH60" s="118"/>
      <c r="AI60" s="119"/>
      <c r="AJ60" s="119"/>
      <c r="AK60" s="117"/>
      <c r="AL60" s="11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9.5" customHeight="1" x14ac:dyDescent="0.3">
      <c r="A61" s="220"/>
      <c r="B61" s="266"/>
      <c r="C61" s="266"/>
      <c r="D61" s="266"/>
      <c r="E61" s="133"/>
      <c r="F61" s="281"/>
      <c r="G61" s="137"/>
      <c r="H61" s="266"/>
      <c r="I61" s="275"/>
      <c r="J61" s="259"/>
      <c r="K61" s="256"/>
      <c r="L61" s="278"/>
      <c r="M61" s="256">
        <f ca="1">IF(NOT(ISERROR(MATCH(L61,_xlfn.ANCHORARRAY(F72),0))),K74&amp;"Por favor no seleccionar los criterios de impacto",L61)</f>
        <v>0</v>
      </c>
      <c r="N61" s="259"/>
      <c r="O61" s="256"/>
      <c r="P61" s="262"/>
      <c r="Q61" s="107">
        <v>2</v>
      </c>
      <c r="R61" s="108"/>
      <c r="S61" s="109" t="str">
        <f>IF(OR(T61="Preventivo",T61="Detectivo"),"Probabilidad",IF(T61="Correctivo","Impacto",""))</f>
        <v/>
      </c>
      <c r="T61" s="110"/>
      <c r="U61" s="110"/>
      <c r="V61" s="111" t="str">
        <f t="shared" ref="V61:V65" si="85">IF(AND(T61="Preventivo",U61="Automático"),"50%",IF(AND(T61="Preventivo",U61="Manual"),"40%",IF(AND(T61="Detectivo",U61="Automático"),"40%",IF(AND(T61="Detectivo",U61="Manual"),"30%",IF(AND(T61="Correctivo",U61="Automático"),"35%",IF(AND(T61="Correctivo",U61="Manual"),"25%",""))))))</f>
        <v/>
      </c>
      <c r="W61" s="110"/>
      <c r="X61" s="110"/>
      <c r="Y61" s="110"/>
      <c r="Z61" s="112" t="str">
        <f>IFERROR(IF(AND(S60="Probabilidad",S61="Probabilidad"),(AB60-(+AB60*V61)),IF(S61="Probabilidad",(K60-(+K60*V61)),IF(S61="Impacto",AB60,""))),"")</f>
        <v/>
      </c>
      <c r="AA61" s="113" t="str">
        <f t="shared" si="62"/>
        <v/>
      </c>
      <c r="AB61" s="114" t="str">
        <f t="shared" ref="AB61:AB65" si="86">+Z61</f>
        <v/>
      </c>
      <c r="AC61" s="113" t="str">
        <f t="shared" si="64"/>
        <v/>
      </c>
      <c r="AD61" s="121" t="str">
        <f>IFERROR(IF(AND(S60="Impacto",S61="Impacto"),(AD60-(+AD60*V61)),IF(S61="Impacto",(O60-(+O60*V61)),IF(S61="Probabilidad",AD60,""))),"")</f>
        <v/>
      </c>
      <c r="AE61" s="115" t="str">
        <f t="shared" ref="AE61:AE62" si="87">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6"/>
      <c r="AG61" s="117"/>
      <c r="AH61" s="118"/>
      <c r="AI61" s="119"/>
      <c r="AJ61" s="119"/>
      <c r="AK61" s="117"/>
      <c r="AL61" s="118"/>
    </row>
    <row r="62" spans="1:70" ht="19.5" customHeight="1" x14ac:dyDescent="0.3">
      <c r="A62" s="220"/>
      <c r="B62" s="266"/>
      <c r="C62" s="266"/>
      <c r="D62" s="266"/>
      <c r="E62" s="133"/>
      <c r="F62" s="281"/>
      <c r="G62" s="137"/>
      <c r="H62" s="266"/>
      <c r="I62" s="275"/>
      <c r="J62" s="259"/>
      <c r="K62" s="256"/>
      <c r="L62" s="278"/>
      <c r="M62" s="256">
        <f ca="1">IF(NOT(ISERROR(MATCH(L62,_xlfn.ANCHORARRAY(F73),0))),K75&amp;"Por favor no seleccionar los criterios de impacto",L62)</f>
        <v>0</v>
      </c>
      <c r="N62" s="259"/>
      <c r="O62" s="256"/>
      <c r="P62" s="262"/>
      <c r="Q62" s="107">
        <v>3</v>
      </c>
      <c r="R62" s="120"/>
      <c r="S62" s="109" t="str">
        <f>IF(OR(T62="Preventivo",T62="Detectivo"),"Probabilidad",IF(T62="Correctivo","Impacto",""))</f>
        <v/>
      </c>
      <c r="T62" s="110"/>
      <c r="U62" s="110"/>
      <c r="V62" s="111" t="str">
        <f t="shared" si="85"/>
        <v/>
      </c>
      <c r="W62" s="110"/>
      <c r="X62" s="110"/>
      <c r="Y62" s="110"/>
      <c r="Z62" s="112" t="str">
        <f>IFERROR(IF(AND(S61="Probabilidad",S62="Probabilidad"),(AB61-(+AB61*V62)),IF(AND(S61="Impacto",S62="Probabilidad"),(AB60-(+AB60*V62)),IF(S62="Impacto",AB61,""))),"")</f>
        <v/>
      </c>
      <c r="AA62" s="113" t="str">
        <f t="shared" si="62"/>
        <v/>
      </c>
      <c r="AB62" s="114" t="str">
        <f t="shared" si="86"/>
        <v/>
      </c>
      <c r="AC62" s="113" t="str">
        <f t="shared" si="64"/>
        <v/>
      </c>
      <c r="AD62" s="121" t="str">
        <f>IFERROR(IF(AND(S61="Impacto",S62="Impacto"),(AD61-(+AD61*V62)),IF(AND(S61="Probabilidad",S62="Impacto"),(AD60-(+AD60*V62)),IF(S62="Probabilidad",AD61,""))),"")</f>
        <v/>
      </c>
      <c r="AE62" s="115" t="str">
        <f t="shared" si="87"/>
        <v/>
      </c>
      <c r="AF62" s="116"/>
      <c r="AG62" s="117"/>
      <c r="AH62" s="118"/>
      <c r="AI62" s="119"/>
      <c r="AJ62" s="119"/>
      <c r="AK62" s="117"/>
      <c r="AL62" s="118"/>
    </row>
    <row r="63" spans="1:70" ht="19.5" customHeight="1" x14ac:dyDescent="0.3">
      <c r="A63" s="220"/>
      <c r="B63" s="266"/>
      <c r="C63" s="266"/>
      <c r="D63" s="266"/>
      <c r="E63" s="133"/>
      <c r="F63" s="281"/>
      <c r="G63" s="137"/>
      <c r="H63" s="266"/>
      <c r="I63" s="275"/>
      <c r="J63" s="259"/>
      <c r="K63" s="256"/>
      <c r="L63" s="278"/>
      <c r="M63" s="256">
        <f ca="1">IF(NOT(ISERROR(MATCH(L63,_xlfn.ANCHORARRAY(F74),0))),K76&amp;"Por favor no seleccionar los criterios de impacto",L63)</f>
        <v>0</v>
      </c>
      <c r="N63" s="259"/>
      <c r="O63" s="256"/>
      <c r="P63" s="262"/>
      <c r="Q63" s="107">
        <v>4</v>
      </c>
      <c r="R63" s="108"/>
      <c r="S63" s="109" t="str">
        <f t="shared" ref="S63:S65" si="88">IF(OR(T63="Preventivo",T63="Detectivo"),"Probabilidad",IF(T63="Correctivo","Impacto",""))</f>
        <v/>
      </c>
      <c r="T63" s="110"/>
      <c r="U63" s="110"/>
      <c r="V63" s="111" t="str">
        <f t="shared" si="85"/>
        <v/>
      </c>
      <c r="W63" s="110"/>
      <c r="X63" s="110"/>
      <c r="Y63" s="110"/>
      <c r="Z63" s="112" t="str">
        <f t="shared" ref="Z63:Z65" si="89">IFERROR(IF(AND(S62="Probabilidad",S63="Probabilidad"),(AB62-(+AB62*V63)),IF(AND(S62="Impacto",S63="Probabilidad"),(AB61-(+AB61*V63)),IF(S63="Impacto",AB62,""))),"")</f>
        <v/>
      </c>
      <c r="AA63" s="113" t="str">
        <f t="shared" si="62"/>
        <v/>
      </c>
      <c r="AB63" s="114" t="str">
        <f t="shared" si="86"/>
        <v/>
      </c>
      <c r="AC63" s="113" t="str">
        <f t="shared" si="64"/>
        <v/>
      </c>
      <c r="AD63" s="121" t="str">
        <f t="shared" ref="AD63:AD65" si="90">IFERROR(IF(AND(S62="Impacto",S63="Impacto"),(AD62-(+AD62*V63)),IF(AND(S62="Probabilidad",S63="Impacto"),(AD61-(+AD61*V63)),IF(S63="Probabilidad",AD62,""))),"")</f>
        <v/>
      </c>
      <c r="AE63" s="115" t="str">
        <f>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16"/>
      <c r="AG63" s="117"/>
      <c r="AH63" s="118"/>
      <c r="AI63" s="119"/>
      <c r="AJ63" s="119"/>
      <c r="AK63" s="117"/>
      <c r="AL63" s="118"/>
    </row>
    <row r="64" spans="1:70" ht="19.5" customHeight="1" x14ac:dyDescent="0.3">
      <c r="A64" s="220"/>
      <c r="B64" s="266"/>
      <c r="C64" s="266"/>
      <c r="D64" s="266"/>
      <c r="E64" s="133"/>
      <c r="F64" s="281"/>
      <c r="G64" s="137"/>
      <c r="H64" s="266"/>
      <c r="I64" s="275"/>
      <c r="J64" s="259"/>
      <c r="K64" s="256"/>
      <c r="L64" s="278"/>
      <c r="M64" s="256">
        <f ca="1">IF(NOT(ISERROR(MATCH(L64,_xlfn.ANCHORARRAY(F75),0))),K77&amp;"Por favor no seleccionar los criterios de impacto",L64)</f>
        <v>0</v>
      </c>
      <c r="N64" s="259"/>
      <c r="O64" s="256"/>
      <c r="P64" s="262"/>
      <c r="Q64" s="107">
        <v>5</v>
      </c>
      <c r="R64" s="108"/>
      <c r="S64" s="109" t="str">
        <f t="shared" si="88"/>
        <v/>
      </c>
      <c r="T64" s="110"/>
      <c r="U64" s="110"/>
      <c r="V64" s="111" t="str">
        <f t="shared" si="85"/>
        <v/>
      </c>
      <c r="W64" s="110"/>
      <c r="X64" s="110"/>
      <c r="Y64" s="110"/>
      <c r="Z64" s="112" t="str">
        <f t="shared" si="89"/>
        <v/>
      </c>
      <c r="AA64" s="113" t="str">
        <f t="shared" si="62"/>
        <v/>
      </c>
      <c r="AB64" s="114" t="str">
        <f t="shared" si="86"/>
        <v/>
      </c>
      <c r="AC64" s="113" t="str">
        <f t="shared" si="64"/>
        <v/>
      </c>
      <c r="AD64" s="121" t="str">
        <f t="shared" si="90"/>
        <v/>
      </c>
      <c r="AE64" s="115" t="str">
        <f t="shared" ref="AE64:AE65" si="91">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6"/>
      <c r="AG64" s="117"/>
      <c r="AH64" s="118"/>
      <c r="AI64" s="119"/>
      <c r="AJ64" s="119"/>
      <c r="AK64" s="117"/>
      <c r="AL64" s="118"/>
    </row>
    <row r="65" spans="1:38" ht="19.5" customHeight="1" x14ac:dyDescent="0.3">
      <c r="A65" s="264"/>
      <c r="B65" s="267"/>
      <c r="C65" s="267"/>
      <c r="D65" s="267"/>
      <c r="E65" s="134"/>
      <c r="F65" s="282"/>
      <c r="G65" s="138"/>
      <c r="H65" s="267"/>
      <c r="I65" s="276"/>
      <c r="J65" s="260"/>
      <c r="K65" s="257"/>
      <c r="L65" s="279"/>
      <c r="M65" s="257">
        <f ca="1">IF(NOT(ISERROR(MATCH(L65,_xlfn.ANCHORARRAY(F76),0))),K78&amp;"Por favor no seleccionar los criterios de impacto",L65)</f>
        <v>0</v>
      </c>
      <c r="N65" s="260"/>
      <c r="O65" s="257"/>
      <c r="P65" s="263"/>
      <c r="Q65" s="107">
        <v>6</v>
      </c>
      <c r="R65" s="108"/>
      <c r="S65" s="109" t="str">
        <f t="shared" si="88"/>
        <v/>
      </c>
      <c r="T65" s="110"/>
      <c r="U65" s="110"/>
      <c r="V65" s="111" t="str">
        <f t="shared" si="85"/>
        <v/>
      </c>
      <c r="W65" s="110"/>
      <c r="X65" s="110"/>
      <c r="Y65" s="110"/>
      <c r="Z65" s="112" t="str">
        <f t="shared" si="89"/>
        <v/>
      </c>
      <c r="AA65" s="113" t="str">
        <f t="shared" si="62"/>
        <v/>
      </c>
      <c r="AB65" s="114" t="str">
        <f t="shared" si="86"/>
        <v/>
      </c>
      <c r="AC65" s="113" t="str">
        <f t="shared" si="64"/>
        <v/>
      </c>
      <c r="AD65" s="121" t="str">
        <f t="shared" si="90"/>
        <v/>
      </c>
      <c r="AE65" s="115" t="str">
        <f t="shared" si="91"/>
        <v/>
      </c>
      <c r="AF65" s="116"/>
      <c r="AG65" s="117"/>
      <c r="AH65" s="118"/>
      <c r="AI65" s="119"/>
      <c r="AJ65" s="119"/>
      <c r="AK65" s="117"/>
      <c r="AL65" s="118"/>
    </row>
    <row r="66" spans="1:38" ht="49.5" customHeight="1" x14ac:dyDescent="0.3">
      <c r="A66" s="6"/>
      <c r="B66" s="283" t="s">
        <v>126</v>
      </c>
      <c r="C66" s="284"/>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5"/>
    </row>
    <row r="68" spans="1:38" x14ac:dyDescent="0.3">
      <c r="A68" s="1"/>
      <c r="B68" s="24" t="s">
        <v>138</v>
      </c>
      <c r="C68" s="1"/>
      <c r="D68" s="1"/>
      <c r="E68" s="1"/>
      <c r="H68" s="1"/>
    </row>
  </sheetData>
  <dataConsolidate/>
  <mergeCells count="191">
    <mergeCell ref="C6:AL6"/>
    <mergeCell ref="A1:AL2"/>
    <mergeCell ref="A7:I7"/>
    <mergeCell ref="J7:P7"/>
    <mergeCell ref="Q7:Y7"/>
    <mergeCell ref="Z7:AF7"/>
    <mergeCell ref="AG7:AL7"/>
    <mergeCell ref="B66:AL66"/>
    <mergeCell ref="O54:O59"/>
    <mergeCell ref="P54:P59"/>
    <mergeCell ref="A60:A65"/>
    <mergeCell ref="B60:B65"/>
    <mergeCell ref="C60:C65"/>
    <mergeCell ref="D60:D65"/>
    <mergeCell ref="F60:F65"/>
    <mergeCell ref="H60:H65"/>
    <mergeCell ref="I60:I65"/>
    <mergeCell ref="J60:J65"/>
    <mergeCell ref="K60:K65"/>
    <mergeCell ref="L60:L65"/>
    <mergeCell ref="M60:M65"/>
    <mergeCell ref="N60:N65"/>
    <mergeCell ref="O60:O65"/>
    <mergeCell ref="P60:P65"/>
    <mergeCell ref="L54:L59"/>
    <mergeCell ref="M54:M59"/>
    <mergeCell ref="N54:N59"/>
    <mergeCell ref="A54:A59"/>
    <mergeCell ref="B54:B59"/>
    <mergeCell ref="C54:C59"/>
    <mergeCell ref="D54:D59"/>
    <mergeCell ref="F54:F59"/>
    <mergeCell ref="H54:H59"/>
    <mergeCell ref="I54:I59"/>
    <mergeCell ref="J54:J59"/>
    <mergeCell ref="K54:K59"/>
    <mergeCell ref="O42:O47"/>
    <mergeCell ref="P42:P47"/>
    <mergeCell ref="H48:H53"/>
    <mergeCell ref="I48:I53"/>
    <mergeCell ref="J48:J53"/>
    <mergeCell ref="K48:K53"/>
    <mergeCell ref="L48:L53"/>
    <mergeCell ref="H42:H47"/>
    <mergeCell ref="I42:I47"/>
    <mergeCell ref="J42:J47"/>
    <mergeCell ref="K42:K47"/>
    <mergeCell ref="M48:M53"/>
    <mergeCell ref="N48:N53"/>
    <mergeCell ref="O48:O53"/>
    <mergeCell ref="P48:P53"/>
    <mergeCell ref="K30:K35"/>
    <mergeCell ref="L30:L35"/>
    <mergeCell ref="I36:I41"/>
    <mergeCell ref="J36:J41"/>
    <mergeCell ref="K36:K41"/>
    <mergeCell ref="M30:M35"/>
    <mergeCell ref="N30:N35"/>
    <mergeCell ref="A48:A53"/>
    <mergeCell ref="B48:B53"/>
    <mergeCell ref="C48:C53"/>
    <mergeCell ref="D48:D53"/>
    <mergeCell ref="F48:F53"/>
    <mergeCell ref="A42:A47"/>
    <mergeCell ref="B42:B47"/>
    <mergeCell ref="C42:C47"/>
    <mergeCell ref="D42:D47"/>
    <mergeCell ref="F42:F47"/>
    <mergeCell ref="O30:O35"/>
    <mergeCell ref="P30:P35"/>
    <mergeCell ref="O36:O41"/>
    <mergeCell ref="P36:P41"/>
    <mergeCell ref="L42:L47"/>
    <mergeCell ref="M42:M47"/>
    <mergeCell ref="N42:N47"/>
    <mergeCell ref="A30:A35"/>
    <mergeCell ref="B30:B35"/>
    <mergeCell ref="C30:C35"/>
    <mergeCell ref="A36:A41"/>
    <mergeCell ref="B36:B41"/>
    <mergeCell ref="C36:C41"/>
    <mergeCell ref="D36:D41"/>
    <mergeCell ref="F36:F41"/>
    <mergeCell ref="H36:H41"/>
    <mergeCell ref="D30:D35"/>
    <mergeCell ref="F30:F35"/>
    <mergeCell ref="L36:L41"/>
    <mergeCell ref="M36:M41"/>
    <mergeCell ref="N36:N41"/>
    <mergeCell ref="H30:H35"/>
    <mergeCell ref="I30:I35"/>
    <mergeCell ref="J30:J35"/>
    <mergeCell ref="O18:O23"/>
    <mergeCell ref="P18:P23"/>
    <mergeCell ref="A24:A29"/>
    <mergeCell ref="B24:B29"/>
    <mergeCell ref="C24:C29"/>
    <mergeCell ref="D24:D29"/>
    <mergeCell ref="F24:F29"/>
    <mergeCell ref="H24:H29"/>
    <mergeCell ref="I24:I29"/>
    <mergeCell ref="J24:J29"/>
    <mergeCell ref="K24:K29"/>
    <mergeCell ref="L24:L29"/>
    <mergeCell ref="M24:M29"/>
    <mergeCell ref="N24:N29"/>
    <mergeCell ref="O24:O29"/>
    <mergeCell ref="P24:P29"/>
    <mergeCell ref="L18:L23"/>
    <mergeCell ref="M18:M23"/>
    <mergeCell ref="N18:N23"/>
    <mergeCell ref="H14:H17"/>
    <mergeCell ref="I14:I17"/>
    <mergeCell ref="J14:J17"/>
    <mergeCell ref="K14:K17"/>
    <mergeCell ref="L14:L17"/>
    <mergeCell ref="A14:A17"/>
    <mergeCell ref="B14:B17"/>
    <mergeCell ref="C14:C17"/>
    <mergeCell ref="A18:A23"/>
    <mergeCell ref="B18:B23"/>
    <mergeCell ref="C18:C23"/>
    <mergeCell ref="D18:D23"/>
    <mergeCell ref="F18:F23"/>
    <mergeCell ref="H18:H23"/>
    <mergeCell ref="I18:I23"/>
    <mergeCell ref="J18:J23"/>
    <mergeCell ref="K18:K23"/>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C4:AL4"/>
    <mergeCell ref="C5:AL5"/>
    <mergeCell ref="B8:B9"/>
    <mergeCell ref="P8:P9"/>
    <mergeCell ref="L8:L9"/>
    <mergeCell ref="M8:M9"/>
    <mergeCell ref="S8:S9"/>
    <mergeCell ref="T8:Y8"/>
    <mergeCell ref="E8:E9"/>
    <mergeCell ref="D14:D17"/>
    <mergeCell ref="F14:F17"/>
    <mergeCell ref="M14:M17"/>
    <mergeCell ref="N14:N17"/>
    <mergeCell ref="O14:O17"/>
    <mergeCell ref="P14:P17"/>
    <mergeCell ref="P10:P13"/>
    <mergeCell ref="K10:K13"/>
    <mergeCell ref="L10:L13"/>
    <mergeCell ref="M10:M13"/>
    <mergeCell ref="N10:N13"/>
    <mergeCell ref="O10:O13"/>
    <mergeCell ref="G10:G13"/>
    <mergeCell ref="E10:E11"/>
    <mergeCell ref="AB8:AB9"/>
    <mergeCell ref="I8:I9"/>
    <mergeCell ref="J8:J9"/>
    <mergeCell ref="K8:K9"/>
    <mergeCell ref="N8:N9"/>
    <mergeCell ref="O8:O9"/>
    <mergeCell ref="F10:F11"/>
    <mergeCell ref="F12:F13"/>
    <mergeCell ref="E12:E13"/>
    <mergeCell ref="G14:G17"/>
    <mergeCell ref="E16:E17"/>
    <mergeCell ref="H10:H13"/>
    <mergeCell ref="I10:I13"/>
    <mergeCell ref="J10:J13"/>
    <mergeCell ref="A10:A13"/>
    <mergeCell ref="B10:B13"/>
    <mergeCell ref="C10:C13"/>
    <mergeCell ref="D10:D13"/>
  </mergeCells>
  <conditionalFormatting sqref="J10 J14 J18 J24 J30 J36 J42 J48 J54 J60 AA15:AA17">
    <cfRule type="cellIs" dxfId="188" priority="361" operator="equal">
      <formula>"Muy Alta"</formula>
    </cfRule>
    <cfRule type="cellIs" dxfId="187" priority="362" operator="equal">
      <formula>"Alta"</formula>
    </cfRule>
    <cfRule type="cellIs" dxfId="186" priority="363" operator="equal">
      <formula>"Media"</formula>
    </cfRule>
    <cfRule type="cellIs" dxfId="185" priority="364" operator="equal">
      <formula>"Baja"</formula>
    </cfRule>
    <cfRule type="cellIs" dxfId="184" priority="365" operator="equal">
      <formula>"Muy Baja"</formula>
    </cfRule>
  </conditionalFormatting>
  <conditionalFormatting sqref="N10 N14 N18 N24 N30 N36 N42 N48 N54 N60 AC15:AC17">
    <cfRule type="cellIs" dxfId="183" priority="356" operator="equal">
      <formula>"Catastrófico"</formula>
    </cfRule>
    <cfRule type="cellIs" dxfId="182" priority="357" operator="equal">
      <formula>"Mayor"</formula>
    </cfRule>
    <cfRule type="cellIs" dxfId="181" priority="358" operator="equal">
      <formula>"Moderado"</formula>
    </cfRule>
    <cfRule type="cellIs" dxfId="180" priority="359" operator="equal">
      <formula>"Menor"</formula>
    </cfRule>
    <cfRule type="cellIs" dxfId="179" priority="360" operator="equal">
      <formula>"Leve"</formula>
    </cfRule>
  </conditionalFormatting>
  <conditionalFormatting sqref="P10 AE15:AE17">
    <cfRule type="cellIs" dxfId="178" priority="352" operator="equal">
      <formula>"Extremo"</formula>
    </cfRule>
    <cfRule type="cellIs" dxfId="177" priority="353" operator="equal">
      <formula>"Alto"</formula>
    </cfRule>
    <cfRule type="cellIs" dxfId="176" priority="354" operator="equal">
      <formula>"Moderado"</formula>
    </cfRule>
    <cfRule type="cellIs" dxfId="175" priority="355" operator="equal">
      <formula>"Bajo"</formula>
    </cfRule>
  </conditionalFormatting>
  <conditionalFormatting sqref="AA10">
    <cfRule type="cellIs" dxfId="174" priority="347" operator="equal">
      <formula>"Muy Alta"</formula>
    </cfRule>
    <cfRule type="cellIs" dxfId="173" priority="348" operator="equal">
      <formula>"Alta"</formula>
    </cfRule>
    <cfRule type="cellIs" dxfId="172" priority="349" operator="equal">
      <formula>"Media"</formula>
    </cfRule>
    <cfRule type="cellIs" dxfId="171" priority="350" operator="equal">
      <formula>"Baja"</formula>
    </cfRule>
    <cfRule type="cellIs" dxfId="170" priority="351" operator="equal">
      <formula>"Muy Baja"</formula>
    </cfRule>
  </conditionalFormatting>
  <conditionalFormatting sqref="AC10">
    <cfRule type="cellIs" dxfId="169" priority="342" operator="equal">
      <formula>"Catastrófico"</formula>
    </cfRule>
    <cfRule type="cellIs" dxfId="168" priority="343" operator="equal">
      <formula>"Mayor"</formula>
    </cfRule>
    <cfRule type="cellIs" dxfId="167" priority="344" operator="equal">
      <formula>"Moderado"</formula>
    </cfRule>
    <cfRule type="cellIs" dxfId="166" priority="345" operator="equal">
      <formula>"Menor"</formula>
    </cfRule>
    <cfRule type="cellIs" dxfId="165" priority="346" operator="equal">
      <formula>"Leve"</formula>
    </cfRule>
  </conditionalFormatting>
  <conditionalFormatting sqref="AE10">
    <cfRule type="cellIs" dxfId="164" priority="338" operator="equal">
      <formula>"Extremo"</formula>
    </cfRule>
    <cfRule type="cellIs" dxfId="163" priority="339" operator="equal">
      <formula>"Alto"</formula>
    </cfRule>
    <cfRule type="cellIs" dxfId="162" priority="340" operator="equal">
      <formula>"Moderado"</formula>
    </cfRule>
    <cfRule type="cellIs" dxfId="161" priority="341" operator="equal">
      <formula>"Bajo"</formula>
    </cfRule>
  </conditionalFormatting>
  <conditionalFormatting sqref="P14 P18 P24 P30 P36 P42 P48 P54 P60">
    <cfRule type="cellIs" dxfId="160" priority="282" operator="equal">
      <formula>"Extremo"</formula>
    </cfRule>
    <cfRule type="cellIs" dxfId="159" priority="283" operator="equal">
      <formula>"Alto"</formula>
    </cfRule>
    <cfRule type="cellIs" dxfId="158" priority="284" operator="equal">
      <formula>"Moderado"</formula>
    </cfRule>
    <cfRule type="cellIs" dxfId="157" priority="285" operator="equal">
      <formula>"Bajo"</formula>
    </cfRule>
  </conditionalFormatting>
  <conditionalFormatting sqref="AA18:AA23">
    <cfRule type="cellIs" dxfId="156" priority="249" operator="equal">
      <formula>"Muy Alta"</formula>
    </cfRule>
    <cfRule type="cellIs" dxfId="155" priority="250" operator="equal">
      <formula>"Alta"</formula>
    </cfRule>
    <cfRule type="cellIs" dxfId="154" priority="251" operator="equal">
      <formula>"Media"</formula>
    </cfRule>
    <cfRule type="cellIs" dxfId="153" priority="252" operator="equal">
      <formula>"Baja"</formula>
    </cfRule>
    <cfRule type="cellIs" dxfId="152" priority="253" operator="equal">
      <formula>"Muy Baja"</formula>
    </cfRule>
  </conditionalFormatting>
  <conditionalFormatting sqref="AC18:AC23">
    <cfRule type="cellIs" dxfId="151" priority="244" operator="equal">
      <formula>"Catastrófico"</formula>
    </cfRule>
    <cfRule type="cellIs" dxfId="150" priority="245" operator="equal">
      <formula>"Mayor"</formula>
    </cfRule>
    <cfRule type="cellIs" dxfId="149" priority="246" operator="equal">
      <formula>"Moderado"</formula>
    </cfRule>
    <cfRule type="cellIs" dxfId="148" priority="247" operator="equal">
      <formula>"Menor"</formula>
    </cfRule>
    <cfRule type="cellIs" dxfId="147" priority="248" operator="equal">
      <formula>"Leve"</formula>
    </cfRule>
  </conditionalFormatting>
  <conditionalFormatting sqref="AE18:AE23">
    <cfRule type="cellIs" dxfId="146" priority="240" operator="equal">
      <formula>"Extremo"</formula>
    </cfRule>
    <cfRule type="cellIs" dxfId="145" priority="241" operator="equal">
      <formula>"Alto"</formula>
    </cfRule>
    <cfRule type="cellIs" dxfId="144" priority="242" operator="equal">
      <formula>"Moderado"</formula>
    </cfRule>
    <cfRule type="cellIs" dxfId="143" priority="243" operator="equal">
      <formula>"Bajo"</formula>
    </cfRule>
  </conditionalFormatting>
  <conditionalFormatting sqref="AA24:AA29">
    <cfRule type="cellIs" dxfId="142" priority="221" operator="equal">
      <formula>"Muy Alta"</formula>
    </cfRule>
    <cfRule type="cellIs" dxfId="141" priority="222" operator="equal">
      <formula>"Alta"</formula>
    </cfRule>
    <cfRule type="cellIs" dxfId="140" priority="223" operator="equal">
      <formula>"Media"</formula>
    </cfRule>
    <cfRule type="cellIs" dxfId="139" priority="224" operator="equal">
      <formula>"Baja"</formula>
    </cfRule>
    <cfRule type="cellIs" dxfId="138" priority="225" operator="equal">
      <formula>"Muy Baja"</formula>
    </cfRule>
  </conditionalFormatting>
  <conditionalFormatting sqref="AC24:AC29">
    <cfRule type="cellIs" dxfId="137" priority="216" operator="equal">
      <formula>"Catastrófico"</formula>
    </cfRule>
    <cfRule type="cellIs" dxfId="136" priority="217" operator="equal">
      <formula>"Mayor"</formula>
    </cfRule>
    <cfRule type="cellIs" dxfId="135" priority="218" operator="equal">
      <formula>"Moderado"</formula>
    </cfRule>
    <cfRule type="cellIs" dxfId="134" priority="219" operator="equal">
      <formula>"Menor"</formula>
    </cfRule>
    <cfRule type="cellIs" dxfId="133" priority="220" operator="equal">
      <formula>"Leve"</formula>
    </cfRule>
  </conditionalFormatting>
  <conditionalFormatting sqref="AE24:AE29">
    <cfRule type="cellIs" dxfId="132" priority="212" operator="equal">
      <formula>"Extremo"</formula>
    </cfRule>
    <cfRule type="cellIs" dxfId="131" priority="213" operator="equal">
      <formula>"Alto"</formula>
    </cfRule>
    <cfRule type="cellIs" dxfId="130" priority="214" operator="equal">
      <formula>"Moderado"</formula>
    </cfRule>
    <cfRule type="cellIs" dxfId="129" priority="215" operator="equal">
      <formula>"Bajo"</formula>
    </cfRule>
  </conditionalFormatting>
  <conditionalFormatting sqref="AA30:AA35">
    <cfRule type="cellIs" dxfId="128" priority="193" operator="equal">
      <formula>"Muy Alta"</formula>
    </cfRule>
    <cfRule type="cellIs" dxfId="127" priority="194" operator="equal">
      <formula>"Alta"</formula>
    </cfRule>
    <cfRule type="cellIs" dxfId="126" priority="195" operator="equal">
      <formula>"Media"</formula>
    </cfRule>
    <cfRule type="cellIs" dxfId="125" priority="196" operator="equal">
      <formula>"Baja"</formula>
    </cfRule>
    <cfRule type="cellIs" dxfId="124" priority="197" operator="equal">
      <formula>"Muy Baja"</formula>
    </cfRule>
  </conditionalFormatting>
  <conditionalFormatting sqref="AC30:AC35">
    <cfRule type="cellIs" dxfId="123" priority="188" operator="equal">
      <formula>"Catastrófico"</formula>
    </cfRule>
    <cfRule type="cellIs" dxfId="122" priority="189" operator="equal">
      <formula>"Mayor"</formula>
    </cfRule>
    <cfRule type="cellIs" dxfId="121" priority="190" operator="equal">
      <formula>"Moderado"</formula>
    </cfRule>
    <cfRule type="cellIs" dxfId="120" priority="191" operator="equal">
      <formula>"Menor"</formula>
    </cfRule>
    <cfRule type="cellIs" dxfId="119" priority="192" operator="equal">
      <formula>"Leve"</formula>
    </cfRule>
  </conditionalFormatting>
  <conditionalFormatting sqref="AE30:AE35">
    <cfRule type="cellIs" dxfId="118" priority="184" operator="equal">
      <formula>"Extremo"</formula>
    </cfRule>
    <cfRule type="cellIs" dxfId="117" priority="185" operator="equal">
      <formula>"Alto"</formula>
    </cfRule>
    <cfRule type="cellIs" dxfId="116" priority="186" operator="equal">
      <formula>"Moderado"</formula>
    </cfRule>
    <cfRule type="cellIs" dxfId="115" priority="187" operator="equal">
      <formula>"Bajo"</formula>
    </cfRule>
  </conditionalFormatting>
  <conditionalFormatting sqref="AA36:AA41">
    <cfRule type="cellIs" dxfId="114" priority="165" operator="equal">
      <formula>"Muy Alta"</formula>
    </cfRule>
    <cfRule type="cellIs" dxfId="113" priority="166" operator="equal">
      <formula>"Alta"</formula>
    </cfRule>
    <cfRule type="cellIs" dxfId="112" priority="167" operator="equal">
      <formula>"Media"</formula>
    </cfRule>
    <cfRule type="cellIs" dxfId="111" priority="168" operator="equal">
      <formula>"Baja"</formula>
    </cfRule>
    <cfRule type="cellIs" dxfId="110" priority="169" operator="equal">
      <formula>"Muy Baja"</formula>
    </cfRule>
  </conditionalFormatting>
  <conditionalFormatting sqref="AC36:AC41">
    <cfRule type="cellIs" dxfId="109" priority="160" operator="equal">
      <formula>"Catastrófico"</formula>
    </cfRule>
    <cfRule type="cellIs" dxfId="108" priority="161" operator="equal">
      <formula>"Mayor"</formula>
    </cfRule>
    <cfRule type="cellIs" dxfId="107" priority="162" operator="equal">
      <formula>"Moderado"</formula>
    </cfRule>
    <cfRule type="cellIs" dxfId="106" priority="163" operator="equal">
      <formula>"Menor"</formula>
    </cfRule>
    <cfRule type="cellIs" dxfId="105" priority="164" operator="equal">
      <formula>"Leve"</formula>
    </cfRule>
  </conditionalFormatting>
  <conditionalFormatting sqref="AE36:AE41">
    <cfRule type="cellIs" dxfId="104" priority="156" operator="equal">
      <formula>"Extremo"</formula>
    </cfRule>
    <cfRule type="cellIs" dxfId="103" priority="157" operator="equal">
      <formula>"Alto"</formula>
    </cfRule>
    <cfRule type="cellIs" dxfId="102" priority="158" operator="equal">
      <formula>"Moderado"</formula>
    </cfRule>
    <cfRule type="cellIs" dxfId="101" priority="159" operator="equal">
      <formula>"Bajo"</formula>
    </cfRule>
  </conditionalFormatting>
  <conditionalFormatting sqref="AA42:AA47">
    <cfRule type="cellIs" dxfId="100" priority="137" operator="equal">
      <formula>"Muy Alta"</formula>
    </cfRule>
    <cfRule type="cellIs" dxfId="99" priority="138" operator="equal">
      <formula>"Alta"</formula>
    </cfRule>
    <cfRule type="cellIs" dxfId="98" priority="139" operator="equal">
      <formula>"Media"</formula>
    </cfRule>
    <cfRule type="cellIs" dxfId="97" priority="140" operator="equal">
      <formula>"Baja"</formula>
    </cfRule>
    <cfRule type="cellIs" dxfId="96" priority="141" operator="equal">
      <formula>"Muy Baja"</formula>
    </cfRule>
  </conditionalFormatting>
  <conditionalFormatting sqref="AC42:AC47">
    <cfRule type="cellIs" dxfId="95" priority="132" operator="equal">
      <formula>"Catastrófico"</formula>
    </cfRule>
    <cfRule type="cellIs" dxfId="94" priority="133" operator="equal">
      <formula>"Mayor"</formula>
    </cfRule>
    <cfRule type="cellIs" dxfId="93" priority="134" operator="equal">
      <formula>"Moderado"</formula>
    </cfRule>
    <cfRule type="cellIs" dxfId="92" priority="135" operator="equal">
      <formula>"Menor"</formula>
    </cfRule>
    <cfRule type="cellIs" dxfId="91" priority="136" operator="equal">
      <formula>"Leve"</formula>
    </cfRule>
  </conditionalFormatting>
  <conditionalFormatting sqref="AE42:AE47">
    <cfRule type="cellIs" dxfId="90" priority="128" operator="equal">
      <formula>"Extremo"</formula>
    </cfRule>
    <cfRule type="cellIs" dxfId="89" priority="129" operator="equal">
      <formula>"Alto"</formula>
    </cfRule>
    <cfRule type="cellIs" dxfId="88" priority="130" operator="equal">
      <formula>"Moderado"</formula>
    </cfRule>
    <cfRule type="cellIs" dxfId="87" priority="131" operator="equal">
      <formula>"Bajo"</formula>
    </cfRule>
  </conditionalFormatting>
  <conditionalFormatting sqref="AA48:AA53">
    <cfRule type="cellIs" dxfId="86" priority="109" operator="equal">
      <formula>"Muy Alta"</formula>
    </cfRule>
    <cfRule type="cellIs" dxfId="85" priority="110" operator="equal">
      <formula>"Alta"</formula>
    </cfRule>
    <cfRule type="cellIs" dxfId="84" priority="111" operator="equal">
      <formula>"Media"</formula>
    </cfRule>
    <cfRule type="cellIs" dxfId="83" priority="112" operator="equal">
      <formula>"Baja"</formula>
    </cfRule>
    <cfRule type="cellIs" dxfId="82" priority="113" operator="equal">
      <formula>"Muy Baja"</formula>
    </cfRule>
  </conditionalFormatting>
  <conditionalFormatting sqref="AC48:AC53">
    <cfRule type="cellIs" dxfId="81" priority="104" operator="equal">
      <formula>"Catastrófico"</formula>
    </cfRule>
    <cfRule type="cellIs" dxfId="80" priority="105" operator="equal">
      <formula>"Mayor"</formula>
    </cfRule>
    <cfRule type="cellIs" dxfId="79" priority="106" operator="equal">
      <formula>"Moderado"</formula>
    </cfRule>
    <cfRule type="cellIs" dxfId="78" priority="107" operator="equal">
      <formula>"Menor"</formula>
    </cfRule>
    <cfRule type="cellIs" dxfId="77" priority="108" operator="equal">
      <formula>"Leve"</formula>
    </cfRule>
  </conditionalFormatting>
  <conditionalFormatting sqref="AE48:AE53">
    <cfRule type="cellIs" dxfId="76" priority="100" operator="equal">
      <formula>"Extremo"</formula>
    </cfRule>
    <cfRule type="cellIs" dxfId="75" priority="101" operator="equal">
      <formula>"Alto"</formula>
    </cfRule>
    <cfRule type="cellIs" dxfId="74" priority="102" operator="equal">
      <formula>"Moderado"</formula>
    </cfRule>
    <cfRule type="cellIs" dxfId="73" priority="103" operator="equal">
      <formula>"Bajo"</formula>
    </cfRule>
  </conditionalFormatting>
  <conditionalFormatting sqref="AA54:AA59">
    <cfRule type="cellIs" dxfId="72" priority="81" operator="equal">
      <formula>"Muy Alta"</formula>
    </cfRule>
    <cfRule type="cellIs" dxfId="71" priority="82" operator="equal">
      <formula>"Alta"</formula>
    </cfRule>
    <cfRule type="cellIs" dxfId="70" priority="83" operator="equal">
      <formula>"Media"</formula>
    </cfRule>
    <cfRule type="cellIs" dxfId="69" priority="84" operator="equal">
      <formula>"Baja"</formula>
    </cfRule>
    <cfRule type="cellIs" dxfId="68" priority="85" operator="equal">
      <formula>"Muy Baja"</formula>
    </cfRule>
  </conditionalFormatting>
  <conditionalFormatting sqref="AC54:AC59">
    <cfRule type="cellIs" dxfId="67" priority="76" operator="equal">
      <formula>"Catastrófico"</formula>
    </cfRule>
    <cfRule type="cellIs" dxfId="66" priority="77" operator="equal">
      <formula>"Mayor"</formula>
    </cfRule>
    <cfRule type="cellIs" dxfId="65" priority="78" operator="equal">
      <formula>"Moderado"</formula>
    </cfRule>
    <cfRule type="cellIs" dxfId="64" priority="79" operator="equal">
      <formula>"Menor"</formula>
    </cfRule>
    <cfRule type="cellIs" dxfId="63" priority="80" operator="equal">
      <formula>"Leve"</formula>
    </cfRule>
  </conditionalFormatting>
  <conditionalFormatting sqref="AE54:AE59">
    <cfRule type="cellIs" dxfId="62" priority="72" operator="equal">
      <formula>"Extremo"</formula>
    </cfRule>
    <cfRule type="cellIs" dxfId="61" priority="73" operator="equal">
      <formula>"Alto"</formula>
    </cfRule>
    <cfRule type="cellIs" dxfId="60" priority="74" operator="equal">
      <formula>"Moderado"</formula>
    </cfRule>
    <cfRule type="cellIs" dxfId="59" priority="75" operator="equal">
      <formula>"Bajo"</formula>
    </cfRule>
  </conditionalFormatting>
  <conditionalFormatting sqref="AA60:AA65">
    <cfRule type="cellIs" dxfId="58" priority="53" operator="equal">
      <formula>"Muy Alta"</formula>
    </cfRule>
    <cfRule type="cellIs" dxfId="57" priority="54" operator="equal">
      <formula>"Alta"</formula>
    </cfRule>
    <cfRule type="cellIs" dxfId="56" priority="55" operator="equal">
      <formula>"Media"</formula>
    </cfRule>
    <cfRule type="cellIs" dxfId="55" priority="56" operator="equal">
      <formula>"Baja"</formula>
    </cfRule>
    <cfRule type="cellIs" dxfId="54" priority="57" operator="equal">
      <formula>"Muy Baja"</formula>
    </cfRule>
  </conditionalFormatting>
  <conditionalFormatting sqref="AC60:AC65">
    <cfRule type="cellIs" dxfId="53" priority="48" operator="equal">
      <formula>"Catastrófico"</formula>
    </cfRule>
    <cfRule type="cellIs" dxfId="52" priority="49" operator="equal">
      <formula>"Mayor"</formula>
    </cfRule>
    <cfRule type="cellIs" dxfId="51" priority="50" operator="equal">
      <formula>"Moderado"</formula>
    </cfRule>
    <cfRule type="cellIs" dxfId="50" priority="51" operator="equal">
      <formula>"Menor"</formula>
    </cfRule>
    <cfRule type="cellIs" dxfId="49" priority="52" operator="equal">
      <formula>"Leve"</formula>
    </cfRule>
  </conditionalFormatting>
  <conditionalFormatting sqref="AE60:AE65">
    <cfRule type="cellIs" dxfId="48" priority="44" operator="equal">
      <formula>"Extremo"</formula>
    </cfRule>
    <cfRule type="cellIs" dxfId="47" priority="45" operator="equal">
      <formula>"Alto"</formula>
    </cfRule>
    <cfRule type="cellIs" dxfId="46" priority="46" operator="equal">
      <formula>"Moderado"</formula>
    </cfRule>
    <cfRule type="cellIs" dxfId="45" priority="47" operator="equal">
      <formula>"Bajo"</formula>
    </cfRule>
  </conditionalFormatting>
  <conditionalFormatting sqref="M10:M65">
    <cfRule type="containsText" dxfId="44" priority="43" operator="containsText" text="❌">
      <formula>NOT(ISERROR(SEARCH("❌",M10)))</formula>
    </cfRule>
  </conditionalFormatting>
  <conditionalFormatting sqref="AA11:AA13">
    <cfRule type="cellIs" dxfId="43" priority="38" operator="equal">
      <formula>"Muy Alta"</formula>
    </cfRule>
    <cfRule type="cellIs" dxfId="42" priority="39" operator="equal">
      <formula>"Alta"</formula>
    </cfRule>
    <cfRule type="cellIs" dxfId="41" priority="40" operator="equal">
      <formula>"Media"</formula>
    </cfRule>
    <cfRule type="cellIs" dxfId="40" priority="41" operator="equal">
      <formula>"Baja"</formula>
    </cfRule>
    <cfRule type="cellIs" dxfId="39" priority="42" operator="equal">
      <formula>"Muy Baja"</formula>
    </cfRule>
  </conditionalFormatting>
  <conditionalFormatting sqref="AC11:AC13">
    <cfRule type="cellIs" dxfId="38" priority="33" operator="equal">
      <formula>"Catastrófico"</formula>
    </cfRule>
    <cfRule type="cellIs" dxfId="37" priority="34" operator="equal">
      <formula>"Mayor"</formula>
    </cfRule>
    <cfRule type="cellIs" dxfId="36" priority="35" operator="equal">
      <formula>"Moderado"</formula>
    </cfRule>
    <cfRule type="cellIs" dxfId="35" priority="36" operator="equal">
      <formula>"Menor"</formula>
    </cfRule>
    <cfRule type="cellIs" dxfId="34" priority="37" operator="equal">
      <formula>"Leve"</formula>
    </cfRule>
  </conditionalFormatting>
  <conditionalFormatting sqref="AE11:AE13">
    <cfRule type="cellIs" dxfId="33" priority="29" operator="equal">
      <formula>"Extremo"</formula>
    </cfRule>
    <cfRule type="cellIs" dxfId="32" priority="30" operator="equal">
      <formula>"Alto"</formula>
    </cfRule>
    <cfRule type="cellIs" dxfId="31" priority="31" operator="equal">
      <formula>"Moderado"</formula>
    </cfRule>
    <cfRule type="cellIs" dxfId="30" priority="32" operator="equal">
      <formula>"Bajo"</formula>
    </cfRule>
  </conditionalFormatting>
  <conditionalFormatting sqref="AA14">
    <cfRule type="cellIs" dxfId="29" priority="24" operator="equal">
      <formula>"Muy Alta"</formula>
    </cfRule>
    <cfRule type="cellIs" dxfId="28" priority="25" operator="equal">
      <formula>"Alta"</formula>
    </cfRule>
    <cfRule type="cellIs" dxfId="27" priority="26" operator="equal">
      <formula>"Media"</formula>
    </cfRule>
    <cfRule type="cellIs" dxfId="26" priority="27" operator="equal">
      <formula>"Baja"</formula>
    </cfRule>
    <cfRule type="cellIs" dxfId="25" priority="28" operator="equal">
      <formula>"Muy Baja"</formula>
    </cfRule>
  </conditionalFormatting>
  <conditionalFormatting sqref="AC14">
    <cfRule type="cellIs" dxfId="24" priority="19" operator="equal">
      <formula>"Catastrófico"</formula>
    </cfRule>
    <cfRule type="cellIs" dxfId="23" priority="20" operator="equal">
      <formula>"Mayor"</formula>
    </cfRule>
    <cfRule type="cellIs" dxfId="22" priority="21" operator="equal">
      <formula>"Moderado"</formula>
    </cfRule>
    <cfRule type="cellIs" dxfId="21" priority="22" operator="equal">
      <formula>"Menor"</formula>
    </cfRule>
    <cfRule type="cellIs" dxfId="20" priority="23" operator="equal">
      <formula>"Leve"</formula>
    </cfRule>
  </conditionalFormatting>
  <conditionalFormatting sqref="AE14">
    <cfRule type="cellIs" dxfId="19" priority="15" operator="equal">
      <formula>"Extremo"</formula>
    </cfRule>
    <cfRule type="cellIs" dxfId="18" priority="16" operator="equal">
      <formula>"Alto"</formula>
    </cfRule>
    <cfRule type="cellIs" dxfId="17" priority="17" operator="equal">
      <formula>"Moderado"</formula>
    </cfRule>
    <cfRule type="cellIs" dxfId="16" priority="18"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100-000000000000}">
          <x14:formula1>
            <xm:f>'Tabla Valoración controles'!$D$4:$D$6</xm:f>
          </x14:formula1>
          <xm:sqref>T10 T18:T65 T14:T16</xm:sqref>
        </x14:dataValidation>
        <x14:dataValidation type="list" allowBlank="1" showInputMessage="1" showErrorMessage="1" xr:uid="{00000000-0002-0000-0100-000001000000}">
          <x14:formula1>
            <xm:f>'Tabla Valoración controles'!$D$7:$D$8</xm:f>
          </x14:formula1>
          <xm:sqref>U10 U18:U65 U14:U16</xm:sqref>
        </x14:dataValidation>
        <x14:dataValidation type="list" allowBlank="1" showInputMessage="1" showErrorMessage="1" xr:uid="{00000000-0002-0000-0100-000002000000}">
          <x14:formula1>
            <xm:f>'Tabla Valoración controles'!$D$9:$D$10</xm:f>
          </x14:formula1>
          <xm:sqref>W10 W18:W65 W14:W16</xm:sqref>
        </x14:dataValidation>
        <x14:dataValidation type="list" allowBlank="1" showInputMessage="1" showErrorMessage="1" xr:uid="{00000000-0002-0000-0100-000003000000}">
          <x14:formula1>
            <xm:f>'Tabla Valoración controles'!$D$11:$D$12</xm:f>
          </x14:formula1>
          <xm:sqref>X10 X18:X65 X14:X16</xm:sqref>
        </x14:dataValidation>
        <x14:dataValidation type="list" allowBlank="1" showInputMessage="1" showErrorMessage="1" xr:uid="{00000000-0002-0000-0100-000004000000}">
          <x14:formula1>
            <xm:f>'Opciones Tratamiento'!$B$9:$B$10</xm:f>
          </x14:formula1>
          <xm:sqref>AL10:AL11 AL13:AL15 AL18:AL19 AL21:AL22 AL24:AL25 AL27:AL28 AL30:AL31 AL33:AL34 AL36:AL37 AL39:AL40 AL42:AL43 AL45:AL46 AL48:AL49 AL51:AL52 AL54:AL55 AL57:AL58 AL60:AL61 AL63:AL64</xm:sqref>
        </x14:dataValidation>
        <x14:dataValidation type="list" allowBlank="1" showInputMessage="1" showErrorMessage="1" xr:uid="{00000000-0002-0000-0100-000005000000}">
          <x14:formula1>
            <xm:f>'Tabla Valoración controles'!$D$13:$D$14</xm:f>
          </x14:formula1>
          <xm:sqref>Y10 Y18:Y65 Y14:Y16</xm:sqref>
        </x14:dataValidation>
        <x14:dataValidation type="list" allowBlank="1" showInputMessage="1" showErrorMessage="1" xr:uid="{00000000-0002-0000-0100-000008000000}">
          <x14:formula1>
            <xm:f>'Opciones Tratamiento'!$B$2:$B$5</xm:f>
          </x14:formula1>
          <xm:sqref>AF10 AF12:AF65</xm:sqref>
        </x14:dataValidation>
        <x14:dataValidation type="list" allowBlank="1" showInputMessage="1" showErrorMessage="1" xr:uid="{00000000-0002-0000-0100-00000F000000}">
          <x14:formula1>
            <xm:f>'C:\Users\HOME\Downloads\[Formato Matriz de Riesgos 2021 (1).xlsx]Tabla Valoración controles'!#REF!</xm:f>
          </x14:formula1>
          <xm:sqref>T11:U13 W11:Y13 T17:U17 W17:Y17</xm:sqref>
        </x14:dataValidation>
        <x14:dataValidation type="list" allowBlank="1" showInputMessage="1" showErrorMessage="1" xr:uid="{00000000-0002-0000-0100-000013000000}">
          <x14:formula1>
            <xm:f>'C:\Users\HOME\Downloads\[Formato Matriz de Riesgos 2021 (1).xlsx]Opciones Tratamiento'!#REF!</xm:f>
          </x14:formula1>
          <xm:sqref>AF11</xm:sqref>
        </x14:dataValidation>
        <x14:dataValidation type="list" allowBlank="1" showInputMessage="1" showErrorMessage="1" xr:uid="{73E78AAB-13CF-41E9-9208-06FB63FE18CA}">
          <x14:formula1>
            <xm:f>'C:\Users\HACIENDA123\Downloads\[Formato Matriz de Riesgos 2021.xlsx]Opciones Tratamiento'!#REF!</xm:f>
          </x14:formula1>
          <xm:sqref>B10:B13 H10:H13</xm:sqref>
        </x14:dataValidation>
        <x14:dataValidation type="list" allowBlank="1" showInputMessage="1" showErrorMessage="1" xr:uid="{00000000-0002-0000-0100-000006000000}">
          <x14:formula1>
            <xm:f>'Opciones Tratamiento'!$B$13:$B$19</xm:f>
          </x14:formula1>
          <xm:sqref>H14:H65</xm:sqref>
        </x14:dataValidation>
        <x14:dataValidation type="list" allowBlank="1" showInputMessage="1" showErrorMessage="1" xr:uid="{00000000-0002-0000-0100-000007000000}">
          <x14:formula1>
            <xm:f>'Opciones Tratamiento'!$E$2:$E$4</xm:f>
          </x14:formula1>
          <xm:sqref>B14:B65</xm:sqref>
        </x14:dataValidation>
        <x14:dataValidation type="list" allowBlank="1" showInputMessage="1" showErrorMessage="1" xr:uid="{00000000-0002-0000-0100-000009000000}">
          <x14:formula1>
            <xm:f>'Tabla Impacto'!$F$210:$F$221</xm:f>
          </x14:formula1>
          <xm:sqref>L10:L65</xm:sqref>
        </x14:dataValidation>
        <x14:dataValidation type="custom" allowBlank="1" showInputMessage="1" showErrorMessage="1" error="Recuerde que las acciones se generan bajo la medida de mitigar el riesgo" xr:uid="{00000000-0002-0000-0100-00000A000000}">
          <x14:formula1>
            <xm:f>IF(OR(AF10='Opciones Tratamiento'!$B$2,AF10='Opciones Tratamiento'!$B$3,AF10='Opciones Tratamiento'!$B$4),ISBLANK(AF10),ISTEXT(AF10))</xm:f>
          </x14:formula1>
          <xm:sqref>AG10:AG65</xm:sqref>
        </x14:dataValidation>
        <x14:dataValidation type="custom" allowBlank="1" showInputMessage="1" showErrorMessage="1" error="Recuerde que las acciones se generan bajo la medida de mitigar el riesgo" xr:uid="{00000000-0002-0000-0100-00000B000000}">
          <x14:formula1>
            <xm:f>IF(OR(AF10='Opciones Tratamiento'!$B$2,AF10='Opciones Tratamiento'!$B$3,AF10='Opciones Tratamiento'!$B$4),ISBLANK(AF10),ISTEXT(AF10))</xm:f>
          </x14:formula1>
          <xm:sqref>AH10:AH65</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AI10:AI65</xm:sqref>
        </x14:dataValidation>
        <x14:dataValidation type="custom" allowBlank="1" showInputMessage="1" showErrorMessage="1" error="Recuerde que las acciones se generan bajo la medida de mitigar el riesgo" xr:uid="{00000000-0002-0000-0100-00000D000000}">
          <x14:formula1>
            <xm:f>IF(OR(AF10='Opciones Tratamiento'!$B$2,AF10='Opciones Tratamiento'!$B$3,AF10='Opciones Tratamiento'!$B$4),ISBLANK(AF10),ISTEXT(AF10))</xm:f>
          </x14:formula1>
          <xm:sqref>AJ10:AJ65</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AK10:AK65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38" zoomScale="70" zoomScaleNormal="70" workbookViewId="0"/>
  </sheetViews>
  <sheetFormatPr baseColWidth="10" defaultRowHeight="15" x14ac:dyDescent="0.25"/>
  <cols>
    <col min="2" max="39" width="5.7109375" customWidth="1"/>
    <col min="41" max="46" width="5.7109375" customWidth="1"/>
  </cols>
  <sheetData>
    <row r="1" spans="1:99"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row>
    <row r="2" spans="1:99" ht="18" customHeight="1" x14ac:dyDescent="0.25">
      <c r="A2" s="68"/>
      <c r="B2" s="298" t="s">
        <v>150</v>
      </c>
      <c r="C2" s="298"/>
      <c r="D2" s="298"/>
      <c r="E2" s="298"/>
      <c r="F2" s="298"/>
      <c r="G2" s="298"/>
      <c r="H2" s="298"/>
      <c r="I2" s="298"/>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row>
    <row r="3" spans="1:99" ht="18.75" customHeight="1" x14ac:dyDescent="0.25">
      <c r="A3" s="68"/>
      <c r="B3" s="298"/>
      <c r="C3" s="298"/>
      <c r="D3" s="298"/>
      <c r="E3" s="298"/>
      <c r="F3" s="298"/>
      <c r="G3" s="298"/>
      <c r="H3" s="298"/>
      <c r="I3" s="298"/>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row>
    <row r="4" spans="1:99" ht="15" customHeight="1" x14ac:dyDescent="0.25">
      <c r="A4" s="68"/>
      <c r="B4" s="298"/>
      <c r="C4" s="298"/>
      <c r="D4" s="298"/>
      <c r="E4" s="298"/>
      <c r="F4" s="298"/>
      <c r="G4" s="298"/>
      <c r="H4" s="298"/>
      <c r="I4" s="298"/>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row>
    <row r="5" spans="1:99"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row>
    <row r="6" spans="1:99" ht="15" customHeight="1" x14ac:dyDescent="0.25">
      <c r="A6" s="68"/>
      <c r="B6" s="348" t="s">
        <v>4</v>
      </c>
      <c r="C6" s="348"/>
      <c r="D6" s="349"/>
      <c r="E6" s="337" t="s">
        <v>111</v>
      </c>
      <c r="F6" s="338"/>
      <c r="G6" s="338"/>
      <c r="H6" s="338"/>
      <c r="I6" s="339"/>
      <c r="J6" s="333" t="str">
        <f ca="1">IF(AND('Mapa final'!$J$10="Muy Alta",'Mapa final'!$N$10="Leve"),CONCATENATE("R",'Mapa final'!$A$10),"")</f>
        <v/>
      </c>
      <c r="K6" s="334"/>
      <c r="L6" s="334" t="str">
        <f ca="1">IF(AND('Mapa final'!$J$14="Muy Alta",'Mapa final'!$N$14="Leve"),CONCATENATE("R",'Mapa final'!$A$14),"")</f>
        <v/>
      </c>
      <c r="M6" s="334"/>
      <c r="N6" s="334" t="str">
        <f ca="1">IF(AND('Mapa final'!$J$18="Muy Alta",'Mapa final'!$N$18="Leve"),CONCATENATE("R",'Mapa final'!$A$18),"")</f>
        <v/>
      </c>
      <c r="O6" s="335"/>
      <c r="P6" s="333" t="str">
        <f ca="1">IF(AND('Mapa final'!$J$10="Muy Alta",'Mapa final'!$N$10="Menor"),CONCATENATE("R",'Mapa final'!$A$10),"")</f>
        <v/>
      </c>
      <c r="Q6" s="334"/>
      <c r="R6" s="334" t="str">
        <f ca="1">IF(AND('Mapa final'!$J$14="Muy Alta",'Mapa final'!$N$14="Menor"),CONCATENATE("R",'Mapa final'!$A$14),"")</f>
        <v/>
      </c>
      <c r="S6" s="334"/>
      <c r="T6" s="334" t="str">
        <f ca="1">IF(AND('Mapa final'!$J$18="Muy Alta",'Mapa final'!$N$18="Menor"),CONCATENATE("R",'Mapa final'!$A$18),"")</f>
        <v/>
      </c>
      <c r="U6" s="335"/>
      <c r="V6" s="333" t="str">
        <f ca="1">IF(AND('Mapa final'!$J$10="Muy Alta",'Mapa final'!$N$10="Moderado"),CONCATENATE("R",'Mapa final'!$A$10),"")</f>
        <v/>
      </c>
      <c r="W6" s="334"/>
      <c r="X6" s="334" t="str">
        <f ca="1">IF(AND('Mapa final'!$J$14="Muy Alta",'Mapa final'!$N$14="Moderado"),CONCATENATE("R",'Mapa final'!$A$14),"")</f>
        <v/>
      </c>
      <c r="Y6" s="334"/>
      <c r="Z6" s="334" t="str">
        <f ca="1">IF(AND('Mapa final'!$J$18="Muy Alta",'Mapa final'!$N$18="Moderado"),CONCATENATE("R",'Mapa final'!$A$18),"")</f>
        <v/>
      </c>
      <c r="AA6" s="335"/>
      <c r="AB6" s="333" t="str">
        <f ca="1">IF(AND('Mapa final'!$J$10="Muy Alta",'Mapa final'!$N$10="Mayor"),CONCATENATE("R",'Mapa final'!$A$10),"")</f>
        <v/>
      </c>
      <c r="AC6" s="334"/>
      <c r="AD6" s="334" t="str">
        <f ca="1">IF(AND('Mapa final'!$J$14="Muy Alta",'Mapa final'!$N$14="Mayor"),CONCATENATE("R",'Mapa final'!$A$14),"")</f>
        <v/>
      </c>
      <c r="AE6" s="334"/>
      <c r="AF6" s="334" t="str">
        <f ca="1">IF(AND('Mapa final'!$J$18="Muy Alta",'Mapa final'!$N$18="Mayor"),CONCATENATE("R",'Mapa final'!$A$18),"")</f>
        <v/>
      </c>
      <c r="AG6" s="335"/>
      <c r="AH6" s="323" t="str">
        <f ca="1">IF(AND('Mapa final'!$J$10="Muy Alta",'Mapa final'!$N$10="Catastrófico"),CONCATENATE("R",'Mapa final'!$A$10),"")</f>
        <v/>
      </c>
      <c r="AI6" s="324"/>
      <c r="AJ6" s="324" t="str">
        <f ca="1">IF(AND('Mapa final'!$J$14="Muy Alta",'Mapa final'!$N$14="Catastrófico"),CONCATENATE("R",'Mapa final'!$A$14),"")</f>
        <v/>
      </c>
      <c r="AK6" s="324"/>
      <c r="AL6" s="324" t="str">
        <f ca="1">IF(AND('Mapa final'!$J$18="Muy Alta",'Mapa final'!$N$18="Catastrófico"),CONCATENATE("R",'Mapa final'!$A$18),"")</f>
        <v/>
      </c>
      <c r="AM6" s="325"/>
      <c r="AO6" s="350" t="s">
        <v>78</v>
      </c>
      <c r="AP6" s="351"/>
      <c r="AQ6" s="351"/>
      <c r="AR6" s="351"/>
      <c r="AS6" s="351"/>
      <c r="AT6" s="352"/>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row>
    <row r="7" spans="1:99" ht="15" customHeight="1" x14ac:dyDescent="0.25">
      <c r="A7" s="68"/>
      <c r="B7" s="348"/>
      <c r="C7" s="348"/>
      <c r="D7" s="349"/>
      <c r="E7" s="340"/>
      <c r="F7" s="341"/>
      <c r="G7" s="341"/>
      <c r="H7" s="341"/>
      <c r="I7" s="342"/>
      <c r="J7" s="326"/>
      <c r="K7" s="327"/>
      <c r="L7" s="327"/>
      <c r="M7" s="327"/>
      <c r="N7" s="327"/>
      <c r="O7" s="329"/>
      <c r="P7" s="326"/>
      <c r="Q7" s="327"/>
      <c r="R7" s="327"/>
      <c r="S7" s="327"/>
      <c r="T7" s="327"/>
      <c r="U7" s="329"/>
      <c r="V7" s="326"/>
      <c r="W7" s="327"/>
      <c r="X7" s="327"/>
      <c r="Y7" s="327"/>
      <c r="Z7" s="327"/>
      <c r="AA7" s="329"/>
      <c r="AB7" s="326"/>
      <c r="AC7" s="327"/>
      <c r="AD7" s="327"/>
      <c r="AE7" s="327"/>
      <c r="AF7" s="327"/>
      <c r="AG7" s="329"/>
      <c r="AH7" s="317"/>
      <c r="AI7" s="318"/>
      <c r="AJ7" s="318"/>
      <c r="AK7" s="318"/>
      <c r="AL7" s="318"/>
      <c r="AM7" s="319"/>
      <c r="AN7" s="68"/>
      <c r="AO7" s="353"/>
      <c r="AP7" s="354"/>
      <c r="AQ7" s="354"/>
      <c r="AR7" s="354"/>
      <c r="AS7" s="354"/>
      <c r="AT7" s="355"/>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row>
    <row r="8" spans="1:99" ht="15" customHeight="1" x14ac:dyDescent="0.25">
      <c r="A8" s="68"/>
      <c r="B8" s="348"/>
      <c r="C8" s="348"/>
      <c r="D8" s="349"/>
      <c r="E8" s="340"/>
      <c r="F8" s="341"/>
      <c r="G8" s="341"/>
      <c r="H8" s="341"/>
      <c r="I8" s="342"/>
      <c r="J8" s="326" t="str">
        <f ca="1">IF(AND('Mapa final'!$J$24="Muy Alta",'Mapa final'!$N$24="Leve"),CONCATENATE("R",'Mapa final'!$A$24),"")</f>
        <v/>
      </c>
      <c r="K8" s="327"/>
      <c r="L8" s="328" t="str">
        <f ca="1">IF(AND('Mapa final'!$J$30="Muy Alta",'Mapa final'!$N$30="Leve"),CONCATENATE("R",'Mapa final'!$A$30),"")</f>
        <v/>
      </c>
      <c r="M8" s="328"/>
      <c r="N8" s="328" t="str">
        <f ca="1">IF(AND('Mapa final'!$J$36="Muy Alta",'Mapa final'!$N$36="Leve"),CONCATENATE("R",'Mapa final'!$A$36),"")</f>
        <v/>
      </c>
      <c r="O8" s="329"/>
      <c r="P8" s="326" t="str">
        <f ca="1">IF(AND('Mapa final'!$J$24="Muy Alta",'Mapa final'!$N$24="Menor"),CONCATENATE("R",'Mapa final'!$A$24),"")</f>
        <v/>
      </c>
      <c r="Q8" s="327"/>
      <c r="R8" s="328" t="str">
        <f ca="1">IF(AND('Mapa final'!$J$30="Muy Alta",'Mapa final'!$N$30="Menor"),CONCATENATE("R",'Mapa final'!$A$30),"")</f>
        <v/>
      </c>
      <c r="S8" s="328"/>
      <c r="T8" s="328" t="str">
        <f ca="1">IF(AND('Mapa final'!$J$36="Muy Alta",'Mapa final'!$N$36="Menor"),CONCATENATE("R",'Mapa final'!$A$36),"")</f>
        <v/>
      </c>
      <c r="U8" s="329"/>
      <c r="V8" s="326" t="str">
        <f ca="1">IF(AND('Mapa final'!$J$24="Muy Alta",'Mapa final'!$N$24="Moderado"),CONCATENATE("R",'Mapa final'!$A$24),"")</f>
        <v/>
      </c>
      <c r="W8" s="327"/>
      <c r="X8" s="328" t="str">
        <f ca="1">IF(AND('Mapa final'!$J$30="Muy Alta",'Mapa final'!$N$30="Moderado"),CONCATENATE("R",'Mapa final'!$A$30),"")</f>
        <v/>
      </c>
      <c r="Y8" s="328"/>
      <c r="Z8" s="328" t="str">
        <f ca="1">IF(AND('Mapa final'!$J$36="Muy Alta",'Mapa final'!$N$36="Moderado"),CONCATENATE("R",'Mapa final'!$A$36),"")</f>
        <v/>
      </c>
      <c r="AA8" s="329"/>
      <c r="AB8" s="326" t="str">
        <f ca="1">IF(AND('Mapa final'!$J$24="Muy Alta",'Mapa final'!$N$24="Mayor"),CONCATENATE("R",'Mapa final'!$A$24),"")</f>
        <v/>
      </c>
      <c r="AC8" s="327"/>
      <c r="AD8" s="328" t="str">
        <f ca="1">IF(AND('Mapa final'!$J$30="Muy Alta",'Mapa final'!$N$30="Mayor"),CONCATENATE("R",'Mapa final'!$A$30),"")</f>
        <v/>
      </c>
      <c r="AE8" s="328"/>
      <c r="AF8" s="328" t="str">
        <f ca="1">IF(AND('Mapa final'!$J$36="Muy Alta",'Mapa final'!$N$36="Mayor"),CONCATENATE("R",'Mapa final'!$A$36),"")</f>
        <v/>
      </c>
      <c r="AG8" s="329"/>
      <c r="AH8" s="317" t="str">
        <f ca="1">IF(AND('Mapa final'!$J$24="Muy Alta",'Mapa final'!$N$24="Catastrófico"),CONCATENATE("R",'Mapa final'!$A$24),"")</f>
        <v/>
      </c>
      <c r="AI8" s="318"/>
      <c r="AJ8" s="318" t="str">
        <f ca="1">IF(AND('Mapa final'!$J$30="Muy Alta",'Mapa final'!$N$30="Catastrófico"),CONCATENATE("R",'Mapa final'!$A$30),"")</f>
        <v/>
      </c>
      <c r="AK8" s="318"/>
      <c r="AL8" s="318" t="str">
        <f ca="1">IF(AND('Mapa final'!$J$36="Muy Alta",'Mapa final'!$N$36="Catastrófico"),CONCATENATE("R",'Mapa final'!$A$36),"")</f>
        <v/>
      </c>
      <c r="AM8" s="319"/>
      <c r="AN8" s="68"/>
      <c r="AO8" s="353"/>
      <c r="AP8" s="354"/>
      <c r="AQ8" s="354"/>
      <c r="AR8" s="354"/>
      <c r="AS8" s="354"/>
      <c r="AT8" s="355"/>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row>
    <row r="9" spans="1:99" ht="15" customHeight="1" x14ac:dyDescent="0.25">
      <c r="A9" s="68"/>
      <c r="B9" s="348"/>
      <c r="C9" s="348"/>
      <c r="D9" s="349"/>
      <c r="E9" s="340"/>
      <c r="F9" s="341"/>
      <c r="G9" s="341"/>
      <c r="H9" s="341"/>
      <c r="I9" s="342"/>
      <c r="J9" s="326"/>
      <c r="K9" s="327"/>
      <c r="L9" s="328"/>
      <c r="M9" s="328"/>
      <c r="N9" s="328"/>
      <c r="O9" s="329"/>
      <c r="P9" s="326"/>
      <c r="Q9" s="327"/>
      <c r="R9" s="328"/>
      <c r="S9" s="328"/>
      <c r="T9" s="328"/>
      <c r="U9" s="329"/>
      <c r="V9" s="326"/>
      <c r="W9" s="327"/>
      <c r="X9" s="328"/>
      <c r="Y9" s="328"/>
      <c r="Z9" s="328"/>
      <c r="AA9" s="329"/>
      <c r="AB9" s="326"/>
      <c r="AC9" s="327"/>
      <c r="AD9" s="328"/>
      <c r="AE9" s="328"/>
      <c r="AF9" s="328"/>
      <c r="AG9" s="329"/>
      <c r="AH9" s="317"/>
      <c r="AI9" s="318"/>
      <c r="AJ9" s="318"/>
      <c r="AK9" s="318"/>
      <c r="AL9" s="318"/>
      <c r="AM9" s="319"/>
      <c r="AN9" s="68"/>
      <c r="AO9" s="353"/>
      <c r="AP9" s="354"/>
      <c r="AQ9" s="354"/>
      <c r="AR9" s="354"/>
      <c r="AS9" s="354"/>
      <c r="AT9" s="355"/>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row>
    <row r="10" spans="1:99" ht="15" customHeight="1" x14ac:dyDescent="0.25">
      <c r="A10" s="68"/>
      <c r="B10" s="348"/>
      <c r="C10" s="348"/>
      <c r="D10" s="349"/>
      <c r="E10" s="340"/>
      <c r="F10" s="341"/>
      <c r="G10" s="341"/>
      <c r="H10" s="341"/>
      <c r="I10" s="342"/>
      <c r="J10" s="326" t="str">
        <f ca="1">IF(AND('Mapa final'!$J$42="Muy Alta",'Mapa final'!$N$42="Leve"),CONCATENATE("R",'Mapa final'!$A$42),"")</f>
        <v/>
      </c>
      <c r="K10" s="327"/>
      <c r="L10" s="328" t="str">
        <f ca="1">IF(AND('Mapa final'!$J$48="Muy Alta",'Mapa final'!$N$48="Leve"),CONCATENATE("R",'Mapa final'!$A$48),"")</f>
        <v/>
      </c>
      <c r="M10" s="328"/>
      <c r="N10" s="328" t="str">
        <f ca="1">IF(AND('Mapa final'!$J$54="Muy Alta",'Mapa final'!$N$54="Leve"),CONCATENATE("R",'Mapa final'!$A$54),"")</f>
        <v/>
      </c>
      <c r="O10" s="329"/>
      <c r="P10" s="326" t="str">
        <f ca="1">IF(AND('Mapa final'!$J$42="Muy Alta",'Mapa final'!$N$42="Menor"),CONCATENATE("R",'Mapa final'!$A$42),"")</f>
        <v/>
      </c>
      <c r="Q10" s="327"/>
      <c r="R10" s="328" t="str">
        <f ca="1">IF(AND('Mapa final'!$J$48="Muy Alta",'Mapa final'!$N$48="Menor"),CONCATENATE("R",'Mapa final'!$A$48),"")</f>
        <v/>
      </c>
      <c r="S10" s="328"/>
      <c r="T10" s="328" t="str">
        <f ca="1">IF(AND('Mapa final'!$J$54="Muy Alta",'Mapa final'!$N$54="Menor"),CONCATENATE("R",'Mapa final'!$A$54),"")</f>
        <v/>
      </c>
      <c r="U10" s="329"/>
      <c r="V10" s="326" t="str">
        <f ca="1">IF(AND('Mapa final'!$J$42="Muy Alta",'Mapa final'!$N$42="Moderado"),CONCATENATE("R",'Mapa final'!$A$42),"")</f>
        <v/>
      </c>
      <c r="W10" s="327"/>
      <c r="X10" s="328" t="str">
        <f ca="1">IF(AND('Mapa final'!$J$48="Muy Alta",'Mapa final'!$N$48="Moderado"),CONCATENATE("R",'Mapa final'!$A$48),"")</f>
        <v/>
      </c>
      <c r="Y10" s="328"/>
      <c r="Z10" s="328" t="str">
        <f ca="1">IF(AND('Mapa final'!$J$54="Muy Alta",'Mapa final'!$N$54="Moderado"),CONCATENATE("R",'Mapa final'!$A$54),"")</f>
        <v/>
      </c>
      <c r="AA10" s="329"/>
      <c r="AB10" s="326" t="str">
        <f ca="1">IF(AND('Mapa final'!$J$42="Muy Alta",'Mapa final'!$N$42="Mayor"),CONCATENATE("R",'Mapa final'!$A$42),"")</f>
        <v/>
      </c>
      <c r="AC10" s="327"/>
      <c r="AD10" s="328" t="str">
        <f ca="1">IF(AND('Mapa final'!$J$48="Muy Alta",'Mapa final'!$N$48="Mayor"),CONCATENATE("R",'Mapa final'!$A$48),"")</f>
        <v/>
      </c>
      <c r="AE10" s="328"/>
      <c r="AF10" s="328" t="str">
        <f ca="1">IF(AND('Mapa final'!$J$54="Muy Alta",'Mapa final'!$N$54="Mayor"),CONCATENATE("R",'Mapa final'!$A$54),"")</f>
        <v/>
      </c>
      <c r="AG10" s="329"/>
      <c r="AH10" s="317" t="str">
        <f ca="1">IF(AND('Mapa final'!$J$42="Muy Alta",'Mapa final'!$N$42="Catastrófico"),CONCATENATE("R",'Mapa final'!$A$42),"")</f>
        <v/>
      </c>
      <c r="AI10" s="318"/>
      <c r="AJ10" s="318" t="str">
        <f ca="1">IF(AND('Mapa final'!$J$48="Muy Alta",'Mapa final'!$N$48="Catastrófico"),CONCATENATE("R",'Mapa final'!$A$48),"")</f>
        <v/>
      </c>
      <c r="AK10" s="318"/>
      <c r="AL10" s="318" t="str">
        <f ca="1">IF(AND('Mapa final'!$J$54="Muy Alta",'Mapa final'!$N$54="Catastrófico"),CONCATENATE("R",'Mapa final'!$A$54),"")</f>
        <v/>
      </c>
      <c r="AM10" s="319"/>
      <c r="AN10" s="68"/>
      <c r="AO10" s="353"/>
      <c r="AP10" s="354"/>
      <c r="AQ10" s="354"/>
      <c r="AR10" s="354"/>
      <c r="AS10" s="354"/>
      <c r="AT10" s="355"/>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row>
    <row r="11" spans="1:99" ht="15" customHeight="1" x14ac:dyDescent="0.25">
      <c r="A11" s="68"/>
      <c r="B11" s="348"/>
      <c r="C11" s="348"/>
      <c r="D11" s="349"/>
      <c r="E11" s="340"/>
      <c r="F11" s="341"/>
      <c r="G11" s="341"/>
      <c r="H11" s="341"/>
      <c r="I11" s="342"/>
      <c r="J11" s="326"/>
      <c r="K11" s="327"/>
      <c r="L11" s="328"/>
      <c r="M11" s="328"/>
      <c r="N11" s="328"/>
      <c r="O11" s="329"/>
      <c r="P11" s="326"/>
      <c r="Q11" s="327"/>
      <c r="R11" s="328"/>
      <c r="S11" s="328"/>
      <c r="T11" s="328"/>
      <c r="U11" s="329"/>
      <c r="V11" s="326"/>
      <c r="W11" s="327"/>
      <c r="X11" s="328"/>
      <c r="Y11" s="328"/>
      <c r="Z11" s="328"/>
      <c r="AA11" s="329"/>
      <c r="AB11" s="326"/>
      <c r="AC11" s="327"/>
      <c r="AD11" s="328"/>
      <c r="AE11" s="328"/>
      <c r="AF11" s="328"/>
      <c r="AG11" s="329"/>
      <c r="AH11" s="317"/>
      <c r="AI11" s="318"/>
      <c r="AJ11" s="318"/>
      <c r="AK11" s="318"/>
      <c r="AL11" s="318"/>
      <c r="AM11" s="319"/>
      <c r="AN11" s="68"/>
      <c r="AO11" s="353"/>
      <c r="AP11" s="354"/>
      <c r="AQ11" s="354"/>
      <c r="AR11" s="354"/>
      <c r="AS11" s="354"/>
      <c r="AT11" s="355"/>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row>
    <row r="12" spans="1:99" ht="15" customHeight="1" x14ac:dyDescent="0.25">
      <c r="A12" s="68"/>
      <c r="B12" s="348"/>
      <c r="C12" s="348"/>
      <c r="D12" s="349"/>
      <c r="E12" s="340"/>
      <c r="F12" s="341"/>
      <c r="G12" s="341"/>
      <c r="H12" s="341"/>
      <c r="I12" s="342"/>
      <c r="J12" s="326" t="str">
        <f ca="1">IF(AND('Mapa final'!$J$60="Muy Alta",'Mapa final'!$N$60="Leve"),CONCATENATE("R",'Mapa final'!$A$60),"")</f>
        <v/>
      </c>
      <c r="K12" s="327"/>
      <c r="L12" s="328" t="str">
        <f>IF(AND('Mapa final'!$J$66="Muy Alta",'Mapa final'!$N$66="Leve"),CONCATENATE("R",'Mapa final'!$A$66),"")</f>
        <v/>
      </c>
      <c r="M12" s="328"/>
      <c r="N12" s="328" t="str">
        <f>IF(AND('Mapa final'!$J$72="Muy Alta",'Mapa final'!$N$72="Leve"),CONCATENATE("R",'Mapa final'!$A$72),"")</f>
        <v/>
      </c>
      <c r="O12" s="329"/>
      <c r="P12" s="326" t="str">
        <f ca="1">IF(AND('Mapa final'!$J$60="Muy Alta",'Mapa final'!$N$60="Menor"),CONCATENATE("R",'Mapa final'!$A$60),"")</f>
        <v/>
      </c>
      <c r="Q12" s="327"/>
      <c r="R12" s="328" t="str">
        <f>IF(AND('Mapa final'!$J$66="Muy Alta",'Mapa final'!$N$66="Menor"),CONCATENATE("R",'Mapa final'!$A$66),"")</f>
        <v/>
      </c>
      <c r="S12" s="328"/>
      <c r="T12" s="328" t="str">
        <f>IF(AND('Mapa final'!$J$72="Muy Alta",'Mapa final'!$N$72="Menor"),CONCATENATE("R",'Mapa final'!$A$72),"")</f>
        <v/>
      </c>
      <c r="U12" s="329"/>
      <c r="V12" s="326" t="str">
        <f ca="1">IF(AND('Mapa final'!$J$60="Muy Alta",'Mapa final'!$N$60="Moderado"),CONCATENATE("R",'Mapa final'!$A$60),"")</f>
        <v/>
      </c>
      <c r="W12" s="327"/>
      <c r="X12" s="328" t="str">
        <f>IF(AND('Mapa final'!$J$66="Muy Alta",'Mapa final'!$N$66="Moderado"),CONCATENATE("R",'Mapa final'!$A$66),"")</f>
        <v/>
      </c>
      <c r="Y12" s="328"/>
      <c r="Z12" s="328" t="str">
        <f>IF(AND('Mapa final'!$J$72="Muy Alta",'Mapa final'!$N$72="Moderado"),CONCATENATE("R",'Mapa final'!$A$72),"")</f>
        <v/>
      </c>
      <c r="AA12" s="329"/>
      <c r="AB12" s="326" t="str">
        <f ca="1">IF(AND('Mapa final'!$J$60="Muy Alta",'Mapa final'!$N$60="Mayor"),CONCATENATE("R",'Mapa final'!$A$60),"")</f>
        <v/>
      </c>
      <c r="AC12" s="327"/>
      <c r="AD12" s="328" t="str">
        <f>IF(AND('Mapa final'!$J$66="Muy Alta",'Mapa final'!$N$66="Mayor"),CONCATENATE("R",'Mapa final'!$A$66),"")</f>
        <v/>
      </c>
      <c r="AE12" s="328"/>
      <c r="AF12" s="328" t="str">
        <f>IF(AND('Mapa final'!$J$72="Muy Alta",'Mapa final'!$N$72="Mayor"),CONCATENATE("R",'Mapa final'!$A$72),"")</f>
        <v/>
      </c>
      <c r="AG12" s="329"/>
      <c r="AH12" s="317" t="str">
        <f ca="1">IF(AND('Mapa final'!$J$60="Muy Alta",'Mapa final'!$N$60="Catastrófico"),CONCATENATE("R",'Mapa final'!$A$60),"")</f>
        <v/>
      </c>
      <c r="AI12" s="318"/>
      <c r="AJ12" s="318" t="str">
        <f>IF(AND('Mapa final'!$J$66="Muy Alta",'Mapa final'!$N$66="Catastrófico"),CONCATENATE("R",'Mapa final'!$A$66),"")</f>
        <v/>
      </c>
      <c r="AK12" s="318"/>
      <c r="AL12" s="318" t="str">
        <f>IF(AND('Mapa final'!$J$72="Muy Alta",'Mapa final'!$N$72="Catastrófico"),CONCATENATE("R",'Mapa final'!$A$72),"")</f>
        <v/>
      </c>
      <c r="AM12" s="319"/>
      <c r="AN12" s="68"/>
      <c r="AO12" s="353"/>
      <c r="AP12" s="354"/>
      <c r="AQ12" s="354"/>
      <c r="AR12" s="354"/>
      <c r="AS12" s="354"/>
      <c r="AT12" s="355"/>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row>
    <row r="13" spans="1:99" ht="15.75" customHeight="1" thickBot="1" x14ac:dyDescent="0.3">
      <c r="A13" s="68"/>
      <c r="B13" s="348"/>
      <c r="C13" s="348"/>
      <c r="D13" s="349"/>
      <c r="E13" s="343"/>
      <c r="F13" s="344"/>
      <c r="G13" s="344"/>
      <c r="H13" s="344"/>
      <c r="I13" s="345"/>
      <c r="J13" s="326"/>
      <c r="K13" s="327"/>
      <c r="L13" s="327"/>
      <c r="M13" s="327"/>
      <c r="N13" s="327"/>
      <c r="O13" s="329"/>
      <c r="P13" s="326"/>
      <c r="Q13" s="327"/>
      <c r="R13" s="327"/>
      <c r="S13" s="327"/>
      <c r="T13" s="327"/>
      <c r="U13" s="329"/>
      <c r="V13" s="326"/>
      <c r="W13" s="327"/>
      <c r="X13" s="327"/>
      <c r="Y13" s="327"/>
      <c r="Z13" s="327"/>
      <c r="AA13" s="329"/>
      <c r="AB13" s="326"/>
      <c r="AC13" s="327"/>
      <c r="AD13" s="327"/>
      <c r="AE13" s="327"/>
      <c r="AF13" s="327"/>
      <c r="AG13" s="329"/>
      <c r="AH13" s="320"/>
      <c r="AI13" s="321"/>
      <c r="AJ13" s="321"/>
      <c r="AK13" s="321"/>
      <c r="AL13" s="321"/>
      <c r="AM13" s="322"/>
      <c r="AN13" s="68"/>
      <c r="AO13" s="356"/>
      <c r="AP13" s="357"/>
      <c r="AQ13" s="357"/>
      <c r="AR13" s="357"/>
      <c r="AS13" s="357"/>
      <c r="AT13" s="35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row>
    <row r="14" spans="1:99" ht="15" customHeight="1" x14ac:dyDescent="0.25">
      <c r="A14" s="68"/>
      <c r="B14" s="348"/>
      <c r="C14" s="348"/>
      <c r="D14" s="349"/>
      <c r="E14" s="337" t="s">
        <v>110</v>
      </c>
      <c r="F14" s="338"/>
      <c r="G14" s="338"/>
      <c r="H14" s="338"/>
      <c r="I14" s="338"/>
      <c r="J14" s="314" t="str">
        <f ca="1">IF(AND('Mapa final'!$J$10="Alta",'Mapa final'!$N$10="Leve"),CONCATENATE("R",'Mapa final'!$A$10),"")</f>
        <v/>
      </c>
      <c r="K14" s="315"/>
      <c r="L14" s="315" t="str">
        <f ca="1">IF(AND('Mapa final'!$J$14="Alta",'Mapa final'!$N$14="Leve"),CONCATENATE("R",'Mapa final'!$A$14),"")</f>
        <v/>
      </c>
      <c r="M14" s="315"/>
      <c r="N14" s="315" t="str">
        <f ca="1">IF(AND('Mapa final'!$J$18="Alta",'Mapa final'!$N$18="Leve"),CONCATENATE("R",'Mapa final'!$A$18),"")</f>
        <v/>
      </c>
      <c r="O14" s="316"/>
      <c r="P14" s="314" t="str">
        <f ca="1">IF(AND('Mapa final'!$J$10="Alta",'Mapa final'!$N$10="Menor"),CONCATENATE("R",'Mapa final'!$A$10),"")</f>
        <v/>
      </c>
      <c r="Q14" s="315"/>
      <c r="R14" s="315" t="str">
        <f ca="1">IF(AND('Mapa final'!$J$14="Alta",'Mapa final'!$N$14="Menor"),CONCATENATE("R",'Mapa final'!$A$14),"")</f>
        <v/>
      </c>
      <c r="S14" s="315"/>
      <c r="T14" s="315" t="str">
        <f ca="1">IF(AND('Mapa final'!$J$18="Alta",'Mapa final'!$N$18="Menor"),CONCATENATE("R",'Mapa final'!$A$18),"")</f>
        <v/>
      </c>
      <c r="U14" s="316"/>
      <c r="V14" s="333" t="str">
        <f ca="1">IF(AND('Mapa final'!$J$10="Alta",'Mapa final'!$N$10="Moderado"),CONCATENATE("R",'Mapa final'!$A$10),"")</f>
        <v/>
      </c>
      <c r="W14" s="334"/>
      <c r="X14" s="334" t="str">
        <f ca="1">IF(AND('Mapa final'!$J$14="Alta",'Mapa final'!$N$14="Moderado"),CONCATENATE("R",'Mapa final'!$A$14),"")</f>
        <v/>
      </c>
      <c r="Y14" s="334"/>
      <c r="Z14" s="334" t="str">
        <f ca="1">IF(AND('Mapa final'!$J$18="Alta",'Mapa final'!$N$18="Moderado"),CONCATENATE("R",'Mapa final'!$A$18),"")</f>
        <v/>
      </c>
      <c r="AA14" s="335"/>
      <c r="AB14" s="333" t="str">
        <f ca="1">IF(AND('Mapa final'!$J$10="Alta",'Mapa final'!$N$10="Mayor"),CONCATENATE("R",'Mapa final'!$A$10),"")</f>
        <v/>
      </c>
      <c r="AC14" s="334"/>
      <c r="AD14" s="334" t="str">
        <f ca="1">IF(AND('Mapa final'!$J$14="Alta",'Mapa final'!$N$14="Mayor"),CONCATENATE("R",'Mapa final'!$A$14),"")</f>
        <v>R2</v>
      </c>
      <c r="AE14" s="334"/>
      <c r="AF14" s="334" t="str">
        <f ca="1">IF(AND('Mapa final'!$J$18="Alta",'Mapa final'!$N$18="Mayor"),CONCATENATE("R",'Mapa final'!$A$18),"")</f>
        <v/>
      </c>
      <c r="AG14" s="335"/>
      <c r="AH14" s="323" t="str">
        <f ca="1">IF(AND('Mapa final'!$J$10="Alta",'Mapa final'!$N$10="Catastrófico"),CONCATENATE("R",'Mapa final'!$A$10),"")</f>
        <v/>
      </c>
      <c r="AI14" s="324"/>
      <c r="AJ14" s="324" t="str">
        <f ca="1">IF(AND('Mapa final'!$J$14="Alta",'Mapa final'!$N$14="Catastrófico"),CONCATENATE("R",'Mapa final'!$A$14),"")</f>
        <v/>
      </c>
      <c r="AK14" s="324"/>
      <c r="AL14" s="324" t="str">
        <f ca="1">IF(AND('Mapa final'!$J$18="Alta",'Mapa final'!$N$18="Catastrófico"),CONCATENATE("R",'Mapa final'!$A$18),"")</f>
        <v/>
      </c>
      <c r="AM14" s="325"/>
      <c r="AN14" s="68"/>
      <c r="AO14" s="359" t="s">
        <v>79</v>
      </c>
      <c r="AP14" s="360"/>
      <c r="AQ14" s="360"/>
      <c r="AR14" s="360"/>
      <c r="AS14" s="360"/>
      <c r="AT14" s="361"/>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row>
    <row r="15" spans="1:99" ht="15" customHeight="1" x14ac:dyDescent="0.25">
      <c r="A15" s="68"/>
      <c r="B15" s="348"/>
      <c r="C15" s="348"/>
      <c r="D15" s="349"/>
      <c r="E15" s="340"/>
      <c r="F15" s="341"/>
      <c r="G15" s="341"/>
      <c r="H15" s="341"/>
      <c r="I15" s="346"/>
      <c r="J15" s="308"/>
      <c r="K15" s="309"/>
      <c r="L15" s="309"/>
      <c r="M15" s="309"/>
      <c r="N15" s="309"/>
      <c r="O15" s="310"/>
      <c r="P15" s="308"/>
      <c r="Q15" s="309"/>
      <c r="R15" s="309"/>
      <c r="S15" s="309"/>
      <c r="T15" s="309"/>
      <c r="U15" s="310"/>
      <c r="V15" s="326"/>
      <c r="W15" s="327"/>
      <c r="X15" s="327"/>
      <c r="Y15" s="327"/>
      <c r="Z15" s="327"/>
      <c r="AA15" s="329"/>
      <c r="AB15" s="326"/>
      <c r="AC15" s="327"/>
      <c r="AD15" s="327"/>
      <c r="AE15" s="327"/>
      <c r="AF15" s="327"/>
      <c r="AG15" s="329"/>
      <c r="AH15" s="317"/>
      <c r="AI15" s="318"/>
      <c r="AJ15" s="318"/>
      <c r="AK15" s="318"/>
      <c r="AL15" s="318"/>
      <c r="AM15" s="319"/>
      <c r="AN15" s="68"/>
      <c r="AO15" s="362"/>
      <c r="AP15" s="363"/>
      <c r="AQ15" s="363"/>
      <c r="AR15" s="363"/>
      <c r="AS15" s="363"/>
      <c r="AT15" s="364"/>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row>
    <row r="16" spans="1:99" ht="15" customHeight="1" x14ac:dyDescent="0.25">
      <c r="A16" s="68"/>
      <c r="B16" s="348"/>
      <c r="C16" s="348"/>
      <c r="D16" s="349"/>
      <c r="E16" s="340"/>
      <c r="F16" s="341"/>
      <c r="G16" s="341"/>
      <c r="H16" s="341"/>
      <c r="I16" s="346"/>
      <c r="J16" s="308" t="str">
        <f ca="1">IF(AND('Mapa final'!$J$24="Alta",'Mapa final'!$N$24="Leve"),CONCATENATE("R",'Mapa final'!$A$24),"")</f>
        <v/>
      </c>
      <c r="K16" s="309"/>
      <c r="L16" s="309" t="str">
        <f ca="1">IF(AND('Mapa final'!$J$30="Alta",'Mapa final'!$N$30="Leve"),CONCATENATE("R",'Mapa final'!$A$30),"")</f>
        <v/>
      </c>
      <c r="M16" s="309"/>
      <c r="N16" s="309" t="str">
        <f ca="1">IF(AND('Mapa final'!$J$36="Alta",'Mapa final'!$N$36="Leve"),CONCATENATE("R",'Mapa final'!$A$36),"")</f>
        <v/>
      </c>
      <c r="O16" s="310"/>
      <c r="P16" s="308" t="str">
        <f ca="1">IF(AND('Mapa final'!$J$24="Alta",'Mapa final'!$N$24="Menor"),CONCATENATE("R",'Mapa final'!$A$24),"")</f>
        <v/>
      </c>
      <c r="Q16" s="309"/>
      <c r="R16" s="309" t="str">
        <f ca="1">IF(AND('Mapa final'!$J$30="Alta",'Mapa final'!$N$30="Menor"),CONCATENATE("R",'Mapa final'!$A$30),"")</f>
        <v/>
      </c>
      <c r="S16" s="309"/>
      <c r="T16" s="309" t="str">
        <f ca="1">IF(AND('Mapa final'!$J$36="Alta",'Mapa final'!$N$36="Menor"),CONCATENATE("R",'Mapa final'!$A$36),"")</f>
        <v/>
      </c>
      <c r="U16" s="310"/>
      <c r="V16" s="326" t="str">
        <f ca="1">IF(AND('Mapa final'!$J$24="Alta",'Mapa final'!$N$24="Moderado"),CONCATENATE("R",'Mapa final'!$A$24),"")</f>
        <v/>
      </c>
      <c r="W16" s="327"/>
      <c r="X16" s="328" t="str">
        <f ca="1">IF(AND('Mapa final'!$J$30="Alta",'Mapa final'!$N$30="Moderado"),CONCATENATE("R",'Mapa final'!$A$30),"")</f>
        <v/>
      </c>
      <c r="Y16" s="328"/>
      <c r="Z16" s="328" t="str">
        <f ca="1">IF(AND('Mapa final'!$J$36="Alta",'Mapa final'!$N$36="Moderado"),CONCATENATE("R",'Mapa final'!$A$36),"")</f>
        <v/>
      </c>
      <c r="AA16" s="329"/>
      <c r="AB16" s="326" t="str">
        <f ca="1">IF(AND('Mapa final'!$J$24="Alta",'Mapa final'!$N$24="Mayor"),CONCATENATE("R",'Mapa final'!$A$24),"")</f>
        <v/>
      </c>
      <c r="AC16" s="327"/>
      <c r="AD16" s="328" t="str">
        <f ca="1">IF(AND('Mapa final'!$J$30="Alta",'Mapa final'!$N$30="Mayor"),CONCATENATE("R",'Mapa final'!$A$30),"")</f>
        <v/>
      </c>
      <c r="AE16" s="328"/>
      <c r="AF16" s="328" t="str">
        <f ca="1">IF(AND('Mapa final'!$J$36="Alta",'Mapa final'!$N$36="Mayor"),CONCATENATE("R",'Mapa final'!$A$36),"")</f>
        <v/>
      </c>
      <c r="AG16" s="329"/>
      <c r="AH16" s="317" t="str">
        <f ca="1">IF(AND('Mapa final'!$J$24="Alta",'Mapa final'!$N$24="Catastrófico"),CONCATENATE("R",'Mapa final'!$A$24),"")</f>
        <v/>
      </c>
      <c r="AI16" s="318"/>
      <c r="AJ16" s="318" t="str">
        <f ca="1">IF(AND('Mapa final'!$J$30="Alta",'Mapa final'!$N$30="Catastrófico"),CONCATENATE("R",'Mapa final'!$A$30),"")</f>
        <v/>
      </c>
      <c r="AK16" s="318"/>
      <c r="AL16" s="318" t="str">
        <f ca="1">IF(AND('Mapa final'!$J$36="Alta",'Mapa final'!$N$36="Catastrófico"),CONCATENATE("R",'Mapa final'!$A$36),"")</f>
        <v/>
      </c>
      <c r="AM16" s="319"/>
      <c r="AN16" s="68"/>
      <c r="AO16" s="362"/>
      <c r="AP16" s="363"/>
      <c r="AQ16" s="363"/>
      <c r="AR16" s="363"/>
      <c r="AS16" s="363"/>
      <c r="AT16" s="364"/>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row>
    <row r="17" spans="1:80" ht="15" customHeight="1" x14ac:dyDescent="0.25">
      <c r="A17" s="68"/>
      <c r="B17" s="348"/>
      <c r="C17" s="348"/>
      <c r="D17" s="349"/>
      <c r="E17" s="340"/>
      <c r="F17" s="341"/>
      <c r="G17" s="341"/>
      <c r="H17" s="341"/>
      <c r="I17" s="346"/>
      <c r="J17" s="308"/>
      <c r="K17" s="309"/>
      <c r="L17" s="309"/>
      <c r="M17" s="309"/>
      <c r="N17" s="309"/>
      <c r="O17" s="310"/>
      <c r="P17" s="308"/>
      <c r="Q17" s="309"/>
      <c r="R17" s="309"/>
      <c r="S17" s="309"/>
      <c r="T17" s="309"/>
      <c r="U17" s="310"/>
      <c r="V17" s="326"/>
      <c r="W17" s="327"/>
      <c r="X17" s="328"/>
      <c r="Y17" s="328"/>
      <c r="Z17" s="328"/>
      <c r="AA17" s="329"/>
      <c r="AB17" s="326"/>
      <c r="AC17" s="327"/>
      <c r="AD17" s="328"/>
      <c r="AE17" s="328"/>
      <c r="AF17" s="328"/>
      <c r="AG17" s="329"/>
      <c r="AH17" s="317"/>
      <c r="AI17" s="318"/>
      <c r="AJ17" s="318"/>
      <c r="AK17" s="318"/>
      <c r="AL17" s="318"/>
      <c r="AM17" s="319"/>
      <c r="AN17" s="68"/>
      <c r="AO17" s="362"/>
      <c r="AP17" s="363"/>
      <c r="AQ17" s="363"/>
      <c r="AR17" s="363"/>
      <c r="AS17" s="363"/>
      <c r="AT17" s="364"/>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row>
    <row r="18" spans="1:80" ht="15" customHeight="1" x14ac:dyDescent="0.25">
      <c r="A18" s="68"/>
      <c r="B18" s="348"/>
      <c r="C18" s="348"/>
      <c r="D18" s="349"/>
      <c r="E18" s="340"/>
      <c r="F18" s="341"/>
      <c r="G18" s="341"/>
      <c r="H18" s="341"/>
      <c r="I18" s="346"/>
      <c r="J18" s="308" t="str">
        <f ca="1">IF(AND('Mapa final'!$J$42="Alta",'Mapa final'!$N$42="Leve"),CONCATENATE("R",'Mapa final'!$A$42),"")</f>
        <v/>
      </c>
      <c r="K18" s="309"/>
      <c r="L18" s="309" t="str">
        <f ca="1">IF(AND('Mapa final'!$J$48="Alta",'Mapa final'!$N$48="Leve"),CONCATENATE("R",'Mapa final'!$A$48),"")</f>
        <v/>
      </c>
      <c r="M18" s="309"/>
      <c r="N18" s="309" t="str">
        <f ca="1">IF(AND('Mapa final'!$J$54="Alta",'Mapa final'!$N$54="Leve"),CONCATENATE("R",'Mapa final'!$A$54),"")</f>
        <v/>
      </c>
      <c r="O18" s="310"/>
      <c r="P18" s="308" t="str">
        <f ca="1">IF(AND('Mapa final'!$J$42="Alta",'Mapa final'!$N$42="Menor"),CONCATENATE("R",'Mapa final'!$A$42),"")</f>
        <v/>
      </c>
      <c r="Q18" s="309"/>
      <c r="R18" s="309" t="str">
        <f ca="1">IF(AND('Mapa final'!$J$48="Alta",'Mapa final'!$N$48="Menor"),CONCATENATE("R",'Mapa final'!$A$48),"")</f>
        <v/>
      </c>
      <c r="S18" s="309"/>
      <c r="T18" s="309" t="str">
        <f ca="1">IF(AND('Mapa final'!$J$54="Alta",'Mapa final'!$N$54="Menor"),CONCATENATE("R",'Mapa final'!$A$54),"")</f>
        <v/>
      </c>
      <c r="U18" s="310"/>
      <c r="V18" s="326" t="str">
        <f ca="1">IF(AND('Mapa final'!$J$42="Alta",'Mapa final'!$N$42="Moderado"),CONCATENATE("R",'Mapa final'!$A$42),"")</f>
        <v/>
      </c>
      <c r="W18" s="327"/>
      <c r="X18" s="328" t="str">
        <f ca="1">IF(AND('Mapa final'!$J$48="Alta",'Mapa final'!$N$48="Moderado"),CONCATENATE("R",'Mapa final'!$A$48),"")</f>
        <v/>
      </c>
      <c r="Y18" s="328"/>
      <c r="Z18" s="328" t="str">
        <f ca="1">IF(AND('Mapa final'!$J$54="Alta",'Mapa final'!$N$54="Moderado"),CONCATENATE("R",'Mapa final'!$A$54),"")</f>
        <v/>
      </c>
      <c r="AA18" s="329"/>
      <c r="AB18" s="326" t="str">
        <f ca="1">IF(AND('Mapa final'!$J$42="Alta",'Mapa final'!$N$42="Mayor"),CONCATENATE("R",'Mapa final'!$A$42),"")</f>
        <v/>
      </c>
      <c r="AC18" s="327"/>
      <c r="AD18" s="328" t="str">
        <f ca="1">IF(AND('Mapa final'!$J$48="Alta",'Mapa final'!$N$48="Mayor"),CONCATENATE("R",'Mapa final'!$A$48),"")</f>
        <v/>
      </c>
      <c r="AE18" s="328"/>
      <c r="AF18" s="328" t="str">
        <f ca="1">IF(AND('Mapa final'!$J$54="Alta",'Mapa final'!$N$54="Mayor"),CONCATENATE("R",'Mapa final'!$A$54),"")</f>
        <v/>
      </c>
      <c r="AG18" s="329"/>
      <c r="AH18" s="317" t="str">
        <f ca="1">IF(AND('Mapa final'!$J$42="Alta",'Mapa final'!$N$42="Catastrófico"),CONCATENATE("R",'Mapa final'!$A$42),"")</f>
        <v/>
      </c>
      <c r="AI18" s="318"/>
      <c r="AJ18" s="318" t="str">
        <f ca="1">IF(AND('Mapa final'!$J$48="Alta",'Mapa final'!$N$48="Catastrófico"),CONCATENATE("R",'Mapa final'!$A$48),"")</f>
        <v/>
      </c>
      <c r="AK18" s="318"/>
      <c r="AL18" s="318" t="str">
        <f ca="1">IF(AND('Mapa final'!$J$54="Alta",'Mapa final'!$N$54="Catastrófico"),CONCATENATE("R",'Mapa final'!$A$54),"")</f>
        <v/>
      </c>
      <c r="AM18" s="319"/>
      <c r="AN18" s="68"/>
      <c r="AO18" s="362"/>
      <c r="AP18" s="363"/>
      <c r="AQ18" s="363"/>
      <c r="AR18" s="363"/>
      <c r="AS18" s="363"/>
      <c r="AT18" s="364"/>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row>
    <row r="19" spans="1:80" ht="15" customHeight="1" x14ac:dyDescent="0.25">
      <c r="A19" s="68"/>
      <c r="B19" s="348"/>
      <c r="C19" s="348"/>
      <c r="D19" s="349"/>
      <c r="E19" s="340"/>
      <c r="F19" s="341"/>
      <c r="G19" s="341"/>
      <c r="H19" s="341"/>
      <c r="I19" s="346"/>
      <c r="J19" s="308"/>
      <c r="K19" s="309"/>
      <c r="L19" s="309"/>
      <c r="M19" s="309"/>
      <c r="N19" s="309"/>
      <c r="O19" s="310"/>
      <c r="P19" s="308"/>
      <c r="Q19" s="309"/>
      <c r="R19" s="309"/>
      <c r="S19" s="309"/>
      <c r="T19" s="309"/>
      <c r="U19" s="310"/>
      <c r="V19" s="326"/>
      <c r="W19" s="327"/>
      <c r="X19" s="328"/>
      <c r="Y19" s="328"/>
      <c r="Z19" s="328"/>
      <c r="AA19" s="329"/>
      <c r="AB19" s="326"/>
      <c r="AC19" s="327"/>
      <c r="AD19" s="328"/>
      <c r="AE19" s="328"/>
      <c r="AF19" s="328"/>
      <c r="AG19" s="329"/>
      <c r="AH19" s="317"/>
      <c r="AI19" s="318"/>
      <c r="AJ19" s="318"/>
      <c r="AK19" s="318"/>
      <c r="AL19" s="318"/>
      <c r="AM19" s="319"/>
      <c r="AN19" s="68"/>
      <c r="AO19" s="362"/>
      <c r="AP19" s="363"/>
      <c r="AQ19" s="363"/>
      <c r="AR19" s="363"/>
      <c r="AS19" s="363"/>
      <c r="AT19" s="364"/>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row>
    <row r="20" spans="1:80" ht="15" customHeight="1" x14ac:dyDescent="0.25">
      <c r="A20" s="68"/>
      <c r="B20" s="348"/>
      <c r="C20" s="348"/>
      <c r="D20" s="349"/>
      <c r="E20" s="340"/>
      <c r="F20" s="341"/>
      <c r="G20" s="341"/>
      <c r="H20" s="341"/>
      <c r="I20" s="346"/>
      <c r="J20" s="308" t="str">
        <f ca="1">IF(AND('Mapa final'!$J$60="Alta",'Mapa final'!$N$60="Leve"),CONCATENATE("R",'Mapa final'!$A$60),"")</f>
        <v/>
      </c>
      <c r="K20" s="309"/>
      <c r="L20" s="309" t="str">
        <f>IF(AND('Mapa final'!$J$66="Alta",'Mapa final'!$N$66="Leve"),CONCATENATE("R",'Mapa final'!$A$66),"")</f>
        <v/>
      </c>
      <c r="M20" s="309"/>
      <c r="N20" s="309" t="str">
        <f>IF(AND('Mapa final'!$J$72="Alta",'Mapa final'!$N$72="Leve"),CONCATENATE("R",'Mapa final'!$A$72),"")</f>
        <v/>
      </c>
      <c r="O20" s="310"/>
      <c r="P20" s="308" t="str">
        <f ca="1">IF(AND('Mapa final'!$J$60="Alta",'Mapa final'!$N$60="Menor"),CONCATENATE("R",'Mapa final'!$A$60),"")</f>
        <v/>
      </c>
      <c r="Q20" s="309"/>
      <c r="R20" s="309" t="str">
        <f>IF(AND('Mapa final'!$J$66="Alta",'Mapa final'!$N$66="Menor"),CONCATENATE("R",'Mapa final'!$A$66),"")</f>
        <v/>
      </c>
      <c r="S20" s="309"/>
      <c r="T20" s="309" t="str">
        <f>IF(AND('Mapa final'!$J$72="Alta",'Mapa final'!$N$72="Menor"),CONCATENATE("R",'Mapa final'!$A$72),"")</f>
        <v/>
      </c>
      <c r="U20" s="310"/>
      <c r="V20" s="326" t="str">
        <f ca="1">IF(AND('Mapa final'!$J$60="Alta",'Mapa final'!$N$60="Moderado"),CONCATENATE("R",'Mapa final'!$A$60),"")</f>
        <v/>
      </c>
      <c r="W20" s="327"/>
      <c r="X20" s="328" t="str">
        <f>IF(AND('Mapa final'!$J$66="Alta",'Mapa final'!$N$66="Moderado"),CONCATENATE("R",'Mapa final'!$A$66),"")</f>
        <v/>
      </c>
      <c r="Y20" s="328"/>
      <c r="Z20" s="328" t="str">
        <f>IF(AND('Mapa final'!$J$72="Alta",'Mapa final'!$N$72="Moderado"),CONCATENATE("R",'Mapa final'!$A$72),"")</f>
        <v/>
      </c>
      <c r="AA20" s="329"/>
      <c r="AB20" s="326" t="str">
        <f ca="1">IF(AND('Mapa final'!$J$60="Alta",'Mapa final'!$N$60="Mayor"),CONCATENATE("R",'Mapa final'!$A$60),"")</f>
        <v/>
      </c>
      <c r="AC20" s="327"/>
      <c r="AD20" s="328" t="str">
        <f>IF(AND('Mapa final'!$J$66="Alta",'Mapa final'!$N$66="Mayor"),CONCATENATE("R",'Mapa final'!$A$66),"")</f>
        <v/>
      </c>
      <c r="AE20" s="328"/>
      <c r="AF20" s="328" t="str">
        <f>IF(AND('Mapa final'!$J$72="Alta",'Mapa final'!$N$72="Mayor"),CONCATENATE("R",'Mapa final'!$A$72),"")</f>
        <v/>
      </c>
      <c r="AG20" s="329"/>
      <c r="AH20" s="317" t="str">
        <f ca="1">IF(AND('Mapa final'!$J$60="Alta",'Mapa final'!$N$60="Catastrófico"),CONCATENATE("R",'Mapa final'!$A$60),"")</f>
        <v/>
      </c>
      <c r="AI20" s="318"/>
      <c r="AJ20" s="318" t="str">
        <f>IF(AND('Mapa final'!$J$66="Alta",'Mapa final'!$N$66="Catastrófico"),CONCATENATE("R",'Mapa final'!$A$66),"")</f>
        <v/>
      </c>
      <c r="AK20" s="318"/>
      <c r="AL20" s="318" t="str">
        <f>IF(AND('Mapa final'!$J$72="Alta",'Mapa final'!$N$72="Catastrófico"),CONCATENATE("R",'Mapa final'!$A$72),"")</f>
        <v/>
      </c>
      <c r="AM20" s="319"/>
      <c r="AN20" s="68"/>
      <c r="AO20" s="362"/>
      <c r="AP20" s="363"/>
      <c r="AQ20" s="363"/>
      <c r="AR20" s="363"/>
      <c r="AS20" s="363"/>
      <c r="AT20" s="364"/>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row>
    <row r="21" spans="1:80" ht="15.75" customHeight="1" thickBot="1" x14ac:dyDescent="0.3">
      <c r="A21" s="68"/>
      <c r="B21" s="348"/>
      <c r="C21" s="348"/>
      <c r="D21" s="349"/>
      <c r="E21" s="343"/>
      <c r="F21" s="344"/>
      <c r="G21" s="344"/>
      <c r="H21" s="344"/>
      <c r="I21" s="344"/>
      <c r="J21" s="311"/>
      <c r="K21" s="312"/>
      <c r="L21" s="312"/>
      <c r="M21" s="312"/>
      <c r="N21" s="312"/>
      <c r="O21" s="313"/>
      <c r="P21" s="311"/>
      <c r="Q21" s="312"/>
      <c r="R21" s="312"/>
      <c r="S21" s="312"/>
      <c r="T21" s="312"/>
      <c r="U21" s="313"/>
      <c r="V21" s="330"/>
      <c r="W21" s="331"/>
      <c r="X21" s="331"/>
      <c r="Y21" s="331"/>
      <c r="Z21" s="331"/>
      <c r="AA21" s="332"/>
      <c r="AB21" s="330"/>
      <c r="AC21" s="331"/>
      <c r="AD21" s="331"/>
      <c r="AE21" s="331"/>
      <c r="AF21" s="331"/>
      <c r="AG21" s="332"/>
      <c r="AH21" s="320"/>
      <c r="AI21" s="321"/>
      <c r="AJ21" s="321"/>
      <c r="AK21" s="321"/>
      <c r="AL21" s="321"/>
      <c r="AM21" s="322"/>
      <c r="AN21" s="68"/>
      <c r="AO21" s="365"/>
      <c r="AP21" s="366"/>
      <c r="AQ21" s="366"/>
      <c r="AR21" s="366"/>
      <c r="AS21" s="366"/>
      <c r="AT21" s="367"/>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row>
    <row r="22" spans="1:80" x14ac:dyDescent="0.25">
      <c r="A22" s="68"/>
      <c r="B22" s="348"/>
      <c r="C22" s="348"/>
      <c r="D22" s="349"/>
      <c r="E22" s="337" t="s">
        <v>112</v>
      </c>
      <c r="F22" s="338"/>
      <c r="G22" s="338"/>
      <c r="H22" s="338"/>
      <c r="I22" s="339"/>
      <c r="J22" s="314" t="str">
        <f ca="1">IF(AND('Mapa final'!$J$10="Media",'Mapa final'!$N$10="Leve"),CONCATENATE("R",'Mapa final'!$A$10),"")</f>
        <v/>
      </c>
      <c r="K22" s="315"/>
      <c r="L22" s="315" t="str">
        <f ca="1">IF(AND('Mapa final'!$J$14="Media",'Mapa final'!$N$14="Leve"),CONCATENATE("R",'Mapa final'!$A$14),"")</f>
        <v/>
      </c>
      <c r="M22" s="315"/>
      <c r="N22" s="315" t="str">
        <f ca="1">IF(AND('Mapa final'!$J$18="Media",'Mapa final'!$N$18="Leve"),CONCATENATE("R",'Mapa final'!$A$18),"")</f>
        <v/>
      </c>
      <c r="O22" s="316"/>
      <c r="P22" s="314" t="str">
        <f ca="1">IF(AND('Mapa final'!$J$10="Media",'Mapa final'!$N$10="Menor"),CONCATENATE("R",'Mapa final'!$A$10),"")</f>
        <v/>
      </c>
      <c r="Q22" s="315"/>
      <c r="R22" s="315" t="str">
        <f ca="1">IF(AND('Mapa final'!$J$14="Media",'Mapa final'!$N$14="Menor"),CONCATENATE("R",'Mapa final'!$A$14),"")</f>
        <v/>
      </c>
      <c r="S22" s="315"/>
      <c r="T22" s="315" t="str">
        <f ca="1">IF(AND('Mapa final'!$J$18="Media",'Mapa final'!$N$18="Menor"),CONCATENATE("R",'Mapa final'!$A$18),"")</f>
        <v/>
      </c>
      <c r="U22" s="316"/>
      <c r="V22" s="314" t="str">
        <f ca="1">IF(AND('Mapa final'!$J$10="Media",'Mapa final'!$N$10="Moderado"),CONCATENATE("R",'Mapa final'!$A$10),"")</f>
        <v/>
      </c>
      <c r="W22" s="315"/>
      <c r="X22" s="315" t="str">
        <f ca="1">IF(AND('Mapa final'!$J$14="Media",'Mapa final'!$N$14="Moderado"),CONCATENATE("R",'Mapa final'!$A$14),"")</f>
        <v/>
      </c>
      <c r="Y22" s="315"/>
      <c r="Z22" s="315" t="str">
        <f ca="1">IF(AND('Mapa final'!$J$18="Media",'Mapa final'!$N$18="Moderado"),CONCATENATE("R",'Mapa final'!$A$18),"")</f>
        <v/>
      </c>
      <c r="AA22" s="316"/>
      <c r="AB22" s="333" t="str">
        <f ca="1">IF(AND('Mapa final'!$J$10="Media",'Mapa final'!$N$10="Mayor"),CONCATENATE("R",'Mapa final'!$A$10),"")</f>
        <v>R1</v>
      </c>
      <c r="AC22" s="334"/>
      <c r="AD22" s="334" t="str">
        <f ca="1">IF(AND('Mapa final'!$J$14="Media",'Mapa final'!$N$14="Mayor"),CONCATENATE("R",'Mapa final'!$A$14),"")</f>
        <v/>
      </c>
      <c r="AE22" s="334"/>
      <c r="AF22" s="334" t="str">
        <f ca="1">IF(AND('Mapa final'!$J$18="Media",'Mapa final'!$N$18="Mayor"),CONCATENATE("R",'Mapa final'!$A$18),"")</f>
        <v/>
      </c>
      <c r="AG22" s="335"/>
      <c r="AH22" s="323" t="str">
        <f ca="1">IF(AND('Mapa final'!$J$10="Media",'Mapa final'!$N$10="Catastrófico"),CONCATENATE("R",'Mapa final'!$A$10),"")</f>
        <v/>
      </c>
      <c r="AI22" s="324"/>
      <c r="AJ22" s="324" t="str">
        <f ca="1">IF(AND('Mapa final'!$J$14="Media",'Mapa final'!$N$14="Catastrófico"),CONCATENATE("R",'Mapa final'!$A$14),"")</f>
        <v/>
      </c>
      <c r="AK22" s="324"/>
      <c r="AL22" s="324" t="str">
        <f ca="1">IF(AND('Mapa final'!$J$18="Media",'Mapa final'!$N$18="Catastrófico"),CONCATENATE("R",'Mapa final'!$A$18),"")</f>
        <v/>
      </c>
      <c r="AM22" s="325"/>
      <c r="AN22" s="68"/>
      <c r="AO22" s="368" t="s">
        <v>80</v>
      </c>
      <c r="AP22" s="369"/>
      <c r="AQ22" s="369"/>
      <c r="AR22" s="369"/>
      <c r="AS22" s="369"/>
      <c r="AT22" s="370"/>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row>
    <row r="23" spans="1:80" x14ac:dyDescent="0.25">
      <c r="A23" s="68"/>
      <c r="B23" s="348"/>
      <c r="C23" s="348"/>
      <c r="D23" s="349"/>
      <c r="E23" s="340"/>
      <c r="F23" s="341"/>
      <c r="G23" s="341"/>
      <c r="H23" s="341"/>
      <c r="I23" s="342"/>
      <c r="J23" s="308"/>
      <c r="K23" s="309"/>
      <c r="L23" s="309"/>
      <c r="M23" s="309"/>
      <c r="N23" s="309"/>
      <c r="O23" s="310"/>
      <c r="P23" s="308"/>
      <c r="Q23" s="309"/>
      <c r="R23" s="309"/>
      <c r="S23" s="309"/>
      <c r="T23" s="309"/>
      <c r="U23" s="310"/>
      <c r="V23" s="308"/>
      <c r="W23" s="309"/>
      <c r="X23" s="309"/>
      <c r="Y23" s="309"/>
      <c r="Z23" s="309"/>
      <c r="AA23" s="310"/>
      <c r="AB23" s="326"/>
      <c r="AC23" s="327"/>
      <c r="AD23" s="327"/>
      <c r="AE23" s="327"/>
      <c r="AF23" s="327"/>
      <c r="AG23" s="329"/>
      <c r="AH23" s="317"/>
      <c r="AI23" s="318"/>
      <c r="AJ23" s="318"/>
      <c r="AK23" s="318"/>
      <c r="AL23" s="318"/>
      <c r="AM23" s="319"/>
      <c r="AN23" s="68"/>
      <c r="AO23" s="371"/>
      <c r="AP23" s="372"/>
      <c r="AQ23" s="372"/>
      <c r="AR23" s="372"/>
      <c r="AS23" s="372"/>
      <c r="AT23" s="373"/>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row>
    <row r="24" spans="1:80" x14ac:dyDescent="0.25">
      <c r="A24" s="68"/>
      <c r="B24" s="348"/>
      <c r="C24" s="348"/>
      <c r="D24" s="349"/>
      <c r="E24" s="340"/>
      <c r="F24" s="341"/>
      <c r="G24" s="341"/>
      <c r="H24" s="341"/>
      <c r="I24" s="342"/>
      <c r="J24" s="308" t="str">
        <f ca="1">IF(AND('Mapa final'!$J$24="Media",'Mapa final'!$N$24="Leve"),CONCATENATE("R",'Mapa final'!$A$24),"")</f>
        <v/>
      </c>
      <c r="K24" s="309"/>
      <c r="L24" s="309" t="str">
        <f ca="1">IF(AND('Mapa final'!$J$30="Media",'Mapa final'!$N$30="Leve"),CONCATENATE("R",'Mapa final'!$A$30),"")</f>
        <v/>
      </c>
      <c r="M24" s="309"/>
      <c r="N24" s="309" t="str">
        <f ca="1">IF(AND('Mapa final'!$J$36="Media",'Mapa final'!$N$36="Leve"),CONCATENATE("R",'Mapa final'!$A$36),"")</f>
        <v/>
      </c>
      <c r="O24" s="310"/>
      <c r="P24" s="308" t="str">
        <f ca="1">IF(AND('Mapa final'!$J$24="Media",'Mapa final'!$N$24="Menor"),CONCATENATE("R",'Mapa final'!$A$24),"")</f>
        <v/>
      </c>
      <c r="Q24" s="309"/>
      <c r="R24" s="309" t="str">
        <f ca="1">IF(AND('Mapa final'!$J$30="Media",'Mapa final'!$N$30="Menor"),CONCATENATE("R",'Mapa final'!$A$30),"")</f>
        <v/>
      </c>
      <c r="S24" s="309"/>
      <c r="T24" s="309" t="str">
        <f ca="1">IF(AND('Mapa final'!$J$36="Media",'Mapa final'!$N$36="Menor"),CONCATENATE("R",'Mapa final'!$A$36),"")</f>
        <v/>
      </c>
      <c r="U24" s="310"/>
      <c r="V24" s="308" t="str">
        <f ca="1">IF(AND('Mapa final'!$J$24="Media",'Mapa final'!$N$24="Moderado"),CONCATENATE("R",'Mapa final'!$A$24),"")</f>
        <v/>
      </c>
      <c r="W24" s="309"/>
      <c r="X24" s="309" t="str">
        <f ca="1">IF(AND('Mapa final'!$J$30="Media",'Mapa final'!$N$30="Moderado"),CONCATENATE("R",'Mapa final'!$A$30),"")</f>
        <v/>
      </c>
      <c r="Y24" s="309"/>
      <c r="Z24" s="309" t="str">
        <f ca="1">IF(AND('Mapa final'!$J$36="Media",'Mapa final'!$N$36="Moderado"),CONCATENATE("R",'Mapa final'!$A$36),"")</f>
        <v/>
      </c>
      <c r="AA24" s="310"/>
      <c r="AB24" s="326" t="str">
        <f ca="1">IF(AND('Mapa final'!$J$24="Media",'Mapa final'!$N$24="Mayor"),CONCATENATE("R",'Mapa final'!$A$24),"")</f>
        <v/>
      </c>
      <c r="AC24" s="327"/>
      <c r="AD24" s="328" t="str">
        <f ca="1">IF(AND('Mapa final'!$J$30="Media",'Mapa final'!$N$30="Mayor"),CONCATENATE("R",'Mapa final'!$A$30),"")</f>
        <v/>
      </c>
      <c r="AE24" s="328"/>
      <c r="AF24" s="328" t="str">
        <f ca="1">IF(AND('Mapa final'!$J$36="Media",'Mapa final'!$N$36="Mayor"),CONCATENATE("R",'Mapa final'!$A$36),"")</f>
        <v/>
      </c>
      <c r="AG24" s="329"/>
      <c r="AH24" s="317" t="str">
        <f ca="1">IF(AND('Mapa final'!$J$24="Media",'Mapa final'!$N$24="Catastrófico"),CONCATENATE("R",'Mapa final'!$A$24),"")</f>
        <v/>
      </c>
      <c r="AI24" s="318"/>
      <c r="AJ24" s="318" t="str">
        <f ca="1">IF(AND('Mapa final'!$J$30="Media",'Mapa final'!$N$30="Catastrófico"),CONCATENATE("R",'Mapa final'!$A$30),"")</f>
        <v/>
      </c>
      <c r="AK24" s="318"/>
      <c r="AL24" s="318" t="str">
        <f ca="1">IF(AND('Mapa final'!$J$36="Media",'Mapa final'!$N$36="Catastrófico"),CONCATENATE("R",'Mapa final'!$A$36),"")</f>
        <v/>
      </c>
      <c r="AM24" s="319"/>
      <c r="AN24" s="68"/>
      <c r="AO24" s="371"/>
      <c r="AP24" s="372"/>
      <c r="AQ24" s="372"/>
      <c r="AR24" s="372"/>
      <c r="AS24" s="372"/>
      <c r="AT24" s="373"/>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row>
    <row r="25" spans="1:80" x14ac:dyDescent="0.25">
      <c r="A25" s="68"/>
      <c r="B25" s="348"/>
      <c r="C25" s="348"/>
      <c r="D25" s="349"/>
      <c r="E25" s="340"/>
      <c r="F25" s="341"/>
      <c r="G25" s="341"/>
      <c r="H25" s="341"/>
      <c r="I25" s="342"/>
      <c r="J25" s="308"/>
      <c r="K25" s="309"/>
      <c r="L25" s="309"/>
      <c r="M25" s="309"/>
      <c r="N25" s="309"/>
      <c r="O25" s="310"/>
      <c r="P25" s="308"/>
      <c r="Q25" s="309"/>
      <c r="R25" s="309"/>
      <c r="S25" s="309"/>
      <c r="T25" s="309"/>
      <c r="U25" s="310"/>
      <c r="V25" s="308"/>
      <c r="W25" s="309"/>
      <c r="X25" s="309"/>
      <c r="Y25" s="309"/>
      <c r="Z25" s="309"/>
      <c r="AA25" s="310"/>
      <c r="AB25" s="326"/>
      <c r="AC25" s="327"/>
      <c r="AD25" s="328"/>
      <c r="AE25" s="328"/>
      <c r="AF25" s="328"/>
      <c r="AG25" s="329"/>
      <c r="AH25" s="317"/>
      <c r="AI25" s="318"/>
      <c r="AJ25" s="318"/>
      <c r="AK25" s="318"/>
      <c r="AL25" s="318"/>
      <c r="AM25" s="319"/>
      <c r="AN25" s="68"/>
      <c r="AO25" s="371"/>
      <c r="AP25" s="372"/>
      <c r="AQ25" s="372"/>
      <c r="AR25" s="372"/>
      <c r="AS25" s="372"/>
      <c r="AT25" s="373"/>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row>
    <row r="26" spans="1:80" x14ac:dyDescent="0.25">
      <c r="A26" s="68"/>
      <c r="B26" s="348"/>
      <c r="C26" s="348"/>
      <c r="D26" s="349"/>
      <c r="E26" s="340"/>
      <c r="F26" s="341"/>
      <c r="G26" s="341"/>
      <c r="H26" s="341"/>
      <c r="I26" s="342"/>
      <c r="J26" s="308" t="str">
        <f ca="1">IF(AND('Mapa final'!$J$42="Media",'Mapa final'!$N$42="Leve"),CONCATENATE("R",'Mapa final'!$A$42),"")</f>
        <v/>
      </c>
      <c r="K26" s="309"/>
      <c r="L26" s="309" t="str">
        <f ca="1">IF(AND('Mapa final'!$J$48="Media",'Mapa final'!$N$48="Leve"),CONCATENATE("R",'Mapa final'!$A$48),"")</f>
        <v/>
      </c>
      <c r="M26" s="309"/>
      <c r="N26" s="309" t="str">
        <f ca="1">IF(AND('Mapa final'!$J$54="Media",'Mapa final'!$N$54="Leve"),CONCATENATE("R",'Mapa final'!$A$54),"")</f>
        <v/>
      </c>
      <c r="O26" s="310"/>
      <c r="P26" s="308" t="str">
        <f ca="1">IF(AND('Mapa final'!$J$42="Media",'Mapa final'!$N$42="Menor"),CONCATENATE("R",'Mapa final'!$A$42),"")</f>
        <v/>
      </c>
      <c r="Q26" s="309"/>
      <c r="R26" s="309" t="str">
        <f ca="1">IF(AND('Mapa final'!$J$48="Media",'Mapa final'!$N$48="Menor"),CONCATENATE("R",'Mapa final'!$A$48),"")</f>
        <v/>
      </c>
      <c r="S26" s="309"/>
      <c r="T26" s="309" t="str">
        <f ca="1">IF(AND('Mapa final'!$J$54="Media",'Mapa final'!$N$54="Menor"),CONCATENATE("R",'Mapa final'!$A$54),"")</f>
        <v/>
      </c>
      <c r="U26" s="310"/>
      <c r="V26" s="308" t="str">
        <f ca="1">IF(AND('Mapa final'!$J$42="Media",'Mapa final'!$N$42="Moderado"),CONCATENATE("R",'Mapa final'!$A$42),"")</f>
        <v/>
      </c>
      <c r="W26" s="309"/>
      <c r="X26" s="309" t="str">
        <f ca="1">IF(AND('Mapa final'!$J$48="Media",'Mapa final'!$N$48="Moderado"),CONCATENATE("R",'Mapa final'!$A$48),"")</f>
        <v/>
      </c>
      <c r="Y26" s="309"/>
      <c r="Z26" s="309" t="str">
        <f ca="1">IF(AND('Mapa final'!$J$54="Media",'Mapa final'!$N$54="Moderado"),CONCATENATE("R",'Mapa final'!$A$54),"")</f>
        <v/>
      </c>
      <c r="AA26" s="310"/>
      <c r="AB26" s="326" t="str">
        <f ca="1">IF(AND('Mapa final'!$J$42="Media",'Mapa final'!$N$42="Mayor"),CONCATENATE("R",'Mapa final'!$A$42),"")</f>
        <v/>
      </c>
      <c r="AC26" s="327"/>
      <c r="AD26" s="328" t="str">
        <f ca="1">IF(AND('Mapa final'!$J$48="Media",'Mapa final'!$N$48="Mayor"),CONCATENATE("R",'Mapa final'!$A$48),"")</f>
        <v/>
      </c>
      <c r="AE26" s="328"/>
      <c r="AF26" s="328" t="str">
        <f ca="1">IF(AND('Mapa final'!$J$54="Media",'Mapa final'!$N$54="Mayor"),CONCATENATE("R",'Mapa final'!$A$54),"")</f>
        <v/>
      </c>
      <c r="AG26" s="329"/>
      <c r="AH26" s="317" t="str">
        <f ca="1">IF(AND('Mapa final'!$J$42="Media",'Mapa final'!$N$42="Catastrófico"),CONCATENATE("R",'Mapa final'!$A$42),"")</f>
        <v/>
      </c>
      <c r="AI26" s="318"/>
      <c r="AJ26" s="318" t="str">
        <f ca="1">IF(AND('Mapa final'!$J$48="Media",'Mapa final'!$N$48="Catastrófico"),CONCATENATE("R",'Mapa final'!$A$48),"")</f>
        <v/>
      </c>
      <c r="AK26" s="318"/>
      <c r="AL26" s="318" t="str">
        <f ca="1">IF(AND('Mapa final'!$J$54="Media",'Mapa final'!$N$54="Catastrófico"),CONCATENATE("R",'Mapa final'!$A$54),"")</f>
        <v/>
      </c>
      <c r="AM26" s="319"/>
      <c r="AN26" s="68"/>
      <c r="AO26" s="371"/>
      <c r="AP26" s="372"/>
      <c r="AQ26" s="372"/>
      <c r="AR26" s="372"/>
      <c r="AS26" s="372"/>
      <c r="AT26" s="373"/>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row>
    <row r="27" spans="1:80" x14ac:dyDescent="0.25">
      <c r="A27" s="68"/>
      <c r="B27" s="348"/>
      <c r="C27" s="348"/>
      <c r="D27" s="349"/>
      <c r="E27" s="340"/>
      <c r="F27" s="341"/>
      <c r="G27" s="341"/>
      <c r="H27" s="341"/>
      <c r="I27" s="342"/>
      <c r="J27" s="308"/>
      <c r="K27" s="309"/>
      <c r="L27" s="309"/>
      <c r="M27" s="309"/>
      <c r="N27" s="309"/>
      <c r="O27" s="310"/>
      <c r="P27" s="308"/>
      <c r="Q27" s="309"/>
      <c r="R27" s="309"/>
      <c r="S27" s="309"/>
      <c r="T27" s="309"/>
      <c r="U27" s="310"/>
      <c r="V27" s="308"/>
      <c r="W27" s="309"/>
      <c r="X27" s="309"/>
      <c r="Y27" s="309"/>
      <c r="Z27" s="309"/>
      <c r="AA27" s="310"/>
      <c r="AB27" s="326"/>
      <c r="AC27" s="327"/>
      <c r="AD27" s="328"/>
      <c r="AE27" s="328"/>
      <c r="AF27" s="328"/>
      <c r="AG27" s="329"/>
      <c r="AH27" s="317"/>
      <c r="AI27" s="318"/>
      <c r="AJ27" s="318"/>
      <c r="AK27" s="318"/>
      <c r="AL27" s="318"/>
      <c r="AM27" s="319"/>
      <c r="AN27" s="68"/>
      <c r="AO27" s="371"/>
      <c r="AP27" s="372"/>
      <c r="AQ27" s="372"/>
      <c r="AR27" s="372"/>
      <c r="AS27" s="372"/>
      <c r="AT27" s="373"/>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row>
    <row r="28" spans="1:80" x14ac:dyDescent="0.25">
      <c r="A28" s="68"/>
      <c r="B28" s="348"/>
      <c r="C28" s="348"/>
      <c r="D28" s="349"/>
      <c r="E28" s="340"/>
      <c r="F28" s="341"/>
      <c r="G28" s="341"/>
      <c r="H28" s="341"/>
      <c r="I28" s="342"/>
      <c r="J28" s="308" t="str">
        <f ca="1">IF(AND('Mapa final'!$J$60="Media",'Mapa final'!$N$60="Leve"),CONCATENATE("R",'Mapa final'!$A$60),"")</f>
        <v/>
      </c>
      <c r="K28" s="309"/>
      <c r="L28" s="309" t="str">
        <f>IF(AND('Mapa final'!$J$66="Media",'Mapa final'!$N$66="Leve"),CONCATENATE("R",'Mapa final'!$A$66),"")</f>
        <v/>
      </c>
      <c r="M28" s="309"/>
      <c r="N28" s="309" t="str">
        <f>IF(AND('Mapa final'!$J$72="Media",'Mapa final'!$N$72="Leve"),CONCATENATE("R",'Mapa final'!$A$72),"")</f>
        <v/>
      </c>
      <c r="O28" s="310"/>
      <c r="P28" s="308" t="str">
        <f ca="1">IF(AND('Mapa final'!$J$60="Media",'Mapa final'!$N$60="Menor"),CONCATENATE("R",'Mapa final'!$A$60),"")</f>
        <v/>
      </c>
      <c r="Q28" s="309"/>
      <c r="R28" s="309" t="str">
        <f>IF(AND('Mapa final'!$J$66="Media",'Mapa final'!$N$66="Menor"),CONCATENATE("R",'Mapa final'!$A$66),"")</f>
        <v/>
      </c>
      <c r="S28" s="309"/>
      <c r="T28" s="309" t="str">
        <f>IF(AND('Mapa final'!$J$72="Media",'Mapa final'!$N$72="Menor"),CONCATENATE("R",'Mapa final'!$A$72),"")</f>
        <v/>
      </c>
      <c r="U28" s="310"/>
      <c r="V28" s="308" t="str">
        <f ca="1">IF(AND('Mapa final'!$J$60="Media",'Mapa final'!$N$60="Moderado"),CONCATENATE("R",'Mapa final'!$A$60),"")</f>
        <v/>
      </c>
      <c r="W28" s="309"/>
      <c r="X28" s="309" t="str">
        <f>IF(AND('Mapa final'!$J$66="Media",'Mapa final'!$N$66="Moderado"),CONCATENATE("R",'Mapa final'!$A$66),"")</f>
        <v/>
      </c>
      <c r="Y28" s="309"/>
      <c r="Z28" s="309" t="str">
        <f>IF(AND('Mapa final'!$J$72="Media",'Mapa final'!$N$72="Moderado"),CONCATENATE("R",'Mapa final'!$A$72),"")</f>
        <v/>
      </c>
      <c r="AA28" s="310"/>
      <c r="AB28" s="326" t="str">
        <f ca="1">IF(AND('Mapa final'!$J$60="Media",'Mapa final'!$N$60="Mayor"),CONCATENATE("R",'Mapa final'!$A$60),"")</f>
        <v/>
      </c>
      <c r="AC28" s="327"/>
      <c r="AD28" s="328" t="str">
        <f>IF(AND('Mapa final'!$J$66="Media",'Mapa final'!$N$66="Mayor"),CONCATENATE("R",'Mapa final'!$A$66),"")</f>
        <v/>
      </c>
      <c r="AE28" s="328"/>
      <c r="AF28" s="328" t="str">
        <f>IF(AND('Mapa final'!$J$72="Media",'Mapa final'!$N$72="Mayor"),CONCATENATE("R",'Mapa final'!$A$72),"")</f>
        <v/>
      </c>
      <c r="AG28" s="329"/>
      <c r="AH28" s="317" t="str">
        <f ca="1">IF(AND('Mapa final'!$J$60="Media",'Mapa final'!$N$60="Catastrófico"),CONCATENATE("R",'Mapa final'!$A$60),"")</f>
        <v/>
      </c>
      <c r="AI28" s="318"/>
      <c r="AJ28" s="318" t="str">
        <f>IF(AND('Mapa final'!$J$66="Media",'Mapa final'!$N$66="Catastrófico"),CONCATENATE("R",'Mapa final'!$A$66),"")</f>
        <v/>
      </c>
      <c r="AK28" s="318"/>
      <c r="AL28" s="318" t="str">
        <f>IF(AND('Mapa final'!$J$72="Media",'Mapa final'!$N$72="Catastrófico"),CONCATENATE("R",'Mapa final'!$A$72),"")</f>
        <v/>
      </c>
      <c r="AM28" s="319"/>
      <c r="AN28" s="68"/>
      <c r="AO28" s="371"/>
      <c r="AP28" s="372"/>
      <c r="AQ28" s="372"/>
      <c r="AR28" s="372"/>
      <c r="AS28" s="372"/>
      <c r="AT28" s="373"/>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row>
    <row r="29" spans="1:80" ht="15.75" thickBot="1" x14ac:dyDescent="0.3">
      <c r="A29" s="68"/>
      <c r="B29" s="348"/>
      <c r="C29" s="348"/>
      <c r="D29" s="349"/>
      <c r="E29" s="343"/>
      <c r="F29" s="344"/>
      <c r="G29" s="344"/>
      <c r="H29" s="344"/>
      <c r="I29" s="345"/>
      <c r="J29" s="308"/>
      <c r="K29" s="309"/>
      <c r="L29" s="309"/>
      <c r="M29" s="309"/>
      <c r="N29" s="309"/>
      <c r="O29" s="310"/>
      <c r="P29" s="311"/>
      <c r="Q29" s="312"/>
      <c r="R29" s="312"/>
      <c r="S29" s="312"/>
      <c r="T29" s="312"/>
      <c r="U29" s="313"/>
      <c r="V29" s="311"/>
      <c r="W29" s="312"/>
      <c r="X29" s="312"/>
      <c r="Y29" s="312"/>
      <c r="Z29" s="312"/>
      <c r="AA29" s="313"/>
      <c r="AB29" s="330"/>
      <c r="AC29" s="331"/>
      <c r="AD29" s="331"/>
      <c r="AE29" s="331"/>
      <c r="AF29" s="331"/>
      <c r="AG29" s="332"/>
      <c r="AH29" s="320"/>
      <c r="AI29" s="321"/>
      <c r="AJ29" s="321"/>
      <c r="AK29" s="321"/>
      <c r="AL29" s="321"/>
      <c r="AM29" s="322"/>
      <c r="AN29" s="68"/>
      <c r="AO29" s="374"/>
      <c r="AP29" s="375"/>
      <c r="AQ29" s="375"/>
      <c r="AR29" s="375"/>
      <c r="AS29" s="375"/>
      <c r="AT29" s="376"/>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row>
    <row r="30" spans="1:80" x14ac:dyDescent="0.25">
      <c r="A30" s="68"/>
      <c r="B30" s="348"/>
      <c r="C30" s="348"/>
      <c r="D30" s="349"/>
      <c r="E30" s="337" t="s">
        <v>109</v>
      </c>
      <c r="F30" s="338"/>
      <c r="G30" s="338"/>
      <c r="H30" s="338"/>
      <c r="I30" s="338"/>
      <c r="J30" s="305" t="str">
        <f ca="1">IF(AND('Mapa final'!$J$10="Baja",'Mapa final'!$N$10="Leve"),CONCATENATE("R",'Mapa final'!$A$10),"")</f>
        <v/>
      </c>
      <c r="K30" s="306"/>
      <c r="L30" s="306" t="str">
        <f ca="1">IF(AND('Mapa final'!$J$14="Baja",'Mapa final'!$N$14="Leve"),CONCATENATE("R",'Mapa final'!$A$14),"")</f>
        <v/>
      </c>
      <c r="M30" s="306"/>
      <c r="N30" s="306" t="str">
        <f ca="1">IF(AND('Mapa final'!$J$18="Baja",'Mapa final'!$N$18="Leve"),CONCATENATE("R",'Mapa final'!$A$18),"")</f>
        <v/>
      </c>
      <c r="O30" s="307"/>
      <c r="P30" s="315" t="str">
        <f ca="1">IF(AND('Mapa final'!$J$10="Baja",'Mapa final'!$N$10="Menor"),CONCATENATE("R",'Mapa final'!$A$10),"")</f>
        <v/>
      </c>
      <c r="Q30" s="315"/>
      <c r="R30" s="315" t="str">
        <f ca="1">IF(AND('Mapa final'!$J$14="Baja",'Mapa final'!$N$14="Menor"),CONCATENATE("R",'Mapa final'!$A$14),"")</f>
        <v/>
      </c>
      <c r="S30" s="315"/>
      <c r="T30" s="315" t="str">
        <f ca="1">IF(AND('Mapa final'!$J$18="Baja",'Mapa final'!$N$18="Menor"),CONCATENATE("R",'Mapa final'!$A$18),"")</f>
        <v/>
      </c>
      <c r="U30" s="316"/>
      <c r="V30" s="314" t="str">
        <f ca="1">IF(AND('Mapa final'!$J$10="Baja",'Mapa final'!$N$10="Moderado"),CONCATENATE("R",'Mapa final'!$A$10),"")</f>
        <v/>
      </c>
      <c r="W30" s="315"/>
      <c r="X30" s="315" t="str">
        <f ca="1">IF(AND('Mapa final'!$J$14="Baja",'Mapa final'!$N$14="Moderado"),CONCATENATE("R",'Mapa final'!$A$14),"")</f>
        <v/>
      </c>
      <c r="Y30" s="315"/>
      <c r="Z30" s="315" t="str">
        <f ca="1">IF(AND('Mapa final'!$J$18="Baja",'Mapa final'!$N$18="Moderado"),CONCATENATE("R",'Mapa final'!$A$18),"")</f>
        <v/>
      </c>
      <c r="AA30" s="316"/>
      <c r="AB30" s="333" t="str">
        <f ca="1">IF(AND('Mapa final'!$J$10="Baja",'Mapa final'!$N$10="Mayor"),CONCATENATE("R",'Mapa final'!$A$10),"")</f>
        <v/>
      </c>
      <c r="AC30" s="334"/>
      <c r="AD30" s="334" t="str">
        <f ca="1">IF(AND('Mapa final'!$J$14="Baja",'Mapa final'!$N$14="Mayor"),CONCATENATE("R",'Mapa final'!$A$14),"")</f>
        <v/>
      </c>
      <c r="AE30" s="334"/>
      <c r="AF30" s="334" t="str">
        <f ca="1">IF(AND('Mapa final'!$J$18="Baja",'Mapa final'!$N$18="Mayor"),CONCATENATE("R",'Mapa final'!$A$18),"")</f>
        <v/>
      </c>
      <c r="AG30" s="335"/>
      <c r="AH30" s="323" t="str">
        <f ca="1">IF(AND('Mapa final'!$J$10="Baja",'Mapa final'!$N$10="Catastrófico"),CONCATENATE("R",'Mapa final'!$A$10),"")</f>
        <v/>
      </c>
      <c r="AI30" s="324"/>
      <c r="AJ30" s="324" t="str">
        <f ca="1">IF(AND('Mapa final'!$J$14="Baja",'Mapa final'!$N$14="Catastrófico"),CONCATENATE("R",'Mapa final'!$A$14),"")</f>
        <v/>
      </c>
      <c r="AK30" s="324"/>
      <c r="AL30" s="324" t="str">
        <f ca="1">IF(AND('Mapa final'!$J$18="Baja",'Mapa final'!$N$18="Catastrófico"),CONCATENATE("R",'Mapa final'!$A$18),"")</f>
        <v/>
      </c>
      <c r="AM30" s="325"/>
      <c r="AN30" s="68"/>
      <c r="AO30" s="377" t="s">
        <v>81</v>
      </c>
      <c r="AP30" s="378"/>
      <c r="AQ30" s="378"/>
      <c r="AR30" s="378"/>
      <c r="AS30" s="378"/>
      <c r="AT30" s="379"/>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row>
    <row r="31" spans="1:80" x14ac:dyDescent="0.25">
      <c r="A31" s="68"/>
      <c r="B31" s="348"/>
      <c r="C31" s="348"/>
      <c r="D31" s="349"/>
      <c r="E31" s="340"/>
      <c r="F31" s="341"/>
      <c r="G31" s="341"/>
      <c r="H31" s="341"/>
      <c r="I31" s="346"/>
      <c r="J31" s="299"/>
      <c r="K31" s="300"/>
      <c r="L31" s="300"/>
      <c r="M31" s="300"/>
      <c r="N31" s="300"/>
      <c r="O31" s="301"/>
      <c r="P31" s="309"/>
      <c r="Q31" s="309"/>
      <c r="R31" s="309"/>
      <c r="S31" s="309"/>
      <c r="T31" s="309"/>
      <c r="U31" s="310"/>
      <c r="V31" s="308"/>
      <c r="W31" s="309"/>
      <c r="X31" s="309"/>
      <c r="Y31" s="309"/>
      <c r="Z31" s="309"/>
      <c r="AA31" s="310"/>
      <c r="AB31" s="326"/>
      <c r="AC31" s="327"/>
      <c r="AD31" s="327"/>
      <c r="AE31" s="327"/>
      <c r="AF31" s="327"/>
      <c r="AG31" s="329"/>
      <c r="AH31" s="317"/>
      <c r="AI31" s="318"/>
      <c r="AJ31" s="318"/>
      <c r="AK31" s="318"/>
      <c r="AL31" s="318"/>
      <c r="AM31" s="319"/>
      <c r="AN31" s="68"/>
      <c r="AO31" s="380"/>
      <c r="AP31" s="381"/>
      <c r="AQ31" s="381"/>
      <c r="AR31" s="381"/>
      <c r="AS31" s="381"/>
      <c r="AT31" s="382"/>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row>
    <row r="32" spans="1:80" x14ac:dyDescent="0.25">
      <c r="A32" s="68"/>
      <c r="B32" s="348"/>
      <c r="C32" s="348"/>
      <c r="D32" s="349"/>
      <c r="E32" s="340"/>
      <c r="F32" s="341"/>
      <c r="G32" s="341"/>
      <c r="H32" s="341"/>
      <c r="I32" s="346"/>
      <c r="J32" s="299" t="str">
        <f ca="1">IF(AND('Mapa final'!$J$24="Baja",'Mapa final'!$N$24="Leve"),CONCATENATE("R",'Mapa final'!$A$24),"")</f>
        <v/>
      </c>
      <c r="K32" s="300"/>
      <c r="L32" s="300" t="str">
        <f ca="1">IF(AND('Mapa final'!$J$30="Baja",'Mapa final'!$N$30="Leve"),CONCATENATE("R",'Mapa final'!$A$30),"")</f>
        <v/>
      </c>
      <c r="M32" s="300"/>
      <c r="N32" s="300" t="str">
        <f ca="1">IF(AND('Mapa final'!$J$36="Baja",'Mapa final'!$N$36="Leve"),CONCATENATE("R",'Mapa final'!$A$36),"")</f>
        <v/>
      </c>
      <c r="O32" s="301"/>
      <c r="P32" s="309" t="str">
        <f ca="1">IF(AND('Mapa final'!$J$24="Baja",'Mapa final'!$N$24="Menor"),CONCATENATE("R",'Mapa final'!$A$24),"")</f>
        <v/>
      </c>
      <c r="Q32" s="309"/>
      <c r="R32" s="309" t="str">
        <f ca="1">IF(AND('Mapa final'!$J$30="Baja",'Mapa final'!$N$30="Menor"),CONCATENATE("R",'Mapa final'!$A$30),"")</f>
        <v/>
      </c>
      <c r="S32" s="309"/>
      <c r="T32" s="309" t="str">
        <f ca="1">IF(AND('Mapa final'!$J$36="Baja",'Mapa final'!$N$36="Menor"),CONCATENATE("R",'Mapa final'!$A$36),"")</f>
        <v/>
      </c>
      <c r="U32" s="310"/>
      <c r="V32" s="308" t="str">
        <f ca="1">IF(AND('Mapa final'!$J$24="Baja",'Mapa final'!$N$24="Moderado"),CONCATENATE("R",'Mapa final'!$A$24),"")</f>
        <v/>
      </c>
      <c r="W32" s="309"/>
      <c r="X32" s="309" t="str">
        <f ca="1">IF(AND('Mapa final'!$J$30="Baja",'Mapa final'!$N$30="Moderado"),CONCATENATE("R",'Mapa final'!$A$30),"")</f>
        <v/>
      </c>
      <c r="Y32" s="309"/>
      <c r="Z32" s="309" t="str">
        <f ca="1">IF(AND('Mapa final'!$J$36="Baja",'Mapa final'!$N$36="Moderado"),CONCATENATE("R",'Mapa final'!$A$36),"")</f>
        <v/>
      </c>
      <c r="AA32" s="310"/>
      <c r="AB32" s="326" t="str">
        <f ca="1">IF(AND('Mapa final'!$J$24="Baja",'Mapa final'!$N$24="Mayor"),CONCATENATE("R",'Mapa final'!$A$24),"")</f>
        <v/>
      </c>
      <c r="AC32" s="327"/>
      <c r="AD32" s="328" t="str">
        <f ca="1">IF(AND('Mapa final'!$J$30="Baja",'Mapa final'!$N$30="Mayor"),CONCATENATE("R",'Mapa final'!$A$30),"")</f>
        <v/>
      </c>
      <c r="AE32" s="328"/>
      <c r="AF32" s="328" t="str">
        <f ca="1">IF(AND('Mapa final'!$J$36="Baja",'Mapa final'!$N$36="Mayor"),CONCATENATE("R",'Mapa final'!$A$36),"")</f>
        <v/>
      </c>
      <c r="AG32" s="329"/>
      <c r="AH32" s="317" t="str">
        <f ca="1">IF(AND('Mapa final'!$J$24="Baja",'Mapa final'!$N$24="Catastrófico"),CONCATENATE("R",'Mapa final'!$A$24),"")</f>
        <v/>
      </c>
      <c r="AI32" s="318"/>
      <c r="AJ32" s="318" t="str">
        <f ca="1">IF(AND('Mapa final'!$J$30="Baja",'Mapa final'!$N$30="Catastrófico"),CONCATENATE("R",'Mapa final'!$A$30),"")</f>
        <v/>
      </c>
      <c r="AK32" s="318"/>
      <c r="AL32" s="318" t="str">
        <f ca="1">IF(AND('Mapa final'!$J$36="Baja",'Mapa final'!$N$36="Catastrófico"),CONCATENATE("R",'Mapa final'!$A$36),"")</f>
        <v/>
      </c>
      <c r="AM32" s="319"/>
      <c r="AN32" s="68"/>
      <c r="AO32" s="380"/>
      <c r="AP32" s="381"/>
      <c r="AQ32" s="381"/>
      <c r="AR32" s="381"/>
      <c r="AS32" s="381"/>
      <c r="AT32" s="382"/>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row>
    <row r="33" spans="1:80" x14ac:dyDescent="0.25">
      <c r="A33" s="68"/>
      <c r="B33" s="348"/>
      <c r="C33" s="348"/>
      <c r="D33" s="349"/>
      <c r="E33" s="340"/>
      <c r="F33" s="341"/>
      <c r="G33" s="341"/>
      <c r="H33" s="341"/>
      <c r="I33" s="346"/>
      <c r="J33" s="299"/>
      <c r="K33" s="300"/>
      <c r="L33" s="300"/>
      <c r="M33" s="300"/>
      <c r="N33" s="300"/>
      <c r="O33" s="301"/>
      <c r="P33" s="309"/>
      <c r="Q33" s="309"/>
      <c r="R33" s="309"/>
      <c r="S33" s="309"/>
      <c r="T33" s="309"/>
      <c r="U33" s="310"/>
      <c r="V33" s="308"/>
      <c r="W33" s="309"/>
      <c r="X33" s="309"/>
      <c r="Y33" s="309"/>
      <c r="Z33" s="309"/>
      <c r="AA33" s="310"/>
      <c r="AB33" s="326"/>
      <c r="AC33" s="327"/>
      <c r="AD33" s="328"/>
      <c r="AE33" s="328"/>
      <c r="AF33" s="328"/>
      <c r="AG33" s="329"/>
      <c r="AH33" s="317"/>
      <c r="AI33" s="318"/>
      <c r="AJ33" s="318"/>
      <c r="AK33" s="318"/>
      <c r="AL33" s="318"/>
      <c r="AM33" s="319"/>
      <c r="AN33" s="68"/>
      <c r="AO33" s="380"/>
      <c r="AP33" s="381"/>
      <c r="AQ33" s="381"/>
      <c r="AR33" s="381"/>
      <c r="AS33" s="381"/>
      <c r="AT33" s="382"/>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row>
    <row r="34" spans="1:80" x14ac:dyDescent="0.25">
      <c r="A34" s="68"/>
      <c r="B34" s="348"/>
      <c r="C34" s="348"/>
      <c r="D34" s="349"/>
      <c r="E34" s="340"/>
      <c r="F34" s="341"/>
      <c r="G34" s="341"/>
      <c r="H34" s="341"/>
      <c r="I34" s="346"/>
      <c r="J34" s="299" t="str">
        <f ca="1">IF(AND('Mapa final'!$J$42="Baja",'Mapa final'!$N$42="Leve"),CONCATENATE("R",'Mapa final'!$A$42),"")</f>
        <v/>
      </c>
      <c r="K34" s="300"/>
      <c r="L34" s="300" t="str">
        <f ca="1">IF(AND('Mapa final'!$J$48="Baja",'Mapa final'!$N$48="Leve"),CONCATENATE("R",'Mapa final'!$A$48),"")</f>
        <v/>
      </c>
      <c r="M34" s="300"/>
      <c r="N34" s="300" t="str">
        <f ca="1">IF(AND('Mapa final'!$J$54="Baja",'Mapa final'!$N$54="Leve"),CONCATENATE("R",'Mapa final'!$A$54),"")</f>
        <v/>
      </c>
      <c r="O34" s="301"/>
      <c r="P34" s="309" t="str">
        <f ca="1">IF(AND('Mapa final'!$J$42="Baja",'Mapa final'!$N$42="Menor"),CONCATENATE("R",'Mapa final'!$A$42),"")</f>
        <v/>
      </c>
      <c r="Q34" s="309"/>
      <c r="R34" s="309" t="str">
        <f ca="1">IF(AND('Mapa final'!$J$48="Baja",'Mapa final'!$N$48="Menor"),CONCATENATE("R",'Mapa final'!$A$48),"")</f>
        <v/>
      </c>
      <c r="S34" s="309"/>
      <c r="T34" s="309" t="str">
        <f ca="1">IF(AND('Mapa final'!$J$54="Baja",'Mapa final'!$N$54="Menor"),CONCATENATE("R",'Mapa final'!$A$54),"")</f>
        <v/>
      </c>
      <c r="U34" s="310"/>
      <c r="V34" s="308" t="str">
        <f ca="1">IF(AND('Mapa final'!$J$42="Baja",'Mapa final'!$N$42="Moderado"),CONCATENATE("R",'Mapa final'!$A$42),"")</f>
        <v/>
      </c>
      <c r="W34" s="309"/>
      <c r="X34" s="309" t="str">
        <f ca="1">IF(AND('Mapa final'!$J$48="Baja",'Mapa final'!$N$48="Moderado"),CONCATENATE("R",'Mapa final'!$A$48),"")</f>
        <v/>
      </c>
      <c r="Y34" s="309"/>
      <c r="Z34" s="309" t="str">
        <f ca="1">IF(AND('Mapa final'!$J$54="Baja",'Mapa final'!$N$54="Moderado"),CONCATENATE("R",'Mapa final'!$A$54),"")</f>
        <v/>
      </c>
      <c r="AA34" s="310"/>
      <c r="AB34" s="326" t="str">
        <f ca="1">IF(AND('Mapa final'!$J$42="Baja",'Mapa final'!$N$42="Mayor"),CONCATENATE("R",'Mapa final'!$A$42),"")</f>
        <v/>
      </c>
      <c r="AC34" s="327"/>
      <c r="AD34" s="328" t="str">
        <f ca="1">IF(AND('Mapa final'!$J$48="Baja",'Mapa final'!$N$48="Mayor"),CONCATENATE("R",'Mapa final'!$A$48),"")</f>
        <v/>
      </c>
      <c r="AE34" s="328"/>
      <c r="AF34" s="328" t="str">
        <f ca="1">IF(AND('Mapa final'!$J$54="Baja",'Mapa final'!$N$54="Mayor"),CONCATENATE("R",'Mapa final'!$A$54),"")</f>
        <v/>
      </c>
      <c r="AG34" s="329"/>
      <c r="AH34" s="317" t="str">
        <f ca="1">IF(AND('Mapa final'!$J$42="Baja",'Mapa final'!$N$42="Catastrófico"),CONCATENATE("R",'Mapa final'!$A$42),"")</f>
        <v/>
      </c>
      <c r="AI34" s="318"/>
      <c r="AJ34" s="318" t="str">
        <f ca="1">IF(AND('Mapa final'!$J$48="Baja",'Mapa final'!$N$48="Catastrófico"),CONCATENATE("R",'Mapa final'!$A$48),"")</f>
        <v/>
      </c>
      <c r="AK34" s="318"/>
      <c r="AL34" s="318" t="str">
        <f ca="1">IF(AND('Mapa final'!$J$54="Baja",'Mapa final'!$N$54="Catastrófico"),CONCATENATE("R",'Mapa final'!$A$54),"")</f>
        <v/>
      </c>
      <c r="AM34" s="319"/>
      <c r="AN34" s="68"/>
      <c r="AO34" s="380"/>
      <c r="AP34" s="381"/>
      <c r="AQ34" s="381"/>
      <c r="AR34" s="381"/>
      <c r="AS34" s="381"/>
      <c r="AT34" s="382"/>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row>
    <row r="35" spans="1:80" x14ac:dyDescent="0.25">
      <c r="A35" s="68"/>
      <c r="B35" s="348"/>
      <c r="C35" s="348"/>
      <c r="D35" s="349"/>
      <c r="E35" s="340"/>
      <c r="F35" s="341"/>
      <c r="G35" s="341"/>
      <c r="H35" s="341"/>
      <c r="I35" s="346"/>
      <c r="J35" s="299"/>
      <c r="K35" s="300"/>
      <c r="L35" s="300"/>
      <c r="M35" s="300"/>
      <c r="N35" s="300"/>
      <c r="O35" s="301"/>
      <c r="P35" s="309"/>
      <c r="Q35" s="309"/>
      <c r="R35" s="309"/>
      <c r="S35" s="309"/>
      <c r="T35" s="309"/>
      <c r="U35" s="310"/>
      <c r="V35" s="308"/>
      <c r="W35" s="309"/>
      <c r="X35" s="309"/>
      <c r="Y35" s="309"/>
      <c r="Z35" s="309"/>
      <c r="AA35" s="310"/>
      <c r="AB35" s="326"/>
      <c r="AC35" s="327"/>
      <c r="AD35" s="328"/>
      <c r="AE35" s="328"/>
      <c r="AF35" s="328"/>
      <c r="AG35" s="329"/>
      <c r="AH35" s="317"/>
      <c r="AI35" s="318"/>
      <c r="AJ35" s="318"/>
      <c r="AK35" s="318"/>
      <c r="AL35" s="318"/>
      <c r="AM35" s="319"/>
      <c r="AN35" s="68"/>
      <c r="AO35" s="380"/>
      <c r="AP35" s="381"/>
      <c r="AQ35" s="381"/>
      <c r="AR35" s="381"/>
      <c r="AS35" s="381"/>
      <c r="AT35" s="382"/>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row>
    <row r="36" spans="1:80" x14ac:dyDescent="0.25">
      <c r="A36" s="68"/>
      <c r="B36" s="348"/>
      <c r="C36" s="348"/>
      <c r="D36" s="349"/>
      <c r="E36" s="340"/>
      <c r="F36" s="341"/>
      <c r="G36" s="341"/>
      <c r="H36" s="341"/>
      <c r="I36" s="346"/>
      <c r="J36" s="299" t="str">
        <f ca="1">IF(AND('Mapa final'!$J$60="Baja",'Mapa final'!$N$60="Leve"),CONCATENATE("R",'Mapa final'!$A$60),"")</f>
        <v/>
      </c>
      <c r="K36" s="300"/>
      <c r="L36" s="300" t="str">
        <f>IF(AND('Mapa final'!$J$66="Baja",'Mapa final'!$N$66="Leve"),CONCATENATE("R",'Mapa final'!$A$66),"")</f>
        <v/>
      </c>
      <c r="M36" s="300"/>
      <c r="N36" s="300" t="str">
        <f>IF(AND('Mapa final'!$J$72="Baja",'Mapa final'!$N$72="Leve"),CONCATENATE("R",'Mapa final'!$A$72),"")</f>
        <v/>
      </c>
      <c r="O36" s="301"/>
      <c r="P36" s="309" t="str">
        <f ca="1">IF(AND('Mapa final'!$J$60="Baja",'Mapa final'!$N$60="Menor"),CONCATENATE("R",'Mapa final'!$A$60),"")</f>
        <v/>
      </c>
      <c r="Q36" s="309"/>
      <c r="R36" s="309" t="str">
        <f>IF(AND('Mapa final'!$J$66="Baja",'Mapa final'!$N$66="Menor"),CONCATENATE("R",'Mapa final'!$A$66),"")</f>
        <v/>
      </c>
      <c r="S36" s="309"/>
      <c r="T36" s="309" t="str">
        <f>IF(AND('Mapa final'!$J$72="Baja",'Mapa final'!$N$72="Menor"),CONCATENATE("R",'Mapa final'!$A$72),"")</f>
        <v/>
      </c>
      <c r="U36" s="310"/>
      <c r="V36" s="308" t="str">
        <f ca="1">IF(AND('Mapa final'!$J$60="Baja",'Mapa final'!$N$60="Moderado"),CONCATENATE("R",'Mapa final'!$A$60),"")</f>
        <v/>
      </c>
      <c r="W36" s="309"/>
      <c r="X36" s="309" t="str">
        <f>IF(AND('Mapa final'!$J$66="Baja",'Mapa final'!$N$66="Moderado"),CONCATENATE("R",'Mapa final'!$A$66),"")</f>
        <v/>
      </c>
      <c r="Y36" s="309"/>
      <c r="Z36" s="309" t="str">
        <f>IF(AND('Mapa final'!$J$72="Baja",'Mapa final'!$N$72="Moderado"),CONCATENATE("R",'Mapa final'!$A$72),"")</f>
        <v/>
      </c>
      <c r="AA36" s="310"/>
      <c r="AB36" s="326" t="str">
        <f ca="1">IF(AND('Mapa final'!$J$60="Baja",'Mapa final'!$N$60="Mayor"),CONCATENATE("R",'Mapa final'!$A$60),"")</f>
        <v/>
      </c>
      <c r="AC36" s="327"/>
      <c r="AD36" s="328" t="str">
        <f>IF(AND('Mapa final'!$J$66="Baja",'Mapa final'!$N$66="Mayor"),CONCATENATE("R",'Mapa final'!$A$66),"")</f>
        <v/>
      </c>
      <c r="AE36" s="328"/>
      <c r="AF36" s="328" t="str">
        <f>IF(AND('Mapa final'!$J$72="Baja",'Mapa final'!$N$72="Mayor"),CONCATENATE("R",'Mapa final'!$A$72),"")</f>
        <v/>
      </c>
      <c r="AG36" s="329"/>
      <c r="AH36" s="317" t="str">
        <f ca="1">IF(AND('Mapa final'!$J$60="Baja",'Mapa final'!$N$60="Catastrófico"),CONCATENATE("R",'Mapa final'!$A$60),"")</f>
        <v/>
      </c>
      <c r="AI36" s="318"/>
      <c r="AJ36" s="318" t="str">
        <f>IF(AND('Mapa final'!$J$66="Baja",'Mapa final'!$N$66="Catastrófico"),CONCATENATE("R",'Mapa final'!$A$66),"")</f>
        <v/>
      </c>
      <c r="AK36" s="318"/>
      <c r="AL36" s="318" t="str">
        <f>IF(AND('Mapa final'!$J$72="Baja",'Mapa final'!$N$72="Catastrófico"),CONCATENATE("R",'Mapa final'!$A$72),"")</f>
        <v/>
      </c>
      <c r="AM36" s="319"/>
      <c r="AN36" s="68"/>
      <c r="AO36" s="380"/>
      <c r="AP36" s="381"/>
      <c r="AQ36" s="381"/>
      <c r="AR36" s="381"/>
      <c r="AS36" s="381"/>
      <c r="AT36" s="382"/>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row>
    <row r="37" spans="1:80" ht="15.75" thickBot="1" x14ac:dyDescent="0.3">
      <c r="A37" s="68"/>
      <c r="B37" s="348"/>
      <c r="C37" s="348"/>
      <c r="D37" s="349"/>
      <c r="E37" s="343"/>
      <c r="F37" s="344"/>
      <c r="G37" s="344"/>
      <c r="H37" s="344"/>
      <c r="I37" s="344"/>
      <c r="J37" s="302"/>
      <c r="K37" s="303"/>
      <c r="L37" s="303"/>
      <c r="M37" s="303"/>
      <c r="N37" s="303"/>
      <c r="O37" s="304"/>
      <c r="P37" s="312"/>
      <c r="Q37" s="312"/>
      <c r="R37" s="312"/>
      <c r="S37" s="312"/>
      <c r="T37" s="312"/>
      <c r="U37" s="313"/>
      <c r="V37" s="311"/>
      <c r="W37" s="312"/>
      <c r="X37" s="312"/>
      <c r="Y37" s="312"/>
      <c r="Z37" s="312"/>
      <c r="AA37" s="313"/>
      <c r="AB37" s="330"/>
      <c r="AC37" s="331"/>
      <c r="AD37" s="331"/>
      <c r="AE37" s="331"/>
      <c r="AF37" s="331"/>
      <c r="AG37" s="332"/>
      <c r="AH37" s="320"/>
      <c r="AI37" s="321"/>
      <c r="AJ37" s="321"/>
      <c r="AK37" s="321"/>
      <c r="AL37" s="321"/>
      <c r="AM37" s="322"/>
      <c r="AN37" s="68"/>
      <c r="AO37" s="383"/>
      <c r="AP37" s="384"/>
      <c r="AQ37" s="384"/>
      <c r="AR37" s="384"/>
      <c r="AS37" s="384"/>
      <c r="AT37" s="385"/>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row>
    <row r="38" spans="1:80" x14ac:dyDescent="0.25">
      <c r="A38" s="68"/>
      <c r="B38" s="348"/>
      <c r="C38" s="348"/>
      <c r="D38" s="349"/>
      <c r="E38" s="337" t="s">
        <v>108</v>
      </c>
      <c r="F38" s="338"/>
      <c r="G38" s="338"/>
      <c r="H38" s="338"/>
      <c r="I38" s="339"/>
      <c r="J38" s="305" t="str">
        <f ca="1">IF(AND('Mapa final'!$J$10="Muy Baja",'Mapa final'!$N$10="Leve"),CONCATENATE("R",'Mapa final'!$A$10),"")</f>
        <v/>
      </c>
      <c r="K38" s="306"/>
      <c r="L38" s="306" t="str">
        <f ca="1">IF(AND('Mapa final'!$J$14="Muy Baja",'Mapa final'!$N$14="Leve"),CONCATENATE("R",'Mapa final'!$A$14),"")</f>
        <v/>
      </c>
      <c r="M38" s="306"/>
      <c r="N38" s="306" t="str">
        <f ca="1">IF(AND('Mapa final'!$J$18="Muy Baja",'Mapa final'!$N$18="Leve"),CONCATENATE("R",'Mapa final'!$A$18),"")</f>
        <v/>
      </c>
      <c r="O38" s="307"/>
      <c r="P38" s="305" t="str">
        <f ca="1">IF(AND('Mapa final'!$J$10="Muy Baja",'Mapa final'!$N$10="Menor"),CONCATENATE("R",'Mapa final'!$A$10),"")</f>
        <v/>
      </c>
      <c r="Q38" s="306"/>
      <c r="R38" s="306" t="str">
        <f ca="1">IF(AND('Mapa final'!$J$14="Muy Baja",'Mapa final'!$N$14="Menor"),CONCATENATE("R",'Mapa final'!$A$14),"")</f>
        <v/>
      </c>
      <c r="S38" s="306"/>
      <c r="T38" s="306" t="str">
        <f ca="1">IF(AND('Mapa final'!$J$18="Muy Baja",'Mapa final'!$N$18="Menor"),CONCATENATE("R",'Mapa final'!$A$18),"")</f>
        <v/>
      </c>
      <c r="U38" s="307"/>
      <c r="V38" s="314" t="str">
        <f ca="1">IF(AND('Mapa final'!$J$10="Muy Baja",'Mapa final'!$N$10="Moderado"),CONCATENATE("R",'Mapa final'!$A$10),"")</f>
        <v/>
      </c>
      <c r="W38" s="315"/>
      <c r="X38" s="315" t="str">
        <f ca="1">IF(AND('Mapa final'!$J$14="Muy Baja",'Mapa final'!$N$14="Moderado"),CONCATENATE("R",'Mapa final'!$A$14),"")</f>
        <v/>
      </c>
      <c r="Y38" s="315"/>
      <c r="Z38" s="315" t="str">
        <f ca="1">IF(AND('Mapa final'!$J$18="Muy Baja",'Mapa final'!$N$18="Moderado"),CONCATENATE("R",'Mapa final'!$A$18),"")</f>
        <v/>
      </c>
      <c r="AA38" s="316"/>
      <c r="AB38" s="333" t="str">
        <f ca="1">IF(AND('Mapa final'!$J$10="Muy Baja",'Mapa final'!$N$10="Mayor"),CONCATENATE("R",'Mapa final'!$A$10),"")</f>
        <v/>
      </c>
      <c r="AC38" s="334"/>
      <c r="AD38" s="334" t="str">
        <f ca="1">IF(AND('Mapa final'!$J$14="Muy Baja",'Mapa final'!$N$14="Mayor"),CONCATENATE("R",'Mapa final'!$A$14),"")</f>
        <v/>
      </c>
      <c r="AE38" s="334"/>
      <c r="AF38" s="334" t="str">
        <f ca="1">IF(AND('Mapa final'!$J$18="Muy Baja",'Mapa final'!$N$18="Mayor"),CONCATENATE("R",'Mapa final'!$A$18),"")</f>
        <v/>
      </c>
      <c r="AG38" s="335"/>
      <c r="AH38" s="323" t="str">
        <f ca="1">IF(AND('Mapa final'!$J$10="Muy Baja",'Mapa final'!$N$10="Catastrófico"),CONCATENATE("R",'Mapa final'!$A$10),"")</f>
        <v/>
      </c>
      <c r="AI38" s="324"/>
      <c r="AJ38" s="324" t="str">
        <f ca="1">IF(AND('Mapa final'!$J$14="Muy Baja",'Mapa final'!$N$14="Catastrófico"),CONCATENATE("R",'Mapa final'!$A$14),"")</f>
        <v/>
      </c>
      <c r="AK38" s="324"/>
      <c r="AL38" s="324" t="str">
        <f ca="1">IF(AND('Mapa final'!$J$18="Muy Baja",'Mapa final'!$N$18="Catastrófico"),CONCATENATE("R",'Mapa final'!$A$18),"")</f>
        <v/>
      </c>
      <c r="AM38" s="325"/>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row>
    <row r="39" spans="1:80" x14ac:dyDescent="0.25">
      <c r="A39" s="68"/>
      <c r="B39" s="348"/>
      <c r="C39" s="348"/>
      <c r="D39" s="349"/>
      <c r="E39" s="340"/>
      <c r="F39" s="341"/>
      <c r="G39" s="341"/>
      <c r="H39" s="341"/>
      <c r="I39" s="342"/>
      <c r="J39" s="299"/>
      <c r="K39" s="300"/>
      <c r="L39" s="300"/>
      <c r="M39" s="300"/>
      <c r="N39" s="300"/>
      <c r="O39" s="301"/>
      <c r="P39" s="299"/>
      <c r="Q39" s="300"/>
      <c r="R39" s="300"/>
      <c r="S39" s="300"/>
      <c r="T39" s="300"/>
      <c r="U39" s="301"/>
      <c r="V39" s="308"/>
      <c r="W39" s="309"/>
      <c r="X39" s="309"/>
      <c r="Y39" s="309"/>
      <c r="Z39" s="309"/>
      <c r="AA39" s="310"/>
      <c r="AB39" s="326"/>
      <c r="AC39" s="327"/>
      <c r="AD39" s="327"/>
      <c r="AE39" s="327"/>
      <c r="AF39" s="327"/>
      <c r="AG39" s="329"/>
      <c r="AH39" s="317"/>
      <c r="AI39" s="318"/>
      <c r="AJ39" s="318"/>
      <c r="AK39" s="318"/>
      <c r="AL39" s="318"/>
      <c r="AM39" s="319"/>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row>
    <row r="40" spans="1:80" x14ac:dyDescent="0.25">
      <c r="A40" s="68"/>
      <c r="B40" s="348"/>
      <c r="C40" s="348"/>
      <c r="D40" s="349"/>
      <c r="E40" s="340"/>
      <c r="F40" s="341"/>
      <c r="G40" s="341"/>
      <c r="H40" s="341"/>
      <c r="I40" s="342"/>
      <c r="J40" s="299" t="str">
        <f ca="1">IF(AND('Mapa final'!$J$24="Muy Baja",'Mapa final'!$N$24="Leve"),CONCATENATE("R",'Mapa final'!$A$24),"")</f>
        <v/>
      </c>
      <c r="K40" s="300"/>
      <c r="L40" s="300" t="str">
        <f ca="1">IF(AND('Mapa final'!$J$30="Muy Baja",'Mapa final'!$N$30="Leve"),CONCATENATE("R",'Mapa final'!$A$30),"")</f>
        <v/>
      </c>
      <c r="M40" s="300"/>
      <c r="N40" s="300" t="str">
        <f ca="1">IF(AND('Mapa final'!$J$36="Muy Baja",'Mapa final'!$N$36="Leve"),CONCATENATE("R",'Mapa final'!$A$36),"")</f>
        <v/>
      </c>
      <c r="O40" s="301"/>
      <c r="P40" s="299" t="str">
        <f ca="1">IF(AND('Mapa final'!$J$24="Muy Baja",'Mapa final'!$N$24="Menor"),CONCATENATE("R",'Mapa final'!$A$24),"")</f>
        <v/>
      </c>
      <c r="Q40" s="300"/>
      <c r="R40" s="300" t="str">
        <f ca="1">IF(AND('Mapa final'!$J$30="Muy Baja",'Mapa final'!$N$30="Menor"),CONCATENATE("R",'Mapa final'!$A$30),"")</f>
        <v/>
      </c>
      <c r="S40" s="300"/>
      <c r="T40" s="300" t="str">
        <f ca="1">IF(AND('Mapa final'!$J$36="Muy Baja",'Mapa final'!$N$36="Menor"),CONCATENATE("R",'Mapa final'!$A$36),"")</f>
        <v/>
      </c>
      <c r="U40" s="301"/>
      <c r="V40" s="308" t="str">
        <f ca="1">IF(AND('Mapa final'!$J$24="Muy Baja",'Mapa final'!$N$24="Moderado"),CONCATENATE("R",'Mapa final'!$A$24),"")</f>
        <v/>
      </c>
      <c r="W40" s="309"/>
      <c r="X40" s="309" t="str">
        <f ca="1">IF(AND('Mapa final'!$J$30="Muy Baja",'Mapa final'!$N$30="Moderado"),CONCATENATE("R",'Mapa final'!$A$30),"")</f>
        <v/>
      </c>
      <c r="Y40" s="309"/>
      <c r="Z40" s="309" t="str">
        <f ca="1">IF(AND('Mapa final'!$J$36="Muy Baja",'Mapa final'!$N$36="Moderado"),CONCATENATE("R",'Mapa final'!$A$36),"")</f>
        <v/>
      </c>
      <c r="AA40" s="310"/>
      <c r="AB40" s="326" t="str">
        <f ca="1">IF(AND('Mapa final'!$J$24="Muy Baja",'Mapa final'!$N$24="Mayor"),CONCATENATE("R",'Mapa final'!$A$24),"")</f>
        <v/>
      </c>
      <c r="AC40" s="327"/>
      <c r="AD40" s="328" t="str">
        <f ca="1">IF(AND('Mapa final'!$J$30="Muy Baja",'Mapa final'!$N$30="Mayor"),CONCATENATE("R",'Mapa final'!$A$30),"")</f>
        <v/>
      </c>
      <c r="AE40" s="328"/>
      <c r="AF40" s="328" t="str">
        <f ca="1">IF(AND('Mapa final'!$J$36="Muy Baja",'Mapa final'!$N$36="Mayor"),CONCATENATE("R",'Mapa final'!$A$36),"")</f>
        <v/>
      </c>
      <c r="AG40" s="329"/>
      <c r="AH40" s="317" t="str">
        <f ca="1">IF(AND('Mapa final'!$J$24="Muy Baja",'Mapa final'!$N$24="Catastrófico"),CONCATENATE("R",'Mapa final'!$A$24),"")</f>
        <v/>
      </c>
      <c r="AI40" s="318"/>
      <c r="AJ40" s="318" t="str">
        <f ca="1">IF(AND('Mapa final'!$J$30="Muy Baja",'Mapa final'!$N$30="Catastrófico"),CONCATENATE("R",'Mapa final'!$A$30),"")</f>
        <v/>
      </c>
      <c r="AK40" s="318"/>
      <c r="AL40" s="318" t="str">
        <f ca="1">IF(AND('Mapa final'!$J$36="Muy Baja",'Mapa final'!$N$36="Catastrófico"),CONCATENATE("R",'Mapa final'!$A$36),"")</f>
        <v/>
      </c>
      <c r="AM40" s="319"/>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row>
    <row r="41" spans="1:80" x14ac:dyDescent="0.25">
      <c r="A41" s="68"/>
      <c r="B41" s="348"/>
      <c r="C41" s="348"/>
      <c r="D41" s="349"/>
      <c r="E41" s="340"/>
      <c r="F41" s="341"/>
      <c r="G41" s="341"/>
      <c r="H41" s="341"/>
      <c r="I41" s="342"/>
      <c r="J41" s="299"/>
      <c r="K41" s="300"/>
      <c r="L41" s="300"/>
      <c r="M41" s="300"/>
      <c r="N41" s="300"/>
      <c r="O41" s="301"/>
      <c r="P41" s="299"/>
      <c r="Q41" s="300"/>
      <c r="R41" s="300"/>
      <c r="S41" s="300"/>
      <c r="T41" s="300"/>
      <c r="U41" s="301"/>
      <c r="V41" s="308"/>
      <c r="W41" s="309"/>
      <c r="X41" s="309"/>
      <c r="Y41" s="309"/>
      <c r="Z41" s="309"/>
      <c r="AA41" s="310"/>
      <c r="AB41" s="326"/>
      <c r="AC41" s="327"/>
      <c r="AD41" s="328"/>
      <c r="AE41" s="328"/>
      <c r="AF41" s="328"/>
      <c r="AG41" s="329"/>
      <c r="AH41" s="317"/>
      <c r="AI41" s="318"/>
      <c r="AJ41" s="318"/>
      <c r="AK41" s="318"/>
      <c r="AL41" s="318"/>
      <c r="AM41" s="319"/>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row>
    <row r="42" spans="1:80" x14ac:dyDescent="0.25">
      <c r="A42" s="68"/>
      <c r="B42" s="348"/>
      <c r="C42" s="348"/>
      <c r="D42" s="349"/>
      <c r="E42" s="340"/>
      <c r="F42" s="341"/>
      <c r="G42" s="341"/>
      <c r="H42" s="341"/>
      <c r="I42" s="342"/>
      <c r="J42" s="299" t="str">
        <f ca="1">IF(AND('Mapa final'!$J$42="Muy Baja",'Mapa final'!$N$42="Leve"),CONCATENATE("R",'Mapa final'!$A$42),"")</f>
        <v/>
      </c>
      <c r="K42" s="300"/>
      <c r="L42" s="300" t="str">
        <f ca="1">IF(AND('Mapa final'!$J$48="Muy Baja",'Mapa final'!$N$48="Leve"),CONCATENATE("R",'Mapa final'!$A$48),"")</f>
        <v/>
      </c>
      <c r="M42" s="300"/>
      <c r="N42" s="300" t="str">
        <f ca="1">IF(AND('Mapa final'!$J$54="Muy Baja",'Mapa final'!$N$54="Leve"),CONCATENATE("R",'Mapa final'!$A$54),"")</f>
        <v/>
      </c>
      <c r="O42" s="301"/>
      <c r="P42" s="299" t="str">
        <f ca="1">IF(AND('Mapa final'!$J$42="Muy Baja",'Mapa final'!$N$42="Menor"),CONCATENATE("R",'Mapa final'!$A$42),"")</f>
        <v/>
      </c>
      <c r="Q42" s="300"/>
      <c r="R42" s="300" t="str">
        <f ca="1">IF(AND('Mapa final'!$J$48="Muy Baja",'Mapa final'!$N$48="Menor"),CONCATENATE("R",'Mapa final'!$A$48),"")</f>
        <v/>
      </c>
      <c r="S42" s="300"/>
      <c r="T42" s="300" t="str">
        <f ca="1">IF(AND('Mapa final'!$J$54="Muy Baja",'Mapa final'!$N$54="Menor"),CONCATENATE("R",'Mapa final'!$A$54),"")</f>
        <v/>
      </c>
      <c r="U42" s="301"/>
      <c r="V42" s="308" t="str">
        <f ca="1">IF(AND('Mapa final'!$J$42="Muy Baja",'Mapa final'!$N$42="Moderado"),CONCATENATE("R",'Mapa final'!$A$42),"")</f>
        <v/>
      </c>
      <c r="W42" s="309"/>
      <c r="X42" s="309" t="str">
        <f ca="1">IF(AND('Mapa final'!$J$48="Muy Baja",'Mapa final'!$N$48="Moderado"),CONCATENATE("R",'Mapa final'!$A$48),"")</f>
        <v/>
      </c>
      <c r="Y42" s="309"/>
      <c r="Z42" s="309" t="str">
        <f ca="1">IF(AND('Mapa final'!$J$54="Muy Baja",'Mapa final'!$N$54="Moderado"),CONCATENATE("R",'Mapa final'!$A$54),"")</f>
        <v/>
      </c>
      <c r="AA42" s="310"/>
      <c r="AB42" s="326" t="str">
        <f ca="1">IF(AND('Mapa final'!$J$42="Muy Baja",'Mapa final'!$N$42="Mayor"),CONCATENATE("R",'Mapa final'!$A$42),"")</f>
        <v/>
      </c>
      <c r="AC42" s="327"/>
      <c r="AD42" s="328" t="str">
        <f ca="1">IF(AND('Mapa final'!$J$48="Muy Baja",'Mapa final'!$N$48="Mayor"),CONCATENATE("R",'Mapa final'!$A$48),"")</f>
        <v/>
      </c>
      <c r="AE42" s="328"/>
      <c r="AF42" s="328" t="str">
        <f ca="1">IF(AND('Mapa final'!$J$54="Muy Baja",'Mapa final'!$N$54="Mayor"),CONCATENATE("R",'Mapa final'!$A$54),"")</f>
        <v/>
      </c>
      <c r="AG42" s="329"/>
      <c r="AH42" s="317" t="str">
        <f ca="1">IF(AND('Mapa final'!$J$42="Muy Baja",'Mapa final'!$N$42="Catastrófico"),CONCATENATE("R",'Mapa final'!$A$42),"")</f>
        <v/>
      </c>
      <c r="AI42" s="318"/>
      <c r="AJ42" s="318" t="str">
        <f ca="1">IF(AND('Mapa final'!$J$48="Muy Baja",'Mapa final'!$N$48="Catastrófico"),CONCATENATE("R",'Mapa final'!$A$48),"")</f>
        <v/>
      </c>
      <c r="AK42" s="318"/>
      <c r="AL42" s="318" t="str">
        <f ca="1">IF(AND('Mapa final'!$J$54="Muy Baja",'Mapa final'!$N$54="Catastrófico"),CONCATENATE("R",'Mapa final'!$A$54),"")</f>
        <v/>
      </c>
      <c r="AM42" s="319"/>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row>
    <row r="43" spans="1:80" x14ac:dyDescent="0.25">
      <c r="A43" s="68"/>
      <c r="B43" s="348"/>
      <c r="C43" s="348"/>
      <c r="D43" s="349"/>
      <c r="E43" s="340"/>
      <c r="F43" s="341"/>
      <c r="G43" s="341"/>
      <c r="H43" s="341"/>
      <c r="I43" s="342"/>
      <c r="J43" s="299"/>
      <c r="K43" s="300"/>
      <c r="L43" s="300"/>
      <c r="M43" s="300"/>
      <c r="N43" s="300"/>
      <c r="O43" s="301"/>
      <c r="P43" s="299"/>
      <c r="Q43" s="300"/>
      <c r="R43" s="300"/>
      <c r="S43" s="300"/>
      <c r="T43" s="300"/>
      <c r="U43" s="301"/>
      <c r="V43" s="308"/>
      <c r="W43" s="309"/>
      <c r="X43" s="309"/>
      <c r="Y43" s="309"/>
      <c r="Z43" s="309"/>
      <c r="AA43" s="310"/>
      <c r="AB43" s="326"/>
      <c r="AC43" s="327"/>
      <c r="AD43" s="328"/>
      <c r="AE43" s="328"/>
      <c r="AF43" s="328"/>
      <c r="AG43" s="329"/>
      <c r="AH43" s="317"/>
      <c r="AI43" s="318"/>
      <c r="AJ43" s="318"/>
      <c r="AK43" s="318"/>
      <c r="AL43" s="318"/>
      <c r="AM43" s="319"/>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row>
    <row r="44" spans="1:80" x14ac:dyDescent="0.25">
      <c r="A44" s="68"/>
      <c r="B44" s="348"/>
      <c r="C44" s="348"/>
      <c r="D44" s="349"/>
      <c r="E44" s="340"/>
      <c r="F44" s="341"/>
      <c r="G44" s="341"/>
      <c r="H44" s="341"/>
      <c r="I44" s="342"/>
      <c r="J44" s="299" t="str">
        <f ca="1">IF(AND('Mapa final'!$J$60="Muy Baja",'Mapa final'!$N$60="Leve"),CONCATENATE("R",'Mapa final'!$A$60),"")</f>
        <v/>
      </c>
      <c r="K44" s="300"/>
      <c r="L44" s="300" t="str">
        <f>IF(AND('Mapa final'!$J$66="Muy Baja",'Mapa final'!$N$66="Leve"),CONCATENATE("R",'Mapa final'!$A$66),"")</f>
        <v/>
      </c>
      <c r="M44" s="300"/>
      <c r="N44" s="300" t="str">
        <f>IF(AND('Mapa final'!$J$72="Muy Baja",'Mapa final'!$N$72="Leve"),CONCATENATE("R",'Mapa final'!$A$72),"")</f>
        <v/>
      </c>
      <c r="O44" s="301"/>
      <c r="P44" s="299" t="str">
        <f ca="1">IF(AND('Mapa final'!$J$60="Muy Baja",'Mapa final'!$N$60="Menor"),CONCATENATE("R",'Mapa final'!$A$60),"")</f>
        <v/>
      </c>
      <c r="Q44" s="300"/>
      <c r="R44" s="300" t="str">
        <f>IF(AND('Mapa final'!$J$66="Muy Baja",'Mapa final'!$N$66="Menor"),CONCATENATE("R",'Mapa final'!$A$66),"")</f>
        <v/>
      </c>
      <c r="S44" s="300"/>
      <c r="T44" s="300" t="str">
        <f>IF(AND('Mapa final'!$J$72="Muy Baja",'Mapa final'!$N$72="Menor"),CONCATENATE("R",'Mapa final'!$A$72),"")</f>
        <v/>
      </c>
      <c r="U44" s="301"/>
      <c r="V44" s="308" t="str">
        <f ca="1">IF(AND('Mapa final'!$J$60="Muy Baja",'Mapa final'!$N$60="Moderado"),CONCATENATE("R",'Mapa final'!$A$60),"")</f>
        <v/>
      </c>
      <c r="W44" s="309"/>
      <c r="X44" s="309" t="str">
        <f>IF(AND('Mapa final'!$J$66="Muy Baja",'Mapa final'!$N$66="Moderado"),CONCATENATE("R",'Mapa final'!$A$66),"")</f>
        <v/>
      </c>
      <c r="Y44" s="309"/>
      <c r="Z44" s="309" t="str">
        <f>IF(AND('Mapa final'!$J$72="Muy Baja",'Mapa final'!$N$72="Moderado"),CONCATENATE("R",'Mapa final'!$A$72),"")</f>
        <v/>
      </c>
      <c r="AA44" s="310"/>
      <c r="AB44" s="326" t="str">
        <f ca="1">IF(AND('Mapa final'!$J$60="Muy Baja",'Mapa final'!$N$60="Mayor"),CONCATENATE("R",'Mapa final'!$A$60),"")</f>
        <v/>
      </c>
      <c r="AC44" s="327"/>
      <c r="AD44" s="328" t="str">
        <f>IF(AND('Mapa final'!$J$66="Muy Baja",'Mapa final'!$N$66="Mayor"),CONCATENATE("R",'Mapa final'!$A$66),"")</f>
        <v/>
      </c>
      <c r="AE44" s="328"/>
      <c r="AF44" s="328" t="str">
        <f>IF(AND('Mapa final'!$J$72="Muy Baja",'Mapa final'!$N$72="Mayor"),CONCATENATE("R",'Mapa final'!$A$72),"")</f>
        <v/>
      </c>
      <c r="AG44" s="329"/>
      <c r="AH44" s="317" t="str">
        <f ca="1">IF(AND('Mapa final'!$J$60="Muy Baja",'Mapa final'!$N$60="Catastrófico"),CONCATENATE("R",'Mapa final'!$A$60),"")</f>
        <v/>
      </c>
      <c r="AI44" s="318"/>
      <c r="AJ44" s="318" t="str">
        <f>IF(AND('Mapa final'!$J$66="Muy Baja",'Mapa final'!$N$66="Catastrófico"),CONCATENATE("R",'Mapa final'!$A$66),"")</f>
        <v/>
      </c>
      <c r="AK44" s="318"/>
      <c r="AL44" s="318" t="str">
        <f>IF(AND('Mapa final'!$J$72="Muy Baja",'Mapa final'!$N$72="Catastrófico"),CONCATENATE("R",'Mapa final'!$A$72),"")</f>
        <v/>
      </c>
      <c r="AM44" s="319"/>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row>
    <row r="45" spans="1:80" ht="15.75" thickBot="1" x14ac:dyDescent="0.3">
      <c r="A45" s="68"/>
      <c r="B45" s="348"/>
      <c r="C45" s="348"/>
      <c r="D45" s="349"/>
      <c r="E45" s="343"/>
      <c r="F45" s="344"/>
      <c r="G45" s="344"/>
      <c r="H45" s="344"/>
      <c r="I45" s="345"/>
      <c r="J45" s="302"/>
      <c r="K45" s="303"/>
      <c r="L45" s="303"/>
      <c r="M45" s="303"/>
      <c r="N45" s="303"/>
      <c r="O45" s="304"/>
      <c r="P45" s="302"/>
      <c r="Q45" s="303"/>
      <c r="R45" s="303"/>
      <c r="S45" s="303"/>
      <c r="T45" s="303"/>
      <c r="U45" s="304"/>
      <c r="V45" s="311"/>
      <c r="W45" s="312"/>
      <c r="X45" s="312"/>
      <c r="Y45" s="312"/>
      <c r="Z45" s="312"/>
      <c r="AA45" s="313"/>
      <c r="AB45" s="330"/>
      <c r="AC45" s="331"/>
      <c r="AD45" s="331"/>
      <c r="AE45" s="331"/>
      <c r="AF45" s="331"/>
      <c r="AG45" s="332"/>
      <c r="AH45" s="320"/>
      <c r="AI45" s="321"/>
      <c r="AJ45" s="321"/>
      <c r="AK45" s="321"/>
      <c r="AL45" s="321"/>
      <c r="AM45" s="322"/>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row>
    <row r="46" spans="1:80" x14ac:dyDescent="0.25">
      <c r="A46" s="68"/>
      <c r="B46" s="68"/>
      <c r="C46" s="68"/>
      <c r="D46" s="68"/>
      <c r="E46" s="68"/>
      <c r="F46" s="68"/>
      <c r="G46" s="68"/>
      <c r="H46" s="68"/>
      <c r="I46" s="68"/>
      <c r="J46" s="337" t="s">
        <v>107</v>
      </c>
      <c r="K46" s="338"/>
      <c r="L46" s="338"/>
      <c r="M46" s="338"/>
      <c r="N46" s="338"/>
      <c r="O46" s="339"/>
      <c r="P46" s="337" t="s">
        <v>106</v>
      </c>
      <c r="Q46" s="338"/>
      <c r="R46" s="338"/>
      <c r="S46" s="338"/>
      <c r="T46" s="338"/>
      <c r="U46" s="339"/>
      <c r="V46" s="337" t="s">
        <v>105</v>
      </c>
      <c r="W46" s="338"/>
      <c r="X46" s="338"/>
      <c r="Y46" s="338"/>
      <c r="Z46" s="338"/>
      <c r="AA46" s="339"/>
      <c r="AB46" s="337" t="s">
        <v>104</v>
      </c>
      <c r="AC46" s="347"/>
      <c r="AD46" s="338"/>
      <c r="AE46" s="338"/>
      <c r="AF46" s="338"/>
      <c r="AG46" s="339"/>
      <c r="AH46" s="337" t="s">
        <v>103</v>
      </c>
      <c r="AI46" s="338"/>
      <c r="AJ46" s="338"/>
      <c r="AK46" s="338"/>
      <c r="AL46" s="338"/>
      <c r="AM46" s="339"/>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x14ac:dyDescent="0.25">
      <c r="A47" s="68"/>
      <c r="B47" s="68"/>
      <c r="C47" s="68"/>
      <c r="D47" s="68"/>
      <c r="E47" s="68"/>
      <c r="F47" s="68"/>
      <c r="G47" s="68"/>
      <c r="H47" s="68"/>
      <c r="I47" s="68"/>
      <c r="J47" s="340"/>
      <c r="K47" s="341"/>
      <c r="L47" s="341"/>
      <c r="M47" s="341"/>
      <c r="N47" s="341"/>
      <c r="O47" s="342"/>
      <c r="P47" s="340"/>
      <c r="Q47" s="341"/>
      <c r="R47" s="341"/>
      <c r="S47" s="341"/>
      <c r="T47" s="341"/>
      <c r="U47" s="342"/>
      <c r="V47" s="340"/>
      <c r="W47" s="341"/>
      <c r="X47" s="341"/>
      <c r="Y47" s="341"/>
      <c r="Z47" s="341"/>
      <c r="AA47" s="342"/>
      <c r="AB47" s="340"/>
      <c r="AC47" s="341"/>
      <c r="AD47" s="341"/>
      <c r="AE47" s="341"/>
      <c r="AF47" s="341"/>
      <c r="AG47" s="342"/>
      <c r="AH47" s="340"/>
      <c r="AI47" s="341"/>
      <c r="AJ47" s="341"/>
      <c r="AK47" s="341"/>
      <c r="AL47" s="341"/>
      <c r="AM47" s="342"/>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x14ac:dyDescent="0.25">
      <c r="A48" s="68"/>
      <c r="B48" s="68"/>
      <c r="C48" s="68"/>
      <c r="D48" s="68"/>
      <c r="E48" s="68"/>
      <c r="F48" s="68"/>
      <c r="G48" s="68"/>
      <c r="H48" s="68"/>
      <c r="I48" s="68"/>
      <c r="J48" s="340"/>
      <c r="K48" s="341"/>
      <c r="L48" s="341"/>
      <c r="M48" s="341"/>
      <c r="N48" s="341"/>
      <c r="O48" s="342"/>
      <c r="P48" s="340"/>
      <c r="Q48" s="341"/>
      <c r="R48" s="341"/>
      <c r="S48" s="341"/>
      <c r="T48" s="341"/>
      <c r="U48" s="342"/>
      <c r="V48" s="340"/>
      <c r="W48" s="341"/>
      <c r="X48" s="341"/>
      <c r="Y48" s="341"/>
      <c r="Z48" s="341"/>
      <c r="AA48" s="342"/>
      <c r="AB48" s="340"/>
      <c r="AC48" s="341"/>
      <c r="AD48" s="341"/>
      <c r="AE48" s="341"/>
      <c r="AF48" s="341"/>
      <c r="AG48" s="342"/>
      <c r="AH48" s="340"/>
      <c r="AI48" s="341"/>
      <c r="AJ48" s="341"/>
      <c r="AK48" s="341"/>
      <c r="AL48" s="341"/>
      <c r="AM48" s="342"/>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x14ac:dyDescent="0.25">
      <c r="A49" s="68"/>
      <c r="B49" s="68"/>
      <c r="C49" s="68"/>
      <c r="D49" s="68"/>
      <c r="E49" s="68"/>
      <c r="F49" s="68"/>
      <c r="G49" s="68"/>
      <c r="H49" s="68"/>
      <c r="I49" s="68"/>
      <c r="J49" s="340"/>
      <c r="K49" s="341"/>
      <c r="L49" s="341"/>
      <c r="M49" s="341"/>
      <c r="N49" s="341"/>
      <c r="O49" s="342"/>
      <c r="P49" s="340"/>
      <c r="Q49" s="341"/>
      <c r="R49" s="341"/>
      <c r="S49" s="341"/>
      <c r="T49" s="341"/>
      <c r="U49" s="342"/>
      <c r="V49" s="340"/>
      <c r="W49" s="341"/>
      <c r="X49" s="341"/>
      <c r="Y49" s="341"/>
      <c r="Z49" s="341"/>
      <c r="AA49" s="342"/>
      <c r="AB49" s="340"/>
      <c r="AC49" s="341"/>
      <c r="AD49" s="341"/>
      <c r="AE49" s="341"/>
      <c r="AF49" s="341"/>
      <c r="AG49" s="342"/>
      <c r="AH49" s="340"/>
      <c r="AI49" s="341"/>
      <c r="AJ49" s="341"/>
      <c r="AK49" s="341"/>
      <c r="AL49" s="341"/>
      <c r="AM49" s="342"/>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x14ac:dyDescent="0.25">
      <c r="A50" s="68"/>
      <c r="B50" s="68"/>
      <c r="C50" s="68"/>
      <c r="D50" s="68"/>
      <c r="E50" s="68"/>
      <c r="F50" s="68"/>
      <c r="G50" s="68"/>
      <c r="H50" s="68"/>
      <c r="I50" s="68"/>
      <c r="J50" s="340"/>
      <c r="K50" s="341"/>
      <c r="L50" s="341"/>
      <c r="M50" s="341"/>
      <c r="N50" s="341"/>
      <c r="O50" s="342"/>
      <c r="P50" s="340"/>
      <c r="Q50" s="341"/>
      <c r="R50" s="341"/>
      <c r="S50" s="341"/>
      <c r="T50" s="341"/>
      <c r="U50" s="342"/>
      <c r="V50" s="340"/>
      <c r="W50" s="341"/>
      <c r="X50" s="341"/>
      <c r="Y50" s="341"/>
      <c r="Z50" s="341"/>
      <c r="AA50" s="342"/>
      <c r="AB50" s="340"/>
      <c r="AC50" s="341"/>
      <c r="AD50" s="341"/>
      <c r="AE50" s="341"/>
      <c r="AF50" s="341"/>
      <c r="AG50" s="342"/>
      <c r="AH50" s="340"/>
      <c r="AI50" s="341"/>
      <c r="AJ50" s="341"/>
      <c r="AK50" s="341"/>
      <c r="AL50" s="341"/>
      <c r="AM50" s="342"/>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75" thickBot="1" x14ac:dyDescent="0.3">
      <c r="A51" s="68"/>
      <c r="B51" s="68"/>
      <c r="C51" s="68"/>
      <c r="D51" s="68"/>
      <c r="E51" s="68"/>
      <c r="F51" s="68"/>
      <c r="G51" s="68"/>
      <c r="H51" s="68"/>
      <c r="I51" s="68"/>
      <c r="J51" s="343"/>
      <c r="K51" s="344"/>
      <c r="L51" s="344"/>
      <c r="M51" s="344"/>
      <c r="N51" s="344"/>
      <c r="O51" s="345"/>
      <c r="P51" s="343"/>
      <c r="Q51" s="344"/>
      <c r="R51" s="344"/>
      <c r="S51" s="344"/>
      <c r="T51" s="344"/>
      <c r="U51" s="345"/>
      <c r="V51" s="343"/>
      <c r="W51" s="344"/>
      <c r="X51" s="344"/>
      <c r="Y51" s="344"/>
      <c r="Z51" s="344"/>
      <c r="AA51" s="345"/>
      <c r="AB51" s="343"/>
      <c r="AC51" s="344"/>
      <c r="AD51" s="344"/>
      <c r="AE51" s="344"/>
      <c r="AF51" s="344"/>
      <c r="AG51" s="345"/>
      <c r="AH51" s="343"/>
      <c r="AI51" s="344"/>
      <c r="AJ51" s="344"/>
      <c r="AK51" s="344"/>
      <c r="AL51" s="344"/>
      <c r="AM51" s="345"/>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x14ac:dyDescent="0.2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x14ac:dyDescent="0.2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x14ac:dyDescent="0.2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row>
    <row r="63" spans="1:80" x14ac:dyDescent="0.2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row>
    <row r="64" spans="1:80" x14ac:dyDescent="0.2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row>
    <row r="65" spans="1:8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row>
    <row r="66" spans="1:8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row>
    <row r="67" spans="1:8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row>
    <row r="68" spans="1:8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row>
    <row r="69" spans="1:8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row>
    <row r="70" spans="1:8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row>
    <row r="71" spans="1:8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row>
    <row r="72" spans="1:8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row>
    <row r="73" spans="1:8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row>
    <row r="74" spans="1:8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row>
    <row r="75" spans="1:8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row>
    <row r="76" spans="1:8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row>
    <row r="77" spans="1:8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row>
    <row r="78" spans="1:8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row>
    <row r="79" spans="1:8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row>
    <row r="80" spans="1:8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row>
    <row r="81" spans="1:63"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row>
    <row r="82" spans="1:63"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row>
    <row r="83" spans="1:63"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row>
    <row r="84" spans="1:63"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row>
    <row r="85" spans="1:63"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row>
    <row r="86" spans="1:63"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row>
    <row r="87" spans="1:63"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row>
    <row r="88" spans="1:63"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row>
    <row r="89" spans="1:63"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row>
    <row r="90" spans="1:63"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row>
    <row r="91" spans="1:63"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row>
    <row r="92" spans="1:63"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row>
    <row r="93" spans="1:63"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row>
    <row r="94" spans="1:63"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row>
    <row r="95" spans="1:63"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row>
    <row r="96" spans="1:63"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row>
    <row r="97" spans="1:63"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row>
    <row r="98" spans="1:63"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row>
    <row r="99" spans="1:63"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row>
    <row r="100" spans="1:63"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row>
    <row r="101" spans="1:63"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row>
    <row r="102" spans="1:63"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row>
    <row r="103" spans="1:63"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row>
    <row r="104" spans="1:63"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row>
    <row r="105" spans="1:63"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row>
    <row r="106" spans="1:63"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row>
    <row r="107" spans="1:63"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row>
    <row r="108" spans="1:63"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row>
    <row r="109" spans="1:63"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row>
    <row r="110" spans="1:63"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row>
    <row r="111" spans="1:63"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row>
    <row r="112" spans="1:63"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row>
    <row r="113" spans="1:63"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row>
    <row r="114" spans="1:63"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row>
    <row r="115" spans="1:63"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row>
    <row r="116" spans="1:63"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row>
    <row r="117" spans="1:63"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row>
    <row r="118" spans="1:63"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row>
    <row r="119" spans="1:63"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row>
    <row r="120" spans="1:63"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row>
    <row r="121" spans="1:63"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row>
    <row r="122" spans="1:63" x14ac:dyDescent="0.25">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row>
    <row r="123" spans="1:63" x14ac:dyDescent="0.25">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row>
    <row r="124" spans="1:63" x14ac:dyDescent="0.25">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row>
    <row r="125" spans="1:63" x14ac:dyDescent="0.25">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row>
    <row r="126" spans="1:63" x14ac:dyDescent="0.25">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row>
    <row r="127" spans="1:63" x14ac:dyDescent="0.25">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row>
    <row r="128" spans="1:63" x14ac:dyDescent="0.25">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row>
    <row r="129" spans="2:63" x14ac:dyDescent="0.25">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row>
    <row r="130" spans="2:63" x14ac:dyDescent="0.25">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row>
    <row r="131" spans="2:63" x14ac:dyDescent="0.25">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row>
    <row r="132" spans="2:63" x14ac:dyDescent="0.25">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row>
    <row r="133" spans="2:63" x14ac:dyDescent="0.25">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row>
    <row r="134" spans="2:63" x14ac:dyDescent="0.25">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row>
    <row r="135" spans="2:63" x14ac:dyDescent="0.25">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row>
    <row r="136" spans="2:63" x14ac:dyDescent="0.25">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row>
    <row r="137" spans="2:63" x14ac:dyDescent="0.25">
      <c r="B137" s="68"/>
      <c r="C137" s="68"/>
      <c r="D137" s="68"/>
      <c r="E137" s="68"/>
      <c r="F137" s="68"/>
      <c r="G137" s="68"/>
      <c r="H137" s="68"/>
      <c r="I137" s="68"/>
    </row>
    <row r="138" spans="2:63" x14ac:dyDescent="0.25">
      <c r="B138" s="68"/>
      <c r="C138" s="68"/>
      <c r="D138" s="68"/>
      <c r="E138" s="68"/>
      <c r="F138" s="68"/>
      <c r="G138" s="68"/>
      <c r="H138" s="68"/>
      <c r="I138" s="68"/>
    </row>
    <row r="139" spans="2:63" x14ac:dyDescent="0.25">
      <c r="B139" s="68"/>
      <c r="C139" s="68"/>
      <c r="D139" s="68"/>
      <c r="E139" s="68"/>
      <c r="F139" s="68"/>
      <c r="G139" s="68"/>
      <c r="H139" s="68"/>
      <c r="I139" s="68"/>
    </row>
    <row r="140" spans="2:63" x14ac:dyDescent="0.25">
      <c r="B140" s="68"/>
      <c r="C140" s="68"/>
      <c r="D140" s="68"/>
      <c r="E140" s="68"/>
      <c r="F140" s="68"/>
      <c r="G140" s="68"/>
      <c r="H140" s="68"/>
      <c r="I140" s="68"/>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row>
    <row r="2" spans="1:91" ht="18" customHeight="1" x14ac:dyDescent="0.25">
      <c r="A2" s="68"/>
      <c r="B2" s="416" t="s">
        <v>149</v>
      </c>
      <c r="C2" s="417"/>
      <c r="D2" s="417"/>
      <c r="E2" s="417"/>
      <c r="F2" s="417"/>
      <c r="G2" s="417"/>
      <c r="H2" s="417"/>
      <c r="I2" s="417"/>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row>
    <row r="3" spans="1:91" ht="18.75" customHeight="1" x14ac:dyDescent="0.25">
      <c r="A3" s="68"/>
      <c r="B3" s="417"/>
      <c r="C3" s="417"/>
      <c r="D3" s="417"/>
      <c r="E3" s="417"/>
      <c r="F3" s="417"/>
      <c r="G3" s="417"/>
      <c r="H3" s="417"/>
      <c r="I3" s="417"/>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row>
    <row r="4" spans="1:91" ht="15" customHeight="1" x14ac:dyDescent="0.25">
      <c r="A4" s="68"/>
      <c r="B4" s="417"/>
      <c r="C4" s="417"/>
      <c r="D4" s="417"/>
      <c r="E4" s="417"/>
      <c r="F4" s="417"/>
      <c r="G4" s="417"/>
      <c r="H4" s="417"/>
      <c r="I4" s="417"/>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row>
    <row r="5" spans="1:91"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91" ht="15" customHeight="1" x14ac:dyDescent="0.25">
      <c r="A6" s="68"/>
      <c r="B6" s="348" t="s">
        <v>4</v>
      </c>
      <c r="C6" s="348"/>
      <c r="D6" s="349"/>
      <c r="E6" s="386" t="s">
        <v>111</v>
      </c>
      <c r="F6" s="387"/>
      <c r="G6" s="387"/>
      <c r="H6" s="387"/>
      <c r="I6" s="388"/>
      <c r="J6" s="30" t="str">
        <f ca="1">IF(AND('Mapa final'!$AA$10="Muy Alta",'Mapa final'!$AC$10="Leve"),CONCATENATE("R1C",'Mapa final'!$Q$10),"")</f>
        <v/>
      </c>
      <c r="K6" s="31" t="str">
        <f>IF(AND('Mapa final'!$AA$11="Muy Alta",'Mapa final'!$AC$11="Leve"),CONCATENATE("R1C",'Mapa final'!$Q$11),"")</f>
        <v/>
      </c>
      <c r="L6" s="31" t="str">
        <f>IF(AND('Mapa final'!$AA$12="Muy Alta",'Mapa final'!$AC$12="Leve"),CONCATENATE("R1C",'Mapa final'!$Q$12),"")</f>
        <v/>
      </c>
      <c r="M6" s="31" t="str">
        <f>IF(AND('Mapa final'!$AA$13="Muy Alta",'Mapa final'!$AC$13="Leve"),CONCATENATE("R1C",'Mapa final'!$Q$13),"")</f>
        <v/>
      </c>
      <c r="N6" s="31" t="e">
        <f>IF(AND('Mapa final'!#REF!="Muy Alta",'Mapa final'!#REF!="Leve"),CONCATENATE("R1C",'Mapa final'!#REF!),"")</f>
        <v>#REF!</v>
      </c>
      <c r="O6" s="32" t="e">
        <f>IF(AND('Mapa final'!#REF!="Muy Alta",'Mapa final'!#REF!="Leve"),CONCATENATE("R1C",'Mapa final'!#REF!),"")</f>
        <v>#REF!</v>
      </c>
      <c r="P6" s="30" t="str">
        <f ca="1">IF(AND('Mapa final'!$AA$10="Muy Alta",'Mapa final'!$AC$10="Menor"),CONCATENATE("R1C",'Mapa final'!$Q$10),"")</f>
        <v/>
      </c>
      <c r="Q6" s="31" t="str">
        <f>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e">
        <f>IF(AND('Mapa final'!#REF!="Muy Alta",'Mapa final'!#REF!="Menor"),CONCATENATE("R1C",'Mapa final'!#REF!),"")</f>
        <v>#REF!</v>
      </c>
      <c r="U6" s="32" t="e">
        <f>IF(AND('Mapa final'!#REF!="Muy Alta",'Mapa final'!#REF!="Menor"),CONCATENATE("R1C",'Mapa final'!#REF!),"")</f>
        <v>#REF!</v>
      </c>
      <c r="V6" s="30" t="str">
        <f ca="1">IF(AND('Mapa final'!$AA$10="Muy Alta",'Mapa final'!$AC$10="Moderado"),CONCATENATE("R1C",'Mapa final'!$Q$10),"")</f>
        <v/>
      </c>
      <c r="W6" s="31" t="str">
        <f>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e">
        <f>IF(AND('Mapa final'!#REF!="Muy Alta",'Mapa final'!#REF!="Moderado"),CONCATENATE("R1C",'Mapa final'!#REF!),"")</f>
        <v>#REF!</v>
      </c>
      <c r="AA6" s="32" t="e">
        <f>IF(AND('Mapa final'!#REF!="Muy Alta",'Mapa final'!#REF!="Moderado"),CONCATENATE("R1C",'Mapa final'!#REF!),"")</f>
        <v>#REF!</v>
      </c>
      <c r="AB6" s="30" t="str">
        <f ca="1">IF(AND('Mapa final'!$AA$10="Muy Alta",'Mapa final'!$AC$10="Mayor"),CONCATENATE("R1C",'Mapa final'!$Q$10),"")</f>
        <v/>
      </c>
      <c r="AC6" s="31" t="str">
        <f>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e">
        <f>IF(AND('Mapa final'!#REF!="Muy Alta",'Mapa final'!#REF!="Mayor"),CONCATENATE("R1C",'Mapa final'!#REF!),"")</f>
        <v>#REF!</v>
      </c>
      <c r="AG6" s="32" t="e">
        <f>IF(AND('Mapa final'!#REF!="Muy Alta",'Mapa final'!#REF!="Mayor"),CONCATENATE("R1C",'Mapa final'!#REF!),"")</f>
        <v>#REF!</v>
      </c>
      <c r="AH6" s="33" t="str">
        <f ca="1">IF(AND('Mapa final'!$AA$10="Muy Alta",'Mapa final'!$AC$10="Catastrófico"),CONCATENATE("R1C",'Mapa final'!$Q$10),"")</f>
        <v/>
      </c>
      <c r="AI6" s="34" t="str">
        <f>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e">
        <f>IF(AND('Mapa final'!#REF!="Muy Alta",'Mapa final'!#REF!="Catastrófico"),CONCATENATE("R1C",'Mapa final'!#REF!),"")</f>
        <v>#REF!</v>
      </c>
      <c r="AM6" s="35" t="e">
        <f>IF(AND('Mapa final'!#REF!="Muy Alta",'Mapa final'!#REF!="Catastrófico"),CONCATENATE("R1C",'Mapa final'!#REF!),"")</f>
        <v>#REF!</v>
      </c>
      <c r="AN6" s="68"/>
      <c r="AO6" s="407" t="s">
        <v>78</v>
      </c>
      <c r="AP6" s="408"/>
      <c r="AQ6" s="408"/>
      <c r="AR6" s="408"/>
      <c r="AS6" s="408"/>
      <c r="AT6" s="409"/>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row>
    <row r="7" spans="1:91" ht="15" customHeight="1" x14ac:dyDescent="0.25">
      <c r="A7" s="68"/>
      <c r="B7" s="348"/>
      <c r="C7" s="348"/>
      <c r="D7" s="349"/>
      <c r="E7" s="389"/>
      <c r="F7" s="390"/>
      <c r="G7" s="390"/>
      <c r="H7" s="390"/>
      <c r="I7" s="391"/>
      <c r="J7" s="36" t="str">
        <f ca="1">IF(AND('Mapa final'!$AA$14="Muy Alta",'Mapa final'!$AC$14="Leve"),CONCATENATE("R2C",'Mapa final'!$Q$14),"")</f>
        <v/>
      </c>
      <c r="K7" s="37" t="str">
        <f ca="1">IF(AND('Mapa final'!$AA$15="Muy Alta",'Mapa final'!$AC$15="Leve"),CONCATENATE("R2C",'Mapa final'!$Q$15),"")</f>
        <v/>
      </c>
      <c r="L7" s="37" t="str">
        <f ca="1">IF(AND('Mapa final'!$AA$16="Muy Alta",'Mapa final'!$AC$16="Leve"),CONCATENATE("R2C",'Mapa final'!$Q$16),"")</f>
        <v/>
      </c>
      <c r="M7" s="37" t="e">
        <f>IF(AND('Mapa final'!#REF!="Muy Alta",'Mapa final'!#REF!="Leve"),CONCATENATE("R2C",'Mapa final'!#REF!),"")</f>
        <v>#REF!</v>
      </c>
      <c r="N7" s="37" t="e">
        <f>IF(AND('Mapa final'!#REF!="Muy Alta",'Mapa final'!#REF!="Leve"),CONCATENATE("R2C",'Mapa final'!#REF!),"")</f>
        <v>#REF!</v>
      </c>
      <c r="O7" s="38" t="str">
        <f>IF(AND('Mapa final'!$AA$17="Muy Alta",'Mapa final'!$AC$17="Leve"),CONCATENATE("R2C",'Mapa final'!$Q$17),"")</f>
        <v/>
      </c>
      <c r="P7" s="36" t="str">
        <f ca="1">IF(AND('Mapa final'!$AA$14="Muy Alta",'Mapa final'!$AC$14="Menor"),CONCATENATE("R2C",'Mapa final'!$Q$14),"")</f>
        <v/>
      </c>
      <c r="Q7" s="37" t="str">
        <f ca="1">IF(AND('Mapa final'!$AA$15="Muy Alta",'Mapa final'!$AC$15="Menor"),CONCATENATE("R2C",'Mapa final'!$Q$15),"")</f>
        <v/>
      </c>
      <c r="R7" s="37" t="str">
        <f ca="1">IF(AND('Mapa final'!$AA$16="Muy Alta",'Mapa final'!$AC$16="Menor"),CONCATENATE("R2C",'Mapa final'!$Q$16),"")</f>
        <v/>
      </c>
      <c r="S7" s="37" t="e">
        <f>IF(AND('Mapa final'!#REF!="Muy Alta",'Mapa final'!#REF!="Menor"),CONCATENATE("R2C",'Mapa final'!#REF!),"")</f>
        <v>#REF!</v>
      </c>
      <c r="T7" s="37" t="e">
        <f>IF(AND('Mapa final'!#REF!="Muy Alta",'Mapa final'!#REF!="Menor"),CONCATENATE("R2C",'Mapa final'!#REF!),"")</f>
        <v>#REF!</v>
      </c>
      <c r="U7" s="38" t="str">
        <f>IF(AND('Mapa final'!$AA$17="Muy Alta",'Mapa final'!$AC$17="Menor"),CONCATENATE("R2C",'Mapa final'!$Q$17),"")</f>
        <v/>
      </c>
      <c r="V7" s="36" t="str">
        <f ca="1">IF(AND('Mapa final'!$AA$14="Muy Alta",'Mapa final'!$AC$14="Moderado"),CONCATENATE("R2C",'Mapa final'!$Q$14),"")</f>
        <v/>
      </c>
      <c r="W7" s="37" t="str">
        <f ca="1">IF(AND('Mapa final'!$AA$15="Muy Alta",'Mapa final'!$AC$15="Moderado"),CONCATENATE("R2C",'Mapa final'!$Q$15),"")</f>
        <v/>
      </c>
      <c r="X7" s="37" t="str">
        <f ca="1">IF(AND('Mapa final'!$AA$16="Muy Alta",'Mapa final'!$AC$16="Moderado"),CONCATENATE("R2C",'Mapa final'!$Q$16),"")</f>
        <v/>
      </c>
      <c r="Y7" s="37" t="e">
        <f>IF(AND('Mapa final'!#REF!="Muy Alta",'Mapa final'!#REF!="Moderado"),CONCATENATE("R2C",'Mapa final'!#REF!),"")</f>
        <v>#REF!</v>
      </c>
      <c r="Z7" s="37" t="e">
        <f>IF(AND('Mapa final'!#REF!="Muy Alta",'Mapa final'!#REF!="Moderado"),CONCATENATE("R2C",'Mapa final'!#REF!),"")</f>
        <v>#REF!</v>
      </c>
      <c r="AA7" s="38" t="str">
        <f>IF(AND('Mapa final'!$AA$17="Muy Alta",'Mapa final'!$AC$17="Moderado"),CONCATENATE("R2C",'Mapa final'!$Q$17),"")</f>
        <v/>
      </c>
      <c r="AB7" s="36" t="str">
        <f ca="1">IF(AND('Mapa final'!$AA$14="Muy Alta",'Mapa final'!$AC$14="Mayor"),CONCATENATE("R2C",'Mapa final'!$Q$14),"")</f>
        <v/>
      </c>
      <c r="AC7" s="37" t="str">
        <f ca="1">IF(AND('Mapa final'!$AA$15="Muy Alta",'Mapa final'!$AC$15="Mayor"),CONCATENATE("R2C",'Mapa final'!$Q$15),"")</f>
        <v/>
      </c>
      <c r="AD7" s="37" t="str">
        <f ca="1">IF(AND('Mapa final'!$AA$16="Muy Alta",'Mapa final'!$AC$16="Mayor"),CONCATENATE("R2C",'Mapa final'!$Q$16),"")</f>
        <v/>
      </c>
      <c r="AE7" s="37" t="e">
        <f>IF(AND('Mapa final'!#REF!="Muy Alta",'Mapa final'!#REF!="Mayor"),CONCATENATE("R2C",'Mapa final'!#REF!),"")</f>
        <v>#REF!</v>
      </c>
      <c r="AF7" s="37" t="e">
        <f>IF(AND('Mapa final'!#REF!="Muy Alta",'Mapa final'!#REF!="Mayor"),CONCATENATE("R2C",'Mapa final'!#REF!),"")</f>
        <v>#REF!</v>
      </c>
      <c r="AG7" s="38" t="str">
        <f>IF(AND('Mapa final'!$AA$17="Muy Alta",'Mapa final'!$AC$17="Mayor"),CONCATENATE("R2C",'Mapa final'!$Q$17),"")</f>
        <v/>
      </c>
      <c r="AH7" s="39" t="str">
        <f ca="1">IF(AND('Mapa final'!$AA$14="Muy Alta",'Mapa final'!$AC$14="Catastrófico"),CONCATENATE("R2C",'Mapa final'!$Q$14),"")</f>
        <v/>
      </c>
      <c r="AI7" s="40" t="str">
        <f ca="1">IF(AND('Mapa final'!$AA$15="Muy Alta",'Mapa final'!$AC$15="Catastrófico"),CONCATENATE("R2C",'Mapa final'!$Q$15),"")</f>
        <v/>
      </c>
      <c r="AJ7" s="40" t="str">
        <f ca="1">IF(AND('Mapa final'!$AA$16="Muy Alta",'Mapa final'!$AC$16="Catastrófico"),CONCATENATE("R2C",'Mapa final'!$Q$16),"")</f>
        <v/>
      </c>
      <c r="AK7" s="40" t="e">
        <f>IF(AND('Mapa final'!#REF!="Muy Alta",'Mapa final'!#REF!="Catastrófico"),CONCATENATE("R2C",'Mapa final'!#REF!),"")</f>
        <v>#REF!</v>
      </c>
      <c r="AL7" s="40" t="e">
        <f>IF(AND('Mapa final'!#REF!="Muy Alta",'Mapa final'!#REF!="Catastrófico"),CONCATENATE("R2C",'Mapa final'!#REF!),"")</f>
        <v>#REF!</v>
      </c>
      <c r="AM7" s="41" t="str">
        <f>IF(AND('Mapa final'!$AA$17="Muy Alta",'Mapa final'!$AC$17="Catastrófico"),CONCATENATE("R2C",'Mapa final'!$Q$17),"")</f>
        <v/>
      </c>
      <c r="AN7" s="68"/>
      <c r="AO7" s="410"/>
      <c r="AP7" s="411"/>
      <c r="AQ7" s="411"/>
      <c r="AR7" s="411"/>
      <c r="AS7" s="411"/>
      <c r="AT7" s="412"/>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row>
    <row r="8" spans="1:91" ht="15" customHeight="1" x14ac:dyDescent="0.25">
      <c r="A8" s="68"/>
      <c r="B8" s="348"/>
      <c r="C8" s="348"/>
      <c r="D8" s="349"/>
      <c r="E8" s="389"/>
      <c r="F8" s="390"/>
      <c r="G8" s="390"/>
      <c r="H8" s="390"/>
      <c r="I8" s="391"/>
      <c r="J8" s="36" t="str">
        <f>IF(AND('Mapa final'!$AA$18="Muy Alta",'Mapa final'!$AC$18="Leve"),CONCATENATE("R3C",'Mapa final'!$Q$18),"")</f>
        <v/>
      </c>
      <c r="K8" s="37" t="str">
        <f>IF(AND('Mapa final'!$AA$19="Muy Alta",'Mapa final'!$AC$19="Leve"),CONCATENATE("R3C",'Mapa final'!$Q$19),"")</f>
        <v/>
      </c>
      <c r="L8" s="37" t="str">
        <f>IF(AND('Mapa final'!$AA$20="Muy Alta",'Mapa final'!$AC$20="Leve"),CONCATENATE("R3C",'Mapa final'!$Q$20),"")</f>
        <v/>
      </c>
      <c r="M8" s="37" t="str">
        <f>IF(AND('Mapa final'!$AA$21="Muy Alta",'Mapa final'!$AC$21="Leve"),CONCATENATE("R3C",'Mapa final'!$Q$21),"")</f>
        <v/>
      </c>
      <c r="N8" s="37" t="str">
        <f>IF(AND('Mapa final'!$AA$22="Muy Alta",'Mapa final'!$AC$22="Leve"),CONCATENATE("R3C",'Mapa final'!$Q$22),"")</f>
        <v/>
      </c>
      <c r="O8" s="38" t="str">
        <f>IF(AND('Mapa final'!$AA$23="Muy Alta",'Mapa final'!$AC$23="Leve"),CONCATENATE("R3C",'Mapa final'!$Q$23),"")</f>
        <v/>
      </c>
      <c r="P8" s="36" t="str">
        <f>IF(AND('Mapa final'!$AA$18="Muy Alta",'Mapa final'!$AC$18="Menor"),CONCATENATE("R3C",'Mapa final'!$Q$18),"")</f>
        <v/>
      </c>
      <c r="Q8" s="37" t="str">
        <f>IF(AND('Mapa final'!$AA$19="Muy Alta",'Mapa final'!$AC$19="Menor"),CONCATENATE("R3C",'Mapa final'!$Q$19),"")</f>
        <v/>
      </c>
      <c r="R8" s="37" t="str">
        <f>IF(AND('Mapa final'!$AA$20="Muy Alta",'Mapa final'!$AC$20="Menor"),CONCATENATE("R3C",'Mapa final'!$Q$20),"")</f>
        <v/>
      </c>
      <c r="S8" s="37" t="str">
        <f>IF(AND('Mapa final'!$AA$21="Muy Alta",'Mapa final'!$AC$21="Menor"),CONCATENATE("R3C",'Mapa final'!$Q$21),"")</f>
        <v/>
      </c>
      <c r="T8" s="37" t="str">
        <f>IF(AND('Mapa final'!$AA$22="Muy Alta",'Mapa final'!$AC$22="Menor"),CONCATENATE("R3C",'Mapa final'!$Q$22),"")</f>
        <v/>
      </c>
      <c r="U8" s="38" t="str">
        <f>IF(AND('Mapa final'!$AA$23="Muy Alta",'Mapa final'!$AC$23="Menor"),CONCATENATE("R3C",'Mapa final'!$Q$23),"")</f>
        <v/>
      </c>
      <c r="V8" s="36" t="str">
        <f>IF(AND('Mapa final'!$AA$18="Muy Alta",'Mapa final'!$AC$18="Moderado"),CONCATENATE("R3C",'Mapa final'!$Q$18),"")</f>
        <v/>
      </c>
      <c r="W8" s="37" t="str">
        <f>IF(AND('Mapa final'!$AA$19="Muy Alta",'Mapa final'!$AC$19="Moderado"),CONCATENATE("R3C",'Mapa final'!$Q$19),"")</f>
        <v/>
      </c>
      <c r="X8" s="37" t="str">
        <f>IF(AND('Mapa final'!$AA$20="Muy Alta",'Mapa final'!$AC$20="Moderado"),CONCATENATE("R3C",'Mapa final'!$Q$20),"")</f>
        <v/>
      </c>
      <c r="Y8" s="37" t="str">
        <f>IF(AND('Mapa final'!$AA$21="Muy Alta",'Mapa final'!$AC$21="Moderado"),CONCATENATE("R3C",'Mapa final'!$Q$21),"")</f>
        <v/>
      </c>
      <c r="Z8" s="37" t="str">
        <f>IF(AND('Mapa final'!$AA$22="Muy Alta",'Mapa final'!$AC$22="Moderado"),CONCATENATE("R3C",'Mapa final'!$Q$22),"")</f>
        <v/>
      </c>
      <c r="AA8" s="38" t="str">
        <f>IF(AND('Mapa final'!$AA$23="Muy Alta",'Mapa final'!$AC$23="Moderado"),CONCATENATE("R3C",'Mapa final'!$Q$23),"")</f>
        <v/>
      </c>
      <c r="AB8" s="36" t="str">
        <f>IF(AND('Mapa final'!$AA$18="Muy Alta",'Mapa final'!$AC$18="Mayor"),CONCATENATE("R3C",'Mapa final'!$Q$18),"")</f>
        <v/>
      </c>
      <c r="AC8" s="37" t="str">
        <f>IF(AND('Mapa final'!$AA$19="Muy Alta",'Mapa final'!$AC$19="Mayor"),CONCATENATE("R3C",'Mapa final'!$Q$19),"")</f>
        <v/>
      </c>
      <c r="AD8" s="37" t="str">
        <f>IF(AND('Mapa final'!$AA$20="Muy Alta",'Mapa final'!$AC$20="Mayor"),CONCATENATE("R3C",'Mapa final'!$Q$20),"")</f>
        <v/>
      </c>
      <c r="AE8" s="37" t="str">
        <f>IF(AND('Mapa final'!$AA$21="Muy Alta",'Mapa final'!$AC$21="Mayor"),CONCATENATE("R3C",'Mapa final'!$Q$21),"")</f>
        <v/>
      </c>
      <c r="AF8" s="37" t="str">
        <f>IF(AND('Mapa final'!$AA$22="Muy Alta",'Mapa final'!$AC$22="Mayor"),CONCATENATE("R3C",'Mapa final'!$Q$22),"")</f>
        <v/>
      </c>
      <c r="AG8" s="38" t="str">
        <f>IF(AND('Mapa final'!$AA$23="Muy Alta",'Mapa final'!$AC$23="Mayor"),CONCATENATE("R3C",'Mapa final'!$Q$23),"")</f>
        <v/>
      </c>
      <c r="AH8" s="39" t="str">
        <f>IF(AND('Mapa final'!$AA$18="Muy Alta",'Mapa final'!$AC$18="Catastrófico"),CONCATENATE("R3C",'Mapa final'!$Q$18),"")</f>
        <v/>
      </c>
      <c r="AI8" s="40" t="str">
        <f>IF(AND('Mapa final'!$AA$19="Muy Alta",'Mapa final'!$AC$19="Catastrófico"),CONCATENATE("R3C",'Mapa final'!$Q$19),"")</f>
        <v/>
      </c>
      <c r="AJ8" s="40" t="str">
        <f>IF(AND('Mapa final'!$AA$20="Muy Alta",'Mapa final'!$AC$20="Catastrófico"),CONCATENATE("R3C",'Mapa final'!$Q$20),"")</f>
        <v/>
      </c>
      <c r="AK8" s="40" t="str">
        <f>IF(AND('Mapa final'!$AA$21="Muy Alta",'Mapa final'!$AC$21="Catastrófico"),CONCATENATE("R3C",'Mapa final'!$Q$21),"")</f>
        <v/>
      </c>
      <c r="AL8" s="40" t="str">
        <f>IF(AND('Mapa final'!$AA$22="Muy Alta",'Mapa final'!$AC$22="Catastrófico"),CONCATENATE("R3C",'Mapa final'!$Q$22),"")</f>
        <v/>
      </c>
      <c r="AM8" s="41" t="str">
        <f>IF(AND('Mapa final'!$AA$23="Muy Alta",'Mapa final'!$AC$23="Catastrófico"),CONCATENATE("R3C",'Mapa final'!$Q$23),"")</f>
        <v/>
      </c>
      <c r="AN8" s="68"/>
      <c r="AO8" s="410"/>
      <c r="AP8" s="411"/>
      <c r="AQ8" s="411"/>
      <c r="AR8" s="411"/>
      <c r="AS8" s="411"/>
      <c r="AT8" s="412"/>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row>
    <row r="9" spans="1:91" ht="15" customHeight="1" x14ac:dyDescent="0.25">
      <c r="A9" s="68"/>
      <c r="B9" s="348"/>
      <c r="C9" s="348"/>
      <c r="D9" s="349"/>
      <c r="E9" s="389"/>
      <c r="F9" s="390"/>
      <c r="G9" s="390"/>
      <c r="H9" s="390"/>
      <c r="I9" s="391"/>
      <c r="J9" s="36" t="str">
        <f>IF(AND('Mapa final'!$AA$24="Muy Alta",'Mapa final'!$AC$24="Leve"),CONCATENATE("R4C",'Mapa final'!$Q$24),"")</f>
        <v/>
      </c>
      <c r="K9" s="37" t="str">
        <f>IF(AND('Mapa final'!$AA$25="Muy Alta",'Mapa final'!$AC$25="Leve"),CONCATENATE("R4C",'Mapa final'!$Q$25),"")</f>
        <v/>
      </c>
      <c r="L9" s="42" t="str">
        <f>IF(AND('Mapa final'!$AA$26="Muy Alta",'Mapa final'!$AC$26="Leve"),CONCATENATE("R4C",'Mapa final'!$Q$26),"")</f>
        <v/>
      </c>
      <c r="M9" s="42" t="str">
        <f>IF(AND('Mapa final'!$AA$27="Muy Alta",'Mapa final'!$AC$27="Leve"),CONCATENATE("R4C",'Mapa final'!$Q$27),"")</f>
        <v/>
      </c>
      <c r="N9" s="42" t="str">
        <f>IF(AND('Mapa final'!$AA$28="Muy Alta",'Mapa final'!$AC$28="Leve"),CONCATENATE("R4C",'Mapa final'!$Q$28),"")</f>
        <v/>
      </c>
      <c r="O9" s="38" t="str">
        <f>IF(AND('Mapa final'!$AA$29="Muy Alta",'Mapa final'!$AC$29="Leve"),CONCATENATE("R4C",'Mapa final'!$Q$29),"")</f>
        <v/>
      </c>
      <c r="P9" s="36" t="str">
        <f>IF(AND('Mapa final'!$AA$24="Muy Alta",'Mapa final'!$AC$24="Menor"),CONCATENATE("R4C",'Mapa final'!$Q$24),"")</f>
        <v/>
      </c>
      <c r="Q9" s="37" t="str">
        <f>IF(AND('Mapa final'!$AA$25="Muy Alta",'Mapa final'!$AC$25="Menor"),CONCATENATE("R4C",'Mapa final'!$Q$25),"")</f>
        <v/>
      </c>
      <c r="R9" s="42" t="str">
        <f>IF(AND('Mapa final'!$AA$26="Muy Alta",'Mapa final'!$AC$26="Menor"),CONCATENATE("R4C",'Mapa final'!$Q$26),"")</f>
        <v/>
      </c>
      <c r="S9" s="42" t="str">
        <f>IF(AND('Mapa final'!$AA$27="Muy Alta",'Mapa final'!$AC$27="Menor"),CONCATENATE("R4C",'Mapa final'!$Q$27),"")</f>
        <v/>
      </c>
      <c r="T9" s="42" t="str">
        <f>IF(AND('Mapa final'!$AA$28="Muy Alta",'Mapa final'!$AC$28="Menor"),CONCATENATE("R4C",'Mapa final'!$Q$28),"")</f>
        <v/>
      </c>
      <c r="U9" s="38" t="str">
        <f>IF(AND('Mapa final'!$AA$29="Muy Alta",'Mapa final'!$AC$29="Menor"),CONCATENATE("R4C",'Mapa final'!$Q$29),"")</f>
        <v/>
      </c>
      <c r="V9" s="36" t="str">
        <f>IF(AND('Mapa final'!$AA$24="Muy Alta",'Mapa final'!$AC$24="Moderado"),CONCATENATE("R4C",'Mapa final'!$Q$24),"")</f>
        <v/>
      </c>
      <c r="W9" s="37" t="str">
        <f>IF(AND('Mapa final'!$AA$25="Muy Alta",'Mapa final'!$AC$25="Moderado"),CONCATENATE("R4C",'Mapa final'!$Q$25),"")</f>
        <v/>
      </c>
      <c r="X9" s="42" t="str">
        <f>IF(AND('Mapa final'!$AA$26="Muy Alta",'Mapa final'!$AC$26="Moderado"),CONCATENATE("R4C",'Mapa final'!$Q$26),"")</f>
        <v/>
      </c>
      <c r="Y9" s="42" t="str">
        <f>IF(AND('Mapa final'!$AA$27="Muy Alta",'Mapa final'!$AC$27="Moderado"),CONCATENATE("R4C",'Mapa final'!$Q$27),"")</f>
        <v/>
      </c>
      <c r="Z9" s="42" t="str">
        <f>IF(AND('Mapa final'!$AA$28="Muy Alta",'Mapa final'!$AC$28="Moderado"),CONCATENATE("R4C",'Mapa final'!$Q$28),"")</f>
        <v/>
      </c>
      <c r="AA9" s="38" t="str">
        <f>IF(AND('Mapa final'!$AA$29="Muy Alta",'Mapa final'!$AC$29="Moderado"),CONCATENATE("R4C",'Mapa final'!$Q$29),"")</f>
        <v/>
      </c>
      <c r="AB9" s="36" t="str">
        <f>IF(AND('Mapa final'!$AA$24="Muy Alta",'Mapa final'!$AC$24="Mayor"),CONCATENATE("R4C",'Mapa final'!$Q$24),"")</f>
        <v/>
      </c>
      <c r="AC9" s="37" t="str">
        <f>IF(AND('Mapa final'!$AA$25="Muy Alta",'Mapa final'!$AC$25="Mayor"),CONCATENATE("R4C",'Mapa final'!$Q$25),"")</f>
        <v/>
      </c>
      <c r="AD9" s="42" t="str">
        <f>IF(AND('Mapa final'!$AA$26="Muy Alta",'Mapa final'!$AC$26="Mayor"),CONCATENATE("R4C",'Mapa final'!$Q$26),"")</f>
        <v/>
      </c>
      <c r="AE9" s="42" t="str">
        <f>IF(AND('Mapa final'!$AA$27="Muy Alta",'Mapa final'!$AC$27="Mayor"),CONCATENATE("R4C",'Mapa final'!$Q$27),"")</f>
        <v/>
      </c>
      <c r="AF9" s="42" t="str">
        <f>IF(AND('Mapa final'!$AA$28="Muy Alta",'Mapa final'!$AC$28="Mayor"),CONCATENATE("R4C",'Mapa final'!$Q$28),"")</f>
        <v/>
      </c>
      <c r="AG9" s="38" t="str">
        <f>IF(AND('Mapa final'!$AA$29="Muy Alta",'Mapa final'!$AC$29="Mayor"),CONCATENATE("R4C",'Mapa final'!$Q$29),"")</f>
        <v/>
      </c>
      <c r="AH9" s="39" t="str">
        <f>IF(AND('Mapa final'!$AA$24="Muy Alta",'Mapa final'!$AC$24="Catastrófico"),CONCATENATE("R4C",'Mapa final'!$Q$24),"")</f>
        <v/>
      </c>
      <c r="AI9" s="40" t="str">
        <f>IF(AND('Mapa final'!$AA$25="Muy Alta",'Mapa final'!$AC$25="Catastrófico"),CONCATENATE("R4C",'Mapa final'!$Q$25),"")</f>
        <v/>
      </c>
      <c r="AJ9" s="40" t="str">
        <f>IF(AND('Mapa final'!$AA$26="Muy Alta",'Mapa final'!$AC$26="Catastrófico"),CONCATENATE("R4C",'Mapa final'!$Q$26),"")</f>
        <v/>
      </c>
      <c r="AK9" s="40" t="str">
        <f>IF(AND('Mapa final'!$AA$27="Muy Alta",'Mapa final'!$AC$27="Catastrófico"),CONCATENATE("R4C",'Mapa final'!$Q$27),"")</f>
        <v/>
      </c>
      <c r="AL9" s="40" t="str">
        <f>IF(AND('Mapa final'!$AA$28="Muy Alta",'Mapa final'!$AC$28="Catastrófico"),CONCATENATE("R4C",'Mapa final'!$Q$28),"")</f>
        <v/>
      </c>
      <c r="AM9" s="41" t="str">
        <f>IF(AND('Mapa final'!$AA$29="Muy Alta",'Mapa final'!$AC$29="Catastrófico"),CONCATENATE("R4C",'Mapa final'!$Q$29),"")</f>
        <v/>
      </c>
      <c r="AN9" s="68"/>
      <c r="AO9" s="410"/>
      <c r="AP9" s="411"/>
      <c r="AQ9" s="411"/>
      <c r="AR9" s="411"/>
      <c r="AS9" s="411"/>
      <c r="AT9" s="412"/>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row>
    <row r="10" spans="1:91" ht="15" customHeight="1" x14ac:dyDescent="0.25">
      <c r="A10" s="68"/>
      <c r="B10" s="348"/>
      <c r="C10" s="348"/>
      <c r="D10" s="349"/>
      <c r="E10" s="389"/>
      <c r="F10" s="390"/>
      <c r="G10" s="390"/>
      <c r="H10" s="390"/>
      <c r="I10" s="391"/>
      <c r="J10" s="36" t="str">
        <f>IF(AND('Mapa final'!$AA$30="Muy Alta",'Mapa final'!$AC$30="Leve"),CONCATENATE("R5C",'Mapa final'!$Q$30),"")</f>
        <v/>
      </c>
      <c r="K10" s="37" t="str">
        <f>IF(AND('Mapa final'!$AA$31="Muy Alta",'Mapa final'!$AC$31="Leve"),CONCATENATE("R5C",'Mapa final'!$Q$31),"")</f>
        <v/>
      </c>
      <c r="L10" s="42" t="str">
        <f>IF(AND('Mapa final'!$AA$32="Muy Alta",'Mapa final'!$AC$32="Leve"),CONCATENATE("R5C",'Mapa final'!$Q$32),"")</f>
        <v/>
      </c>
      <c r="M10" s="42" t="str">
        <f>IF(AND('Mapa final'!$AA$33="Muy Alta",'Mapa final'!$AC$33="Leve"),CONCATENATE("R5C",'Mapa final'!$Q$33),"")</f>
        <v/>
      </c>
      <c r="N10" s="42" t="str">
        <f>IF(AND('Mapa final'!$AA$34="Muy Alta",'Mapa final'!$AC$34="Leve"),CONCATENATE("R5C",'Mapa final'!$Q$34),"")</f>
        <v/>
      </c>
      <c r="O10" s="38" t="str">
        <f>IF(AND('Mapa final'!$AA$35="Muy Alta",'Mapa final'!$AC$35="Leve"),CONCATENATE("R5C",'Mapa final'!$Q$35),"")</f>
        <v/>
      </c>
      <c r="P10" s="36" t="str">
        <f>IF(AND('Mapa final'!$AA$30="Muy Alta",'Mapa final'!$AC$30="Menor"),CONCATENATE("R5C",'Mapa final'!$Q$30),"")</f>
        <v/>
      </c>
      <c r="Q10" s="37" t="str">
        <f>IF(AND('Mapa final'!$AA$31="Muy Alta",'Mapa final'!$AC$31="Menor"),CONCATENATE("R5C",'Mapa final'!$Q$31),"")</f>
        <v/>
      </c>
      <c r="R10" s="42" t="str">
        <f>IF(AND('Mapa final'!$AA$32="Muy Alta",'Mapa final'!$AC$32="Menor"),CONCATENATE("R5C",'Mapa final'!$Q$32),"")</f>
        <v/>
      </c>
      <c r="S10" s="42" t="str">
        <f>IF(AND('Mapa final'!$AA$33="Muy Alta",'Mapa final'!$AC$33="Menor"),CONCATENATE("R5C",'Mapa final'!$Q$33),"")</f>
        <v/>
      </c>
      <c r="T10" s="42" t="str">
        <f>IF(AND('Mapa final'!$AA$34="Muy Alta",'Mapa final'!$AC$34="Menor"),CONCATENATE("R5C",'Mapa final'!$Q$34),"")</f>
        <v/>
      </c>
      <c r="U10" s="38" t="str">
        <f>IF(AND('Mapa final'!$AA$35="Muy Alta",'Mapa final'!$AC$35="Menor"),CONCATENATE("R5C",'Mapa final'!$Q$35),"")</f>
        <v/>
      </c>
      <c r="V10" s="36" t="str">
        <f>IF(AND('Mapa final'!$AA$30="Muy Alta",'Mapa final'!$AC$30="Moderado"),CONCATENATE("R5C",'Mapa final'!$Q$30),"")</f>
        <v/>
      </c>
      <c r="W10" s="37" t="str">
        <f>IF(AND('Mapa final'!$AA$31="Muy Alta",'Mapa final'!$AC$31="Moderado"),CONCATENATE("R5C",'Mapa final'!$Q$31),"")</f>
        <v/>
      </c>
      <c r="X10" s="42" t="str">
        <f>IF(AND('Mapa final'!$AA$32="Muy Alta",'Mapa final'!$AC$32="Moderado"),CONCATENATE("R5C",'Mapa final'!$Q$32),"")</f>
        <v/>
      </c>
      <c r="Y10" s="42" t="str">
        <f>IF(AND('Mapa final'!$AA$33="Muy Alta",'Mapa final'!$AC$33="Moderado"),CONCATENATE("R5C",'Mapa final'!$Q$33),"")</f>
        <v/>
      </c>
      <c r="Z10" s="42" t="str">
        <f>IF(AND('Mapa final'!$AA$34="Muy Alta",'Mapa final'!$AC$34="Moderado"),CONCATENATE("R5C",'Mapa final'!$Q$34),"")</f>
        <v/>
      </c>
      <c r="AA10" s="38" t="str">
        <f>IF(AND('Mapa final'!$AA$35="Muy Alta",'Mapa final'!$AC$35="Moderado"),CONCATENATE("R5C",'Mapa final'!$Q$35),"")</f>
        <v/>
      </c>
      <c r="AB10" s="36" t="str">
        <f>IF(AND('Mapa final'!$AA$30="Muy Alta",'Mapa final'!$AC$30="Mayor"),CONCATENATE("R5C",'Mapa final'!$Q$30),"")</f>
        <v/>
      </c>
      <c r="AC10" s="37" t="str">
        <f>IF(AND('Mapa final'!$AA$31="Muy Alta",'Mapa final'!$AC$31="Mayor"),CONCATENATE("R5C",'Mapa final'!$Q$31),"")</f>
        <v/>
      </c>
      <c r="AD10" s="42" t="str">
        <f>IF(AND('Mapa final'!$AA$32="Muy Alta",'Mapa final'!$AC$32="Mayor"),CONCATENATE("R5C",'Mapa final'!$Q$32),"")</f>
        <v/>
      </c>
      <c r="AE10" s="42" t="str">
        <f>IF(AND('Mapa final'!$AA$33="Muy Alta",'Mapa final'!$AC$33="Mayor"),CONCATENATE("R5C",'Mapa final'!$Q$33),"")</f>
        <v/>
      </c>
      <c r="AF10" s="42" t="str">
        <f>IF(AND('Mapa final'!$AA$34="Muy Alta",'Mapa final'!$AC$34="Mayor"),CONCATENATE("R5C",'Mapa final'!$Q$34),"")</f>
        <v/>
      </c>
      <c r="AG10" s="38" t="str">
        <f>IF(AND('Mapa final'!$AA$35="Muy Alta",'Mapa final'!$AC$35="Mayor"),CONCATENATE("R5C",'Mapa final'!$Q$35),"")</f>
        <v/>
      </c>
      <c r="AH10" s="39" t="str">
        <f>IF(AND('Mapa final'!$AA$30="Muy Alta",'Mapa final'!$AC$30="Catastrófico"),CONCATENATE("R5C",'Mapa final'!$Q$30),"")</f>
        <v/>
      </c>
      <c r="AI10" s="40" t="str">
        <f>IF(AND('Mapa final'!$AA$31="Muy Alta",'Mapa final'!$AC$31="Catastrófico"),CONCATENATE("R5C",'Mapa final'!$Q$31),"")</f>
        <v/>
      </c>
      <c r="AJ10" s="40" t="str">
        <f>IF(AND('Mapa final'!$AA$32="Muy Alta",'Mapa final'!$AC$32="Catastrófico"),CONCATENATE("R5C",'Mapa final'!$Q$32),"")</f>
        <v/>
      </c>
      <c r="AK10" s="40" t="str">
        <f>IF(AND('Mapa final'!$AA$33="Muy Alta",'Mapa final'!$AC$33="Catastrófico"),CONCATENATE("R5C",'Mapa final'!$Q$33),"")</f>
        <v/>
      </c>
      <c r="AL10" s="40" t="str">
        <f>IF(AND('Mapa final'!$AA$34="Muy Alta",'Mapa final'!$AC$34="Catastrófico"),CONCATENATE("R5C",'Mapa final'!$Q$34),"")</f>
        <v/>
      </c>
      <c r="AM10" s="41" t="str">
        <f>IF(AND('Mapa final'!$AA$35="Muy Alta",'Mapa final'!$AC$35="Catastrófico"),CONCATENATE("R5C",'Mapa final'!$Q$35),"")</f>
        <v/>
      </c>
      <c r="AN10" s="68"/>
      <c r="AO10" s="410"/>
      <c r="AP10" s="411"/>
      <c r="AQ10" s="411"/>
      <c r="AR10" s="411"/>
      <c r="AS10" s="411"/>
      <c r="AT10" s="412"/>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row>
    <row r="11" spans="1:91" ht="15" customHeight="1" x14ac:dyDescent="0.25">
      <c r="A11" s="68"/>
      <c r="B11" s="348"/>
      <c r="C11" s="348"/>
      <c r="D11" s="349"/>
      <c r="E11" s="389"/>
      <c r="F11" s="390"/>
      <c r="G11" s="390"/>
      <c r="H11" s="390"/>
      <c r="I11" s="391"/>
      <c r="J11" s="36" t="str">
        <f>IF(AND('Mapa final'!$AA$36="Muy Alta",'Mapa final'!$AC$36="Leve"),CONCATENATE("R6C",'Mapa final'!$Q$36),"")</f>
        <v/>
      </c>
      <c r="K11" s="37" t="str">
        <f>IF(AND('Mapa final'!$AA$37="Muy Alta",'Mapa final'!$AC$37="Leve"),CONCATENATE("R6C",'Mapa final'!$Q$37),"")</f>
        <v/>
      </c>
      <c r="L11" s="42" t="str">
        <f>IF(AND('Mapa final'!$AA$38="Muy Alta",'Mapa final'!$AC$38="Leve"),CONCATENATE("R6C",'Mapa final'!$Q$38),"")</f>
        <v/>
      </c>
      <c r="M11" s="42" t="str">
        <f>IF(AND('Mapa final'!$AA$39="Muy Alta",'Mapa final'!$AC$39="Leve"),CONCATENATE("R6C",'Mapa final'!$Q$39),"")</f>
        <v/>
      </c>
      <c r="N11" s="42" t="str">
        <f>IF(AND('Mapa final'!$AA$40="Muy Alta",'Mapa final'!$AC$40="Leve"),CONCATENATE("R6C",'Mapa final'!$Q$40),"")</f>
        <v/>
      </c>
      <c r="O11" s="38" t="str">
        <f>IF(AND('Mapa final'!$AA$41="Muy Alta",'Mapa final'!$AC$41="Leve"),CONCATENATE("R6C",'Mapa final'!$Q$41),"")</f>
        <v/>
      </c>
      <c r="P11" s="36" t="str">
        <f>IF(AND('Mapa final'!$AA$36="Muy Alta",'Mapa final'!$AC$36="Menor"),CONCATENATE("R6C",'Mapa final'!$Q$36),"")</f>
        <v/>
      </c>
      <c r="Q11" s="37" t="str">
        <f>IF(AND('Mapa final'!$AA$37="Muy Alta",'Mapa final'!$AC$37="Menor"),CONCATENATE("R6C",'Mapa final'!$Q$37),"")</f>
        <v/>
      </c>
      <c r="R11" s="42" t="str">
        <f>IF(AND('Mapa final'!$AA$38="Muy Alta",'Mapa final'!$AC$38="Menor"),CONCATENATE("R6C",'Mapa final'!$Q$38),"")</f>
        <v/>
      </c>
      <c r="S11" s="42" t="str">
        <f>IF(AND('Mapa final'!$AA$39="Muy Alta",'Mapa final'!$AC$39="Menor"),CONCATENATE("R6C",'Mapa final'!$Q$39),"")</f>
        <v/>
      </c>
      <c r="T11" s="42" t="str">
        <f>IF(AND('Mapa final'!$AA$40="Muy Alta",'Mapa final'!$AC$40="Menor"),CONCATENATE("R6C",'Mapa final'!$Q$40),"")</f>
        <v/>
      </c>
      <c r="U11" s="38" t="str">
        <f>IF(AND('Mapa final'!$AA$41="Muy Alta",'Mapa final'!$AC$41="Menor"),CONCATENATE("R6C",'Mapa final'!$Q$41),"")</f>
        <v/>
      </c>
      <c r="V11" s="36" t="str">
        <f>IF(AND('Mapa final'!$AA$36="Muy Alta",'Mapa final'!$AC$36="Moderado"),CONCATENATE("R6C",'Mapa final'!$Q$36),"")</f>
        <v/>
      </c>
      <c r="W11" s="37" t="str">
        <f>IF(AND('Mapa final'!$AA$37="Muy Alta",'Mapa final'!$AC$37="Moderado"),CONCATENATE("R6C",'Mapa final'!$Q$37),"")</f>
        <v/>
      </c>
      <c r="X11" s="42" t="str">
        <f>IF(AND('Mapa final'!$AA$38="Muy Alta",'Mapa final'!$AC$38="Moderado"),CONCATENATE("R6C",'Mapa final'!$Q$38),"")</f>
        <v/>
      </c>
      <c r="Y11" s="42" t="str">
        <f>IF(AND('Mapa final'!$AA$39="Muy Alta",'Mapa final'!$AC$39="Moderado"),CONCATENATE("R6C",'Mapa final'!$Q$39),"")</f>
        <v/>
      </c>
      <c r="Z11" s="42" t="str">
        <f>IF(AND('Mapa final'!$AA$40="Muy Alta",'Mapa final'!$AC$40="Moderado"),CONCATENATE("R6C",'Mapa final'!$Q$40),"")</f>
        <v/>
      </c>
      <c r="AA11" s="38" t="str">
        <f>IF(AND('Mapa final'!$AA$41="Muy Alta",'Mapa final'!$AC$41="Moderado"),CONCATENATE("R6C",'Mapa final'!$Q$41),"")</f>
        <v/>
      </c>
      <c r="AB11" s="36" t="str">
        <f>IF(AND('Mapa final'!$AA$36="Muy Alta",'Mapa final'!$AC$36="Mayor"),CONCATENATE("R6C",'Mapa final'!$Q$36),"")</f>
        <v/>
      </c>
      <c r="AC11" s="37" t="str">
        <f>IF(AND('Mapa final'!$AA$37="Muy Alta",'Mapa final'!$AC$37="Mayor"),CONCATENATE("R6C",'Mapa final'!$Q$37),"")</f>
        <v/>
      </c>
      <c r="AD11" s="42" t="str">
        <f>IF(AND('Mapa final'!$AA$38="Muy Alta",'Mapa final'!$AC$38="Mayor"),CONCATENATE("R6C",'Mapa final'!$Q$38),"")</f>
        <v/>
      </c>
      <c r="AE11" s="42" t="str">
        <f>IF(AND('Mapa final'!$AA$39="Muy Alta",'Mapa final'!$AC$39="Mayor"),CONCATENATE("R6C",'Mapa final'!$Q$39),"")</f>
        <v/>
      </c>
      <c r="AF11" s="42" t="str">
        <f>IF(AND('Mapa final'!$AA$40="Muy Alta",'Mapa final'!$AC$40="Mayor"),CONCATENATE("R6C",'Mapa final'!$Q$40),"")</f>
        <v/>
      </c>
      <c r="AG11" s="38" t="str">
        <f>IF(AND('Mapa final'!$AA$41="Muy Alta",'Mapa final'!$AC$41="Mayor"),CONCATENATE("R6C",'Mapa final'!$Q$41),"")</f>
        <v/>
      </c>
      <c r="AH11" s="39" t="str">
        <f>IF(AND('Mapa final'!$AA$36="Muy Alta",'Mapa final'!$AC$36="Catastrófico"),CONCATENATE("R6C",'Mapa final'!$Q$36),"")</f>
        <v/>
      </c>
      <c r="AI11" s="40" t="str">
        <f>IF(AND('Mapa final'!$AA$37="Muy Alta",'Mapa final'!$AC$37="Catastrófico"),CONCATENATE("R6C",'Mapa final'!$Q$37),"")</f>
        <v/>
      </c>
      <c r="AJ11" s="40" t="str">
        <f>IF(AND('Mapa final'!$AA$38="Muy Alta",'Mapa final'!$AC$38="Catastrófico"),CONCATENATE("R6C",'Mapa final'!$Q$38),"")</f>
        <v/>
      </c>
      <c r="AK11" s="40" t="str">
        <f>IF(AND('Mapa final'!$AA$39="Muy Alta",'Mapa final'!$AC$39="Catastrófico"),CONCATENATE("R6C",'Mapa final'!$Q$39),"")</f>
        <v/>
      </c>
      <c r="AL11" s="40" t="str">
        <f>IF(AND('Mapa final'!$AA$40="Muy Alta",'Mapa final'!$AC$40="Catastrófico"),CONCATENATE("R6C",'Mapa final'!$Q$40),"")</f>
        <v/>
      </c>
      <c r="AM11" s="41" t="str">
        <f>IF(AND('Mapa final'!$AA$41="Muy Alta",'Mapa final'!$AC$41="Catastrófico"),CONCATENATE("R6C",'Mapa final'!$Q$41),"")</f>
        <v/>
      </c>
      <c r="AN11" s="68"/>
      <c r="AO11" s="410"/>
      <c r="AP11" s="411"/>
      <c r="AQ11" s="411"/>
      <c r="AR11" s="411"/>
      <c r="AS11" s="411"/>
      <c r="AT11" s="412"/>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row>
    <row r="12" spans="1:91" ht="15" customHeight="1" x14ac:dyDescent="0.25">
      <c r="A12" s="68"/>
      <c r="B12" s="348"/>
      <c r="C12" s="348"/>
      <c r="D12" s="349"/>
      <c r="E12" s="389"/>
      <c r="F12" s="390"/>
      <c r="G12" s="390"/>
      <c r="H12" s="390"/>
      <c r="I12" s="391"/>
      <c r="J12" s="36" t="str">
        <f>IF(AND('Mapa final'!$AA$42="Muy Alta",'Mapa final'!$AC$42="Leve"),CONCATENATE("R7C",'Mapa final'!$Q$42),"")</f>
        <v/>
      </c>
      <c r="K12" s="37" t="str">
        <f>IF(AND('Mapa final'!$AA$43="Muy Alta",'Mapa final'!$AC$43="Leve"),CONCATENATE("R7C",'Mapa final'!$Q$43),"")</f>
        <v/>
      </c>
      <c r="L12" s="42" t="str">
        <f>IF(AND('Mapa final'!$AA$44="Muy Alta",'Mapa final'!$AC$44="Leve"),CONCATENATE("R7C",'Mapa final'!$Q$44),"")</f>
        <v/>
      </c>
      <c r="M12" s="42" t="str">
        <f>IF(AND('Mapa final'!$AA$45="Muy Alta",'Mapa final'!$AC$45="Leve"),CONCATENATE("R7C",'Mapa final'!$Q$45),"")</f>
        <v/>
      </c>
      <c r="N12" s="42" t="str">
        <f>IF(AND('Mapa final'!$AA$46="Muy Alta",'Mapa final'!$AC$46="Leve"),CONCATENATE("R7C",'Mapa final'!$Q$46),"")</f>
        <v/>
      </c>
      <c r="O12" s="38" t="str">
        <f>IF(AND('Mapa final'!$AA$47="Muy Alta",'Mapa final'!$AC$47="Leve"),CONCATENATE("R7C",'Mapa final'!$Q$47),"")</f>
        <v/>
      </c>
      <c r="P12" s="36" t="str">
        <f>IF(AND('Mapa final'!$AA$42="Muy Alta",'Mapa final'!$AC$42="Menor"),CONCATENATE("R7C",'Mapa final'!$Q$42),"")</f>
        <v/>
      </c>
      <c r="Q12" s="37" t="str">
        <f>IF(AND('Mapa final'!$AA$43="Muy Alta",'Mapa final'!$AC$43="Menor"),CONCATENATE("R7C",'Mapa final'!$Q$43),"")</f>
        <v/>
      </c>
      <c r="R12" s="42" t="str">
        <f>IF(AND('Mapa final'!$AA$44="Muy Alta",'Mapa final'!$AC$44="Menor"),CONCATENATE("R7C",'Mapa final'!$Q$44),"")</f>
        <v/>
      </c>
      <c r="S12" s="42" t="str">
        <f>IF(AND('Mapa final'!$AA$45="Muy Alta",'Mapa final'!$AC$45="Menor"),CONCATENATE("R7C",'Mapa final'!$Q$45),"")</f>
        <v/>
      </c>
      <c r="T12" s="42" t="str">
        <f>IF(AND('Mapa final'!$AA$46="Muy Alta",'Mapa final'!$AC$46="Menor"),CONCATENATE("R7C",'Mapa final'!$Q$46),"")</f>
        <v/>
      </c>
      <c r="U12" s="38" t="str">
        <f>IF(AND('Mapa final'!$AA$47="Muy Alta",'Mapa final'!$AC$47="Menor"),CONCATENATE("R7C",'Mapa final'!$Q$47),"")</f>
        <v/>
      </c>
      <c r="V12" s="36" t="str">
        <f>IF(AND('Mapa final'!$AA$42="Muy Alta",'Mapa final'!$AC$42="Moderado"),CONCATENATE("R7C",'Mapa final'!$Q$42),"")</f>
        <v/>
      </c>
      <c r="W12" s="37" t="str">
        <f>IF(AND('Mapa final'!$AA$43="Muy Alta",'Mapa final'!$AC$43="Moderado"),CONCATENATE("R7C",'Mapa final'!$Q$43),"")</f>
        <v/>
      </c>
      <c r="X12" s="42" t="str">
        <f>IF(AND('Mapa final'!$AA$44="Muy Alta",'Mapa final'!$AC$44="Moderado"),CONCATENATE("R7C",'Mapa final'!$Q$44),"")</f>
        <v/>
      </c>
      <c r="Y12" s="42" t="str">
        <f>IF(AND('Mapa final'!$AA$45="Muy Alta",'Mapa final'!$AC$45="Moderado"),CONCATENATE("R7C",'Mapa final'!$Q$45),"")</f>
        <v/>
      </c>
      <c r="Z12" s="42" t="str">
        <f>IF(AND('Mapa final'!$AA$46="Muy Alta",'Mapa final'!$AC$46="Moderado"),CONCATENATE("R7C",'Mapa final'!$Q$46),"")</f>
        <v/>
      </c>
      <c r="AA12" s="38" t="str">
        <f>IF(AND('Mapa final'!$AA$47="Muy Alta",'Mapa final'!$AC$47="Moderado"),CONCATENATE("R7C",'Mapa final'!$Q$47),"")</f>
        <v/>
      </c>
      <c r="AB12" s="36" t="str">
        <f>IF(AND('Mapa final'!$AA$42="Muy Alta",'Mapa final'!$AC$42="Mayor"),CONCATENATE("R7C",'Mapa final'!$Q$42),"")</f>
        <v/>
      </c>
      <c r="AC12" s="37" t="str">
        <f>IF(AND('Mapa final'!$AA$43="Muy Alta",'Mapa final'!$AC$43="Mayor"),CONCATENATE("R7C",'Mapa final'!$Q$43),"")</f>
        <v/>
      </c>
      <c r="AD12" s="42" t="str">
        <f>IF(AND('Mapa final'!$AA$44="Muy Alta",'Mapa final'!$AC$44="Mayor"),CONCATENATE("R7C",'Mapa final'!$Q$44),"")</f>
        <v/>
      </c>
      <c r="AE12" s="42" t="str">
        <f>IF(AND('Mapa final'!$AA$45="Muy Alta",'Mapa final'!$AC$45="Mayor"),CONCATENATE("R7C",'Mapa final'!$Q$45),"")</f>
        <v/>
      </c>
      <c r="AF12" s="42" t="str">
        <f>IF(AND('Mapa final'!$AA$46="Muy Alta",'Mapa final'!$AC$46="Mayor"),CONCATENATE("R7C",'Mapa final'!$Q$46),"")</f>
        <v/>
      </c>
      <c r="AG12" s="38" t="str">
        <f>IF(AND('Mapa final'!$AA$47="Muy Alta",'Mapa final'!$AC$47="Mayor"),CONCATENATE("R7C",'Mapa final'!$Q$47),"")</f>
        <v/>
      </c>
      <c r="AH12" s="39" t="str">
        <f>IF(AND('Mapa final'!$AA$42="Muy Alta",'Mapa final'!$AC$42="Catastrófico"),CONCATENATE("R7C",'Mapa final'!$Q$42),"")</f>
        <v/>
      </c>
      <c r="AI12" s="40" t="str">
        <f>IF(AND('Mapa final'!$AA$43="Muy Alta",'Mapa final'!$AC$43="Catastrófico"),CONCATENATE("R7C",'Mapa final'!$Q$43),"")</f>
        <v/>
      </c>
      <c r="AJ12" s="40" t="str">
        <f>IF(AND('Mapa final'!$AA$44="Muy Alta",'Mapa final'!$AC$44="Catastrófico"),CONCATENATE("R7C",'Mapa final'!$Q$44),"")</f>
        <v/>
      </c>
      <c r="AK12" s="40" t="str">
        <f>IF(AND('Mapa final'!$AA$45="Muy Alta",'Mapa final'!$AC$45="Catastrófico"),CONCATENATE("R7C",'Mapa final'!$Q$45),"")</f>
        <v/>
      </c>
      <c r="AL12" s="40" t="str">
        <f>IF(AND('Mapa final'!$AA$46="Muy Alta",'Mapa final'!$AC$46="Catastrófico"),CONCATENATE("R7C",'Mapa final'!$Q$46),"")</f>
        <v/>
      </c>
      <c r="AM12" s="41" t="str">
        <f>IF(AND('Mapa final'!$AA$47="Muy Alta",'Mapa final'!$AC$47="Catastrófico"),CONCATENATE("R7C",'Mapa final'!$Q$47),"")</f>
        <v/>
      </c>
      <c r="AN12" s="68"/>
      <c r="AO12" s="410"/>
      <c r="AP12" s="411"/>
      <c r="AQ12" s="411"/>
      <c r="AR12" s="411"/>
      <c r="AS12" s="411"/>
      <c r="AT12" s="412"/>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row>
    <row r="13" spans="1:91" ht="15" customHeight="1" x14ac:dyDescent="0.25">
      <c r="A13" s="68"/>
      <c r="B13" s="348"/>
      <c r="C13" s="348"/>
      <c r="D13" s="349"/>
      <c r="E13" s="389"/>
      <c r="F13" s="390"/>
      <c r="G13" s="390"/>
      <c r="H13" s="390"/>
      <c r="I13" s="391"/>
      <c r="J13" s="36" t="str">
        <f>IF(AND('Mapa final'!$AA$48="Muy Alta",'Mapa final'!$AC$48="Leve"),CONCATENATE("R8C",'Mapa final'!$Q$48),"")</f>
        <v/>
      </c>
      <c r="K13" s="37" t="str">
        <f>IF(AND('Mapa final'!$AA$49="Muy Alta",'Mapa final'!$AC$49="Leve"),CONCATENATE("R8C",'Mapa final'!$Q$49),"")</f>
        <v/>
      </c>
      <c r="L13" s="42" t="str">
        <f>IF(AND('Mapa final'!$AA$50="Muy Alta",'Mapa final'!$AC$50="Leve"),CONCATENATE("R8C",'Mapa final'!$Q$50),"")</f>
        <v/>
      </c>
      <c r="M13" s="42" t="str">
        <f>IF(AND('Mapa final'!$AA$51="Muy Alta",'Mapa final'!$AC$51="Leve"),CONCATENATE("R8C",'Mapa final'!$Q$51),"")</f>
        <v/>
      </c>
      <c r="N13" s="42" t="str">
        <f>IF(AND('Mapa final'!$AA$52="Muy Alta",'Mapa final'!$AC$52="Leve"),CONCATENATE("R8C",'Mapa final'!$Q$52),"")</f>
        <v/>
      </c>
      <c r="O13" s="38" t="str">
        <f>IF(AND('Mapa final'!$AA$53="Muy Alta",'Mapa final'!$AC$53="Leve"),CONCATENATE("R8C",'Mapa final'!$Q$53),"")</f>
        <v/>
      </c>
      <c r="P13" s="36" t="str">
        <f>IF(AND('Mapa final'!$AA$48="Muy Alta",'Mapa final'!$AC$48="Menor"),CONCATENATE("R8C",'Mapa final'!$Q$48),"")</f>
        <v/>
      </c>
      <c r="Q13" s="37" t="str">
        <f>IF(AND('Mapa final'!$AA$49="Muy Alta",'Mapa final'!$AC$49="Menor"),CONCATENATE("R8C",'Mapa final'!$Q$49),"")</f>
        <v/>
      </c>
      <c r="R13" s="42" t="str">
        <f>IF(AND('Mapa final'!$AA$50="Muy Alta",'Mapa final'!$AC$50="Menor"),CONCATENATE("R8C",'Mapa final'!$Q$50),"")</f>
        <v/>
      </c>
      <c r="S13" s="42" t="str">
        <f>IF(AND('Mapa final'!$AA$51="Muy Alta",'Mapa final'!$AC$51="Menor"),CONCATENATE("R8C",'Mapa final'!$Q$51),"")</f>
        <v/>
      </c>
      <c r="T13" s="42" t="str">
        <f>IF(AND('Mapa final'!$AA$52="Muy Alta",'Mapa final'!$AC$52="Menor"),CONCATENATE("R8C",'Mapa final'!$Q$52),"")</f>
        <v/>
      </c>
      <c r="U13" s="38" t="str">
        <f>IF(AND('Mapa final'!$AA$53="Muy Alta",'Mapa final'!$AC$53="Menor"),CONCATENATE("R8C",'Mapa final'!$Q$53),"")</f>
        <v/>
      </c>
      <c r="V13" s="36" t="str">
        <f>IF(AND('Mapa final'!$AA$48="Muy Alta",'Mapa final'!$AC$48="Moderado"),CONCATENATE("R8C",'Mapa final'!$Q$48),"")</f>
        <v/>
      </c>
      <c r="W13" s="37" t="str">
        <f>IF(AND('Mapa final'!$AA$49="Muy Alta",'Mapa final'!$AC$49="Moderado"),CONCATENATE("R8C",'Mapa final'!$Q$49),"")</f>
        <v/>
      </c>
      <c r="X13" s="42" t="str">
        <f>IF(AND('Mapa final'!$AA$50="Muy Alta",'Mapa final'!$AC$50="Moderado"),CONCATENATE("R8C",'Mapa final'!$Q$50),"")</f>
        <v/>
      </c>
      <c r="Y13" s="42" t="str">
        <f>IF(AND('Mapa final'!$AA$51="Muy Alta",'Mapa final'!$AC$51="Moderado"),CONCATENATE("R8C",'Mapa final'!$Q$51),"")</f>
        <v/>
      </c>
      <c r="Z13" s="42" t="str">
        <f>IF(AND('Mapa final'!$AA$52="Muy Alta",'Mapa final'!$AC$52="Moderado"),CONCATENATE("R8C",'Mapa final'!$Q$52),"")</f>
        <v/>
      </c>
      <c r="AA13" s="38" t="str">
        <f>IF(AND('Mapa final'!$AA$53="Muy Alta",'Mapa final'!$AC$53="Moderado"),CONCATENATE("R8C",'Mapa final'!$Q$53),"")</f>
        <v/>
      </c>
      <c r="AB13" s="36" t="str">
        <f>IF(AND('Mapa final'!$AA$48="Muy Alta",'Mapa final'!$AC$48="Mayor"),CONCATENATE("R8C",'Mapa final'!$Q$48),"")</f>
        <v/>
      </c>
      <c r="AC13" s="37" t="str">
        <f>IF(AND('Mapa final'!$AA$49="Muy Alta",'Mapa final'!$AC$49="Mayor"),CONCATENATE("R8C",'Mapa final'!$Q$49),"")</f>
        <v/>
      </c>
      <c r="AD13" s="42" t="str">
        <f>IF(AND('Mapa final'!$AA$50="Muy Alta",'Mapa final'!$AC$50="Mayor"),CONCATENATE("R8C",'Mapa final'!$Q$50),"")</f>
        <v/>
      </c>
      <c r="AE13" s="42" t="str">
        <f>IF(AND('Mapa final'!$AA$51="Muy Alta",'Mapa final'!$AC$51="Mayor"),CONCATENATE("R8C",'Mapa final'!$Q$51),"")</f>
        <v/>
      </c>
      <c r="AF13" s="42" t="str">
        <f>IF(AND('Mapa final'!$AA$52="Muy Alta",'Mapa final'!$AC$52="Mayor"),CONCATENATE("R8C",'Mapa final'!$Q$52),"")</f>
        <v/>
      </c>
      <c r="AG13" s="38" t="str">
        <f>IF(AND('Mapa final'!$AA$53="Muy Alta",'Mapa final'!$AC$53="Mayor"),CONCATENATE("R8C",'Mapa final'!$Q$53),"")</f>
        <v/>
      </c>
      <c r="AH13" s="39" t="str">
        <f>IF(AND('Mapa final'!$AA$48="Muy Alta",'Mapa final'!$AC$48="Catastrófico"),CONCATENATE("R8C",'Mapa final'!$Q$48),"")</f>
        <v/>
      </c>
      <c r="AI13" s="40" t="str">
        <f>IF(AND('Mapa final'!$AA$49="Muy Alta",'Mapa final'!$AC$49="Catastrófico"),CONCATENATE("R8C",'Mapa final'!$Q$49),"")</f>
        <v/>
      </c>
      <c r="AJ13" s="40" t="str">
        <f>IF(AND('Mapa final'!$AA$50="Muy Alta",'Mapa final'!$AC$50="Catastrófico"),CONCATENATE("R8C",'Mapa final'!$Q$50),"")</f>
        <v/>
      </c>
      <c r="AK13" s="40" t="str">
        <f>IF(AND('Mapa final'!$AA$51="Muy Alta",'Mapa final'!$AC$51="Catastrófico"),CONCATENATE("R8C",'Mapa final'!$Q$51),"")</f>
        <v/>
      </c>
      <c r="AL13" s="40" t="str">
        <f>IF(AND('Mapa final'!$AA$52="Muy Alta",'Mapa final'!$AC$52="Catastrófico"),CONCATENATE("R8C",'Mapa final'!$Q$52),"")</f>
        <v/>
      </c>
      <c r="AM13" s="41" t="str">
        <f>IF(AND('Mapa final'!$AA$53="Muy Alta",'Mapa final'!$AC$53="Catastrófico"),CONCATENATE("R8C",'Mapa final'!$Q$53),"")</f>
        <v/>
      </c>
      <c r="AN13" s="68"/>
      <c r="AO13" s="410"/>
      <c r="AP13" s="411"/>
      <c r="AQ13" s="411"/>
      <c r="AR13" s="411"/>
      <c r="AS13" s="411"/>
      <c r="AT13" s="412"/>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row>
    <row r="14" spans="1:91" ht="15" customHeight="1" x14ac:dyDescent="0.25">
      <c r="A14" s="68"/>
      <c r="B14" s="348"/>
      <c r="C14" s="348"/>
      <c r="D14" s="349"/>
      <c r="E14" s="389"/>
      <c r="F14" s="390"/>
      <c r="G14" s="390"/>
      <c r="H14" s="390"/>
      <c r="I14" s="391"/>
      <c r="J14" s="36" t="str">
        <f>IF(AND('Mapa final'!$AA$54="Muy Alta",'Mapa final'!$AC$54="Leve"),CONCATENATE("R9C",'Mapa final'!$Q$54),"")</f>
        <v/>
      </c>
      <c r="K14" s="37" t="str">
        <f>IF(AND('Mapa final'!$AA$55="Muy Alta",'Mapa final'!$AC$55="Leve"),CONCATENATE("R9C",'Mapa final'!$Q$55),"")</f>
        <v/>
      </c>
      <c r="L14" s="42" t="str">
        <f>IF(AND('Mapa final'!$AA$56="Muy Alta",'Mapa final'!$AC$56="Leve"),CONCATENATE("R9C",'Mapa final'!$Q$56),"")</f>
        <v/>
      </c>
      <c r="M14" s="42" t="str">
        <f>IF(AND('Mapa final'!$AA$57="Muy Alta",'Mapa final'!$AC$57="Leve"),CONCATENATE("R9C",'Mapa final'!$Q$57),"")</f>
        <v/>
      </c>
      <c r="N14" s="42" t="str">
        <f>IF(AND('Mapa final'!$AA$58="Muy Alta",'Mapa final'!$AC$58="Leve"),CONCATENATE("R9C",'Mapa final'!$Q$58),"")</f>
        <v/>
      </c>
      <c r="O14" s="38" t="str">
        <f>IF(AND('Mapa final'!$AA$59="Muy Alta",'Mapa final'!$AC$59="Leve"),CONCATENATE("R9C",'Mapa final'!$Q$59),"")</f>
        <v/>
      </c>
      <c r="P14" s="36" t="str">
        <f>IF(AND('Mapa final'!$AA$54="Muy Alta",'Mapa final'!$AC$54="Menor"),CONCATENATE("R9C",'Mapa final'!$Q$54),"")</f>
        <v/>
      </c>
      <c r="Q14" s="37" t="str">
        <f>IF(AND('Mapa final'!$AA$55="Muy Alta",'Mapa final'!$AC$55="Menor"),CONCATENATE("R9C",'Mapa final'!$Q$55),"")</f>
        <v/>
      </c>
      <c r="R14" s="42" t="str">
        <f>IF(AND('Mapa final'!$AA$56="Muy Alta",'Mapa final'!$AC$56="Menor"),CONCATENATE("R9C",'Mapa final'!$Q$56),"")</f>
        <v/>
      </c>
      <c r="S14" s="42" t="str">
        <f>IF(AND('Mapa final'!$AA$57="Muy Alta",'Mapa final'!$AC$57="Menor"),CONCATENATE("R9C",'Mapa final'!$Q$57),"")</f>
        <v/>
      </c>
      <c r="T14" s="42" t="str">
        <f>IF(AND('Mapa final'!$AA$58="Muy Alta",'Mapa final'!$AC$58="Menor"),CONCATENATE("R9C",'Mapa final'!$Q$58),"")</f>
        <v/>
      </c>
      <c r="U14" s="38" t="str">
        <f>IF(AND('Mapa final'!$AA$59="Muy Alta",'Mapa final'!$AC$59="Menor"),CONCATENATE("R9C",'Mapa final'!$Q$59),"")</f>
        <v/>
      </c>
      <c r="V14" s="36" t="str">
        <f>IF(AND('Mapa final'!$AA$54="Muy Alta",'Mapa final'!$AC$54="Moderado"),CONCATENATE("R9C",'Mapa final'!$Q$54),"")</f>
        <v/>
      </c>
      <c r="W14" s="37" t="str">
        <f>IF(AND('Mapa final'!$AA$55="Muy Alta",'Mapa final'!$AC$55="Moderado"),CONCATENATE("R9C",'Mapa final'!$Q$55),"")</f>
        <v/>
      </c>
      <c r="X14" s="42" t="str">
        <f>IF(AND('Mapa final'!$AA$56="Muy Alta",'Mapa final'!$AC$56="Moderado"),CONCATENATE("R9C",'Mapa final'!$Q$56),"")</f>
        <v/>
      </c>
      <c r="Y14" s="42" t="str">
        <f>IF(AND('Mapa final'!$AA$57="Muy Alta",'Mapa final'!$AC$57="Moderado"),CONCATENATE("R9C",'Mapa final'!$Q$57),"")</f>
        <v/>
      </c>
      <c r="Z14" s="42" t="str">
        <f>IF(AND('Mapa final'!$AA$58="Muy Alta",'Mapa final'!$AC$58="Moderado"),CONCATENATE("R9C",'Mapa final'!$Q$58),"")</f>
        <v/>
      </c>
      <c r="AA14" s="38" t="str">
        <f>IF(AND('Mapa final'!$AA$59="Muy Alta",'Mapa final'!$AC$59="Moderado"),CONCATENATE("R9C",'Mapa final'!$Q$59),"")</f>
        <v/>
      </c>
      <c r="AB14" s="36" t="str">
        <f>IF(AND('Mapa final'!$AA$54="Muy Alta",'Mapa final'!$AC$54="Mayor"),CONCATENATE("R9C",'Mapa final'!$Q$54),"")</f>
        <v/>
      </c>
      <c r="AC14" s="37" t="str">
        <f>IF(AND('Mapa final'!$AA$55="Muy Alta",'Mapa final'!$AC$55="Mayor"),CONCATENATE("R9C",'Mapa final'!$Q$55),"")</f>
        <v/>
      </c>
      <c r="AD14" s="42" t="str">
        <f>IF(AND('Mapa final'!$AA$56="Muy Alta",'Mapa final'!$AC$56="Mayor"),CONCATENATE("R9C",'Mapa final'!$Q$56),"")</f>
        <v/>
      </c>
      <c r="AE14" s="42" t="str">
        <f>IF(AND('Mapa final'!$AA$57="Muy Alta",'Mapa final'!$AC$57="Mayor"),CONCATENATE("R9C",'Mapa final'!$Q$57),"")</f>
        <v/>
      </c>
      <c r="AF14" s="42" t="str">
        <f>IF(AND('Mapa final'!$AA$58="Muy Alta",'Mapa final'!$AC$58="Mayor"),CONCATENATE("R9C",'Mapa final'!$Q$58),"")</f>
        <v/>
      </c>
      <c r="AG14" s="38" t="str">
        <f>IF(AND('Mapa final'!$AA$59="Muy Alta",'Mapa final'!$AC$59="Mayor"),CONCATENATE("R9C",'Mapa final'!$Q$59),"")</f>
        <v/>
      </c>
      <c r="AH14" s="39" t="str">
        <f>IF(AND('Mapa final'!$AA$54="Muy Alta",'Mapa final'!$AC$54="Catastrófico"),CONCATENATE("R9C",'Mapa final'!$Q$54),"")</f>
        <v/>
      </c>
      <c r="AI14" s="40" t="str">
        <f>IF(AND('Mapa final'!$AA$55="Muy Alta",'Mapa final'!$AC$55="Catastrófico"),CONCATENATE("R9C",'Mapa final'!$Q$55),"")</f>
        <v/>
      </c>
      <c r="AJ14" s="40" t="str">
        <f>IF(AND('Mapa final'!$AA$56="Muy Alta",'Mapa final'!$AC$56="Catastrófico"),CONCATENATE("R9C",'Mapa final'!$Q$56),"")</f>
        <v/>
      </c>
      <c r="AK14" s="40" t="str">
        <f>IF(AND('Mapa final'!$AA$57="Muy Alta",'Mapa final'!$AC$57="Catastrófico"),CONCATENATE("R9C",'Mapa final'!$Q$57),"")</f>
        <v/>
      </c>
      <c r="AL14" s="40" t="str">
        <f>IF(AND('Mapa final'!$AA$58="Muy Alta",'Mapa final'!$AC$58="Catastrófico"),CONCATENATE("R9C",'Mapa final'!$Q$58),"")</f>
        <v/>
      </c>
      <c r="AM14" s="41" t="str">
        <f>IF(AND('Mapa final'!$AA$59="Muy Alta",'Mapa final'!$AC$59="Catastrófico"),CONCATENATE("R9C",'Mapa final'!$Q$59),"")</f>
        <v/>
      </c>
      <c r="AN14" s="68"/>
      <c r="AO14" s="410"/>
      <c r="AP14" s="411"/>
      <c r="AQ14" s="411"/>
      <c r="AR14" s="411"/>
      <c r="AS14" s="411"/>
      <c r="AT14" s="412"/>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row>
    <row r="15" spans="1:91" ht="15.75" customHeight="1" thickBot="1" x14ac:dyDescent="0.3">
      <c r="A15" s="68"/>
      <c r="B15" s="348"/>
      <c r="C15" s="348"/>
      <c r="D15" s="349"/>
      <c r="E15" s="392"/>
      <c r="F15" s="393"/>
      <c r="G15" s="393"/>
      <c r="H15" s="393"/>
      <c r="I15" s="394"/>
      <c r="J15" s="43" t="str">
        <f>IF(AND('Mapa final'!$AA$60="Muy Alta",'Mapa final'!$AC$60="Leve"),CONCATENATE("R10C",'Mapa final'!$Q$60),"")</f>
        <v/>
      </c>
      <c r="K15" s="44" t="str">
        <f>IF(AND('Mapa final'!$AA$61="Muy Alta",'Mapa final'!$AC$61="Leve"),CONCATENATE("R10C",'Mapa final'!$Q$61),"")</f>
        <v/>
      </c>
      <c r="L15" s="44" t="str">
        <f>IF(AND('Mapa final'!$AA$62="Muy Alta",'Mapa final'!$AC$62="Leve"),CONCATENATE("R10C",'Mapa final'!$Q$62),"")</f>
        <v/>
      </c>
      <c r="M15" s="44" t="str">
        <f>IF(AND('Mapa final'!$AA$63="Muy Alta",'Mapa final'!$AC$63="Leve"),CONCATENATE("R10C",'Mapa final'!$Q$63),"")</f>
        <v/>
      </c>
      <c r="N15" s="44" t="str">
        <f>IF(AND('Mapa final'!$AA$64="Muy Alta",'Mapa final'!$AC$64="Leve"),CONCATENATE("R10C",'Mapa final'!$Q$64),"")</f>
        <v/>
      </c>
      <c r="O15" s="45" t="str">
        <f>IF(AND('Mapa final'!$AA$65="Muy Alta",'Mapa final'!$AC$65="Leve"),CONCATENATE("R10C",'Mapa final'!$Q$65),"")</f>
        <v/>
      </c>
      <c r="P15" s="36" t="str">
        <f>IF(AND('Mapa final'!$AA$60="Muy Alta",'Mapa final'!$AC$60="Menor"),CONCATENATE("R10C",'Mapa final'!$Q$60),"")</f>
        <v/>
      </c>
      <c r="Q15" s="37" t="str">
        <f>IF(AND('Mapa final'!$AA$61="Muy Alta",'Mapa final'!$AC$61="Menor"),CONCATENATE("R10C",'Mapa final'!$Q$61),"")</f>
        <v/>
      </c>
      <c r="R15" s="37" t="str">
        <f>IF(AND('Mapa final'!$AA$62="Muy Alta",'Mapa final'!$AC$62="Menor"),CONCATENATE("R10C",'Mapa final'!$Q$62),"")</f>
        <v/>
      </c>
      <c r="S15" s="37" t="str">
        <f>IF(AND('Mapa final'!$AA$63="Muy Alta",'Mapa final'!$AC$63="Menor"),CONCATENATE("R10C",'Mapa final'!$Q$63),"")</f>
        <v/>
      </c>
      <c r="T15" s="37" t="str">
        <f>IF(AND('Mapa final'!$AA$64="Muy Alta",'Mapa final'!$AC$64="Menor"),CONCATENATE("R10C",'Mapa final'!$Q$64),"")</f>
        <v/>
      </c>
      <c r="U15" s="38" t="str">
        <f>IF(AND('Mapa final'!$AA$65="Muy Alta",'Mapa final'!$AC$65="Menor"),CONCATENATE("R10C",'Mapa final'!$Q$65),"")</f>
        <v/>
      </c>
      <c r="V15" s="43" t="str">
        <f>IF(AND('Mapa final'!$AA$60="Muy Alta",'Mapa final'!$AC$60="Moderado"),CONCATENATE("R10C",'Mapa final'!$Q$60),"")</f>
        <v/>
      </c>
      <c r="W15" s="44" t="str">
        <f>IF(AND('Mapa final'!$AA$61="Muy Alta",'Mapa final'!$AC$61="Moderado"),CONCATENATE("R10C",'Mapa final'!$Q$61),"")</f>
        <v/>
      </c>
      <c r="X15" s="44" t="str">
        <f>IF(AND('Mapa final'!$AA$62="Muy Alta",'Mapa final'!$AC$62="Moderado"),CONCATENATE("R10C",'Mapa final'!$Q$62),"")</f>
        <v/>
      </c>
      <c r="Y15" s="44" t="str">
        <f>IF(AND('Mapa final'!$AA$63="Muy Alta",'Mapa final'!$AC$63="Moderado"),CONCATENATE("R10C",'Mapa final'!$Q$63),"")</f>
        <v/>
      </c>
      <c r="Z15" s="44" t="str">
        <f>IF(AND('Mapa final'!$AA$64="Muy Alta",'Mapa final'!$AC$64="Moderado"),CONCATENATE("R10C",'Mapa final'!$Q$64),"")</f>
        <v/>
      </c>
      <c r="AA15" s="45" t="str">
        <f>IF(AND('Mapa final'!$AA$65="Muy Alta",'Mapa final'!$AC$65="Moderado"),CONCATENATE("R10C",'Mapa final'!$Q$65),"")</f>
        <v/>
      </c>
      <c r="AB15" s="36" t="str">
        <f>IF(AND('Mapa final'!$AA$60="Muy Alta",'Mapa final'!$AC$60="Mayor"),CONCATENATE("R10C",'Mapa final'!$Q$60),"")</f>
        <v/>
      </c>
      <c r="AC15" s="37" t="str">
        <f>IF(AND('Mapa final'!$AA$61="Muy Alta",'Mapa final'!$AC$61="Mayor"),CONCATENATE("R10C",'Mapa final'!$Q$61),"")</f>
        <v/>
      </c>
      <c r="AD15" s="37" t="str">
        <f>IF(AND('Mapa final'!$AA$62="Muy Alta",'Mapa final'!$AC$62="Mayor"),CONCATENATE("R10C",'Mapa final'!$Q$62),"")</f>
        <v/>
      </c>
      <c r="AE15" s="37" t="str">
        <f>IF(AND('Mapa final'!$AA$63="Muy Alta",'Mapa final'!$AC$63="Mayor"),CONCATENATE("R10C",'Mapa final'!$Q$63),"")</f>
        <v/>
      </c>
      <c r="AF15" s="37" t="str">
        <f>IF(AND('Mapa final'!$AA$64="Muy Alta",'Mapa final'!$AC$64="Mayor"),CONCATENATE("R10C",'Mapa final'!$Q$64),"")</f>
        <v/>
      </c>
      <c r="AG15" s="38" t="str">
        <f>IF(AND('Mapa final'!$AA$65="Muy Alta",'Mapa final'!$AC$65="Mayor"),CONCATENATE("R10C",'Mapa final'!$Q$65),"")</f>
        <v/>
      </c>
      <c r="AH15" s="46" t="str">
        <f>IF(AND('Mapa final'!$AA$60="Muy Alta",'Mapa final'!$AC$60="Catastrófico"),CONCATENATE("R10C",'Mapa final'!$Q$60),"")</f>
        <v/>
      </c>
      <c r="AI15" s="47" t="str">
        <f>IF(AND('Mapa final'!$AA$61="Muy Alta",'Mapa final'!$AC$61="Catastrófico"),CONCATENATE("R10C",'Mapa final'!$Q$61),"")</f>
        <v/>
      </c>
      <c r="AJ15" s="47" t="str">
        <f>IF(AND('Mapa final'!$AA$62="Muy Alta",'Mapa final'!$AC$62="Catastrófico"),CONCATENATE("R10C",'Mapa final'!$Q$62),"")</f>
        <v/>
      </c>
      <c r="AK15" s="47" t="str">
        <f>IF(AND('Mapa final'!$AA$63="Muy Alta",'Mapa final'!$AC$63="Catastrófico"),CONCATENATE("R10C",'Mapa final'!$Q$63),"")</f>
        <v/>
      </c>
      <c r="AL15" s="47" t="str">
        <f>IF(AND('Mapa final'!$AA$64="Muy Alta",'Mapa final'!$AC$64="Catastrófico"),CONCATENATE("R10C",'Mapa final'!$Q$64),"")</f>
        <v/>
      </c>
      <c r="AM15" s="48" t="str">
        <f>IF(AND('Mapa final'!$AA$65="Muy Alta",'Mapa final'!$AC$65="Catastrófico"),CONCATENATE("R10C",'Mapa final'!$Q$65),"")</f>
        <v/>
      </c>
      <c r="AN15" s="68"/>
      <c r="AO15" s="413"/>
      <c r="AP15" s="414"/>
      <c r="AQ15" s="414"/>
      <c r="AR15" s="414"/>
      <c r="AS15" s="414"/>
      <c r="AT15" s="415"/>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row>
    <row r="16" spans="1:91" ht="15" customHeight="1" x14ac:dyDescent="0.25">
      <c r="A16" s="68"/>
      <c r="B16" s="348"/>
      <c r="C16" s="348"/>
      <c r="D16" s="349"/>
      <c r="E16" s="386" t="s">
        <v>110</v>
      </c>
      <c r="F16" s="387"/>
      <c r="G16" s="387"/>
      <c r="H16" s="387"/>
      <c r="I16" s="387"/>
      <c r="J16" s="49" t="str">
        <f ca="1">IF(AND('Mapa final'!$AA$10="Alta",'Mapa final'!$AC$10="Leve"),CONCATENATE("R1C",'Mapa final'!$Q$10),"")</f>
        <v/>
      </c>
      <c r="K16" s="50" t="str">
        <f>IF(AND('Mapa final'!$AA$11="Alta",'Mapa final'!$AC$11="Leve"),CONCATENATE("R1C",'Mapa final'!$Q$11),"")</f>
        <v/>
      </c>
      <c r="L16" s="50" t="str">
        <f>IF(AND('Mapa final'!$AA$12="Alta",'Mapa final'!$AC$12="Leve"),CONCATENATE("R1C",'Mapa final'!$Q$12),"")</f>
        <v/>
      </c>
      <c r="M16" s="50" t="str">
        <f>IF(AND('Mapa final'!$AA$13="Alta",'Mapa final'!$AC$13="Leve"),CONCATENATE("R1C",'Mapa final'!$Q$13),"")</f>
        <v/>
      </c>
      <c r="N16" s="50" t="e">
        <f>IF(AND('Mapa final'!#REF!="Alta",'Mapa final'!#REF!="Leve"),CONCATENATE("R1C",'Mapa final'!#REF!),"")</f>
        <v>#REF!</v>
      </c>
      <c r="O16" s="51" t="e">
        <f>IF(AND('Mapa final'!#REF!="Alta",'Mapa final'!#REF!="Leve"),CONCATENATE("R1C",'Mapa final'!#REF!),"")</f>
        <v>#REF!</v>
      </c>
      <c r="P16" s="49" t="str">
        <f ca="1">IF(AND('Mapa final'!$AA$10="Alta",'Mapa final'!$AC$10="Menor"),CONCATENATE("R1C",'Mapa final'!$Q$10),"")</f>
        <v/>
      </c>
      <c r="Q16" s="50" t="str">
        <f>IF(AND('Mapa final'!$AA$11="Alta",'Mapa final'!$AC$11="Menor"),CONCATENATE("R1C",'Mapa final'!$Q$11),"")</f>
        <v/>
      </c>
      <c r="R16" s="50" t="str">
        <f>IF(AND('Mapa final'!$AA$12="Alta",'Mapa final'!$AC$12="Menor"),CONCATENATE("R1C",'Mapa final'!$Q$12),"")</f>
        <v/>
      </c>
      <c r="S16" s="50" t="str">
        <f>IF(AND('Mapa final'!$AA$13="Alta",'Mapa final'!$AC$13="Menor"),CONCATENATE("R1C",'Mapa final'!$Q$13),"")</f>
        <v/>
      </c>
      <c r="T16" s="50" t="e">
        <f>IF(AND('Mapa final'!#REF!="Alta",'Mapa final'!#REF!="Menor"),CONCATENATE("R1C",'Mapa final'!#REF!),"")</f>
        <v>#REF!</v>
      </c>
      <c r="U16" s="51" t="e">
        <f>IF(AND('Mapa final'!#REF!="Alta",'Mapa final'!#REF!="Menor"),CONCATENATE("R1C",'Mapa final'!#REF!),"")</f>
        <v>#REF!</v>
      </c>
      <c r="V16" s="30" t="str">
        <f ca="1">IF(AND('Mapa final'!$AA$10="Alta",'Mapa final'!$AC$10="Moderado"),CONCATENATE("R1C",'Mapa final'!$Q$10),"")</f>
        <v/>
      </c>
      <c r="W16" s="31" t="str">
        <f>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e">
        <f>IF(AND('Mapa final'!#REF!="Alta",'Mapa final'!#REF!="Moderado"),CONCATENATE("R1C",'Mapa final'!#REF!),"")</f>
        <v>#REF!</v>
      </c>
      <c r="AA16" s="32" t="e">
        <f>IF(AND('Mapa final'!#REF!="Alta",'Mapa final'!#REF!="Moderado"),CONCATENATE("R1C",'Mapa final'!#REF!),"")</f>
        <v>#REF!</v>
      </c>
      <c r="AB16" s="30" t="str">
        <f ca="1">IF(AND('Mapa final'!$AA$10="Alta",'Mapa final'!$AC$10="Mayor"),CONCATENATE("R1C",'Mapa final'!$Q$10),"")</f>
        <v/>
      </c>
      <c r="AC16" s="31" t="str">
        <f>IF(AND('Mapa final'!$AA$11="Alta",'Mapa final'!$AC$11="Mayor"),CONCATENATE("R1C",'Mapa final'!$Q$11),"")</f>
        <v/>
      </c>
      <c r="AD16" s="31" t="str">
        <f>IF(AND('Mapa final'!$AA$12="Alta",'Mapa final'!$AC$12="Mayor"),CONCATENATE("R1C",'Mapa final'!$Q$12),"")</f>
        <v/>
      </c>
      <c r="AE16" s="31" t="str">
        <f>IF(AND('Mapa final'!$AA$13="Alta",'Mapa final'!$AC$13="Mayor"),CONCATENATE("R1C",'Mapa final'!$Q$13),"")</f>
        <v/>
      </c>
      <c r="AF16" s="31" t="e">
        <f>IF(AND('Mapa final'!#REF!="Alta",'Mapa final'!#REF!="Mayor"),CONCATENATE("R1C",'Mapa final'!#REF!),"")</f>
        <v>#REF!</v>
      </c>
      <c r="AG16" s="32" t="e">
        <f>IF(AND('Mapa final'!#REF!="Alta",'Mapa final'!#REF!="Mayor"),CONCATENATE("R1C",'Mapa final'!#REF!),"")</f>
        <v>#REF!</v>
      </c>
      <c r="AH16" s="33" t="str">
        <f ca="1">IF(AND('Mapa final'!$AA$10="Alta",'Mapa final'!$AC$10="Catastrófico"),CONCATENATE("R1C",'Mapa final'!$Q$10),"")</f>
        <v/>
      </c>
      <c r="AI16" s="34" t="str">
        <f>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e">
        <f>IF(AND('Mapa final'!#REF!="Alta",'Mapa final'!#REF!="Catastrófico"),CONCATENATE("R1C",'Mapa final'!#REF!),"")</f>
        <v>#REF!</v>
      </c>
      <c r="AM16" s="35" t="e">
        <f>IF(AND('Mapa final'!#REF!="Alta",'Mapa final'!#REF!="Catastrófico"),CONCATENATE("R1C",'Mapa final'!#REF!),"")</f>
        <v>#REF!</v>
      </c>
      <c r="AN16" s="68"/>
      <c r="AO16" s="396" t="s">
        <v>79</v>
      </c>
      <c r="AP16" s="397"/>
      <c r="AQ16" s="397"/>
      <c r="AR16" s="397"/>
      <c r="AS16" s="397"/>
      <c r="AT16" s="39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row>
    <row r="17" spans="1:76" ht="15" customHeight="1" x14ac:dyDescent="0.25">
      <c r="A17" s="68"/>
      <c r="B17" s="348"/>
      <c r="C17" s="348"/>
      <c r="D17" s="349"/>
      <c r="E17" s="405"/>
      <c r="F17" s="406"/>
      <c r="G17" s="406"/>
      <c r="H17" s="406"/>
      <c r="I17" s="406"/>
      <c r="J17" s="52" t="str">
        <f ca="1">IF(AND('Mapa final'!$AA$14="Alta",'Mapa final'!$AC$14="Leve"),CONCATENATE("R2C",'Mapa final'!$Q$14),"")</f>
        <v/>
      </c>
      <c r="K17" s="53" t="str">
        <f ca="1">IF(AND('Mapa final'!$AA$15="Alta",'Mapa final'!$AC$15="Leve"),CONCATENATE("R2C",'Mapa final'!$Q$15),"")</f>
        <v/>
      </c>
      <c r="L17" s="53" t="str">
        <f ca="1">IF(AND('Mapa final'!$AA$16="Alta",'Mapa final'!$AC$16="Leve"),CONCATENATE("R2C",'Mapa final'!$Q$16),"")</f>
        <v/>
      </c>
      <c r="M17" s="53" t="e">
        <f>IF(AND('Mapa final'!#REF!="Alta",'Mapa final'!#REF!="Leve"),CONCATENATE("R2C",'Mapa final'!#REF!),"")</f>
        <v>#REF!</v>
      </c>
      <c r="N17" s="53" t="e">
        <f>IF(AND('Mapa final'!#REF!="Alta",'Mapa final'!#REF!="Leve"),CONCATENATE("R2C",'Mapa final'!#REF!),"")</f>
        <v>#REF!</v>
      </c>
      <c r="O17" s="54" t="str">
        <f>IF(AND('Mapa final'!$AA$17="Alta",'Mapa final'!$AC$17="Leve"),CONCATENATE("R2C",'Mapa final'!$Q$17),"")</f>
        <v/>
      </c>
      <c r="P17" s="52" t="str">
        <f ca="1">IF(AND('Mapa final'!$AA$14="Alta",'Mapa final'!$AC$14="Menor"),CONCATENATE("R2C",'Mapa final'!$Q$14),"")</f>
        <v/>
      </c>
      <c r="Q17" s="53" t="str">
        <f ca="1">IF(AND('Mapa final'!$AA$15="Alta",'Mapa final'!$AC$15="Menor"),CONCATENATE("R2C",'Mapa final'!$Q$15),"")</f>
        <v/>
      </c>
      <c r="R17" s="53" t="str">
        <f ca="1">IF(AND('Mapa final'!$AA$16="Alta",'Mapa final'!$AC$16="Menor"),CONCATENATE("R2C",'Mapa final'!$Q$16),"")</f>
        <v/>
      </c>
      <c r="S17" s="53" t="e">
        <f>IF(AND('Mapa final'!#REF!="Alta",'Mapa final'!#REF!="Menor"),CONCATENATE("R2C",'Mapa final'!#REF!),"")</f>
        <v>#REF!</v>
      </c>
      <c r="T17" s="53" t="e">
        <f>IF(AND('Mapa final'!#REF!="Alta",'Mapa final'!#REF!="Menor"),CONCATENATE("R2C",'Mapa final'!#REF!),"")</f>
        <v>#REF!</v>
      </c>
      <c r="U17" s="54" t="str">
        <f>IF(AND('Mapa final'!$AA$17="Alta",'Mapa final'!$AC$17="Menor"),CONCATENATE("R2C",'Mapa final'!$Q$17),"")</f>
        <v/>
      </c>
      <c r="V17" s="36" t="str">
        <f ca="1">IF(AND('Mapa final'!$AA$14="Alta",'Mapa final'!$AC$14="Moderado"),CONCATENATE("R2C",'Mapa final'!$Q$14),"")</f>
        <v/>
      </c>
      <c r="W17" s="37" t="str">
        <f ca="1">IF(AND('Mapa final'!$AA$15="Alta",'Mapa final'!$AC$15="Moderado"),CONCATENATE("R2C",'Mapa final'!$Q$15),"")</f>
        <v/>
      </c>
      <c r="X17" s="37" t="str">
        <f ca="1">IF(AND('Mapa final'!$AA$16="Alta",'Mapa final'!$AC$16="Moderado"),CONCATENATE("R2C",'Mapa final'!$Q$16),"")</f>
        <v/>
      </c>
      <c r="Y17" s="37" t="e">
        <f>IF(AND('Mapa final'!#REF!="Alta",'Mapa final'!#REF!="Moderado"),CONCATENATE("R2C",'Mapa final'!#REF!),"")</f>
        <v>#REF!</v>
      </c>
      <c r="Z17" s="37" t="e">
        <f>IF(AND('Mapa final'!#REF!="Alta",'Mapa final'!#REF!="Moderado"),CONCATENATE("R2C",'Mapa final'!#REF!),"")</f>
        <v>#REF!</v>
      </c>
      <c r="AA17" s="38" t="str">
        <f>IF(AND('Mapa final'!$AA$17="Alta",'Mapa final'!$AC$17="Moderado"),CONCATENATE("R2C",'Mapa final'!$Q$17),"")</f>
        <v/>
      </c>
      <c r="AB17" s="36" t="str">
        <f ca="1">IF(AND('Mapa final'!$AA$14="Alta",'Mapa final'!$AC$14="Mayor"),CONCATENATE("R2C",'Mapa final'!$Q$14),"")</f>
        <v/>
      </c>
      <c r="AC17" s="37" t="str">
        <f ca="1">IF(AND('Mapa final'!$AA$15="Alta",'Mapa final'!$AC$15="Mayor"),CONCATENATE("R2C",'Mapa final'!$Q$15),"")</f>
        <v/>
      </c>
      <c r="AD17" s="37" t="str">
        <f ca="1">IF(AND('Mapa final'!$AA$16="Alta",'Mapa final'!$AC$16="Mayor"),CONCATENATE("R2C",'Mapa final'!$Q$16),"")</f>
        <v/>
      </c>
      <c r="AE17" s="37" t="e">
        <f>IF(AND('Mapa final'!#REF!="Alta",'Mapa final'!#REF!="Mayor"),CONCATENATE("R2C",'Mapa final'!#REF!),"")</f>
        <v>#REF!</v>
      </c>
      <c r="AF17" s="37" t="e">
        <f>IF(AND('Mapa final'!#REF!="Alta",'Mapa final'!#REF!="Mayor"),CONCATENATE("R2C",'Mapa final'!#REF!),"")</f>
        <v>#REF!</v>
      </c>
      <c r="AG17" s="38" t="str">
        <f>IF(AND('Mapa final'!$AA$17="Alta",'Mapa final'!$AC$17="Mayor"),CONCATENATE("R2C",'Mapa final'!$Q$17),"")</f>
        <v/>
      </c>
      <c r="AH17" s="39" t="str">
        <f ca="1">IF(AND('Mapa final'!$AA$14="Alta",'Mapa final'!$AC$14="Catastrófico"),CONCATENATE("R2C",'Mapa final'!$Q$14),"")</f>
        <v/>
      </c>
      <c r="AI17" s="40" t="str">
        <f ca="1">IF(AND('Mapa final'!$AA$15="Alta",'Mapa final'!$AC$15="Catastrófico"),CONCATENATE("R2C",'Mapa final'!$Q$15),"")</f>
        <v/>
      </c>
      <c r="AJ17" s="40" t="str">
        <f ca="1">IF(AND('Mapa final'!$AA$16="Alta",'Mapa final'!$AC$16="Catastrófico"),CONCATENATE("R2C",'Mapa final'!$Q$16),"")</f>
        <v/>
      </c>
      <c r="AK17" s="40" t="e">
        <f>IF(AND('Mapa final'!#REF!="Alta",'Mapa final'!#REF!="Catastrófico"),CONCATENATE("R2C",'Mapa final'!#REF!),"")</f>
        <v>#REF!</v>
      </c>
      <c r="AL17" s="40" t="e">
        <f>IF(AND('Mapa final'!#REF!="Alta",'Mapa final'!#REF!="Catastrófico"),CONCATENATE("R2C",'Mapa final'!#REF!),"")</f>
        <v>#REF!</v>
      </c>
      <c r="AM17" s="41" t="str">
        <f>IF(AND('Mapa final'!$AA$17="Alta",'Mapa final'!$AC$17="Catastrófico"),CONCATENATE("R2C",'Mapa final'!$Q$17),"")</f>
        <v/>
      </c>
      <c r="AN17" s="68"/>
      <c r="AO17" s="399"/>
      <c r="AP17" s="400"/>
      <c r="AQ17" s="400"/>
      <c r="AR17" s="400"/>
      <c r="AS17" s="400"/>
      <c r="AT17" s="401"/>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row>
    <row r="18" spans="1:76" ht="15" customHeight="1" x14ac:dyDescent="0.25">
      <c r="A18" s="68"/>
      <c r="B18" s="348"/>
      <c r="C18" s="348"/>
      <c r="D18" s="349"/>
      <c r="E18" s="389"/>
      <c r="F18" s="390"/>
      <c r="G18" s="390"/>
      <c r="H18" s="390"/>
      <c r="I18" s="406"/>
      <c r="J18" s="52" t="str">
        <f>IF(AND('Mapa final'!$AA$18="Alta",'Mapa final'!$AC$18="Leve"),CONCATENATE("R3C",'Mapa final'!$Q$18),"")</f>
        <v/>
      </c>
      <c r="K18" s="53" t="str">
        <f>IF(AND('Mapa final'!$AA$19="Alta",'Mapa final'!$AC$19="Leve"),CONCATENATE("R3C",'Mapa final'!$Q$19),"")</f>
        <v/>
      </c>
      <c r="L18" s="53" t="str">
        <f>IF(AND('Mapa final'!$AA$20="Alta",'Mapa final'!$AC$20="Leve"),CONCATENATE("R3C",'Mapa final'!$Q$20),"")</f>
        <v/>
      </c>
      <c r="M18" s="53" t="str">
        <f>IF(AND('Mapa final'!$AA$21="Alta",'Mapa final'!$AC$21="Leve"),CONCATENATE("R3C",'Mapa final'!$Q$21),"")</f>
        <v/>
      </c>
      <c r="N18" s="53" t="str">
        <f>IF(AND('Mapa final'!$AA$22="Alta",'Mapa final'!$AC$22="Leve"),CONCATENATE("R3C",'Mapa final'!$Q$22),"")</f>
        <v/>
      </c>
      <c r="O18" s="54" t="str">
        <f>IF(AND('Mapa final'!$AA$23="Alta",'Mapa final'!$AC$23="Leve"),CONCATENATE("R3C",'Mapa final'!$Q$23),"")</f>
        <v/>
      </c>
      <c r="P18" s="52" t="str">
        <f>IF(AND('Mapa final'!$AA$18="Alta",'Mapa final'!$AC$18="Menor"),CONCATENATE("R3C",'Mapa final'!$Q$18),"")</f>
        <v/>
      </c>
      <c r="Q18" s="53" t="str">
        <f>IF(AND('Mapa final'!$AA$19="Alta",'Mapa final'!$AC$19="Menor"),CONCATENATE("R3C",'Mapa final'!$Q$19),"")</f>
        <v/>
      </c>
      <c r="R18" s="53" t="str">
        <f>IF(AND('Mapa final'!$AA$20="Alta",'Mapa final'!$AC$20="Menor"),CONCATENATE("R3C",'Mapa final'!$Q$20),"")</f>
        <v/>
      </c>
      <c r="S18" s="53" t="str">
        <f>IF(AND('Mapa final'!$AA$21="Alta",'Mapa final'!$AC$21="Menor"),CONCATENATE("R3C",'Mapa final'!$Q$21),"")</f>
        <v/>
      </c>
      <c r="T18" s="53" t="str">
        <f>IF(AND('Mapa final'!$AA$22="Alta",'Mapa final'!$AC$22="Menor"),CONCATENATE("R3C",'Mapa final'!$Q$22),"")</f>
        <v/>
      </c>
      <c r="U18" s="54" t="str">
        <f>IF(AND('Mapa final'!$AA$23="Alta",'Mapa final'!$AC$23="Menor"),CONCATENATE("R3C",'Mapa final'!$Q$23),"")</f>
        <v/>
      </c>
      <c r="V18" s="36" t="str">
        <f>IF(AND('Mapa final'!$AA$18="Alta",'Mapa final'!$AC$18="Moderado"),CONCATENATE("R3C",'Mapa final'!$Q$18),"")</f>
        <v/>
      </c>
      <c r="W18" s="37" t="str">
        <f>IF(AND('Mapa final'!$AA$19="Alta",'Mapa final'!$AC$19="Moderado"),CONCATENATE("R3C",'Mapa final'!$Q$19),"")</f>
        <v/>
      </c>
      <c r="X18" s="37" t="str">
        <f>IF(AND('Mapa final'!$AA$20="Alta",'Mapa final'!$AC$20="Moderado"),CONCATENATE("R3C",'Mapa final'!$Q$20),"")</f>
        <v/>
      </c>
      <c r="Y18" s="37" t="str">
        <f>IF(AND('Mapa final'!$AA$21="Alta",'Mapa final'!$AC$21="Moderado"),CONCATENATE("R3C",'Mapa final'!$Q$21),"")</f>
        <v/>
      </c>
      <c r="Z18" s="37" t="str">
        <f>IF(AND('Mapa final'!$AA$22="Alta",'Mapa final'!$AC$22="Moderado"),CONCATENATE("R3C",'Mapa final'!$Q$22),"")</f>
        <v/>
      </c>
      <c r="AA18" s="38" t="str">
        <f>IF(AND('Mapa final'!$AA$23="Alta",'Mapa final'!$AC$23="Moderado"),CONCATENATE("R3C",'Mapa final'!$Q$23),"")</f>
        <v/>
      </c>
      <c r="AB18" s="36" t="str">
        <f>IF(AND('Mapa final'!$AA$18="Alta",'Mapa final'!$AC$18="Mayor"),CONCATENATE("R3C",'Mapa final'!$Q$18),"")</f>
        <v/>
      </c>
      <c r="AC18" s="37" t="str">
        <f>IF(AND('Mapa final'!$AA$19="Alta",'Mapa final'!$AC$19="Mayor"),CONCATENATE("R3C",'Mapa final'!$Q$19),"")</f>
        <v/>
      </c>
      <c r="AD18" s="37" t="str">
        <f>IF(AND('Mapa final'!$AA$20="Alta",'Mapa final'!$AC$20="Mayor"),CONCATENATE("R3C",'Mapa final'!$Q$20),"")</f>
        <v/>
      </c>
      <c r="AE18" s="37" t="str">
        <f>IF(AND('Mapa final'!$AA$21="Alta",'Mapa final'!$AC$21="Mayor"),CONCATENATE("R3C",'Mapa final'!$Q$21),"")</f>
        <v/>
      </c>
      <c r="AF18" s="37" t="str">
        <f>IF(AND('Mapa final'!$AA$22="Alta",'Mapa final'!$AC$22="Mayor"),CONCATENATE("R3C",'Mapa final'!$Q$22),"")</f>
        <v/>
      </c>
      <c r="AG18" s="38" t="str">
        <f>IF(AND('Mapa final'!$AA$23="Alta",'Mapa final'!$AC$23="Mayor"),CONCATENATE("R3C",'Mapa final'!$Q$23),"")</f>
        <v/>
      </c>
      <c r="AH18" s="39" t="str">
        <f>IF(AND('Mapa final'!$AA$18="Alta",'Mapa final'!$AC$18="Catastrófico"),CONCATENATE("R3C",'Mapa final'!$Q$18),"")</f>
        <v/>
      </c>
      <c r="AI18" s="40" t="str">
        <f>IF(AND('Mapa final'!$AA$19="Alta",'Mapa final'!$AC$19="Catastrófico"),CONCATENATE("R3C",'Mapa final'!$Q$19),"")</f>
        <v/>
      </c>
      <c r="AJ18" s="40" t="str">
        <f>IF(AND('Mapa final'!$AA$20="Alta",'Mapa final'!$AC$20="Catastrófico"),CONCATENATE("R3C",'Mapa final'!$Q$20),"")</f>
        <v/>
      </c>
      <c r="AK18" s="40" t="str">
        <f>IF(AND('Mapa final'!$AA$21="Alta",'Mapa final'!$AC$21="Catastrófico"),CONCATENATE("R3C",'Mapa final'!$Q$21),"")</f>
        <v/>
      </c>
      <c r="AL18" s="40" t="str">
        <f>IF(AND('Mapa final'!$AA$22="Alta",'Mapa final'!$AC$22="Catastrófico"),CONCATENATE("R3C",'Mapa final'!$Q$22),"")</f>
        <v/>
      </c>
      <c r="AM18" s="41" t="str">
        <f>IF(AND('Mapa final'!$AA$23="Alta",'Mapa final'!$AC$23="Catastrófico"),CONCATENATE("R3C",'Mapa final'!$Q$23),"")</f>
        <v/>
      </c>
      <c r="AN18" s="68"/>
      <c r="AO18" s="399"/>
      <c r="AP18" s="400"/>
      <c r="AQ18" s="400"/>
      <c r="AR18" s="400"/>
      <c r="AS18" s="400"/>
      <c r="AT18" s="401"/>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1:76" ht="15" customHeight="1" x14ac:dyDescent="0.25">
      <c r="A19" s="68"/>
      <c r="B19" s="348"/>
      <c r="C19" s="348"/>
      <c r="D19" s="349"/>
      <c r="E19" s="389"/>
      <c r="F19" s="390"/>
      <c r="G19" s="390"/>
      <c r="H19" s="390"/>
      <c r="I19" s="406"/>
      <c r="J19" s="52" t="str">
        <f>IF(AND('Mapa final'!$AA$24="Alta",'Mapa final'!$AC$24="Leve"),CONCATENATE("R4C",'Mapa final'!$Q$24),"")</f>
        <v/>
      </c>
      <c r="K19" s="53" t="str">
        <f>IF(AND('Mapa final'!$AA$25="Alta",'Mapa final'!$AC$25="Leve"),CONCATENATE("R4C",'Mapa final'!$Q$25),"")</f>
        <v/>
      </c>
      <c r="L19" s="53" t="str">
        <f>IF(AND('Mapa final'!$AA$26="Alta",'Mapa final'!$AC$26="Leve"),CONCATENATE("R4C",'Mapa final'!$Q$26),"")</f>
        <v/>
      </c>
      <c r="M19" s="53" t="str">
        <f>IF(AND('Mapa final'!$AA$27="Alta",'Mapa final'!$AC$27="Leve"),CONCATENATE("R4C",'Mapa final'!$Q$27),"")</f>
        <v/>
      </c>
      <c r="N19" s="53" t="str">
        <f>IF(AND('Mapa final'!$AA$28="Alta",'Mapa final'!$AC$28="Leve"),CONCATENATE("R4C",'Mapa final'!$Q$28),"")</f>
        <v/>
      </c>
      <c r="O19" s="54" t="str">
        <f>IF(AND('Mapa final'!$AA$29="Alta",'Mapa final'!$AC$29="Leve"),CONCATENATE("R4C",'Mapa final'!$Q$29),"")</f>
        <v/>
      </c>
      <c r="P19" s="52" t="str">
        <f>IF(AND('Mapa final'!$AA$24="Alta",'Mapa final'!$AC$24="Menor"),CONCATENATE("R4C",'Mapa final'!$Q$24),"")</f>
        <v/>
      </c>
      <c r="Q19" s="53" t="str">
        <f>IF(AND('Mapa final'!$AA$25="Alta",'Mapa final'!$AC$25="Menor"),CONCATENATE("R4C",'Mapa final'!$Q$25),"")</f>
        <v/>
      </c>
      <c r="R19" s="53" t="str">
        <f>IF(AND('Mapa final'!$AA$26="Alta",'Mapa final'!$AC$26="Menor"),CONCATENATE("R4C",'Mapa final'!$Q$26),"")</f>
        <v/>
      </c>
      <c r="S19" s="53" t="str">
        <f>IF(AND('Mapa final'!$AA$27="Alta",'Mapa final'!$AC$27="Menor"),CONCATENATE("R4C",'Mapa final'!$Q$27),"")</f>
        <v/>
      </c>
      <c r="T19" s="53" t="str">
        <f>IF(AND('Mapa final'!$AA$28="Alta",'Mapa final'!$AC$28="Menor"),CONCATENATE("R4C",'Mapa final'!$Q$28),"")</f>
        <v/>
      </c>
      <c r="U19" s="54" t="str">
        <f>IF(AND('Mapa final'!$AA$29="Alta",'Mapa final'!$AC$29="Menor"),CONCATENATE("R4C",'Mapa final'!$Q$29),"")</f>
        <v/>
      </c>
      <c r="V19" s="36" t="str">
        <f>IF(AND('Mapa final'!$AA$24="Alta",'Mapa final'!$AC$24="Moderado"),CONCATENATE("R4C",'Mapa final'!$Q$24),"")</f>
        <v/>
      </c>
      <c r="W19" s="37" t="str">
        <f>IF(AND('Mapa final'!$AA$25="Alta",'Mapa final'!$AC$25="Moderado"),CONCATENATE("R4C",'Mapa final'!$Q$25),"")</f>
        <v/>
      </c>
      <c r="X19" s="42" t="str">
        <f>IF(AND('Mapa final'!$AA$26="Alta",'Mapa final'!$AC$26="Moderado"),CONCATENATE("R4C",'Mapa final'!$Q$26),"")</f>
        <v/>
      </c>
      <c r="Y19" s="42" t="str">
        <f>IF(AND('Mapa final'!$AA$27="Alta",'Mapa final'!$AC$27="Moderado"),CONCATENATE("R4C",'Mapa final'!$Q$27),"")</f>
        <v/>
      </c>
      <c r="Z19" s="42" t="str">
        <f>IF(AND('Mapa final'!$AA$28="Alta",'Mapa final'!$AC$28="Moderado"),CONCATENATE("R4C",'Mapa final'!$Q$28),"")</f>
        <v/>
      </c>
      <c r="AA19" s="38" t="str">
        <f>IF(AND('Mapa final'!$AA$29="Alta",'Mapa final'!$AC$29="Moderado"),CONCATENATE("R4C",'Mapa final'!$Q$29),"")</f>
        <v/>
      </c>
      <c r="AB19" s="36" t="str">
        <f>IF(AND('Mapa final'!$AA$24="Alta",'Mapa final'!$AC$24="Mayor"),CONCATENATE("R4C",'Mapa final'!$Q$24),"")</f>
        <v/>
      </c>
      <c r="AC19" s="37" t="str">
        <f>IF(AND('Mapa final'!$AA$25="Alta",'Mapa final'!$AC$25="Mayor"),CONCATENATE("R4C",'Mapa final'!$Q$25),"")</f>
        <v/>
      </c>
      <c r="AD19" s="42" t="str">
        <f>IF(AND('Mapa final'!$AA$26="Alta",'Mapa final'!$AC$26="Mayor"),CONCATENATE("R4C",'Mapa final'!$Q$26),"")</f>
        <v/>
      </c>
      <c r="AE19" s="42" t="str">
        <f>IF(AND('Mapa final'!$AA$27="Alta",'Mapa final'!$AC$27="Mayor"),CONCATENATE("R4C",'Mapa final'!$Q$27),"")</f>
        <v/>
      </c>
      <c r="AF19" s="42" t="str">
        <f>IF(AND('Mapa final'!$AA$28="Alta",'Mapa final'!$AC$28="Mayor"),CONCATENATE("R4C",'Mapa final'!$Q$28),"")</f>
        <v/>
      </c>
      <c r="AG19" s="38" t="str">
        <f>IF(AND('Mapa final'!$AA$29="Alta",'Mapa final'!$AC$29="Mayor"),CONCATENATE("R4C",'Mapa final'!$Q$29),"")</f>
        <v/>
      </c>
      <c r="AH19" s="39" t="str">
        <f>IF(AND('Mapa final'!$AA$24="Alta",'Mapa final'!$AC$24="Catastrófico"),CONCATENATE("R4C",'Mapa final'!$Q$24),"")</f>
        <v/>
      </c>
      <c r="AI19" s="40" t="str">
        <f>IF(AND('Mapa final'!$AA$25="Alta",'Mapa final'!$AC$25="Catastrófico"),CONCATENATE("R4C",'Mapa final'!$Q$25),"")</f>
        <v/>
      </c>
      <c r="AJ19" s="40" t="str">
        <f>IF(AND('Mapa final'!$AA$26="Alta",'Mapa final'!$AC$26="Catastrófico"),CONCATENATE("R4C",'Mapa final'!$Q$26),"")</f>
        <v/>
      </c>
      <c r="AK19" s="40" t="str">
        <f>IF(AND('Mapa final'!$AA$27="Alta",'Mapa final'!$AC$27="Catastrófico"),CONCATENATE("R4C",'Mapa final'!$Q$27),"")</f>
        <v/>
      </c>
      <c r="AL19" s="40" t="str">
        <f>IF(AND('Mapa final'!$AA$28="Alta",'Mapa final'!$AC$28="Catastrófico"),CONCATENATE("R4C",'Mapa final'!$Q$28),"")</f>
        <v/>
      </c>
      <c r="AM19" s="41" t="str">
        <f>IF(AND('Mapa final'!$AA$29="Alta",'Mapa final'!$AC$29="Catastrófico"),CONCATENATE("R4C",'Mapa final'!$Q$29),"")</f>
        <v/>
      </c>
      <c r="AN19" s="68"/>
      <c r="AO19" s="399"/>
      <c r="AP19" s="400"/>
      <c r="AQ19" s="400"/>
      <c r="AR19" s="400"/>
      <c r="AS19" s="400"/>
      <c r="AT19" s="401"/>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row>
    <row r="20" spans="1:76" ht="15" customHeight="1" x14ac:dyDescent="0.25">
      <c r="A20" s="68"/>
      <c r="B20" s="348"/>
      <c r="C20" s="348"/>
      <c r="D20" s="349"/>
      <c r="E20" s="389"/>
      <c r="F20" s="390"/>
      <c r="G20" s="390"/>
      <c r="H20" s="390"/>
      <c r="I20" s="406"/>
      <c r="J20" s="52" t="str">
        <f>IF(AND('Mapa final'!$AA$30="Alta",'Mapa final'!$AC$30="Leve"),CONCATENATE("R5C",'Mapa final'!$Q$30),"")</f>
        <v/>
      </c>
      <c r="K20" s="53" t="str">
        <f>IF(AND('Mapa final'!$AA$31="Alta",'Mapa final'!$AC$31="Leve"),CONCATENATE("R5C",'Mapa final'!$Q$31),"")</f>
        <v/>
      </c>
      <c r="L20" s="53" t="str">
        <f>IF(AND('Mapa final'!$AA$32="Alta",'Mapa final'!$AC$32="Leve"),CONCATENATE("R5C",'Mapa final'!$Q$32),"")</f>
        <v/>
      </c>
      <c r="M20" s="53" t="str">
        <f>IF(AND('Mapa final'!$AA$33="Alta",'Mapa final'!$AC$33="Leve"),CONCATENATE("R5C",'Mapa final'!$Q$33),"")</f>
        <v/>
      </c>
      <c r="N20" s="53" t="str">
        <f>IF(AND('Mapa final'!$AA$34="Alta",'Mapa final'!$AC$34="Leve"),CONCATENATE("R5C",'Mapa final'!$Q$34),"")</f>
        <v/>
      </c>
      <c r="O20" s="54" t="str">
        <f>IF(AND('Mapa final'!$AA$35="Alta",'Mapa final'!$AC$35="Leve"),CONCATENATE("R5C",'Mapa final'!$Q$35),"")</f>
        <v/>
      </c>
      <c r="P20" s="52" t="str">
        <f>IF(AND('Mapa final'!$AA$30="Alta",'Mapa final'!$AC$30="Menor"),CONCATENATE("R5C",'Mapa final'!$Q$30),"")</f>
        <v/>
      </c>
      <c r="Q20" s="53" t="str">
        <f>IF(AND('Mapa final'!$AA$31="Alta",'Mapa final'!$AC$31="Menor"),CONCATENATE("R5C",'Mapa final'!$Q$31),"")</f>
        <v/>
      </c>
      <c r="R20" s="53" t="str">
        <f>IF(AND('Mapa final'!$AA$32="Alta",'Mapa final'!$AC$32="Menor"),CONCATENATE("R5C",'Mapa final'!$Q$32),"")</f>
        <v/>
      </c>
      <c r="S20" s="53" t="str">
        <f>IF(AND('Mapa final'!$AA$33="Alta",'Mapa final'!$AC$33="Menor"),CONCATENATE("R5C",'Mapa final'!$Q$33),"")</f>
        <v/>
      </c>
      <c r="T20" s="53" t="str">
        <f>IF(AND('Mapa final'!$AA$34="Alta",'Mapa final'!$AC$34="Menor"),CONCATENATE("R5C",'Mapa final'!$Q$34),"")</f>
        <v/>
      </c>
      <c r="U20" s="54" t="str">
        <f>IF(AND('Mapa final'!$AA$35="Alta",'Mapa final'!$AC$35="Menor"),CONCATENATE("R5C",'Mapa final'!$Q$35),"")</f>
        <v/>
      </c>
      <c r="V20" s="36" t="str">
        <f>IF(AND('Mapa final'!$AA$30="Alta",'Mapa final'!$AC$30="Moderado"),CONCATENATE("R5C",'Mapa final'!$Q$30),"")</f>
        <v/>
      </c>
      <c r="W20" s="37" t="str">
        <f>IF(AND('Mapa final'!$AA$31="Alta",'Mapa final'!$AC$31="Moderado"),CONCATENATE("R5C",'Mapa final'!$Q$31),"")</f>
        <v/>
      </c>
      <c r="X20" s="42" t="str">
        <f>IF(AND('Mapa final'!$AA$32="Alta",'Mapa final'!$AC$32="Moderado"),CONCATENATE("R5C",'Mapa final'!$Q$32),"")</f>
        <v/>
      </c>
      <c r="Y20" s="42" t="str">
        <f>IF(AND('Mapa final'!$AA$33="Alta",'Mapa final'!$AC$33="Moderado"),CONCATENATE("R5C",'Mapa final'!$Q$33),"")</f>
        <v/>
      </c>
      <c r="Z20" s="42" t="str">
        <f>IF(AND('Mapa final'!$AA$34="Alta",'Mapa final'!$AC$34="Moderado"),CONCATENATE("R5C",'Mapa final'!$Q$34),"")</f>
        <v/>
      </c>
      <c r="AA20" s="38" t="str">
        <f>IF(AND('Mapa final'!$AA$35="Alta",'Mapa final'!$AC$35="Moderado"),CONCATENATE("R5C",'Mapa final'!$Q$35),"")</f>
        <v/>
      </c>
      <c r="AB20" s="36" t="str">
        <f>IF(AND('Mapa final'!$AA$30="Alta",'Mapa final'!$AC$30="Mayor"),CONCATENATE("R5C",'Mapa final'!$Q$30),"")</f>
        <v/>
      </c>
      <c r="AC20" s="37" t="str">
        <f>IF(AND('Mapa final'!$AA$31="Alta",'Mapa final'!$AC$31="Mayor"),CONCATENATE("R5C",'Mapa final'!$Q$31),"")</f>
        <v/>
      </c>
      <c r="AD20" s="42" t="str">
        <f>IF(AND('Mapa final'!$AA$32="Alta",'Mapa final'!$AC$32="Mayor"),CONCATENATE("R5C",'Mapa final'!$Q$32),"")</f>
        <v/>
      </c>
      <c r="AE20" s="42" t="str">
        <f>IF(AND('Mapa final'!$AA$33="Alta",'Mapa final'!$AC$33="Mayor"),CONCATENATE("R5C",'Mapa final'!$Q$33),"")</f>
        <v/>
      </c>
      <c r="AF20" s="42" t="str">
        <f>IF(AND('Mapa final'!$AA$34="Alta",'Mapa final'!$AC$34="Mayor"),CONCATENATE("R5C",'Mapa final'!$Q$34),"")</f>
        <v/>
      </c>
      <c r="AG20" s="38" t="str">
        <f>IF(AND('Mapa final'!$AA$35="Alta",'Mapa final'!$AC$35="Mayor"),CONCATENATE("R5C",'Mapa final'!$Q$35),"")</f>
        <v/>
      </c>
      <c r="AH20" s="39" t="str">
        <f>IF(AND('Mapa final'!$AA$30="Alta",'Mapa final'!$AC$30="Catastrófico"),CONCATENATE("R5C",'Mapa final'!$Q$30),"")</f>
        <v/>
      </c>
      <c r="AI20" s="40" t="str">
        <f>IF(AND('Mapa final'!$AA$31="Alta",'Mapa final'!$AC$31="Catastrófico"),CONCATENATE("R5C",'Mapa final'!$Q$31),"")</f>
        <v/>
      </c>
      <c r="AJ20" s="40" t="str">
        <f>IF(AND('Mapa final'!$AA$32="Alta",'Mapa final'!$AC$32="Catastrófico"),CONCATENATE("R5C",'Mapa final'!$Q$32),"")</f>
        <v/>
      </c>
      <c r="AK20" s="40" t="str">
        <f>IF(AND('Mapa final'!$AA$33="Alta",'Mapa final'!$AC$33="Catastrófico"),CONCATENATE("R5C",'Mapa final'!$Q$33),"")</f>
        <v/>
      </c>
      <c r="AL20" s="40" t="str">
        <f>IF(AND('Mapa final'!$AA$34="Alta",'Mapa final'!$AC$34="Catastrófico"),CONCATENATE("R5C",'Mapa final'!$Q$34),"")</f>
        <v/>
      </c>
      <c r="AM20" s="41" t="str">
        <f>IF(AND('Mapa final'!$AA$35="Alta",'Mapa final'!$AC$35="Catastrófico"),CONCATENATE("R5C",'Mapa final'!$Q$35),"")</f>
        <v/>
      </c>
      <c r="AN20" s="68"/>
      <c r="AO20" s="399"/>
      <c r="AP20" s="400"/>
      <c r="AQ20" s="400"/>
      <c r="AR20" s="400"/>
      <c r="AS20" s="400"/>
      <c r="AT20" s="401"/>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row>
    <row r="21" spans="1:76" ht="15" customHeight="1" x14ac:dyDescent="0.25">
      <c r="A21" s="68"/>
      <c r="B21" s="348"/>
      <c r="C21" s="348"/>
      <c r="D21" s="349"/>
      <c r="E21" s="389"/>
      <c r="F21" s="390"/>
      <c r="G21" s="390"/>
      <c r="H21" s="390"/>
      <c r="I21" s="406"/>
      <c r="J21" s="52" t="str">
        <f>IF(AND('Mapa final'!$AA$36="Alta",'Mapa final'!$AC$36="Leve"),CONCATENATE("R6C",'Mapa final'!$Q$36),"")</f>
        <v/>
      </c>
      <c r="K21" s="53" t="str">
        <f>IF(AND('Mapa final'!$AA$37="Alta",'Mapa final'!$AC$37="Leve"),CONCATENATE("R6C",'Mapa final'!$Q$37),"")</f>
        <v/>
      </c>
      <c r="L21" s="53" t="str">
        <f>IF(AND('Mapa final'!$AA$38="Alta",'Mapa final'!$AC$38="Leve"),CONCATENATE("R6C",'Mapa final'!$Q$38),"")</f>
        <v/>
      </c>
      <c r="M21" s="53" t="str">
        <f>IF(AND('Mapa final'!$AA$39="Alta",'Mapa final'!$AC$39="Leve"),CONCATENATE("R6C",'Mapa final'!$Q$39),"")</f>
        <v/>
      </c>
      <c r="N21" s="53" t="str">
        <f>IF(AND('Mapa final'!$AA$40="Alta",'Mapa final'!$AC$40="Leve"),CONCATENATE("R6C",'Mapa final'!$Q$40),"")</f>
        <v/>
      </c>
      <c r="O21" s="54" t="str">
        <f>IF(AND('Mapa final'!$AA$41="Alta",'Mapa final'!$AC$41="Leve"),CONCATENATE("R6C",'Mapa final'!$Q$41),"")</f>
        <v/>
      </c>
      <c r="P21" s="52" t="str">
        <f>IF(AND('Mapa final'!$AA$36="Alta",'Mapa final'!$AC$36="Menor"),CONCATENATE("R6C",'Mapa final'!$Q$36),"")</f>
        <v/>
      </c>
      <c r="Q21" s="53" t="str">
        <f>IF(AND('Mapa final'!$AA$37="Alta",'Mapa final'!$AC$37="Menor"),CONCATENATE("R6C",'Mapa final'!$Q$37),"")</f>
        <v/>
      </c>
      <c r="R21" s="53" t="str">
        <f>IF(AND('Mapa final'!$AA$38="Alta",'Mapa final'!$AC$38="Menor"),CONCATENATE("R6C",'Mapa final'!$Q$38),"")</f>
        <v/>
      </c>
      <c r="S21" s="53" t="str">
        <f>IF(AND('Mapa final'!$AA$39="Alta",'Mapa final'!$AC$39="Menor"),CONCATENATE("R6C",'Mapa final'!$Q$39),"")</f>
        <v/>
      </c>
      <c r="T21" s="53" t="str">
        <f>IF(AND('Mapa final'!$AA$40="Alta",'Mapa final'!$AC$40="Menor"),CONCATENATE("R6C",'Mapa final'!$Q$40),"")</f>
        <v/>
      </c>
      <c r="U21" s="54" t="str">
        <f>IF(AND('Mapa final'!$AA$41="Alta",'Mapa final'!$AC$41="Menor"),CONCATENATE("R6C",'Mapa final'!$Q$41),"")</f>
        <v/>
      </c>
      <c r="V21" s="36" t="str">
        <f>IF(AND('Mapa final'!$AA$36="Alta",'Mapa final'!$AC$36="Moderado"),CONCATENATE("R6C",'Mapa final'!$Q$36),"")</f>
        <v/>
      </c>
      <c r="W21" s="37" t="str">
        <f>IF(AND('Mapa final'!$AA$37="Alta",'Mapa final'!$AC$37="Moderado"),CONCATENATE("R6C",'Mapa final'!$Q$37),"")</f>
        <v/>
      </c>
      <c r="X21" s="42" t="str">
        <f>IF(AND('Mapa final'!$AA$38="Alta",'Mapa final'!$AC$38="Moderado"),CONCATENATE("R6C",'Mapa final'!$Q$38),"")</f>
        <v/>
      </c>
      <c r="Y21" s="42" t="str">
        <f>IF(AND('Mapa final'!$AA$39="Alta",'Mapa final'!$AC$39="Moderado"),CONCATENATE("R6C",'Mapa final'!$Q$39),"")</f>
        <v/>
      </c>
      <c r="Z21" s="42" t="str">
        <f>IF(AND('Mapa final'!$AA$40="Alta",'Mapa final'!$AC$40="Moderado"),CONCATENATE("R6C",'Mapa final'!$Q$40),"")</f>
        <v/>
      </c>
      <c r="AA21" s="38" t="str">
        <f>IF(AND('Mapa final'!$AA$41="Alta",'Mapa final'!$AC$41="Moderado"),CONCATENATE("R6C",'Mapa final'!$Q$41),"")</f>
        <v/>
      </c>
      <c r="AB21" s="36" t="str">
        <f>IF(AND('Mapa final'!$AA$36="Alta",'Mapa final'!$AC$36="Mayor"),CONCATENATE("R6C",'Mapa final'!$Q$36),"")</f>
        <v/>
      </c>
      <c r="AC21" s="37" t="str">
        <f>IF(AND('Mapa final'!$AA$37="Alta",'Mapa final'!$AC$37="Mayor"),CONCATENATE("R6C",'Mapa final'!$Q$37),"")</f>
        <v/>
      </c>
      <c r="AD21" s="42" t="str">
        <f>IF(AND('Mapa final'!$AA$38="Alta",'Mapa final'!$AC$38="Mayor"),CONCATENATE("R6C",'Mapa final'!$Q$38),"")</f>
        <v/>
      </c>
      <c r="AE21" s="42" t="str">
        <f>IF(AND('Mapa final'!$AA$39="Alta",'Mapa final'!$AC$39="Mayor"),CONCATENATE("R6C",'Mapa final'!$Q$39),"")</f>
        <v/>
      </c>
      <c r="AF21" s="42" t="str">
        <f>IF(AND('Mapa final'!$AA$40="Alta",'Mapa final'!$AC$40="Mayor"),CONCATENATE("R6C",'Mapa final'!$Q$40),"")</f>
        <v/>
      </c>
      <c r="AG21" s="38" t="str">
        <f>IF(AND('Mapa final'!$AA$41="Alta",'Mapa final'!$AC$41="Mayor"),CONCATENATE("R6C",'Mapa final'!$Q$41),"")</f>
        <v/>
      </c>
      <c r="AH21" s="39" t="str">
        <f>IF(AND('Mapa final'!$AA$36="Alta",'Mapa final'!$AC$36="Catastrófico"),CONCATENATE("R6C",'Mapa final'!$Q$36),"")</f>
        <v/>
      </c>
      <c r="AI21" s="40" t="str">
        <f>IF(AND('Mapa final'!$AA$37="Alta",'Mapa final'!$AC$37="Catastrófico"),CONCATENATE("R6C",'Mapa final'!$Q$37),"")</f>
        <v/>
      </c>
      <c r="AJ21" s="40" t="str">
        <f>IF(AND('Mapa final'!$AA$38="Alta",'Mapa final'!$AC$38="Catastrófico"),CONCATENATE("R6C",'Mapa final'!$Q$38),"")</f>
        <v/>
      </c>
      <c r="AK21" s="40" t="str">
        <f>IF(AND('Mapa final'!$AA$39="Alta",'Mapa final'!$AC$39="Catastrófico"),CONCATENATE("R6C",'Mapa final'!$Q$39),"")</f>
        <v/>
      </c>
      <c r="AL21" s="40" t="str">
        <f>IF(AND('Mapa final'!$AA$40="Alta",'Mapa final'!$AC$40="Catastrófico"),CONCATENATE("R6C",'Mapa final'!$Q$40),"")</f>
        <v/>
      </c>
      <c r="AM21" s="41" t="str">
        <f>IF(AND('Mapa final'!$AA$41="Alta",'Mapa final'!$AC$41="Catastrófico"),CONCATENATE("R6C",'Mapa final'!$Q$41),"")</f>
        <v/>
      </c>
      <c r="AN21" s="68"/>
      <c r="AO21" s="399"/>
      <c r="AP21" s="400"/>
      <c r="AQ21" s="400"/>
      <c r="AR21" s="400"/>
      <c r="AS21" s="400"/>
      <c r="AT21" s="401"/>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row>
    <row r="22" spans="1:76" ht="15" customHeight="1" x14ac:dyDescent="0.25">
      <c r="A22" s="68"/>
      <c r="B22" s="348"/>
      <c r="C22" s="348"/>
      <c r="D22" s="349"/>
      <c r="E22" s="389"/>
      <c r="F22" s="390"/>
      <c r="G22" s="390"/>
      <c r="H22" s="390"/>
      <c r="I22" s="406"/>
      <c r="J22" s="52" t="str">
        <f>IF(AND('Mapa final'!$AA$42="Alta",'Mapa final'!$AC$42="Leve"),CONCATENATE("R7C",'Mapa final'!$Q$42),"")</f>
        <v/>
      </c>
      <c r="K22" s="53" t="str">
        <f>IF(AND('Mapa final'!$AA$43="Alta",'Mapa final'!$AC$43="Leve"),CONCATENATE("R7C",'Mapa final'!$Q$43),"")</f>
        <v/>
      </c>
      <c r="L22" s="53" t="str">
        <f>IF(AND('Mapa final'!$AA$44="Alta",'Mapa final'!$AC$44="Leve"),CONCATENATE("R7C",'Mapa final'!$Q$44),"")</f>
        <v/>
      </c>
      <c r="M22" s="53" t="str">
        <f>IF(AND('Mapa final'!$AA$45="Alta",'Mapa final'!$AC$45="Leve"),CONCATENATE("R7C",'Mapa final'!$Q$45),"")</f>
        <v/>
      </c>
      <c r="N22" s="53" t="str">
        <f>IF(AND('Mapa final'!$AA$46="Alta",'Mapa final'!$AC$46="Leve"),CONCATENATE("R7C",'Mapa final'!$Q$46),"")</f>
        <v/>
      </c>
      <c r="O22" s="54" t="str">
        <f>IF(AND('Mapa final'!$AA$47="Alta",'Mapa final'!$AC$47="Leve"),CONCATENATE("R7C",'Mapa final'!$Q$47),"")</f>
        <v/>
      </c>
      <c r="P22" s="52" t="str">
        <f>IF(AND('Mapa final'!$AA$42="Alta",'Mapa final'!$AC$42="Menor"),CONCATENATE("R7C",'Mapa final'!$Q$42),"")</f>
        <v/>
      </c>
      <c r="Q22" s="53" t="str">
        <f>IF(AND('Mapa final'!$AA$43="Alta",'Mapa final'!$AC$43="Menor"),CONCATENATE("R7C",'Mapa final'!$Q$43),"")</f>
        <v/>
      </c>
      <c r="R22" s="53" t="str">
        <f>IF(AND('Mapa final'!$AA$44="Alta",'Mapa final'!$AC$44="Menor"),CONCATENATE("R7C",'Mapa final'!$Q$44),"")</f>
        <v/>
      </c>
      <c r="S22" s="53" t="str">
        <f>IF(AND('Mapa final'!$AA$45="Alta",'Mapa final'!$AC$45="Menor"),CONCATENATE("R7C",'Mapa final'!$Q$45),"")</f>
        <v/>
      </c>
      <c r="T22" s="53" t="str">
        <f>IF(AND('Mapa final'!$AA$46="Alta",'Mapa final'!$AC$46="Menor"),CONCATENATE("R7C",'Mapa final'!$Q$46),"")</f>
        <v/>
      </c>
      <c r="U22" s="54" t="str">
        <f>IF(AND('Mapa final'!$AA$47="Alta",'Mapa final'!$AC$47="Menor"),CONCATENATE("R7C",'Mapa final'!$Q$47),"")</f>
        <v/>
      </c>
      <c r="V22" s="36" t="str">
        <f>IF(AND('Mapa final'!$AA$42="Alta",'Mapa final'!$AC$42="Moderado"),CONCATENATE("R7C",'Mapa final'!$Q$42),"")</f>
        <v/>
      </c>
      <c r="W22" s="37" t="str">
        <f>IF(AND('Mapa final'!$AA$43="Alta",'Mapa final'!$AC$43="Moderado"),CONCATENATE("R7C",'Mapa final'!$Q$43),"")</f>
        <v/>
      </c>
      <c r="X22" s="42" t="str">
        <f>IF(AND('Mapa final'!$AA$44="Alta",'Mapa final'!$AC$44="Moderado"),CONCATENATE("R7C",'Mapa final'!$Q$44),"")</f>
        <v/>
      </c>
      <c r="Y22" s="42" t="str">
        <f>IF(AND('Mapa final'!$AA$45="Alta",'Mapa final'!$AC$45="Moderado"),CONCATENATE("R7C",'Mapa final'!$Q$45),"")</f>
        <v/>
      </c>
      <c r="Z22" s="42" t="str">
        <f>IF(AND('Mapa final'!$AA$46="Alta",'Mapa final'!$AC$46="Moderado"),CONCATENATE("R7C",'Mapa final'!$Q$46),"")</f>
        <v/>
      </c>
      <c r="AA22" s="38" t="str">
        <f>IF(AND('Mapa final'!$AA$47="Alta",'Mapa final'!$AC$47="Moderado"),CONCATENATE("R7C",'Mapa final'!$Q$47),"")</f>
        <v/>
      </c>
      <c r="AB22" s="36" t="str">
        <f>IF(AND('Mapa final'!$AA$42="Alta",'Mapa final'!$AC$42="Mayor"),CONCATENATE("R7C",'Mapa final'!$Q$42),"")</f>
        <v/>
      </c>
      <c r="AC22" s="37" t="str">
        <f>IF(AND('Mapa final'!$AA$43="Alta",'Mapa final'!$AC$43="Mayor"),CONCATENATE("R7C",'Mapa final'!$Q$43),"")</f>
        <v/>
      </c>
      <c r="AD22" s="42" t="str">
        <f>IF(AND('Mapa final'!$AA$44="Alta",'Mapa final'!$AC$44="Mayor"),CONCATENATE("R7C",'Mapa final'!$Q$44),"")</f>
        <v/>
      </c>
      <c r="AE22" s="42" t="str">
        <f>IF(AND('Mapa final'!$AA$45="Alta",'Mapa final'!$AC$45="Mayor"),CONCATENATE("R7C",'Mapa final'!$Q$45),"")</f>
        <v/>
      </c>
      <c r="AF22" s="42" t="str">
        <f>IF(AND('Mapa final'!$AA$46="Alta",'Mapa final'!$AC$46="Mayor"),CONCATENATE("R7C",'Mapa final'!$Q$46),"")</f>
        <v/>
      </c>
      <c r="AG22" s="38" t="str">
        <f>IF(AND('Mapa final'!$AA$47="Alta",'Mapa final'!$AC$47="Mayor"),CONCATENATE("R7C",'Mapa final'!$Q$47),"")</f>
        <v/>
      </c>
      <c r="AH22" s="39" t="str">
        <f>IF(AND('Mapa final'!$AA$42="Alta",'Mapa final'!$AC$42="Catastrófico"),CONCATENATE("R7C",'Mapa final'!$Q$42),"")</f>
        <v/>
      </c>
      <c r="AI22" s="40" t="str">
        <f>IF(AND('Mapa final'!$AA$43="Alta",'Mapa final'!$AC$43="Catastrófico"),CONCATENATE("R7C",'Mapa final'!$Q$43),"")</f>
        <v/>
      </c>
      <c r="AJ22" s="40" t="str">
        <f>IF(AND('Mapa final'!$AA$44="Alta",'Mapa final'!$AC$44="Catastrófico"),CONCATENATE("R7C",'Mapa final'!$Q$44),"")</f>
        <v/>
      </c>
      <c r="AK22" s="40" t="str">
        <f>IF(AND('Mapa final'!$AA$45="Alta",'Mapa final'!$AC$45="Catastrófico"),CONCATENATE("R7C",'Mapa final'!$Q$45),"")</f>
        <v/>
      </c>
      <c r="AL22" s="40" t="str">
        <f>IF(AND('Mapa final'!$AA$46="Alta",'Mapa final'!$AC$46="Catastrófico"),CONCATENATE("R7C",'Mapa final'!$Q$46),"")</f>
        <v/>
      </c>
      <c r="AM22" s="41" t="str">
        <f>IF(AND('Mapa final'!$AA$47="Alta",'Mapa final'!$AC$47="Catastrófico"),CONCATENATE("R7C",'Mapa final'!$Q$47),"")</f>
        <v/>
      </c>
      <c r="AN22" s="68"/>
      <c r="AO22" s="399"/>
      <c r="AP22" s="400"/>
      <c r="AQ22" s="400"/>
      <c r="AR22" s="400"/>
      <c r="AS22" s="400"/>
      <c r="AT22" s="401"/>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row>
    <row r="23" spans="1:76" ht="15" customHeight="1" x14ac:dyDescent="0.25">
      <c r="A23" s="68"/>
      <c r="B23" s="348"/>
      <c r="C23" s="348"/>
      <c r="D23" s="349"/>
      <c r="E23" s="389"/>
      <c r="F23" s="390"/>
      <c r="G23" s="390"/>
      <c r="H23" s="390"/>
      <c r="I23" s="406"/>
      <c r="J23" s="52" t="str">
        <f>IF(AND('Mapa final'!$AA$48="Alta",'Mapa final'!$AC$48="Leve"),CONCATENATE("R8C",'Mapa final'!$Q$48),"")</f>
        <v/>
      </c>
      <c r="K23" s="53" t="str">
        <f>IF(AND('Mapa final'!$AA$49="Alta",'Mapa final'!$AC$49="Leve"),CONCATENATE("R8C",'Mapa final'!$Q$49),"")</f>
        <v/>
      </c>
      <c r="L23" s="53" t="str">
        <f>IF(AND('Mapa final'!$AA$50="Alta",'Mapa final'!$AC$50="Leve"),CONCATENATE("R8C",'Mapa final'!$Q$50),"")</f>
        <v/>
      </c>
      <c r="M23" s="53" t="str">
        <f>IF(AND('Mapa final'!$AA$51="Alta",'Mapa final'!$AC$51="Leve"),CONCATENATE("R8C",'Mapa final'!$Q$51),"")</f>
        <v/>
      </c>
      <c r="N23" s="53" t="str">
        <f>IF(AND('Mapa final'!$AA$52="Alta",'Mapa final'!$AC$52="Leve"),CONCATENATE("R8C",'Mapa final'!$Q$52),"")</f>
        <v/>
      </c>
      <c r="O23" s="54" t="str">
        <f>IF(AND('Mapa final'!$AA$53="Alta",'Mapa final'!$AC$53="Leve"),CONCATENATE("R8C",'Mapa final'!$Q$53),"")</f>
        <v/>
      </c>
      <c r="P23" s="52" t="str">
        <f>IF(AND('Mapa final'!$AA$48="Alta",'Mapa final'!$AC$48="Menor"),CONCATENATE("R8C",'Mapa final'!$Q$48),"")</f>
        <v/>
      </c>
      <c r="Q23" s="53" t="str">
        <f>IF(AND('Mapa final'!$AA$49="Alta",'Mapa final'!$AC$49="Menor"),CONCATENATE("R8C",'Mapa final'!$Q$49),"")</f>
        <v/>
      </c>
      <c r="R23" s="53" t="str">
        <f>IF(AND('Mapa final'!$AA$50="Alta",'Mapa final'!$AC$50="Menor"),CONCATENATE("R8C",'Mapa final'!$Q$50),"")</f>
        <v/>
      </c>
      <c r="S23" s="53" t="str">
        <f>IF(AND('Mapa final'!$AA$51="Alta",'Mapa final'!$AC$51="Menor"),CONCATENATE("R8C",'Mapa final'!$Q$51),"")</f>
        <v/>
      </c>
      <c r="T23" s="53" t="str">
        <f>IF(AND('Mapa final'!$AA$52="Alta",'Mapa final'!$AC$52="Menor"),CONCATENATE("R8C",'Mapa final'!$Q$52),"")</f>
        <v/>
      </c>
      <c r="U23" s="54" t="str">
        <f>IF(AND('Mapa final'!$AA$53="Alta",'Mapa final'!$AC$53="Menor"),CONCATENATE("R8C",'Mapa final'!$Q$53),"")</f>
        <v/>
      </c>
      <c r="V23" s="36" t="str">
        <f>IF(AND('Mapa final'!$AA$48="Alta",'Mapa final'!$AC$48="Moderado"),CONCATENATE("R8C",'Mapa final'!$Q$48),"")</f>
        <v/>
      </c>
      <c r="W23" s="37" t="str">
        <f>IF(AND('Mapa final'!$AA$49="Alta",'Mapa final'!$AC$49="Moderado"),CONCATENATE("R8C",'Mapa final'!$Q$49),"")</f>
        <v/>
      </c>
      <c r="X23" s="42" t="str">
        <f>IF(AND('Mapa final'!$AA$50="Alta",'Mapa final'!$AC$50="Moderado"),CONCATENATE("R8C",'Mapa final'!$Q$50),"")</f>
        <v/>
      </c>
      <c r="Y23" s="42" t="str">
        <f>IF(AND('Mapa final'!$AA$51="Alta",'Mapa final'!$AC$51="Moderado"),CONCATENATE("R8C",'Mapa final'!$Q$51),"")</f>
        <v/>
      </c>
      <c r="Z23" s="42" t="str">
        <f>IF(AND('Mapa final'!$AA$52="Alta",'Mapa final'!$AC$52="Moderado"),CONCATENATE("R8C",'Mapa final'!$Q$52),"")</f>
        <v/>
      </c>
      <c r="AA23" s="38" t="str">
        <f>IF(AND('Mapa final'!$AA$53="Alta",'Mapa final'!$AC$53="Moderado"),CONCATENATE("R8C",'Mapa final'!$Q$53),"")</f>
        <v/>
      </c>
      <c r="AB23" s="36" t="str">
        <f>IF(AND('Mapa final'!$AA$48="Alta",'Mapa final'!$AC$48="Mayor"),CONCATENATE("R8C",'Mapa final'!$Q$48),"")</f>
        <v/>
      </c>
      <c r="AC23" s="37" t="str">
        <f>IF(AND('Mapa final'!$AA$49="Alta",'Mapa final'!$AC$49="Mayor"),CONCATENATE("R8C",'Mapa final'!$Q$49),"")</f>
        <v/>
      </c>
      <c r="AD23" s="42" t="str">
        <f>IF(AND('Mapa final'!$AA$50="Alta",'Mapa final'!$AC$50="Mayor"),CONCATENATE("R8C",'Mapa final'!$Q$50),"")</f>
        <v/>
      </c>
      <c r="AE23" s="42" t="str">
        <f>IF(AND('Mapa final'!$AA$51="Alta",'Mapa final'!$AC$51="Mayor"),CONCATENATE("R8C",'Mapa final'!$Q$51),"")</f>
        <v/>
      </c>
      <c r="AF23" s="42" t="str">
        <f>IF(AND('Mapa final'!$AA$52="Alta",'Mapa final'!$AC$52="Mayor"),CONCATENATE("R8C",'Mapa final'!$Q$52),"")</f>
        <v/>
      </c>
      <c r="AG23" s="38" t="str">
        <f>IF(AND('Mapa final'!$AA$53="Alta",'Mapa final'!$AC$53="Mayor"),CONCATENATE("R8C",'Mapa final'!$Q$53),"")</f>
        <v/>
      </c>
      <c r="AH23" s="39" t="str">
        <f>IF(AND('Mapa final'!$AA$48="Alta",'Mapa final'!$AC$48="Catastrófico"),CONCATENATE("R8C",'Mapa final'!$Q$48),"")</f>
        <v/>
      </c>
      <c r="AI23" s="40" t="str">
        <f>IF(AND('Mapa final'!$AA$49="Alta",'Mapa final'!$AC$49="Catastrófico"),CONCATENATE("R8C",'Mapa final'!$Q$49),"")</f>
        <v/>
      </c>
      <c r="AJ23" s="40" t="str">
        <f>IF(AND('Mapa final'!$AA$50="Alta",'Mapa final'!$AC$50="Catastrófico"),CONCATENATE("R8C",'Mapa final'!$Q$50),"")</f>
        <v/>
      </c>
      <c r="AK23" s="40" t="str">
        <f>IF(AND('Mapa final'!$AA$51="Alta",'Mapa final'!$AC$51="Catastrófico"),CONCATENATE("R8C",'Mapa final'!$Q$51),"")</f>
        <v/>
      </c>
      <c r="AL23" s="40" t="str">
        <f>IF(AND('Mapa final'!$AA$52="Alta",'Mapa final'!$AC$52="Catastrófico"),CONCATENATE("R8C",'Mapa final'!$Q$52),"")</f>
        <v/>
      </c>
      <c r="AM23" s="41" t="str">
        <f>IF(AND('Mapa final'!$AA$53="Alta",'Mapa final'!$AC$53="Catastrófico"),CONCATENATE("R8C",'Mapa final'!$Q$53),"")</f>
        <v/>
      </c>
      <c r="AN23" s="68"/>
      <c r="AO23" s="399"/>
      <c r="AP23" s="400"/>
      <c r="AQ23" s="400"/>
      <c r="AR23" s="400"/>
      <c r="AS23" s="400"/>
      <c r="AT23" s="401"/>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row>
    <row r="24" spans="1:76" ht="15" customHeight="1" x14ac:dyDescent="0.25">
      <c r="A24" s="68"/>
      <c r="B24" s="348"/>
      <c r="C24" s="348"/>
      <c r="D24" s="349"/>
      <c r="E24" s="389"/>
      <c r="F24" s="390"/>
      <c r="G24" s="390"/>
      <c r="H24" s="390"/>
      <c r="I24" s="406"/>
      <c r="J24" s="52" t="str">
        <f>IF(AND('Mapa final'!$AA$54="Alta",'Mapa final'!$AC$54="Leve"),CONCATENATE("R9C",'Mapa final'!$Q$54),"")</f>
        <v/>
      </c>
      <c r="K24" s="53" t="str">
        <f>IF(AND('Mapa final'!$AA$55="Alta",'Mapa final'!$AC$55="Leve"),CONCATENATE("R9C",'Mapa final'!$Q$55),"")</f>
        <v/>
      </c>
      <c r="L24" s="53" t="str">
        <f>IF(AND('Mapa final'!$AA$56="Alta",'Mapa final'!$AC$56="Leve"),CONCATENATE("R9C",'Mapa final'!$Q$56),"")</f>
        <v/>
      </c>
      <c r="M24" s="53" t="str">
        <f>IF(AND('Mapa final'!$AA$57="Alta",'Mapa final'!$AC$57="Leve"),CONCATENATE("R9C",'Mapa final'!$Q$57),"")</f>
        <v/>
      </c>
      <c r="N24" s="53" t="str">
        <f>IF(AND('Mapa final'!$AA$58="Alta",'Mapa final'!$AC$58="Leve"),CONCATENATE("R9C",'Mapa final'!$Q$58),"")</f>
        <v/>
      </c>
      <c r="O24" s="54" t="str">
        <f>IF(AND('Mapa final'!$AA$59="Alta",'Mapa final'!$AC$59="Leve"),CONCATENATE("R9C",'Mapa final'!$Q$59),"")</f>
        <v/>
      </c>
      <c r="P24" s="52" t="str">
        <f>IF(AND('Mapa final'!$AA$54="Alta",'Mapa final'!$AC$54="Menor"),CONCATENATE("R9C",'Mapa final'!$Q$54),"")</f>
        <v/>
      </c>
      <c r="Q24" s="53" t="str">
        <f>IF(AND('Mapa final'!$AA$55="Alta",'Mapa final'!$AC$55="Menor"),CONCATENATE("R9C",'Mapa final'!$Q$55),"")</f>
        <v/>
      </c>
      <c r="R24" s="53" t="str">
        <f>IF(AND('Mapa final'!$AA$56="Alta",'Mapa final'!$AC$56="Menor"),CONCATENATE("R9C",'Mapa final'!$Q$56),"")</f>
        <v/>
      </c>
      <c r="S24" s="53" t="str">
        <f>IF(AND('Mapa final'!$AA$57="Alta",'Mapa final'!$AC$57="Menor"),CONCATENATE("R9C",'Mapa final'!$Q$57),"")</f>
        <v/>
      </c>
      <c r="T24" s="53" t="str">
        <f>IF(AND('Mapa final'!$AA$58="Alta",'Mapa final'!$AC$58="Menor"),CONCATENATE("R9C",'Mapa final'!$Q$58),"")</f>
        <v/>
      </c>
      <c r="U24" s="54" t="str">
        <f>IF(AND('Mapa final'!$AA$59="Alta",'Mapa final'!$AC$59="Menor"),CONCATENATE("R9C",'Mapa final'!$Q$59),"")</f>
        <v/>
      </c>
      <c r="V24" s="36" t="str">
        <f>IF(AND('Mapa final'!$AA$54="Alta",'Mapa final'!$AC$54="Moderado"),CONCATENATE("R9C",'Mapa final'!$Q$54),"")</f>
        <v/>
      </c>
      <c r="W24" s="37" t="str">
        <f>IF(AND('Mapa final'!$AA$55="Alta",'Mapa final'!$AC$55="Moderado"),CONCATENATE("R9C",'Mapa final'!$Q$55),"")</f>
        <v/>
      </c>
      <c r="X24" s="42" t="str">
        <f>IF(AND('Mapa final'!$AA$56="Alta",'Mapa final'!$AC$56="Moderado"),CONCATENATE("R9C",'Mapa final'!$Q$56),"")</f>
        <v/>
      </c>
      <c r="Y24" s="42" t="str">
        <f>IF(AND('Mapa final'!$AA$57="Alta",'Mapa final'!$AC$57="Moderado"),CONCATENATE("R9C",'Mapa final'!$Q$57),"")</f>
        <v/>
      </c>
      <c r="Z24" s="42" t="str">
        <f>IF(AND('Mapa final'!$AA$58="Alta",'Mapa final'!$AC$58="Moderado"),CONCATENATE("R9C",'Mapa final'!$Q$58),"")</f>
        <v/>
      </c>
      <c r="AA24" s="38" t="str">
        <f>IF(AND('Mapa final'!$AA$59="Alta",'Mapa final'!$AC$59="Moderado"),CONCATENATE("R9C",'Mapa final'!$Q$59),"")</f>
        <v/>
      </c>
      <c r="AB24" s="36" t="str">
        <f>IF(AND('Mapa final'!$AA$54="Alta",'Mapa final'!$AC$54="Mayor"),CONCATENATE("R9C",'Mapa final'!$Q$54),"")</f>
        <v/>
      </c>
      <c r="AC24" s="37" t="str">
        <f>IF(AND('Mapa final'!$AA$55="Alta",'Mapa final'!$AC$55="Mayor"),CONCATENATE("R9C",'Mapa final'!$Q$55),"")</f>
        <v/>
      </c>
      <c r="AD24" s="42" t="str">
        <f>IF(AND('Mapa final'!$AA$56="Alta",'Mapa final'!$AC$56="Mayor"),CONCATENATE("R9C",'Mapa final'!$Q$56),"")</f>
        <v/>
      </c>
      <c r="AE24" s="42" t="str">
        <f>IF(AND('Mapa final'!$AA$57="Alta",'Mapa final'!$AC$57="Mayor"),CONCATENATE("R9C",'Mapa final'!$Q$57),"")</f>
        <v/>
      </c>
      <c r="AF24" s="42" t="str">
        <f>IF(AND('Mapa final'!$AA$58="Alta",'Mapa final'!$AC$58="Mayor"),CONCATENATE("R9C",'Mapa final'!$Q$58),"")</f>
        <v/>
      </c>
      <c r="AG24" s="38" t="str">
        <f>IF(AND('Mapa final'!$AA$59="Alta",'Mapa final'!$AC$59="Mayor"),CONCATENATE("R9C",'Mapa final'!$Q$59),"")</f>
        <v/>
      </c>
      <c r="AH24" s="39" t="str">
        <f>IF(AND('Mapa final'!$AA$54="Alta",'Mapa final'!$AC$54="Catastrófico"),CONCATENATE("R9C",'Mapa final'!$Q$54),"")</f>
        <v/>
      </c>
      <c r="AI24" s="40" t="str">
        <f>IF(AND('Mapa final'!$AA$55="Alta",'Mapa final'!$AC$55="Catastrófico"),CONCATENATE("R9C",'Mapa final'!$Q$55),"")</f>
        <v/>
      </c>
      <c r="AJ24" s="40" t="str">
        <f>IF(AND('Mapa final'!$AA$56="Alta",'Mapa final'!$AC$56="Catastrófico"),CONCATENATE("R9C",'Mapa final'!$Q$56),"")</f>
        <v/>
      </c>
      <c r="AK24" s="40" t="str">
        <f>IF(AND('Mapa final'!$AA$57="Alta",'Mapa final'!$AC$57="Catastrófico"),CONCATENATE("R9C",'Mapa final'!$Q$57),"")</f>
        <v/>
      </c>
      <c r="AL24" s="40" t="str">
        <f>IF(AND('Mapa final'!$AA$58="Alta",'Mapa final'!$AC$58="Catastrófico"),CONCATENATE("R9C",'Mapa final'!$Q$58),"")</f>
        <v/>
      </c>
      <c r="AM24" s="41" t="str">
        <f>IF(AND('Mapa final'!$AA$59="Alta",'Mapa final'!$AC$59="Catastrófico"),CONCATENATE("R9C",'Mapa final'!$Q$59),"")</f>
        <v/>
      </c>
      <c r="AN24" s="68"/>
      <c r="AO24" s="399"/>
      <c r="AP24" s="400"/>
      <c r="AQ24" s="400"/>
      <c r="AR24" s="400"/>
      <c r="AS24" s="400"/>
      <c r="AT24" s="401"/>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row>
    <row r="25" spans="1:76" ht="15.75" customHeight="1" thickBot="1" x14ac:dyDescent="0.3">
      <c r="A25" s="68"/>
      <c r="B25" s="348"/>
      <c r="C25" s="348"/>
      <c r="D25" s="349"/>
      <c r="E25" s="392"/>
      <c r="F25" s="393"/>
      <c r="G25" s="393"/>
      <c r="H25" s="393"/>
      <c r="I25" s="393"/>
      <c r="J25" s="55" t="str">
        <f>IF(AND('Mapa final'!$AA$60="Alta",'Mapa final'!$AC$60="Leve"),CONCATENATE("R10C",'Mapa final'!$Q$60),"")</f>
        <v/>
      </c>
      <c r="K25" s="56" t="str">
        <f>IF(AND('Mapa final'!$AA$61="Alta",'Mapa final'!$AC$61="Leve"),CONCATENATE("R10C",'Mapa final'!$Q$61),"")</f>
        <v/>
      </c>
      <c r="L25" s="56" t="str">
        <f>IF(AND('Mapa final'!$AA$62="Alta",'Mapa final'!$AC$62="Leve"),CONCATENATE("R10C",'Mapa final'!$Q$62),"")</f>
        <v/>
      </c>
      <c r="M25" s="56" t="str">
        <f>IF(AND('Mapa final'!$AA$63="Alta",'Mapa final'!$AC$63="Leve"),CONCATENATE("R10C",'Mapa final'!$Q$63),"")</f>
        <v/>
      </c>
      <c r="N25" s="56" t="str">
        <f>IF(AND('Mapa final'!$AA$64="Alta",'Mapa final'!$AC$64="Leve"),CONCATENATE("R10C",'Mapa final'!$Q$64),"")</f>
        <v/>
      </c>
      <c r="O25" s="57" t="str">
        <f>IF(AND('Mapa final'!$AA$65="Alta",'Mapa final'!$AC$65="Leve"),CONCATENATE("R10C",'Mapa final'!$Q$65),"")</f>
        <v/>
      </c>
      <c r="P25" s="55" t="str">
        <f>IF(AND('Mapa final'!$AA$60="Alta",'Mapa final'!$AC$60="Menor"),CONCATENATE("R10C",'Mapa final'!$Q$60),"")</f>
        <v/>
      </c>
      <c r="Q25" s="56" t="str">
        <f>IF(AND('Mapa final'!$AA$61="Alta",'Mapa final'!$AC$61="Menor"),CONCATENATE("R10C",'Mapa final'!$Q$61),"")</f>
        <v/>
      </c>
      <c r="R25" s="56" t="str">
        <f>IF(AND('Mapa final'!$AA$62="Alta",'Mapa final'!$AC$62="Menor"),CONCATENATE("R10C",'Mapa final'!$Q$62),"")</f>
        <v/>
      </c>
      <c r="S25" s="56" t="str">
        <f>IF(AND('Mapa final'!$AA$63="Alta",'Mapa final'!$AC$63="Menor"),CONCATENATE("R10C",'Mapa final'!$Q$63),"")</f>
        <v/>
      </c>
      <c r="T25" s="56" t="str">
        <f>IF(AND('Mapa final'!$AA$64="Alta",'Mapa final'!$AC$64="Menor"),CONCATENATE("R10C",'Mapa final'!$Q$64),"")</f>
        <v/>
      </c>
      <c r="U25" s="57" t="str">
        <f>IF(AND('Mapa final'!$AA$65="Alta",'Mapa final'!$AC$65="Menor"),CONCATENATE("R10C",'Mapa final'!$Q$65),"")</f>
        <v/>
      </c>
      <c r="V25" s="43" t="str">
        <f>IF(AND('Mapa final'!$AA$60="Alta",'Mapa final'!$AC$60="Moderado"),CONCATENATE("R10C",'Mapa final'!$Q$60),"")</f>
        <v/>
      </c>
      <c r="W25" s="44" t="str">
        <f>IF(AND('Mapa final'!$AA$61="Alta",'Mapa final'!$AC$61="Moderado"),CONCATENATE("R10C",'Mapa final'!$Q$61),"")</f>
        <v/>
      </c>
      <c r="X25" s="44" t="str">
        <f>IF(AND('Mapa final'!$AA$62="Alta",'Mapa final'!$AC$62="Moderado"),CONCATENATE("R10C",'Mapa final'!$Q$62),"")</f>
        <v/>
      </c>
      <c r="Y25" s="44" t="str">
        <f>IF(AND('Mapa final'!$AA$63="Alta",'Mapa final'!$AC$63="Moderado"),CONCATENATE("R10C",'Mapa final'!$Q$63),"")</f>
        <v/>
      </c>
      <c r="Z25" s="44" t="str">
        <f>IF(AND('Mapa final'!$AA$64="Alta",'Mapa final'!$AC$64="Moderado"),CONCATENATE("R10C",'Mapa final'!$Q$64),"")</f>
        <v/>
      </c>
      <c r="AA25" s="45" t="str">
        <f>IF(AND('Mapa final'!$AA$65="Alta",'Mapa final'!$AC$65="Moderado"),CONCATENATE("R10C",'Mapa final'!$Q$65),"")</f>
        <v/>
      </c>
      <c r="AB25" s="43" t="str">
        <f>IF(AND('Mapa final'!$AA$60="Alta",'Mapa final'!$AC$60="Mayor"),CONCATENATE("R10C",'Mapa final'!$Q$60),"")</f>
        <v/>
      </c>
      <c r="AC25" s="44" t="str">
        <f>IF(AND('Mapa final'!$AA$61="Alta",'Mapa final'!$AC$61="Mayor"),CONCATENATE("R10C",'Mapa final'!$Q$61),"")</f>
        <v/>
      </c>
      <c r="AD25" s="44" t="str">
        <f>IF(AND('Mapa final'!$AA$62="Alta",'Mapa final'!$AC$62="Mayor"),CONCATENATE("R10C",'Mapa final'!$Q$62),"")</f>
        <v/>
      </c>
      <c r="AE25" s="44" t="str">
        <f>IF(AND('Mapa final'!$AA$63="Alta",'Mapa final'!$AC$63="Mayor"),CONCATENATE("R10C",'Mapa final'!$Q$63),"")</f>
        <v/>
      </c>
      <c r="AF25" s="44" t="str">
        <f>IF(AND('Mapa final'!$AA$64="Alta",'Mapa final'!$AC$64="Mayor"),CONCATENATE("R10C",'Mapa final'!$Q$64),"")</f>
        <v/>
      </c>
      <c r="AG25" s="45" t="str">
        <f>IF(AND('Mapa final'!$AA$65="Alta",'Mapa final'!$AC$65="Mayor"),CONCATENATE("R10C",'Mapa final'!$Q$65),"")</f>
        <v/>
      </c>
      <c r="AH25" s="46" t="str">
        <f>IF(AND('Mapa final'!$AA$60="Alta",'Mapa final'!$AC$60="Catastrófico"),CONCATENATE("R10C",'Mapa final'!$Q$60),"")</f>
        <v/>
      </c>
      <c r="AI25" s="47" t="str">
        <f>IF(AND('Mapa final'!$AA$61="Alta",'Mapa final'!$AC$61="Catastrófico"),CONCATENATE("R10C",'Mapa final'!$Q$61),"")</f>
        <v/>
      </c>
      <c r="AJ25" s="47" t="str">
        <f>IF(AND('Mapa final'!$AA$62="Alta",'Mapa final'!$AC$62="Catastrófico"),CONCATENATE("R10C",'Mapa final'!$Q$62),"")</f>
        <v/>
      </c>
      <c r="AK25" s="47" t="str">
        <f>IF(AND('Mapa final'!$AA$63="Alta",'Mapa final'!$AC$63="Catastrófico"),CONCATENATE("R10C",'Mapa final'!$Q$63),"")</f>
        <v/>
      </c>
      <c r="AL25" s="47" t="str">
        <f>IF(AND('Mapa final'!$AA$64="Alta",'Mapa final'!$AC$64="Catastrófico"),CONCATENATE("R10C",'Mapa final'!$Q$64),"")</f>
        <v/>
      </c>
      <c r="AM25" s="48" t="str">
        <f>IF(AND('Mapa final'!$AA$65="Alta",'Mapa final'!$AC$65="Catastrófico"),CONCATENATE("R10C",'Mapa final'!$Q$65),"")</f>
        <v/>
      </c>
      <c r="AN25" s="68"/>
      <c r="AO25" s="402"/>
      <c r="AP25" s="403"/>
      <c r="AQ25" s="403"/>
      <c r="AR25" s="403"/>
      <c r="AS25" s="403"/>
      <c r="AT25" s="404"/>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row>
    <row r="26" spans="1:76" ht="15" customHeight="1" x14ac:dyDescent="0.25">
      <c r="A26" s="68"/>
      <c r="B26" s="348"/>
      <c r="C26" s="348"/>
      <c r="D26" s="349"/>
      <c r="E26" s="386" t="s">
        <v>112</v>
      </c>
      <c r="F26" s="387"/>
      <c r="G26" s="387"/>
      <c r="H26" s="387"/>
      <c r="I26" s="388"/>
      <c r="J26" s="49" t="str">
        <f ca="1">IF(AND('Mapa final'!$AA$10="Media",'Mapa final'!$AC$10="Leve"),CONCATENATE("R1C",'Mapa final'!$Q$10),"")</f>
        <v/>
      </c>
      <c r="K26" s="50" t="str">
        <f>IF(AND('Mapa final'!$AA$11="Media",'Mapa final'!$AC$11="Leve"),CONCATENATE("R1C",'Mapa final'!$Q$11),"")</f>
        <v/>
      </c>
      <c r="L26" s="50" t="str">
        <f>IF(AND('Mapa final'!$AA$12="Media",'Mapa final'!$AC$12="Leve"),CONCATENATE("R1C",'Mapa final'!$Q$12),"")</f>
        <v/>
      </c>
      <c r="M26" s="50" t="str">
        <f>IF(AND('Mapa final'!$AA$13="Media",'Mapa final'!$AC$13="Leve"),CONCATENATE("R1C",'Mapa final'!$Q$13),"")</f>
        <v/>
      </c>
      <c r="N26" s="50" t="e">
        <f>IF(AND('Mapa final'!#REF!="Media",'Mapa final'!#REF!="Leve"),CONCATENATE("R1C",'Mapa final'!#REF!),"")</f>
        <v>#REF!</v>
      </c>
      <c r="O26" s="51" t="e">
        <f>IF(AND('Mapa final'!#REF!="Media",'Mapa final'!#REF!="Leve"),CONCATENATE("R1C",'Mapa final'!#REF!),"")</f>
        <v>#REF!</v>
      </c>
      <c r="P26" s="49" t="str">
        <f ca="1">IF(AND('Mapa final'!$AA$10="Media",'Mapa final'!$AC$10="Menor"),CONCATENATE("R1C",'Mapa final'!$Q$10),"")</f>
        <v/>
      </c>
      <c r="Q26" s="50" t="str">
        <f>IF(AND('Mapa final'!$AA$11="Media",'Mapa final'!$AC$11="Menor"),CONCATENATE("R1C",'Mapa final'!$Q$11),"")</f>
        <v/>
      </c>
      <c r="R26" s="50" t="str">
        <f>IF(AND('Mapa final'!$AA$12="Media",'Mapa final'!$AC$12="Menor"),CONCATENATE("R1C",'Mapa final'!$Q$12),"")</f>
        <v/>
      </c>
      <c r="S26" s="50" t="str">
        <f>IF(AND('Mapa final'!$AA$13="Media",'Mapa final'!$AC$13="Menor"),CONCATENATE("R1C",'Mapa final'!$Q$13),"")</f>
        <v/>
      </c>
      <c r="T26" s="50" t="e">
        <f>IF(AND('Mapa final'!#REF!="Media",'Mapa final'!#REF!="Menor"),CONCATENATE("R1C",'Mapa final'!#REF!),"")</f>
        <v>#REF!</v>
      </c>
      <c r="U26" s="51" t="e">
        <f>IF(AND('Mapa final'!#REF!="Media",'Mapa final'!#REF!="Menor"),CONCATENATE("R1C",'Mapa final'!#REF!),"")</f>
        <v>#REF!</v>
      </c>
      <c r="V26" s="49" t="str">
        <f ca="1">IF(AND('Mapa final'!$AA$10="Media",'Mapa final'!$AC$10="Moderado"),CONCATENATE("R1C",'Mapa final'!$Q$10),"")</f>
        <v/>
      </c>
      <c r="W26" s="50" t="str">
        <f>IF(AND('Mapa final'!$AA$11="Media",'Mapa final'!$AC$11="Moderado"),CONCATENATE("R1C",'Mapa final'!$Q$11),"")</f>
        <v/>
      </c>
      <c r="X26" s="50" t="str">
        <f>IF(AND('Mapa final'!$AA$12="Media",'Mapa final'!$AC$12="Moderado"),CONCATENATE("R1C",'Mapa final'!$Q$12),"")</f>
        <v/>
      </c>
      <c r="Y26" s="50" t="str">
        <f>IF(AND('Mapa final'!$AA$13="Media",'Mapa final'!$AC$13="Moderado"),CONCATENATE("R1C",'Mapa final'!$Q$13),"")</f>
        <v/>
      </c>
      <c r="Z26" s="50" t="e">
        <f>IF(AND('Mapa final'!#REF!="Media",'Mapa final'!#REF!="Moderado"),CONCATENATE("R1C",'Mapa final'!#REF!),"")</f>
        <v>#REF!</v>
      </c>
      <c r="AA26" s="51" t="e">
        <f>IF(AND('Mapa final'!#REF!="Media",'Mapa final'!#REF!="Moderado"),CONCATENATE("R1C",'Mapa final'!#REF!),"")</f>
        <v>#REF!</v>
      </c>
      <c r="AB26" s="30" t="str">
        <f ca="1">IF(AND('Mapa final'!$AA$10="Media",'Mapa final'!$AC$10="Mayor"),CONCATENATE("R1C",'Mapa final'!$Q$10),"")</f>
        <v/>
      </c>
      <c r="AC26" s="31" t="str">
        <f>IF(AND('Mapa final'!$AA$11="Media",'Mapa final'!$AC$11="Mayor"),CONCATENATE("R1C",'Mapa final'!$Q$11),"")</f>
        <v/>
      </c>
      <c r="AD26" s="31" t="str">
        <f>IF(AND('Mapa final'!$AA$12="Media",'Mapa final'!$AC$12="Mayor"),CONCATENATE("R1C",'Mapa final'!$Q$12),"")</f>
        <v/>
      </c>
      <c r="AE26" s="31" t="str">
        <f>IF(AND('Mapa final'!$AA$13="Media",'Mapa final'!$AC$13="Mayor"),CONCATENATE("R1C",'Mapa final'!$Q$13),"")</f>
        <v/>
      </c>
      <c r="AF26" s="31" t="e">
        <f>IF(AND('Mapa final'!#REF!="Media",'Mapa final'!#REF!="Mayor"),CONCATENATE("R1C",'Mapa final'!#REF!),"")</f>
        <v>#REF!</v>
      </c>
      <c r="AG26" s="32" t="e">
        <f>IF(AND('Mapa final'!#REF!="Media",'Mapa final'!#REF!="Mayor"),CONCATENATE("R1C",'Mapa final'!#REF!),"")</f>
        <v>#REF!</v>
      </c>
      <c r="AH26" s="33" t="str">
        <f ca="1">IF(AND('Mapa final'!$AA$10="Media",'Mapa final'!$AC$10="Catastrófico"),CONCATENATE("R1C",'Mapa final'!$Q$10),"")</f>
        <v/>
      </c>
      <c r="AI26" s="34" t="str">
        <f>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e">
        <f>IF(AND('Mapa final'!#REF!="Media",'Mapa final'!#REF!="Catastrófico"),CONCATENATE("R1C",'Mapa final'!#REF!),"")</f>
        <v>#REF!</v>
      </c>
      <c r="AM26" s="35" t="e">
        <f>IF(AND('Mapa final'!#REF!="Media",'Mapa final'!#REF!="Catastrófico"),CONCATENATE("R1C",'Mapa final'!#REF!),"")</f>
        <v>#REF!</v>
      </c>
      <c r="AN26" s="68"/>
      <c r="AO26" s="427" t="s">
        <v>80</v>
      </c>
      <c r="AP26" s="428"/>
      <c r="AQ26" s="428"/>
      <c r="AR26" s="428"/>
      <c r="AS26" s="428"/>
      <c r="AT26" s="429"/>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row>
    <row r="27" spans="1:76" ht="15" customHeight="1" x14ac:dyDescent="0.25">
      <c r="A27" s="68"/>
      <c r="B27" s="348"/>
      <c r="C27" s="348"/>
      <c r="D27" s="349"/>
      <c r="E27" s="405"/>
      <c r="F27" s="406"/>
      <c r="G27" s="406"/>
      <c r="H27" s="406"/>
      <c r="I27" s="391"/>
      <c r="J27" s="52" t="str">
        <f ca="1">IF(AND('Mapa final'!$AA$14="Media",'Mapa final'!$AC$14="Leve"),CONCATENATE("R2C",'Mapa final'!$Q$14),"")</f>
        <v/>
      </c>
      <c r="K27" s="53" t="str">
        <f ca="1">IF(AND('Mapa final'!$AA$15="Media",'Mapa final'!$AC$15="Leve"),CONCATENATE("R2C",'Mapa final'!$Q$15),"")</f>
        <v/>
      </c>
      <c r="L27" s="53" t="str">
        <f ca="1">IF(AND('Mapa final'!$AA$16="Media",'Mapa final'!$AC$16="Leve"),CONCATENATE("R2C",'Mapa final'!$Q$16),"")</f>
        <v/>
      </c>
      <c r="M27" s="53" t="e">
        <f>IF(AND('Mapa final'!#REF!="Media",'Mapa final'!#REF!="Leve"),CONCATENATE("R2C",'Mapa final'!#REF!),"")</f>
        <v>#REF!</v>
      </c>
      <c r="N27" s="53" t="e">
        <f>IF(AND('Mapa final'!#REF!="Media",'Mapa final'!#REF!="Leve"),CONCATENATE("R2C",'Mapa final'!#REF!),"")</f>
        <v>#REF!</v>
      </c>
      <c r="O27" s="54" t="str">
        <f>IF(AND('Mapa final'!$AA$17="Media",'Mapa final'!$AC$17="Leve"),CONCATENATE("R2C",'Mapa final'!$Q$17),"")</f>
        <v/>
      </c>
      <c r="P27" s="52" t="str">
        <f ca="1">IF(AND('Mapa final'!$AA$14="Media",'Mapa final'!$AC$14="Menor"),CONCATENATE("R2C",'Mapa final'!$Q$14),"")</f>
        <v/>
      </c>
      <c r="Q27" s="53" t="str">
        <f ca="1">IF(AND('Mapa final'!$AA$15="Media",'Mapa final'!$AC$15="Menor"),CONCATENATE("R2C",'Mapa final'!$Q$15),"")</f>
        <v/>
      </c>
      <c r="R27" s="53" t="str">
        <f ca="1">IF(AND('Mapa final'!$AA$16="Media",'Mapa final'!$AC$16="Menor"),CONCATENATE("R2C",'Mapa final'!$Q$16),"")</f>
        <v/>
      </c>
      <c r="S27" s="53" t="e">
        <f>IF(AND('Mapa final'!#REF!="Media",'Mapa final'!#REF!="Menor"),CONCATENATE("R2C",'Mapa final'!#REF!),"")</f>
        <v>#REF!</v>
      </c>
      <c r="T27" s="53" t="e">
        <f>IF(AND('Mapa final'!#REF!="Media",'Mapa final'!#REF!="Menor"),CONCATENATE("R2C",'Mapa final'!#REF!),"")</f>
        <v>#REF!</v>
      </c>
      <c r="U27" s="54" t="str">
        <f>IF(AND('Mapa final'!$AA$17="Media",'Mapa final'!$AC$17="Menor"),CONCATENATE("R2C",'Mapa final'!$Q$17),"")</f>
        <v/>
      </c>
      <c r="V27" s="52" t="str">
        <f ca="1">IF(AND('Mapa final'!$AA$14="Media",'Mapa final'!$AC$14="Moderado"),CONCATENATE("R2C",'Mapa final'!$Q$14),"")</f>
        <v/>
      </c>
      <c r="W27" s="53" t="str">
        <f ca="1">IF(AND('Mapa final'!$AA$15="Media",'Mapa final'!$AC$15="Moderado"),CONCATENATE("R2C",'Mapa final'!$Q$15),"")</f>
        <v/>
      </c>
      <c r="X27" s="53" t="str">
        <f ca="1">IF(AND('Mapa final'!$AA$16="Media",'Mapa final'!$AC$16="Moderado"),CONCATENATE("R2C",'Mapa final'!$Q$16),"")</f>
        <v/>
      </c>
      <c r="Y27" s="53" t="e">
        <f>IF(AND('Mapa final'!#REF!="Media",'Mapa final'!#REF!="Moderado"),CONCATENATE("R2C",'Mapa final'!#REF!),"")</f>
        <v>#REF!</v>
      </c>
      <c r="Z27" s="53" t="e">
        <f>IF(AND('Mapa final'!#REF!="Media",'Mapa final'!#REF!="Moderado"),CONCATENATE("R2C",'Mapa final'!#REF!),"")</f>
        <v>#REF!</v>
      </c>
      <c r="AA27" s="54" t="str">
        <f>IF(AND('Mapa final'!$AA$17="Media",'Mapa final'!$AC$17="Moderado"),CONCATENATE("R2C",'Mapa final'!$Q$17),"")</f>
        <v/>
      </c>
      <c r="AB27" s="36" t="str">
        <f ca="1">IF(AND('Mapa final'!$AA$14="Media",'Mapa final'!$AC$14="Mayor"),CONCATENATE("R2C",'Mapa final'!$Q$14),"")</f>
        <v>R2C1</v>
      </c>
      <c r="AC27" s="37" t="str">
        <f ca="1">IF(AND('Mapa final'!$AA$15="Media",'Mapa final'!$AC$15="Mayor"),CONCATENATE("R2C",'Mapa final'!$Q$15),"")</f>
        <v/>
      </c>
      <c r="AD27" s="37" t="str">
        <f ca="1">IF(AND('Mapa final'!$AA$16="Media",'Mapa final'!$AC$16="Mayor"),CONCATENATE("R2C",'Mapa final'!$Q$16),"")</f>
        <v/>
      </c>
      <c r="AE27" s="37" t="e">
        <f>IF(AND('Mapa final'!#REF!="Media",'Mapa final'!#REF!="Mayor"),CONCATENATE("R2C",'Mapa final'!#REF!),"")</f>
        <v>#REF!</v>
      </c>
      <c r="AF27" s="37" t="e">
        <f>IF(AND('Mapa final'!#REF!="Media",'Mapa final'!#REF!="Mayor"),CONCATENATE("R2C",'Mapa final'!#REF!),"")</f>
        <v>#REF!</v>
      </c>
      <c r="AG27" s="38" t="str">
        <f>IF(AND('Mapa final'!$AA$17="Media",'Mapa final'!$AC$17="Mayor"),CONCATENATE("R2C",'Mapa final'!$Q$17),"")</f>
        <v/>
      </c>
      <c r="AH27" s="39" t="str">
        <f ca="1">IF(AND('Mapa final'!$AA$14="Media",'Mapa final'!$AC$14="Catastrófico"),CONCATENATE("R2C",'Mapa final'!$Q$14),"")</f>
        <v/>
      </c>
      <c r="AI27" s="40" t="str">
        <f ca="1">IF(AND('Mapa final'!$AA$15="Media",'Mapa final'!$AC$15="Catastrófico"),CONCATENATE("R2C",'Mapa final'!$Q$15),"")</f>
        <v/>
      </c>
      <c r="AJ27" s="40" t="str">
        <f ca="1">IF(AND('Mapa final'!$AA$16="Media",'Mapa final'!$AC$16="Catastrófico"),CONCATENATE("R2C",'Mapa final'!$Q$16),"")</f>
        <v/>
      </c>
      <c r="AK27" s="40" t="e">
        <f>IF(AND('Mapa final'!#REF!="Media",'Mapa final'!#REF!="Catastrófico"),CONCATENATE("R2C",'Mapa final'!#REF!),"")</f>
        <v>#REF!</v>
      </c>
      <c r="AL27" s="40" t="e">
        <f>IF(AND('Mapa final'!#REF!="Media",'Mapa final'!#REF!="Catastrófico"),CONCATENATE("R2C",'Mapa final'!#REF!),"")</f>
        <v>#REF!</v>
      </c>
      <c r="AM27" s="41" t="str">
        <f>IF(AND('Mapa final'!$AA$17="Media",'Mapa final'!$AC$17="Catastrófico"),CONCATENATE("R2C",'Mapa final'!$Q$17),"")</f>
        <v/>
      </c>
      <c r="AN27" s="68"/>
      <c r="AO27" s="430"/>
      <c r="AP27" s="431"/>
      <c r="AQ27" s="431"/>
      <c r="AR27" s="431"/>
      <c r="AS27" s="431"/>
      <c r="AT27" s="432"/>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row>
    <row r="28" spans="1:76" ht="15" customHeight="1" x14ac:dyDescent="0.25">
      <c r="A28" s="68"/>
      <c r="B28" s="348"/>
      <c r="C28" s="348"/>
      <c r="D28" s="349"/>
      <c r="E28" s="389"/>
      <c r="F28" s="390"/>
      <c r="G28" s="390"/>
      <c r="H28" s="390"/>
      <c r="I28" s="391"/>
      <c r="J28" s="52" t="str">
        <f>IF(AND('Mapa final'!$AA$18="Media",'Mapa final'!$AC$18="Leve"),CONCATENATE("R3C",'Mapa final'!$Q$18),"")</f>
        <v/>
      </c>
      <c r="K28" s="53" t="str">
        <f>IF(AND('Mapa final'!$AA$19="Media",'Mapa final'!$AC$19="Leve"),CONCATENATE("R3C",'Mapa final'!$Q$19),"")</f>
        <v/>
      </c>
      <c r="L28" s="53" t="str">
        <f>IF(AND('Mapa final'!$AA$20="Media",'Mapa final'!$AC$20="Leve"),CONCATENATE("R3C",'Mapa final'!$Q$20),"")</f>
        <v/>
      </c>
      <c r="M28" s="53" t="str">
        <f>IF(AND('Mapa final'!$AA$21="Media",'Mapa final'!$AC$21="Leve"),CONCATENATE("R3C",'Mapa final'!$Q$21),"")</f>
        <v/>
      </c>
      <c r="N28" s="53" t="str">
        <f>IF(AND('Mapa final'!$AA$22="Media",'Mapa final'!$AC$22="Leve"),CONCATENATE("R3C",'Mapa final'!$Q$22),"")</f>
        <v/>
      </c>
      <c r="O28" s="54" t="str">
        <f>IF(AND('Mapa final'!$AA$23="Media",'Mapa final'!$AC$23="Leve"),CONCATENATE("R3C",'Mapa final'!$Q$23),"")</f>
        <v/>
      </c>
      <c r="P28" s="52" t="str">
        <f>IF(AND('Mapa final'!$AA$18="Media",'Mapa final'!$AC$18="Menor"),CONCATENATE("R3C",'Mapa final'!$Q$18),"")</f>
        <v/>
      </c>
      <c r="Q28" s="53" t="str">
        <f>IF(AND('Mapa final'!$AA$19="Media",'Mapa final'!$AC$19="Menor"),CONCATENATE("R3C",'Mapa final'!$Q$19),"")</f>
        <v/>
      </c>
      <c r="R28" s="53" t="str">
        <f>IF(AND('Mapa final'!$AA$20="Media",'Mapa final'!$AC$20="Menor"),CONCATENATE("R3C",'Mapa final'!$Q$20),"")</f>
        <v/>
      </c>
      <c r="S28" s="53" t="str">
        <f>IF(AND('Mapa final'!$AA$21="Media",'Mapa final'!$AC$21="Menor"),CONCATENATE("R3C",'Mapa final'!$Q$21),"")</f>
        <v/>
      </c>
      <c r="T28" s="53" t="str">
        <f>IF(AND('Mapa final'!$AA$22="Media",'Mapa final'!$AC$22="Menor"),CONCATENATE("R3C",'Mapa final'!$Q$22),"")</f>
        <v/>
      </c>
      <c r="U28" s="54" t="str">
        <f>IF(AND('Mapa final'!$AA$23="Media",'Mapa final'!$AC$23="Menor"),CONCATENATE("R3C",'Mapa final'!$Q$23),"")</f>
        <v/>
      </c>
      <c r="V28" s="52" t="str">
        <f>IF(AND('Mapa final'!$AA$18="Media",'Mapa final'!$AC$18="Moderado"),CONCATENATE("R3C",'Mapa final'!$Q$18),"")</f>
        <v/>
      </c>
      <c r="W28" s="53" t="str">
        <f>IF(AND('Mapa final'!$AA$19="Media",'Mapa final'!$AC$19="Moderado"),CONCATENATE("R3C",'Mapa final'!$Q$19),"")</f>
        <v/>
      </c>
      <c r="X28" s="53" t="str">
        <f>IF(AND('Mapa final'!$AA$20="Media",'Mapa final'!$AC$20="Moderado"),CONCATENATE("R3C",'Mapa final'!$Q$20),"")</f>
        <v/>
      </c>
      <c r="Y28" s="53" t="str">
        <f>IF(AND('Mapa final'!$AA$21="Media",'Mapa final'!$AC$21="Moderado"),CONCATENATE("R3C",'Mapa final'!$Q$21),"")</f>
        <v/>
      </c>
      <c r="Z28" s="53" t="str">
        <f>IF(AND('Mapa final'!$AA$22="Media",'Mapa final'!$AC$22="Moderado"),CONCATENATE("R3C",'Mapa final'!$Q$22),"")</f>
        <v/>
      </c>
      <c r="AA28" s="54" t="str">
        <f>IF(AND('Mapa final'!$AA$23="Media",'Mapa final'!$AC$23="Moderado"),CONCATENATE("R3C",'Mapa final'!$Q$23),"")</f>
        <v/>
      </c>
      <c r="AB28" s="36" t="str">
        <f>IF(AND('Mapa final'!$AA$18="Media",'Mapa final'!$AC$18="Mayor"),CONCATENATE("R3C",'Mapa final'!$Q$18),"")</f>
        <v/>
      </c>
      <c r="AC28" s="37" t="str">
        <f>IF(AND('Mapa final'!$AA$19="Media",'Mapa final'!$AC$19="Mayor"),CONCATENATE("R3C",'Mapa final'!$Q$19),"")</f>
        <v/>
      </c>
      <c r="AD28" s="37" t="str">
        <f>IF(AND('Mapa final'!$AA$20="Media",'Mapa final'!$AC$20="Mayor"),CONCATENATE("R3C",'Mapa final'!$Q$20),"")</f>
        <v/>
      </c>
      <c r="AE28" s="37" t="str">
        <f>IF(AND('Mapa final'!$AA$21="Media",'Mapa final'!$AC$21="Mayor"),CONCATENATE("R3C",'Mapa final'!$Q$21),"")</f>
        <v/>
      </c>
      <c r="AF28" s="37" t="str">
        <f>IF(AND('Mapa final'!$AA$22="Media",'Mapa final'!$AC$22="Mayor"),CONCATENATE("R3C",'Mapa final'!$Q$22),"")</f>
        <v/>
      </c>
      <c r="AG28" s="38" t="str">
        <f>IF(AND('Mapa final'!$AA$23="Media",'Mapa final'!$AC$23="Mayor"),CONCATENATE("R3C",'Mapa final'!$Q$23),"")</f>
        <v/>
      </c>
      <c r="AH28" s="39" t="str">
        <f>IF(AND('Mapa final'!$AA$18="Media",'Mapa final'!$AC$18="Catastrófico"),CONCATENATE("R3C",'Mapa final'!$Q$18),"")</f>
        <v/>
      </c>
      <c r="AI28" s="40" t="str">
        <f>IF(AND('Mapa final'!$AA$19="Media",'Mapa final'!$AC$19="Catastrófico"),CONCATENATE("R3C",'Mapa final'!$Q$19),"")</f>
        <v/>
      </c>
      <c r="AJ28" s="40" t="str">
        <f>IF(AND('Mapa final'!$AA$20="Media",'Mapa final'!$AC$20="Catastrófico"),CONCATENATE("R3C",'Mapa final'!$Q$20),"")</f>
        <v/>
      </c>
      <c r="AK28" s="40" t="str">
        <f>IF(AND('Mapa final'!$AA$21="Media",'Mapa final'!$AC$21="Catastrófico"),CONCATENATE("R3C",'Mapa final'!$Q$21),"")</f>
        <v/>
      </c>
      <c r="AL28" s="40" t="str">
        <f>IF(AND('Mapa final'!$AA$22="Media",'Mapa final'!$AC$22="Catastrófico"),CONCATENATE("R3C",'Mapa final'!$Q$22),"")</f>
        <v/>
      </c>
      <c r="AM28" s="41" t="str">
        <f>IF(AND('Mapa final'!$AA$23="Media",'Mapa final'!$AC$23="Catastrófico"),CONCATENATE("R3C",'Mapa final'!$Q$23),"")</f>
        <v/>
      </c>
      <c r="AN28" s="68"/>
      <c r="AO28" s="430"/>
      <c r="AP28" s="431"/>
      <c r="AQ28" s="431"/>
      <c r="AR28" s="431"/>
      <c r="AS28" s="431"/>
      <c r="AT28" s="432"/>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row>
    <row r="29" spans="1:76" ht="15" customHeight="1" x14ac:dyDescent="0.25">
      <c r="A29" s="68"/>
      <c r="B29" s="348"/>
      <c r="C29" s="348"/>
      <c r="D29" s="349"/>
      <c r="E29" s="389"/>
      <c r="F29" s="390"/>
      <c r="G29" s="390"/>
      <c r="H29" s="390"/>
      <c r="I29" s="391"/>
      <c r="J29" s="52" t="str">
        <f>IF(AND('Mapa final'!$AA$24="Media",'Mapa final'!$AC$24="Leve"),CONCATENATE("R4C",'Mapa final'!$Q$24),"")</f>
        <v/>
      </c>
      <c r="K29" s="53" t="str">
        <f>IF(AND('Mapa final'!$AA$25="Media",'Mapa final'!$AC$25="Leve"),CONCATENATE("R4C",'Mapa final'!$Q$25),"")</f>
        <v/>
      </c>
      <c r="L29" s="53" t="str">
        <f>IF(AND('Mapa final'!$AA$26="Media",'Mapa final'!$AC$26="Leve"),CONCATENATE("R4C",'Mapa final'!$Q$26),"")</f>
        <v/>
      </c>
      <c r="M29" s="53" t="str">
        <f>IF(AND('Mapa final'!$AA$27="Media",'Mapa final'!$AC$27="Leve"),CONCATENATE("R4C",'Mapa final'!$Q$27),"")</f>
        <v/>
      </c>
      <c r="N29" s="53" t="str">
        <f>IF(AND('Mapa final'!$AA$28="Media",'Mapa final'!$AC$28="Leve"),CONCATENATE("R4C",'Mapa final'!$Q$28),"")</f>
        <v/>
      </c>
      <c r="O29" s="54" t="str">
        <f>IF(AND('Mapa final'!$AA$29="Media",'Mapa final'!$AC$29="Leve"),CONCATENATE("R4C",'Mapa final'!$Q$29),"")</f>
        <v/>
      </c>
      <c r="P29" s="52" t="str">
        <f>IF(AND('Mapa final'!$AA$24="Media",'Mapa final'!$AC$24="Menor"),CONCATENATE("R4C",'Mapa final'!$Q$24),"")</f>
        <v/>
      </c>
      <c r="Q29" s="53" t="str">
        <f>IF(AND('Mapa final'!$AA$25="Media",'Mapa final'!$AC$25="Menor"),CONCATENATE("R4C",'Mapa final'!$Q$25),"")</f>
        <v/>
      </c>
      <c r="R29" s="53" t="str">
        <f>IF(AND('Mapa final'!$AA$26="Media",'Mapa final'!$AC$26="Menor"),CONCATENATE("R4C",'Mapa final'!$Q$26),"")</f>
        <v/>
      </c>
      <c r="S29" s="53" t="str">
        <f>IF(AND('Mapa final'!$AA$27="Media",'Mapa final'!$AC$27="Menor"),CONCATENATE("R4C",'Mapa final'!$Q$27),"")</f>
        <v/>
      </c>
      <c r="T29" s="53" t="str">
        <f>IF(AND('Mapa final'!$AA$28="Media",'Mapa final'!$AC$28="Menor"),CONCATENATE("R4C",'Mapa final'!$Q$28),"")</f>
        <v/>
      </c>
      <c r="U29" s="54" t="str">
        <f>IF(AND('Mapa final'!$AA$29="Media",'Mapa final'!$AC$29="Menor"),CONCATENATE("R4C",'Mapa final'!$Q$29),"")</f>
        <v/>
      </c>
      <c r="V29" s="52" t="str">
        <f>IF(AND('Mapa final'!$AA$24="Media",'Mapa final'!$AC$24="Moderado"),CONCATENATE("R4C",'Mapa final'!$Q$24),"")</f>
        <v/>
      </c>
      <c r="W29" s="53" t="str">
        <f>IF(AND('Mapa final'!$AA$25="Media",'Mapa final'!$AC$25="Moderado"),CONCATENATE("R4C",'Mapa final'!$Q$25),"")</f>
        <v/>
      </c>
      <c r="X29" s="53" t="str">
        <f>IF(AND('Mapa final'!$AA$26="Media",'Mapa final'!$AC$26="Moderado"),CONCATENATE("R4C",'Mapa final'!$Q$26),"")</f>
        <v/>
      </c>
      <c r="Y29" s="53" t="str">
        <f>IF(AND('Mapa final'!$AA$27="Media",'Mapa final'!$AC$27="Moderado"),CONCATENATE("R4C",'Mapa final'!$Q$27),"")</f>
        <v/>
      </c>
      <c r="Z29" s="53" t="str">
        <f>IF(AND('Mapa final'!$AA$28="Media",'Mapa final'!$AC$28="Moderado"),CONCATENATE("R4C",'Mapa final'!$Q$28),"")</f>
        <v/>
      </c>
      <c r="AA29" s="54" t="str">
        <f>IF(AND('Mapa final'!$AA$29="Media",'Mapa final'!$AC$29="Moderado"),CONCATENATE("R4C",'Mapa final'!$Q$29),"")</f>
        <v/>
      </c>
      <c r="AB29" s="36" t="str">
        <f>IF(AND('Mapa final'!$AA$24="Media",'Mapa final'!$AC$24="Mayor"),CONCATENATE("R4C",'Mapa final'!$Q$24),"")</f>
        <v/>
      </c>
      <c r="AC29" s="37" t="str">
        <f>IF(AND('Mapa final'!$AA$25="Media",'Mapa final'!$AC$25="Mayor"),CONCATENATE("R4C",'Mapa final'!$Q$25),"")</f>
        <v/>
      </c>
      <c r="AD29" s="42" t="str">
        <f>IF(AND('Mapa final'!$AA$26="Media",'Mapa final'!$AC$26="Mayor"),CONCATENATE("R4C",'Mapa final'!$Q$26),"")</f>
        <v/>
      </c>
      <c r="AE29" s="42" t="str">
        <f>IF(AND('Mapa final'!$AA$27="Media",'Mapa final'!$AC$27="Mayor"),CONCATENATE("R4C",'Mapa final'!$Q$27),"")</f>
        <v/>
      </c>
      <c r="AF29" s="42" t="str">
        <f>IF(AND('Mapa final'!$AA$28="Media",'Mapa final'!$AC$28="Mayor"),CONCATENATE("R4C",'Mapa final'!$Q$28),"")</f>
        <v/>
      </c>
      <c r="AG29" s="38" t="str">
        <f>IF(AND('Mapa final'!$AA$29="Media",'Mapa final'!$AC$29="Mayor"),CONCATENATE("R4C",'Mapa final'!$Q$29),"")</f>
        <v/>
      </c>
      <c r="AH29" s="39" t="str">
        <f>IF(AND('Mapa final'!$AA$24="Media",'Mapa final'!$AC$24="Catastrófico"),CONCATENATE("R4C",'Mapa final'!$Q$24),"")</f>
        <v/>
      </c>
      <c r="AI29" s="40" t="str">
        <f>IF(AND('Mapa final'!$AA$25="Media",'Mapa final'!$AC$25="Catastrófico"),CONCATENATE("R4C",'Mapa final'!$Q$25),"")</f>
        <v/>
      </c>
      <c r="AJ29" s="40" t="str">
        <f>IF(AND('Mapa final'!$AA$26="Media",'Mapa final'!$AC$26="Catastrófico"),CONCATENATE("R4C",'Mapa final'!$Q$26),"")</f>
        <v/>
      </c>
      <c r="AK29" s="40" t="str">
        <f>IF(AND('Mapa final'!$AA$27="Media",'Mapa final'!$AC$27="Catastrófico"),CONCATENATE("R4C",'Mapa final'!$Q$27),"")</f>
        <v/>
      </c>
      <c r="AL29" s="40" t="str">
        <f>IF(AND('Mapa final'!$AA$28="Media",'Mapa final'!$AC$28="Catastrófico"),CONCATENATE("R4C",'Mapa final'!$Q$28),"")</f>
        <v/>
      </c>
      <c r="AM29" s="41" t="str">
        <f>IF(AND('Mapa final'!$AA$29="Media",'Mapa final'!$AC$29="Catastrófico"),CONCATENATE("R4C",'Mapa final'!$Q$29),"")</f>
        <v/>
      </c>
      <c r="AN29" s="68"/>
      <c r="AO29" s="430"/>
      <c r="AP29" s="431"/>
      <c r="AQ29" s="431"/>
      <c r="AR29" s="431"/>
      <c r="AS29" s="431"/>
      <c r="AT29" s="432"/>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row>
    <row r="30" spans="1:76" ht="15" customHeight="1" x14ac:dyDescent="0.25">
      <c r="A30" s="68"/>
      <c r="B30" s="348"/>
      <c r="C30" s="348"/>
      <c r="D30" s="349"/>
      <c r="E30" s="389"/>
      <c r="F30" s="390"/>
      <c r="G30" s="390"/>
      <c r="H30" s="390"/>
      <c r="I30" s="391"/>
      <c r="J30" s="52" t="str">
        <f>IF(AND('Mapa final'!$AA$30="Media",'Mapa final'!$AC$30="Leve"),CONCATENATE("R5C",'Mapa final'!$Q$30),"")</f>
        <v/>
      </c>
      <c r="K30" s="53" t="str">
        <f>IF(AND('Mapa final'!$AA$31="Media",'Mapa final'!$AC$31="Leve"),CONCATENATE("R5C",'Mapa final'!$Q$31),"")</f>
        <v/>
      </c>
      <c r="L30" s="53" t="str">
        <f>IF(AND('Mapa final'!$AA$32="Media",'Mapa final'!$AC$32="Leve"),CONCATENATE("R5C",'Mapa final'!$Q$32),"")</f>
        <v/>
      </c>
      <c r="M30" s="53" t="str">
        <f>IF(AND('Mapa final'!$AA$33="Media",'Mapa final'!$AC$33="Leve"),CONCATENATE("R5C",'Mapa final'!$Q$33),"")</f>
        <v/>
      </c>
      <c r="N30" s="53" t="str">
        <f>IF(AND('Mapa final'!$AA$34="Media",'Mapa final'!$AC$34="Leve"),CONCATENATE("R5C",'Mapa final'!$Q$34),"")</f>
        <v/>
      </c>
      <c r="O30" s="54" t="str">
        <f>IF(AND('Mapa final'!$AA$35="Media",'Mapa final'!$AC$35="Leve"),CONCATENATE("R5C",'Mapa final'!$Q$35),"")</f>
        <v/>
      </c>
      <c r="P30" s="52" t="str">
        <f>IF(AND('Mapa final'!$AA$30="Media",'Mapa final'!$AC$30="Menor"),CONCATENATE("R5C",'Mapa final'!$Q$30),"")</f>
        <v/>
      </c>
      <c r="Q30" s="53" t="str">
        <f>IF(AND('Mapa final'!$AA$31="Media",'Mapa final'!$AC$31="Menor"),CONCATENATE("R5C",'Mapa final'!$Q$31),"")</f>
        <v/>
      </c>
      <c r="R30" s="53" t="str">
        <f>IF(AND('Mapa final'!$AA$32="Media",'Mapa final'!$AC$32="Menor"),CONCATENATE("R5C",'Mapa final'!$Q$32),"")</f>
        <v/>
      </c>
      <c r="S30" s="53" t="str">
        <f>IF(AND('Mapa final'!$AA$33="Media",'Mapa final'!$AC$33="Menor"),CONCATENATE("R5C",'Mapa final'!$Q$33),"")</f>
        <v/>
      </c>
      <c r="T30" s="53" t="str">
        <f>IF(AND('Mapa final'!$AA$34="Media",'Mapa final'!$AC$34="Menor"),CONCATENATE("R5C",'Mapa final'!$Q$34),"")</f>
        <v/>
      </c>
      <c r="U30" s="54" t="str">
        <f>IF(AND('Mapa final'!$AA$35="Media",'Mapa final'!$AC$35="Menor"),CONCATENATE("R5C",'Mapa final'!$Q$35),"")</f>
        <v/>
      </c>
      <c r="V30" s="52" t="str">
        <f>IF(AND('Mapa final'!$AA$30="Media",'Mapa final'!$AC$30="Moderado"),CONCATENATE("R5C",'Mapa final'!$Q$30),"")</f>
        <v/>
      </c>
      <c r="W30" s="53" t="str">
        <f>IF(AND('Mapa final'!$AA$31="Media",'Mapa final'!$AC$31="Moderado"),CONCATENATE("R5C",'Mapa final'!$Q$31),"")</f>
        <v/>
      </c>
      <c r="X30" s="53" t="str">
        <f>IF(AND('Mapa final'!$AA$32="Media",'Mapa final'!$AC$32="Moderado"),CONCATENATE("R5C",'Mapa final'!$Q$32),"")</f>
        <v/>
      </c>
      <c r="Y30" s="53" t="str">
        <f>IF(AND('Mapa final'!$AA$33="Media",'Mapa final'!$AC$33="Moderado"),CONCATENATE("R5C",'Mapa final'!$Q$33),"")</f>
        <v/>
      </c>
      <c r="Z30" s="53" t="str">
        <f>IF(AND('Mapa final'!$AA$34="Media",'Mapa final'!$AC$34="Moderado"),CONCATENATE("R5C",'Mapa final'!$Q$34),"")</f>
        <v/>
      </c>
      <c r="AA30" s="54" t="str">
        <f>IF(AND('Mapa final'!$AA$35="Media",'Mapa final'!$AC$35="Moderado"),CONCATENATE("R5C",'Mapa final'!$Q$35),"")</f>
        <v/>
      </c>
      <c r="AB30" s="36" t="str">
        <f>IF(AND('Mapa final'!$AA$30="Media",'Mapa final'!$AC$30="Mayor"),CONCATENATE("R5C",'Mapa final'!$Q$30),"")</f>
        <v/>
      </c>
      <c r="AC30" s="37" t="str">
        <f>IF(AND('Mapa final'!$AA$31="Media",'Mapa final'!$AC$31="Mayor"),CONCATENATE("R5C",'Mapa final'!$Q$31),"")</f>
        <v/>
      </c>
      <c r="AD30" s="42" t="str">
        <f>IF(AND('Mapa final'!$AA$32="Media",'Mapa final'!$AC$32="Mayor"),CONCATENATE("R5C",'Mapa final'!$Q$32),"")</f>
        <v/>
      </c>
      <c r="AE30" s="42" t="str">
        <f>IF(AND('Mapa final'!$AA$33="Media",'Mapa final'!$AC$33="Mayor"),CONCATENATE("R5C",'Mapa final'!$Q$33),"")</f>
        <v/>
      </c>
      <c r="AF30" s="42" t="str">
        <f>IF(AND('Mapa final'!$AA$34="Media",'Mapa final'!$AC$34="Mayor"),CONCATENATE("R5C",'Mapa final'!$Q$34),"")</f>
        <v/>
      </c>
      <c r="AG30" s="38" t="str">
        <f>IF(AND('Mapa final'!$AA$35="Media",'Mapa final'!$AC$35="Mayor"),CONCATENATE("R5C",'Mapa final'!$Q$35),"")</f>
        <v/>
      </c>
      <c r="AH30" s="39" t="str">
        <f>IF(AND('Mapa final'!$AA$30="Media",'Mapa final'!$AC$30="Catastrófico"),CONCATENATE("R5C",'Mapa final'!$Q$30),"")</f>
        <v/>
      </c>
      <c r="AI30" s="40" t="str">
        <f>IF(AND('Mapa final'!$AA$31="Media",'Mapa final'!$AC$31="Catastrófico"),CONCATENATE("R5C",'Mapa final'!$Q$31),"")</f>
        <v/>
      </c>
      <c r="AJ30" s="40" t="str">
        <f>IF(AND('Mapa final'!$AA$32="Media",'Mapa final'!$AC$32="Catastrófico"),CONCATENATE("R5C",'Mapa final'!$Q$32),"")</f>
        <v/>
      </c>
      <c r="AK30" s="40" t="str">
        <f>IF(AND('Mapa final'!$AA$33="Media",'Mapa final'!$AC$33="Catastrófico"),CONCATENATE("R5C",'Mapa final'!$Q$33),"")</f>
        <v/>
      </c>
      <c r="AL30" s="40" t="str">
        <f>IF(AND('Mapa final'!$AA$34="Media",'Mapa final'!$AC$34="Catastrófico"),CONCATENATE("R5C",'Mapa final'!$Q$34),"")</f>
        <v/>
      </c>
      <c r="AM30" s="41" t="str">
        <f>IF(AND('Mapa final'!$AA$35="Media",'Mapa final'!$AC$35="Catastrófico"),CONCATENATE("R5C",'Mapa final'!$Q$35),"")</f>
        <v/>
      </c>
      <c r="AN30" s="68"/>
      <c r="AO30" s="430"/>
      <c r="AP30" s="431"/>
      <c r="AQ30" s="431"/>
      <c r="AR30" s="431"/>
      <c r="AS30" s="431"/>
      <c r="AT30" s="432"/>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row>
    <row r="31" spans="1:76" ht="15" customHeight="1" x14ac:dyDescent="0.25">
      <c r="A31" s="68"/>
      <c r="B31" s="348"/>
      <c r="C31" s="348"/>
      <c r="D31" s="349"/>
      <c r="E31" s="389"/>
      <c r="F31" s="390"/>
      <c r="G31" s="390"/>
      <c r="H31" s="390"/>
      <c r="I31" s="391"/>
      <c r="J31" s="52" t="str">
        <f>IF(AND('Mapa final'!$AA$36="Media",'Mapa final'!$AC$36="Leve"),CONCATENATE("R6C",'Mapa final'!$Q$36),"")</f>
        <v/>
      </c>
      <c r="K31" s="53" t="str">
        <f>IF(AND('Mapa final'!$AA$37="Media",'Mapa final'!$AC$37="Leve"),CONCATENATE("R6C",'Mapa final'!$Q$37),"")</f>
        <v/>
      </c>
      <c r="L31" s="53" t="str">
        <f>IF(AND('Mapa final'!$AA$38="Media",'Mapa final'!$AC$38="Leve"),CONCATENATE("R6C",'Mapa final'!$Q$38),"")</f>
        <v/>
      </c>
      <c r="M31" s="53" t="str">
        <f>IF(AND('Mapa final'!$AA$39="Media",'Mapa final'!$AC$39="Leve"),CONCATENATE("R6C",'Mapa final'!$Q$39),"")</f>
        <v/>
      </c>
      <c r="N31" s="53" t="str">
        <f>IF(AND('Mapa final'!$AA$40="Media",'Mapa final'!$AC$40="Leve"),CONCATENATE("R6C",'Mapa final'!$Q$40),"")</f>
        <v/>
      </c>
      <c r="O31" s="54" t="str">
        <f>IF(AND('Mapa final'!$AA$41="Media",'Mapa final'!$AC$41="Leve"),CONCATENATE("R6C",'Mapa final'!$Q$41),"")</f>
        <v/>
      </c>
      <c r="P31" s="52" t="str">
        <f>IF(AND('Mapa final'!$AA$36="Media",'Mapa final'!$AC$36="Menor"),CONCATENATE("R6C",'Mapa final'!$Q$36),"")</f>
        <v/>
      </c>
      <c r="Q31" s="53" t="str">
        <f>IF(AND('Mapa final'!$AA$37="Media",'Mapa final'!$AC$37="Menor"),CONCATENATE("R6C",'Mapa final'!$Q$37),"")</f>
        <v/>
      </c>
      <c r="R31" s="53" t="str">
        <f>IF(AND('Mapa final'!$AA$38="Media",'Mapa final'!$AC$38="Menor"),CONCATENATE("R6C",'Mapa final'!$Q$38),"")</f>
        <v/>
      </c>
      <c r="S31" s="53" t="str">
        <f>IF(AND('Mapa final'!$AA$39="Media",'Mapa final'!$AC$39="Menor"),CONCATENATE("R6C",'Mapa final'!$Q$39),"")</f>
        <v/>
      </c>
      <c r="T31" s="53" t="str">
        <f>IF(AND('Mapa final'!$AA$40="Media",'Mapa final'!$AC$40="Menor"),CONCATENATE("R6C",'Mapa final'!$Q$40),"")</f>
        <v/>
      </c>
      <c r="U31" s="54" t="str">
        <f>IF(AND('Mapa final'!$AA$41="Media",'Mapa final'!$AC$41="Menor"),CONCATENATE("R6C",'Mapa final'!$Q$41),"")</f>
        <v/>
      </c>
      <c r="V31" s="52" t="str">
        <f>IF(AND('Mapa final'!$AA$36="Media",'Mapa final'!$AC$36="Moderado"),CONCATENATE("R6C",'Mapa final'!$Q$36),"")</f>
        <v/>
      </c>
      <c r="W31" s="53" t="str">
        <f>IF(AND('Mapa final'!$AA$37="Media",'Mapa final'!$AC$37="Moderado"),CONCATENATE("R6C",'Mapa final'!$Q$37),"")</f>
        <v/>
      </c>
      <c r="X31" s="53" t="str">
        <f>IF(AND('Mapa final'!$AA$38="Media",'Mapa final'!$AC$38="Moderado"),CONCATENATE("R6C",'Mapa final'!$Q$38),"")</f>
        <v/>
      </c>
      <c r="Y31" s="53" t="str">
        <f>IF(AND('Mapa final'!$AA$39="Media",'Mapa final'!$AC$39="Moderado"),CONCATENATE("R6C",'Mapa final'!$Q$39),"")</f>
        <v/>
      </c>
      <c r="Z31" s="53" t="str">
        <f>IF(AND('Mapa final'!$AA$40="Media",'Mapa final'!$AC$40="Moderado"),CONCATENATE("R6C",'Mapa final'!$Q$40),"")</f>
        <v/>
      </c>
      <c r="AA31" s="54" t="str">
        <f>IF(AND('Mapa final'!$AA$41="Media",'Mapa final'!$AC$41="Moderado"),CONCATENATE("R6C",'Mapa final'!$Q$41),"")</f>
        <v/>
      </c>
      <c r="AB31" s="36" t="str">
        <f>IF(AND('Mapa final'!$AA$36="Media",'Mapa final'!$AC$36="Mayor"),CONCATENATE("R6C",'Mapa final'!$Q$36),"")</f>
        <v/>
      </c>
      <c r="AC31" s="37" t="str">
        <f>IF(AND('Mapa final'!$AA$37="Media",'Mapa final'!$AC$37="Mayor"),CONCATENATE("R6C",'Mapa final'!$Q$37),"")</f>
        <v/>
      </c>
      <c r="AD31" s="42" t="str">
        <f>IF(AND('Mapa final'!$AA$38="Media",'Mapa final'!$AC$38="Mayor"),CONCATENATE("R6C",'Mapa final'!$Q$38),"")</f>
        <v/>
      </c>
      <c r="AE31" s="42" t="str">
        <f>IF(AND('Mapa final'!$AA$39="Media",'Mapa final'!$AC$39="Mayor"),CONCATENATE("R6C",'Mapa final'!$Q$39),"")</f>
        <v/>
      </c>
      <c r="AF31" s="42" t="str">
        <f>IF(AND('Mapa final'!$AA$40="Media",'Mapa final'!$AC$40="Mayor"),CONCATENATE("R6C",'Mapa final'!$Q$40),"")</f>
        <v/>
      </c>
      <c r="AG31" s="38" t="str">
        <f>IF(AND('Mapa final'!$AA$41="Media",'Mapa final'!$AC$41="Mayor"),CONCATENATE("R6C",'Mapa final'!$Q$41),"")</f>
        <v/>
      </c>
      <c r="AH31" s="39" t="str">
        <f>IF(AND('Mapa final'!$AA$36="Media",'Mapa final'!$AC$36="Catastrófico"),CONCATENATE("R6C",'Mapa final'!$Q$36),"")</f>
        <v/>
      </c>
      <c r="AI31" s="40" t="str">
        <f>IF(AND('Mapa final'!$AA$37="Media",'Mapa final'!$AC$37="Catastrófico"),CONCATENATE("R6C",'Mapa final'!$Q$37),"")</f>
        <v/>
      </c>
      <c r="AJ31" s="40" t="str">
        <f>IF(AND('Mapa final'!$AA$38="Media",'Mapa final'!$AC$38="Catastrófico"),CONCATENATE("R6C",'Mapa final'!$Q$38),"")</f>
        <v/>
      </c>
      <c r="AK31" s="40" t="str">
        <f>IF(AND('Mapa final'!$AA$39="Media",'Mapa final'!$AC$39="Catastrófico"),CONCATENATE("R6C",'Mapa final'!$Q$39),"")</f>
        <v/>
      </c>
      <c r="AL31" s="40" t="str">
        <f>IF(AND('Mapa final'!$AA$40="Media",'Mapa final'!$AC$40="Catastrófico"),CONCATENATE("R6C",'Mapa final'!$Q$40),"")</f>
        <v/>
      </c>
      <c r="AM31" s="41" t="str">
        <f>IF(AND('Mapa final'!$AA$41="Media",'Mapa final'!$AC$41="Catastrófico"),CONCATENATE("R6C",'Mapa final'!$Q$41),"")</f>
        <v/>
      </c>
      <c r="AN31" s="68"/>
      <c r="AO31" s="430"/>
      <c r="AP31" s="431"/>
      <c r="AQ31" s="431"/>
      <c r="AR31" s="431"/>
      <c r="AS31" s="431"/>
      <c r="AT31" s="432"/>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row>
    <row r="32" spans="1:76" ht="15" customHeight="1" x14ac:dyDescent="0.25">
      <c r="A32" s="68"/>
      <c r="B32" s="348"/>
      <c r="C32" s="348"/>
      <c r="D32" s="349"/>
      <c r="E32" s="389"/>
      <c r="F32" s="390"/>
      <c r="G32" s="390"/>
      <c r="H32" s="390"/>
      <c r="I32" s="391"/>
      <c r="J32" s="52" t="str">
        <f>IF(AND('Mapa final'!$AA$42="Media",'Mapa final'!$AC$42="Leve"),CONCATENATE("R7C",'Mapa final'!$Q$42),"")</f>
        <v/>
      </c>
      <c r="K32" s="53" t="str">
        <f>IF(AND('Mapa final'!$AA$43="Media",'Mapa final'!$AC$43="Leve"),CONCATENATE("R7C",'Mapa final'!$Q$43),"")</f>
        <v/>
      </c>
      <c r="L32" s="53" t="str">
        <f>IF(AND('Mapa final'!$AA$44="Media",'Mapa final'!$AC$44="Leve"),CONCATENATE("R7C",'Mapa final'!$Q$44),"")</f>
        <v/>
      </c>
      <c r="M32" s="53" t="str">
        <f>IF(AND('Mapa final'!$AA$45="Media",'Mapa final'!$AC$45="Leve"),CONCATENATE("R7C",'Mapa final'!$Q$45),"")</f>
        <v/>
      </c>
      <c r="N32" s="53" t="str">
        <f>IF(AND('Mapa final'!$AA$46="Media",'Mapa final'!$AC$46="Leve"),CONCATENATE("R7C",'Mapa final'!$Q$46),"")</f>
        <v/>
      </c>
      <c r="O32" s="54" t="str">
        <f>IF(AND('Mapa final'!$AA$47="Media",'Mapa final'!$AC$47="Leve"),CONCATENATE("R7C",'Mapa final'!$Q$47),"")</f>
        <v/>
      </c>
      <c r="P32" s="52" t="str">
        <f>IF(AND('Mapa final'!$AA$42="Media",'Mapa final'!$AC$42="Menor"),CONCATENATE("R7C",'Mapa final'!$Q$42),"")</f>
        <v/>
      </c>
      <c r="Q32" s="53" t="str">
        <f>IF(AND('Mapa final'!$AA$43="Media",'Mapa final'!$AC$43="Menor"),CONCATENATE("R7C",'Mapa final'!$Q$43),"")</f>
        <v/>
      </c>
      <c r="R32" s="53" t="str">
        <f>IF(AND('Mapa final'!$AA$44="Media",'Mapa final'!$AC$44="Menor"),CONCATENATE("R7C",'Mapa final'!$Q$44),"")</f>
        <v/>
      </c>
      <c r="S32" s="53" t="str">
        <f>IF(AND('Mapa final'!$AA$45="Media",'Mapa final'!$AC$45="Menor"),CONCATENATE("R7C",'Mapa final'!$Q$45),"")</f>
        <v/>
      </c>
      <c r="T32" s="53" t="str">
        <f>IF(AND('Mapa final'!$AA$46="Media",'Mapa final'!$AC$46="Menor"),CONCATENATE("R7C",'Mapa final'!$Q$46),"")</f>
        <v/>
      </c>
      <c r="U32" s="54" t="str">
        <f>IF(AND('Mapa final'!$AA$47="Media",'Mapa final'!$AC$47="Menor"),CONCATENATE("R7C",'Mapa final'!$Q$47),"")</f>
        <v/>
      </c>
      <c r="V32" s="52" t="str">
        <f>IF(AND('Mapa final'!$AA$42="Media",'Mapa final'!$AC$42="Moderado"),CONCATENATE("R7C",'Mapa final'!$Q$42),"")</f>
        <v/>
      </c>
      <c r="W32" s="53" t="str">
        <f>IF(AND('Mapa final'!$AA$43="Media",'Mapa final'!$AC$43="Moderado"),CONCATENATE("R7C",'Mapa final'!$Q$43),"")</f>
        <v/>
      </c>
      <c r="X32" s="53" t="str">
        <f>IF(AND('Mapa final'!$AA$44="Media",'Mapa final'!$AC$44="Moderado"),CONCATENATE("R7C",'Mapa final'!$Q$44),"")</f>
        <v/>
      </c>
      <c r="Y32" s="53" t="str">
        <f>IF(AND('Mapa final'!$AA$45="Media",'Mapa final'!$AC$45="Moderado"),CONCATENATE("R7C",'Mapa final'!$Q$45),"")</f>
        <v/>
      </c>
      <c r="Z32" s="53" t="str">
        <f>IF(AND('Mapa final'!$AA$46="Media",'Mapa final'!$AC$46="Moderado"),CONCATENATE("R7C",'Mapa final'!$Q$46),"")</f>
        <v/>
      </c>
      <c r="AA32" s="54" t="str">
        <f>IF(AND('Mapa final'!$AA$47="Media",'Mapa final'!$AC$47="Moderado"),CONCATENATE("R7C",'Mapa final'!$Q$47),"")</f>
        <v/>
      </c>
      <c r="AB32" s="36" t="str">
        <f>IF(AND('Mapa final'!$AA$42="Media",'Mapa final'!$AC$42="Mayor"),CONCATENATE("R7C",'Mapa final'!$Q$42),"")</f>
        <v/>
      </c>
      <c r="AC32" s="37" t="str">
        <f>IF(AND('Mapa final'!$AA$43="Media",'Mapa final'!$AC$43="Mayor"),CONCATENATE("R7C",'Mapa final'!$Q$43),"")</f>
        <v/>
      </c>
      <c r="AD32" s="42" t="str">
        <f>IF(AND('Mapa final'!$AA$44="Media",'Mapa final'!$AC$44="Mayor"),CONCATENATE("R7C",'Mapa final'!$Q$44),"")</f>
        <v/>
      </c>
      <c r="AE32" s="42" t="str">
        <f>IF(AND('Mapa final'!$AA$45="Media",'Mapa final'!$AC$45="Mayor"),CONCATENATE("R7C",'Mapa final'!$Q$45),"")</f>
        <v/>
      </c>
      <c r="AF32" s="42" t="str">
        <f>IF(AND('Mapa final'!$AA$46="Media",'Mapa final'!$AC$46="Mayor"),CONCATENATE("R7C",'Mapa final'!$Q$46),"")</f>
        <v/>
      </c>
      <c r="AG32" s="38" t="str">
        <f>IF(AND('Mapa final'!$AA$47="Media",'Mapa final'!$AC$47="Mayor"),CONCATENATE("R7C",'Mapa final'!$Q$47),"")</f>
        <v/>
      </c>
      <c r="AH32" s="39" t="str">
        <f>IF(AND('Mapa final'!$AA$42="Media",'Mapa final'!$AC$42="Catastrófico"),CONCATENATE("R7C",'Mapa final'!$Q$42),"")</f>
        <v/>
      </c>
      <c r="AI32" s="40" t="str">
        <f>IF(AND('Mapa final'!$AA$43="Media",'Mapa final'!$AC$43="Catastrófico"),CONCATENATE("R7C",'Mapa final'!$Q$43),"")</f>
        <v/>
      </c>
      <c r="AJ32" s="40" t="str">
        <f>IF(AND('Mapa final'!$AA$44="Media",'Mapa final'!$AC$44="Catastrófico"),CONCATENATE("R7C",'Mapa final'!$Q$44),"")</f>
        <v/>
      </c>
      <c r="AK32" s="40" t="str">
        <f>IF(AND('Mapa final'!$AA$45="Media",'Mapa final'!$AC$45="Catastrófico"),CONCATENATE("R7C",'Mapa final'!$Q$45),"")</f>
        <v/>
      </c>
      <c r="AL32" s="40" t="str">
        <f>IF(AND('Mapa final'!$AA$46="Media",'Mapa final'!$AC$46="Catastrófico"),CONCATENATE("R7C",'Mapa final'!$Q$46),"")</f>
        <v/>
      </c>
      <c r="AM32" s="41" t="str">
        <f>IF(AND('Mapa final'!$AA$47="Media",'Mapa final'!$AC$47="Catastrófico"),CONCATENATE("R7C",'Mapa final'!$Q$47),"")</f>
        <v/>
      </c>
      <c r="AN32" s="68"/>
      <c r="AO32" s="430"/>
      <c r="AP32" s="431"/>
      <c r="AQ32" s="431"/>
      <c r="AR32" s="431"/>
      <c r="AS32" s="431"/>
      <c r="AT32" s="432"/>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row>
    <row r="33" spans="1:80" ht="15" customHeight="1" x14ac:dyDescent="0.25">
      <c r="A33" s="68"/>
      <c r="B33" s="348"/>
      <c r="C33" s="348"/>
      <c r="D33" s="349"/>
      <c r="E33" s="389"/>
      <c r="F33" s="390"/>
      <c r="G33" s="390"/>
      <c r="H33" s="390"/>
      <c r="I33" s="391"/>
      <c r="J33" s="52" t="str">
        <f>IF(AND('Mapa final'!$AA$48="Media",'Mapa final'!$AC$48="Leve"),CONCATENATE("R8C",'Mapa final'!$Q$48),"")</f>
        <v/>
      </c>
      <c r="K33" s="53" t="str">
        <f>IF(AND('Mapa final'!$AA$49="Media",'Mapa final'!$AC$49="Leve"),CONCATENATE("R8C",'Mapa final'!$Q$49),"")</f>
        <v/>
      </c>
      <c r="L33" s="53" t="str">
        <f>IF(AND('Mapa final'!$AA$50="Media",'Mapa final'!$AC$50="Leve"),CONCATENATE("R8C",'Mapa final'!$Q$50),"")</f>
        <v/>
      </c>
      <c r="M33" s="53" t="str">
        <f>IF(AND('Mapa final'!$AA$51="Media",'Mapa final'!$AC$51="Leve"),CONCATENATE("R8C",'Mapa final'!$Q$51),"")</f>
        <v/>
      </c>
      <c r="N33" s="53" t="str">
        <f>IF(AND('Mapa final'!$AA$52="Media",'Mapa final'!$AC$52="Leve"),CONCATENATE("R8C",'Mapa final'!$Q$52),"")</f>
        <v/>
      </c>
      <c r="O33" s="54" t="str">
        <f>IF(AND('Mapa final'!$AA$53="Media",'Mapa final'!$AC$53="Leve"),CONCATENATE("R8C",'Mapa final'!$Q$53),"")</f>
        <v/>
      </c>
      <c r="P33" s="52" t="str">
        <f>IF(AND('Mapa final'!$AA$48="Media",'Mapa final'!$AC$48="Menor"),CONCATENATE("R8C",'Mapa final'!$Q$48),"")</f>
        <v/>
      </c>
      <c r="Q33" s="53" t="str">
        <f>IF(AND('Mapa final'!$AA$49="Media",'Mapa final'!$AC$49="Menor"),CONCATENATE("R8C",'Mapa final'!$Q$49),"")</f>
        <v/>
      </c>
      <c r="R33" s="53" t="str">
        <f>IF(AND('Mapa final'!$AA$50="Media",'Mapa final'!$AC$50="Menor"),CONCATENATE("R8C",'Mapa final'!$Q$50),"")</f>
        <v/>
      </c>
      <c r="S33" s="53" t="str">
        <f>IF(AND('Mapa final'!$AA$51="Media",'Mapa final'!$AC$51="Menor"),CONCATENATE("R8C",'Mapa final'!$Q$51),"")</f>
        <v/>
      </c>
      <c r="T33" s="53" t="str">
        <f>IF(AND('Mapa final'!$AA$52="Media",'Mapa final'!$AC$52="Menor"),CONCATENATE("R8C",'Mapa final'!$Q$52),"")</f>
        <v/>
      </c>
      <c r="U33" s="54" t="str">
        <f>IF(AND('Mapa final'!$AA$53="Media",'Mapa final'!$AC$53="Menor"),CONCATENATE("R8C",'Mapa final'!$Q$53),"")</f>
        <v/>
      </c>
      <c r="V33" s="52" t="str">
        <f>IF(AND('Mapa final'!$AA$48="Media",'Mapa final'!$AC$48="Moderado"),CONCATENATE("R8C",'Mapa final'!$Q$48),"")</f>
        <v/>
      </c>
      <c r="W33" s="53" t="str">
        <f>IF(AND('Mapa final'!$AA$49="Media",'Mapa final'!$AC$49="Moderado"),CONCATENATE("R8C",'Mapa final'!$Q$49),"")</f>
        <v/>
      </c>
      <c r="X33" s="53" t="str">
        <f>IF(AND('Mapa final'!$AA$50="Media",'Mapa final'!$AC$50="Moderado"),CONCATENATE("R8C",'Mapa final'!$Q$50),"")</f>
        <v/>
      </c>
      <c r="Y33" s="53" t="str">
        <f>IF(AND('Mapa final'!$AA$51="Media",'Mapa final'!$AC$51="Moderado"),CONCATENATE("R8C",'Mapa final'!$Q$51),"")</f>
        <v/>
      </c>
      <c r="Z33" s="53" t="str">
        <f>IF(AND('Mapa final'!$AA$52="Media",'Mapa final'!$AC$52="Moderado"),CONCATENATE("R8C",'Mapa final'!$Q$52),"")</f>
        <v/>
      </c>
      <c r="AA33" s="54" t="str">
        <f>IF(AND('Mapa final'!$AA$53="Media",'Mapa final'!$AC$53="Moderado"),CONCATENATE("R8C",'Mapa final'!$Q$53),"")</f>
        <v/>
      </c>
      <c r="AB33" s="36" t="str">
        <f>IF(AND('Mapa final'!$AA$48="Media",'Mapa final'!$AC$48="Mayor"),CONCATENATE("R8C",'Mapa final'!$Q$48),"")</f>
        <v/>
      </c>
      <c r="AC33" s="37" t="str">
        <f>IF(AND('Mapa final'!$AA$49="Media",'Mapa final'!$AC$49="Mayor"),CONCATENATE("R8C",'Mapa final'!$Q$49),"")</f>
        <v/>
      </c>
      <c r="AD33" s="42" t="str">
        <f>IF(AND('Mapa final'!$AA$50="Media",'Mapa final'!$AC$50="Mayor"),CONCATENATE("R8C",'Mapa final'!$Q$50),"")</f>
        <v/>
      </c>
      <c r="AE33" s="42" t="str">
        <f>IF(AND('Mapa final'!$AA$51="Media",'Mapa final'!$AC$51="Mayor"),CONCATENATE("R8C",'Mapa final'!$Q$51),"")</f>
        <v/>
      </c>
      <c r="AF33" s="42" t="str">
        <f>IF(AND('Mapa final'!$AA$52="Media",'Mapa final'!$AC$52="Mayor"),CONCATENATE("R8C",'Mapa final'!$Q$52),"")</f>
        <v/>
      </c>
      <c r="AG33" s="38" t="str">
        <f>IF(AND('Mapa final'!$AA$53="Media",'Mapa final'!$AC$53="Mayor"),CONCATENATE("R8C",'Mapa final'!$Q$53),"")</f>
        <v/>
      </c>
      <c r="AH33" s="39" t="str">
        <f>IF(AND('Mapa final'!$AA$48="Media",'Mapa final'!$AC$48="Catastrófico"),CONCATENATE("R8C",'Mapa final'!$Q$48),"")</f>
        <v/>
      </c>
      <c r="AI33" s="40" t="str">
        <f>IF(AND('Mapa final'!$AA$49="Media",'Mapa final'!$AC$49="Catastrófico"),CONCATENATE("R8C",'Mapa final'!$Q$49),"")</f>
        <v/>
      </c>
      <c r="AJ33" s="40" t="str">
        <f>IF(AND('Mapa final'!$AA$50="Media",'Mapa final'!$AC$50="Catastrófico"),CONCATENATE("R8C",'Mapa final'!$Q$50),"")</f>
        <v/>
      </c>
      <c r="AK33" s="40" t="str">
        <f>IF(AND('Mapa final'!$AA$51="Media",'Mapa final'!$AC$51="Catastrófico"),CONCATENATE("R8C",'Mapa final'!$Q$51),"")</f>
        <v/>
      </c>
      <c r="AL33" s="40" t="str">
        <f>IF(AND('Mapa final'!$AA$52="Media",'Mapa final'!$AC$52="Catastrófico"),CONCATENATE("R8C",'Mapa final'!$Q$52),"")</f>
        <v/>
      </c>
      <c r="AM33" s="41" t="str">
        <f>IF(AND('Mapa final'!$AA$53="Media",'Mapa final'!$AC$53="Catastrófico"),CONCATENATE("R8C",'Mapa final'!$Q$53),"")</f>
        <v/>
      </c>
      <c r="AN33" s="68"/>
      <c r="AO33" s="430"/>
      <c r="AP33" s="431"/>
      <c r="AQ33" s="431"/>
      <c r="AR33" s="431"/>
      <c r="AS33" s="431"/>
      <c r="AT33" s="432"/>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row>
    <row r="34" spans="1:80" ht="15" customHeight="1" x14ac:dyDescent="0.25">
      <c r="A34" s="68"/>
      <c r="B34" s="348"/>
      <c r="C34" s="348"/>
      <c r="D34" s="349"/>
      <c r="E34" s="389"/>
      <c r="F34" s="390"/>
      <c r="G34" s="390"/>
      <c r="H34" s="390"/>
      <c r="I34" s="391"/>
      <c r="J34" s="52" t="str">
        <f>IF(AND('Mapa final'!$AA$54="Media",'Mapa final'!$AC$54="Leve"),CONCATENATE("R9C",'Mapa final'!$Q$54),"")</f>
        <v/>
      </c>
      <c r="K34" s="53" t="str">
        <f>IF(AND('Mapa final'!$AA$55="Media",'Mapa final'!$AC$55="Leve"),CONCATENATE("R9C",'Mapa final'!$Q$55),"")</f>
        <v/>
      </c>
      <c r="L34" s="53" t="str">
        <f>IF(AND('Mapa final'!$AA$56="Media",'Mapa final'!$AC$56="Leve"),CONCATENATE("R9C",'Mapa final'!$Q$56),"")</f>
        <v/>
      </c>
      <c r="M34" s="53" t="str">
        <f>IF(AND('Mapa final'!$AA$57="Media",'Mapa final'!$AC$57="Leve"),CONCATENATE("R9C",'Mapa final'!$Q$57),"")</f>
        <v/>
      </c>
      <c r="N34" s="53" t="str">
        <f>IF(AND('Mapa final'!$AA$58="Media",'Mapa final'!$AC$58="Leve"),CONCATENATE("R9C",'Mapa final'!$Q$58),"")</f>
        <v/>
      </c>
      <c r="O34" s="54" t="str">
        <f>IF(AND('Mapa final'!$AA$59="Media",'Mapa final'!$AC$59="Leve"),CONCATENATE("R9C",'Mapa final'!$Q$59),"")</f>
        <v/>
      </c>
      <c r="P34" s="52" t="str">
        <f>IF(AND('Mapa final'!$AA$54="Media",'Mapa final'!$AC$54="Menor"),CONCATENATE("R9C",'Mapa final'!$Q$54),"")</f>
        <v/>
      </c>
      <c r="Q34" s="53" t="str">
        <f>IF(AND('Mapa final'!$AA$55="Media",'Mapa final'!$AC$55="Menor"),CONCATENATE("R9C",'Mapa final'!$Q$55),"")</f>
        <v/>
      </c>
      <c r="R34" s="53" t="str">
        <f>IF(AND('Mapa final'!$AA$56="Media",'Mapa final'!$AC$56="Menor"),CONCATENATE("R9C",'Mapa final'!$Q$56),"")</f>
        <v/>
      </c>
      <c r="S34" s="53" t="str">
        <f>IF(AND('Mapa final'!$AA$57="Media",'Mapa final'!$AC$57="Menor"),CONCATENATE("R9C",'Mapa final'!$Q$57),"")</f>
        <v/>
      </c>
      <c r="T34" s="53" t="str">
        <f>IF(AND('Mapa final'!$AA$58="Media",'Mapa final'!$AC$58="Menor"),CONCATENATE("R9C",'Mapa final'!$Q$58),"")</f>
        <v/>
      </c>
      <c r="U34" s="54" t="str">
        <f>IF(AND('Mapa final'!$AA$59="Media",'Mapa final'!$AC$59="Menor"),CONCATENATE("R9C",'Mapa final'!$Q$59),"")</f>
        <v/>
      </c>
      <c r="V34" s="52" t="str">
        <f>IF(AND('Mapa final'!$AA$54="Media",'Mapa final'!$AC$54="Moderado"),CONCATENATE("R9C",'Mapa final'!$Q$54),"")</f>
        <v/>
      </c>
      <c r="W34" s="53" t="str">
        <f>IF(AND('Mapa final'!$AA$55="Media",'Mapa final'!$AC$55="Moderado"),CONCATENATE("R9C",'Mapa final'!$Q$55),"")</f>
        <v/>
      </c>
      <c r="X34" s="53" t="str">
        <f>IF(AND('Mapa final'!$AA$56="Media",'Mapa final'!$AC$56="Moderado"),CONCATENATE("R9C",'Mapa final'!$Q$56),"")</f>
        <v/>
      </c>
      <c r="Y34" s="53" t="str">
        <f>IF(AND('Mapa final'!$AA$57="Media",'Mapa final'!$AC$57="Moderado"),CONCATENATE("R9C",'Mapa final'!$Q$57),"")</f>
        <v/>
      </c>
      <c r="Z34" s="53" t="str">
        <f>IF(AND('Mapa final'!$AA$58="Media",'Mapa final'!$AC$58="Moderado"),CONCATENATE("R9C",'Mapa final'!$Q$58),"")</f>
        <v/>
      </c>
      <c r="AA34" s="54" t="str">
        <f>IF(AND('Mapa final'!$AA$59="Media",'Mapa final'!$AC$59="Moderado"),CONCATENATE("R9C",'Mapa final'!$Q$59),"")</f>
        <v/>
      </c>
      <c r="AB34" s="36" t="str">
        <f>IF(AND('Mapa final'!$AA$54="Media",'Mapa final'!$AC$54="Mayor"),CONCATENATE("R9C",'Mapa final'!$Q$54),"")</f>
        <v/>
      </c>
      <c r="AC34" s="37" t="str">
        <f>IF(AND('Mapa final'!$AA$55="Media",'Mapa final'!$AC$55="Mayor"),CONCATENATE("R9C",'Mapa final'!$Q$55),"")</f>
        <v/>
      </c>
      <c r="AD34" s="42" t="str">
        <f>IF(AND('Mapa final'!$AA$56="Media",'Mapa final'!$AC$56="Mayor"),CONCATENATE("R9C",'Mapa final'!$Q$56),"")</f>
        <v/>
      </c>
      <c r="AE34" s="42" t="str">
        <f>IF(AND('Mapa final'!$AA$57="Media",'Mapa final'!$AC$57="Mayor"),CONCATENATE("R9C",'Mapa final'!$Q$57),"")</f>
        <v/>
      </c>
      <c r="AF34" s="42" t="str">
        <f>IF(AND('Mapa final'!$AA$58="Media",'Mapa final'!$AC$58="Mayor"),CONCATENATE("R9C",'Mapa final'!$Q$58),"")</f>
        <v/>
      </c>
      <c r="AG34" s="38" t="str">
        <f>IF(AND('Mapa final'!$AA$59="Media",'Mapa final'!$AC$59="Mayor"),CONCATENATE("R9C",'Mapa final'!$Q$59),"")</f>
        <v/>
      </c>
      <c r="AH34" s="39" t="str">
        <f>IF(AND('Mapa final'!$AA$54="Media",'Mapa final'!$AC$54="Catastrófico"),CONCATENATE("R9C",'Mapa final'!$Q$54),"")</f>
        <v/>
      </c>
      <c r="AI34" s="40" t="str">
        <f>IF(AND('Mapa final'!$AA$55="Media",'Mapa final'!$AC$55="Catastrófico"),CONCATENATE("R9C",'Mapa final'!$Q$55),"")</f>
        <v/>
      </c>
      <c r="AJ34" s="40" t="str">
        <f>IF(AND('Mapa final'!$AA$56="Media",'Mapa final'!$AC$56="Catastrófico"),CONCATENATE("R9C",'Mapa final'!$Q$56),"")</f>
        <v/>
      </c>
      <c r="AK34" s="40" t="str">
        <f>IF(AND('Mapa final'!$AA$57="Media",'Mapa final'!$AC$57="Catastrófico"),CONCATENATE("R9C",'Mapa final'!$Q$57),"")</f>
        <v/>
      </c>
      <c r="AL34" s="40" t="str">
        <f>IF(AND('Mapa final'!$AA$58="Media",'Mapa final'!$AC$58="Catastrófico"),CONCATENATE("R9C",'Mapa final'!$Q$58),"")</f>
        <v/>
      </c>
      <c r="AM34" s="41" t="str">
        <f>IF(AND('Mapa final'!$AA$59="Media",'Mapa final'!$AC$59="Catastrófico"),CONCATENATE("R9C",'Mapa final'!$Q$59),"")</f>
        <v/>
      </c>
      <c r="AN34" s="68"/>
      <c r="AO34" s="430"/>
      <c r="AP34" s="431"/>
      <c r="AQ34" s="431"/>
      <c r="AR34" s="431"/>
      <c r="AS34" s="431"/>
      <c r="AT34" s="432"/>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row>
    <row r="35" spans="1:80" ht="15.75" customHeight="1" thickBot="1" x14ac:dyDescent="0.3">
      <c r="A35" s="68"/>
      <c r="B35" s="348"/>
      <c r="C35" s="348"/>
      <c r="D35" s="349"/>
      <c r="E35" s="392"/>
      <c r="F35" s="393"/>
      <c r="G35" s="393"/>
      <c r="H35" s="393"/>
      <c r="I35" s="394"/>
      <c r="J35" s="52" t="str">
        <f>IF(AND('Mapa final'!$AA$60="Media",'Mapa final'!$AC$60="Leve"),CONCATENATE("R10C",'Mapa final'!$Q$60),"")</f>
        <v/>
      </c>
      <c r="K35" s="53" t="str">
        <f>IF(AND('Mapa final'!$AA$61="Media",'Mapa final'!$AC$61="Leve"),CONCATENATE("R10C",'Mapa final'!$Q$61),"")</f>
        <v/>
      </c>
      <c r="L35" s="53" t="str">
        <f>IF(AND('Mapa final'!$AA$62="Media",'Mapa final'!$AC$62="Leve"),CONCATENATE("R10C",'Mapa final'!$Q$62),"")</f>
        <v/>
      </c>
      <c r="M35" s="53" t="str">
        <f>IF(AND('Mapa final'!$AA$63="Media",'Mapa final'!$AC$63="Leve"),CONCATENATE("R10C",'Mapa final'!$Q$63),"")</f>
        <v/>
      </c>
      <c r="N35" s="53" t="str">
        <f>IF(AND('Mapa final'!$AA$64="Media",'Mapa final'!$AC$64="Leve"),CONCATENATE("R10C",'Mapa final'!$Q$64),"")</f>
        <v/>
      </c>
      <c r="O35" s="54" t="str">
        <f>IF(AND('Mapa final'!$AA$65="Media",'Mapa final'!$AC$65="Leve"),CONCATENATE("R10C",'Mapa final'!$Q$65),"")</f>
        <v/>
      </c>
      <c r="P35" s="52" t="str">
        <f>IF(AND('Mapa final'!$AA$60="Media",'Mapa final'!$AC$60="Menor"),CONCATENATE("R10C",'Mapa final'!$Q$60),"")</f>
        <v/>
      </c>
      <c r="Q35" s="53" t="str">
        <f>IF(AND('Mapa final'!$AA$61="Media",'Mapa final'!$AC$61="Menor"),CONCATENATE("R10C",'Mapa final'!$Q$61),"")</f>
        <v/>
      </c>
      <c r="R35" s="53" t="str">
        <f>IF(AND('Mapa final'!$AA$62="Media",'Mapa final'!$AC$62="Menor"),CONCATENATE("R10C",'Mapa final'!$Q$62),"")</f>
        <v/>
      </c>
      <c r="S35" s="53" t="str">
        <f>IF(AND('Mapa final'!$AA$63="Media",'Mapa final'!$AC$63="Menor"),CONCATENATE("R10C",'Mapa final'!$Q$63),"")</f>
        <v/>
      </c>
      <c r="T35" s="53" t="str">
        <f>IF(AND('Mapa final'!$AA$64="Media",'Mapa final'!$AC$64="Menor"),CONCATENATE("R10C",'Mapa final'!$Q$64),"")</f>
        <v/>
      </c>
      <c r="U35" s="54" t="str">
        <f>IF(AND('Mapa final'!$AA$65="Media",'Mapa final'!$AC$65="Menor"),CONCATENATE("R10C",'Mapa final'!$Q$65),"")</f>
        <v/>
      </c>
      <c r="V35" s="52" t="str">
        <f>IF(AND('Mapa final'!$AA$60="Media",'Mapa final'!$AC$60="Moderado"),CONCATENATE("R10C",'Mapa final'!$Q$60),"")</f>
        <v/>
      </c>
      <c r="W35" s="53" t="str">
        <f>IF(AND('Mapa final'!$AA$61="Media",'Mapa final'!$AC$61="Moderado"),CONCATENATE("R10C",'Mapa final'!$Q$61),"")</f>
        <v/>
      </c>
      <c r="X35" s="53" t="str">
        <f>IF(AND('Mapa final'!$AA$62="Media",'Mapa final'!$AC$62="Moderado"),CONCATENATE("R10C",'Mapa final'!$Q$62),"")</f>
        <v/>
      </c>
      <c r="Y35" s="53" t="str">
        <f>IF(AND('Mapa final'!$AA$63="Media",'Mapa final'!$AC$63="Moderado"),CONCATENATE("R10C",'Mapa final'!$Q$63),"")</f>
        <v/>
      </c>
      <c r="Z35" s="53" t="str">
        <f>IF(AND('Mapa final'!$AA$64="Media",'Mapa final'!$AC$64="Moderado"),CONCATENATE("R10C",'Mapa final'!$Q$64),"")</f>
        <v/>
      </c>
      <c r="AA35" s="54" t="str">
        <f>IF(AND('Mapa final'!$AA$65="Media",'Mapa final'!$AC$65="Moderado"),CONCATENATE("R10C",'Mapa final'!$Q$65),"")</f>
        <v/>
      </c>
      <c r="AB35" s="43" t="str">
        <f>IF(AND('Mapa final'!$AA$60="Media",'Mapa final'!$AC$60="Mayor"),CONCATENATE("R10C",'Mapa final'!$Q$60),"")</f>
        <v/>
      </c>
      <c r="AC35" s="44" t="str">
        <f>IF(AND('Mapa final'!$AA$61="Media",'Mapa final'!$AC$61="Mayor"),CONCATENATE("R10C",'Mapa final'!$Q$61),"")</f>
        <v/>
      </c>
      <c r="AD35" s="44" t="str">
        <f>IF(AND('Mapa final'!$AA$62="Media",'Mapa final'!$AC$62="Mayor"),CONCATENATE("R10C",'Mapa final'!$Q$62),"")</f>
        <v/>
      </c>
      <c r="AE35" s="44" t="str">
        <f>IF(AND('Mapa final'!$AA$63="Media",'Mapa final'!$AC$63="Mayor"),CONCATENATE("R10C",'Mapa final'!$Q$63),"")</f>
        <v/>
      </c>
      <c r="AF35" s="44" t="str">
        <f>IF(AND('Mapa final'!$AA$64="Media",'Mapa final'!$AC$64="Mayor"),CONCATENATE("R10C",'Mapa final'!$Q$64),"")</f>
        <v/>
      </c>
      <c r="AG35" s="45" t="str">
        <f>IF(AND('Mapa final'!$AA$65="Media",'Mapa final'!$AC$65="Mayor"),CONCATENATE("R10C",'Mapa final'!$Q$65),"")</f>
        <v/>
      </c>
      <c r="AH35" s="46" t="str">
        <f>IF(AND('Mapa final'!$AA$60="Media",'Mapa final'!$AC$60="Catastrófico"),CONCATENATE("R10C",'Mapa final'!$Q$60),"")</f>
        <v/>
      </c>
      <c r="AI35" s="47" t="str">
        <f>IF(AND('Mapa final'!$AA$61="Media",'Mapa final'!$AC$61="Catastrófico"),CONCATENATE("R10C",'Mapa final'!$Q$61),"")</f>
        <v/>
      </c>
      <c r="AJ35" s="47" t="str">
        <f>IF(AND('Mapa final'!$AA$62="Media",'Mapa final'!$AC$62="Catastrófico"),CONCATENATE("R10C",'Mapa final'!$Q$62),"")</f>
        <v/>
      </c>
      <c r="AK35" s="47" t="str">
        <f>IF(AND('Mapa final'!$AA$63="Media",'Mapa final'!$AC$63="Catastrófico"),CONCATENATE("R10C",'Mapa final'!$Q$63),"")</f>
        <v/>
      </c>
      <c r="AL35" s="47" t="str">
        <f>IF(AND('Mapa final'!$AA$64="Media",'Mapa final'!$AC$64="Catastrófico"),CONCATENATE("R10C",'Mapa final'!$Q$64),"")</f>
        <v/>
      </c>
      <c r="AM35" s="48" t="str">
        <f>IF(AND('Mapa final'!$AA$65="Media",'Mapa final'!$AC$65="Catastrófico"),CONCATENATE("R10C",'Mapa final'!$Q$65),"")</f>
        <v/>
      </c>
      <c r="AN35" s="68"/>
      <c r="AO35" s="433"/>
      <c r="AP35" s="434"/>
      <c r="AQ35" s="434"/>
      <c r="AR35" s="434"/>
      <c r="AS35" s="434"/>
      <c r="AT35" s="435"/>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row>
    <row r="36" spans="1:80" ht="15" customHeight="1" x14ac:dyDescent="0.25">
      <c r="A36" s="68"/>
      <c r="B36" s="348"/>
      <c r="C36" s="348"/>
      <c r="D36" s="349"/>
      <c r="E36" s="386" t="s">
        <v>109</v>
      </c>
      <c r="F36" s="387"/>
      <c r="G36" s="387"/>
      <c r="H36" s="387"/>
      <c r="I36" s="387"/>
      <c r="J36" s="58" t="str">
        <f ca="1">IF(AND('Mapa final'!$AA$10="Baja",'Mapa final'!$AC$10="Leve"),CONCATENATE("R1C",'Mapa final'!$Q$10),"")</f>
        <v/>
      </c>
      <c r="K36" s="59" t="str">
        <f>IF(AND('Mapa final'!$AA$11="Baja",'Mapa final'!$AC$11="Leve"),CONCATENATE("R1C",'Mapa final'!$Q$11),"")</f>
        <v/>
      </c>
      <c r="L36" s="59" t="str">
        <f>IF(AND('Mapa final'!$AA$12="Baja",'Mapa final'!$AC$12="Leve"),CONCATENATE("R1C",'Mapa final'!$Q$12),"")</f>
        <v/>
      </c>
      <c r="M36" s="59" t="str">
        <f>IF(AND('Mapa final'!$AA$13="Baja",'Mapa final'!$AC$13="Leve"),CONCATENATE("R1C",'Mapa final'!$Q$13),"")</f>
        <v/>
      </c>
      <c r="N36" s="59" t="e">
        <f>IF(AND('Mapa final'!#REF!="Baja",'Mapa final'!#REF!="Leve"),CONCATENATE("R1C",'Mapa final'!#REF!),"")</f>
        <v>#REF!</v>
      </c>
      <c r="O36" s="60" t="e">
        <f>IF(AND('Mapa final'!#REF!="Baja",'Mapa final'!#REF!="Leve"),CONCATENATE("R1C",'Mapa final'!#REF!),"")</f>
        <v>#REF!</v>
      </c>
      <c r="P36" s="49" t="str">
        <f ca="1">IF(AND('Mapa final'!$AA$10="Baja",'Mapa final'!$AC$10="Menor"),CONCATENATE("R1C",'Mapa final'!$Q$10),"")</f>
        <v/>
      </c>
      <c r="Q36" s="50" t="str">
        <f>IF(AND('Mapa final'!$AA$11="Baja",'Mapa final'!$AC$11="Menor"),CONCATENATE("R1C",'Mapa final'!$Q$11),"")</f>
        <v/>
      </c>
      <c r="R36" s="50" t="str">
        <f>IF(AND('Mapa final'!$AA$12="Baja",'Mapa final'!$AC$12="Menor"),CONCATENATE("R1C",'Mapa final'!$Q$12),"")</f>
        <v/>
      </c>
      <c r="S36" s="50" t="str">
        <f>IF(AND('Mapa final'!$AA$13="Baja",'Mapa final'!$AC$13="Menor"),CONCATENATE("R1C",'Mapa final'!$Q$13),"")</f>
        <v/>
      </c>
      <c r="T36" s="50" t="e">
        <f>IF(AND('Mapa final'!#REF!="Baja",'Mapa final'!#REF!="Menor"),CONCATENATE("R1C",'Mapa final'!#REF!),"")</f>
        <v>#REF!</v>
      </c>
      <c r="U36" s="51" t="e">
        <f>IF(AND('Mapa final'!#REF!="Baja",'Mapa final'!#REF!="Menor"),CONCATENATE("R1C",'Mapa final'!#REF!),"")</f>
        <v>#REF!</v>
      </c>
      <c r="V36" s="49" t="str">
        <f ca="1">IF(AND('Mapa final'!$AA$10="Baja",'Mapa final'!$AC$10="Moderado"),CONCATENATE("R1C",'Mapa final'!$Q$10),"")</f>
        <v/>
      </c>
      <c r="W36" s="50" t="str">
        <f>IF(AND('Mapa final'!$AA$11="Baja",'Mapa final'!$AC$11="Moderado"),CONCATENATE("R1C",'Mapa final'!$Q$11),"")</f>
        <v/>
      </c>
      <c r="X36" s="50" t="str">
        <f>IF(AND('Mapa final'!$AA$12="Baja",'Mapa final'!$AC$12="Moderado"),CONCATENATE("R1C",'Mapa final'!$Q$12),"")</f>
        <v/>
      </c>
      <c r="Y36" s="50" t="str">
        <f>IF(AND('Mapa final'!$AA$13="Baja",'Mapa final'!$AC$13="Moderado"),CONCATENATE("R1C",'Mapa final'!$Q$13),"")</f>
        <v/>
      </c>
      <c r="Z36" s="50" t="e">
        <f>IF(AND('Mapa final'!#REF!="Baja",'Mapa final'!#REF!="Moderado"),CONCATENATE("R1C",'Mapa final'!#REF!),"")</f>
        <v>#REF!</v>
      </c>
      <c r="AA36" s="51" t="e">
        <f>IF(AND('Mapa final'!#REF!="Baja",'Mapa final'!#REF!="Moderado"),CONCATENATE("R1C",'Mapa final'!#REF!),"")</f>
        <v>#REF!</v>
      </c>
      <c r="AB36" s="30" t="str">
        <f ca="1">IF(AND('Mapa final'!$AA$10="Baja",'Mapa final'!$AC$10="Mayor"),CONCATENATE("R1C",'Mapa final'!$Q$10),"")</f>
        <v>R1C1</v>
      </c>
      <c r="AC36" s="31" t="str">
        <f>IF(AND('Mapa final'!$AA$11="Baja",'Mapa final'!$AC$11="Mayor"),CONCATENATE("R1C",'Mapa final'!$Q$11),"")</f>
        <v/>
      </c>
      <c r="AD36" s="31" t="str">
        <f>IF(AND('Mapa final'!$AA$12="Baja",'Mapa final'!$AC$12="Mayor"),CONCATENATE("R1C",'Mapa final'!$Q$12),"")</f>
        <v/>
      </c>
      <c r="AE36" s="31" t="str">
        <f>IF(AND('Mapa final'!$AA$13="Baja",'Mapa final'!$AC$13="Mayor"),CONCATENATE("R1C",'Mapa final'!$Q$13),"")</f>
        <v/>
      </c>
      <c r="AF36" s="31" t="e">
        <f>IF(AND('Mapa final'!#REF!="Baja",'Mapa final'!#REF!="Mayor"),CONCATENATE("R1C",'Mapa final'!#REF!),"")</f>
        <v>#REF!</v>
      </c>
      <c r="AG36" s="32" t="e">
        <f>IF(AND('Mapa final'!#REF!="Baja",'Mapa final'!#REF!="Mayor"),CONCATENATE("R1C",'Mapa final'!#REF!),"")</f>
        <v>#REF!</v>
      </c>
      <c r="AH36" s="33" t="str">
        <f ca="1">IF(AND('Mapa final'!$AA$10="Baja",'Mapa final'!$AC$10="Catastrófico"),CONCATENATE("R1C",'Mapa final'!$Q$10),"")</f>
        <v/>
      </c>
      <c r="AI36" s="34" t="str">
        <f>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e">
        <f>IF(AND('Mapa final'!#REF!="Baja",'Mapa final'!#REF!="Catastrófico"),CONCATENATE("R1C",'Mapa final'!#REF!),"")</f>
        <v>#REF!</v>
      </c>
      <c r="AM36" s="35" t="e">
        <f>IF(AND('Mapa final'!#REF!="Baja",'Mapa final'!#REF!="Catastrófico"),CONCATENATE("R1C",'Mapa final'!#REF!),"")</f>
        <v>#REF!</v>
      </c>
      <c r="AN36" s="68"/>
      <c r="AO36" s="418" t="s">
        <v>81</v>
      </c>
      <c r="AP36" s="419"/>
      <c r="AQ36" s="419"/>
      <c r="AR36" s="419"/>
      <c r="AS36" s="419"/>
      <c r="AT36" s="420"/>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row>
    <row r="37" spans="1:80" ht="15" customHeight="1" x14ac:dyDescent="0.25">
      <c r="A37" s="68"/>
      <c r="B37" s="348"/>
      <c r="C37" s="348"/>
      <c r="D37" s="349"/>
      <c r="E37" s="405"/>
      <c r="F37" s="406"/>
      <c r="G37" s="406"/>
      <c r="H37" s="406"/>
      <c r="I37" s="406"/>
      <c r="J37" s="61" t="str">
        <f ca="1">IF(AND('Mapa final'!$AA$14="Baja",'Mapa final'!$AC$14="Leve"),CONCATENATE("R2C",'Mapa final'!$Q$14),"")</f>
        <v/>
      </c>
      <c r="K37" s="62" t="str">
        <f ca="1">IF(AND('Mapa final'!$AA$15="Baja",'Mapa final'!$AC$15="Leve"),CONCATENATE("R2C",'Mapa final'!$Q$15),"")</f>
        <v/>
      </c>
      <c r="L37" s="62" t="str">
        <f ca="1">IF(AND('Mapa final'!$AA$16="Baja",'Mapa final'!$AC$16="Leve"),CONCATENATE("R2C",'Mapa final'!$Q$16),"")</f>
        <v/>
      </c>
      <c r="M37" s="62" t="e">
        <f>IF(AND('Mapa final'!#REF!="Baja",'Mapa final'!#REF!="Leve"),CONCATENATE("R2C",'Mapa final'!#REF!),"")</f>
        <v>#REF!</v>
      </c>
      <c r="N37" s="62" t="e">
        <f>IF(AND('Mapa final'!#REF!="Baja",'Mapa final'!#REF!="Leve"),CONCATENATE("R2C",'Mapa final'!#REF!),"")</f>
        <v>#REF!</v>
      </c>
      <c r="O37" s="63" t="str">
        <f>IF(AND('Mapa final'!$AA$17="Baja",'Mapa final'!$AC$17="Leve"),CONCATENATE("R2C",'Mapa final'!$Q$17),"")</f>
        <v/>
      </c>
      <c r="P37" s="52" t="str">
        <f ca="1">IF(AND('Mapa final'!$AA$14="Baja",'Mapa final'!$AC$14="Menor"),CONCATENATE("R2C",'Mapa final'!$Q$14),"")</f>
        <v/>
      </c>
      <c r="Q37" s="53" t="str">
        <f ca="1">IF(AND('Mapa final'!$AA$15="Baja",'Mapa final'!$AC$15="Menor"),CONCATENATE("R2C",'Mapa final'!$Q$15),"")</f>
        <v/>
      </c>
      <c r="R37" s="53" t="str">
        <f ca="1">IF(AND('Mapa final'!$AA$16="Baja",'Mapa final'!$AC$16="Menor"),CONCATENATE("R2C",'Mapa final'!$Q$16),"")</f>
        <v/>
      </c>
      <c r="S37" s="53" t="e">
        <f>IF(AND('Mapa final'!#REF!="Baja",'Mapa final'!#REF!="Menor"),CONCATENATE("R2C",'Mapa final'!#REF!),"")</f>
        <v>#REF!</v>
      </c>
      <c r="T37" s="53" t="e">
        <f>IF(AND('Mapa final'!#REF!="Baja",'Mapa final'!#REF!="Menor"),CONCATENATE("R2C",'Mapa final'!#REF!),"")</f>
        <v>#REF!</v>
      </c>
      <c r="U37" s="54" t="str">
        <f>IF(AND('Mapa final'!$AA$17="Baja",'Mapa final'!$AC$17="Menor"),CONCATENATE("R2C",'Mapa final'!$Q$17),"")</f>
        <v/>
      </c>
      <c r="V37" s="52" t="str">
        <f ca="1">IF(AND('Mapa final'!$AA$14="Baja",'Mapa final'!$AC$14="Moderado"),CONCATENATE("R2C",'Mapa final'!$Q$14),"")</f>
        <v/>
      </c>
      <c r="W37" s="53" t="str">
        <f ca="1">IF(AND('Mapa final'!$AA$15="Baja",'Mapa final'!$AC$15="Moderado"),CONCATENATE("R2C",'Mapa final'!$Q$15),"")</f>
        <v/>
      </c>
      <c r="X37" s="53" t="str">
        <f ca="1">IF(AND('Mapa final'!$AA$16="Baja",'Mapa final'!$AC$16="Moderado"),CONCATENATE("R2C",'Mapa final'!$Q$16),"")</f>
        <v/>
      </c>
      <c r="Y37" s="53" t="e">
        <f>IF(AND('Mapa final'!#REF!="Baja",'Mapa final'!#REF!="Moderado"),CONCATENATE("R2C",'Mapa final'!#REF!),"")</f>
        <v>#REF!</v>
      </c>
      <c r="Z37" s="53" t="e">
        <f>IF(AND('Mapa final'!#REF!="Baja",'Mapa final'!#REF!="Moderado"),CONCATENATE("R2C",'Mapa final'!#REF!),"")</f>
        <v>#REF!</v>
      </c>
      <c r="AA37" s="54" t="str">
        <f>IF(AND('Mapa final'!$AA$17="Baja",'Mapa final'!$AC$17="Moderado"),CONCATENATE("R2C",'Mapa final'!$Q$17),"")</f>
        <v/>
      </c>
      <c r="AB37" s="36" t="str">
        <f ca="1">IF(AND('Mapa final'!$AA$14="Baja",'Mapa final'!$AC$14="Mayor"),CONCATENATE("R2C",'Mapa final'!$Q$14),"")</f>
        <v/>
      </c>
      <c r="AC37" s="37" t="str">
        <f ca="1">IF(AND('Mapa final'!$AA$15="Baja",'Mapa final'!$AC$15="Mayor"),CONCATENATE("R2C",'Mapa final'!$Q$15),"")</f>
        <v>R2C2</v>
      </c>
      <c r="AD37" s="37" t="str">
        <f ca="1">IF(AND('Mapa final'!$AA$16="Baja",'Mapa final'!$AC$16="Mayor"),CONCATENATE("R2C",'Mapa final'!$Q$16),"")</f>
        <v/>
      </c>
      <c r="AE37" s="37" t="e">
        <f>IF(AND('Mapa final'!#REF!="Baja",'Mapa final'!#REF!="Mayor"),CONCATENATE("R2C",'Mapa final'!#REF!),"")</f>
        <v>#REF!</v>
      </c>
      <c r="AF37" s="37" t="e">
        <f>IF(AND('Mapa final'!#REF!="Baja",'Mapa final'!#REF!="Mayor"),CONCATENATE("R2C",'Mapa final'!#REF!),"")</f>
        <v>#REF!</v>
      </c>
      <c r="AG37" s="38" t="str">
        <f>IF(AND('Mapa final'!$AA$17="Baja",'Mapa final'!$AC$17="Mayor"),CONCATENATE("R2C",'Mapa final'!$Q$17),"")</f>
        <v/>
      </c>
      <c r="AH37" s="39" t="str">
        <f ca="1">IF(AND('Mapa final'!$AA$14="Baja",'Mapa final'!$AC$14="Catastrófico"),CONCATENATE("R2C",'Mapa final'!$Q$14),"")</f>
        <v/>
      </c>
      <c r="AI37" s="40" t="str">
        <f ca="1">IF(AND('Mapa final'!$AA$15="Baja",'Mapa final'!$AC$15="Catastrófico"),CONCATENATE("R2C",'Mapa final'!$Q$15),"")</f>
        <v/>
      </c>
      <c r="AJ37" s="40" t="str">
        <f ca="1">IF(AND('Mapa final'!$AA$16="Baja",'Mapa final'!$AC$16="Catastrófico"),CONCATENATE("R2C",'Mapa final'!$Q$16),"")</f>
        <v/>
      </c>
      <c r="AK37" s="40" t="e">
        <f>IF(AND('Mapa final'!#REF!="Baja",'Mapa final'!#REF!="Catastrófico"),CONCATENATE("R2C",'Mapa final'!#REF!),"")</f>
        <v>#REF!</v>
      </c>
      <c r="AL37" s="40" t="e">
        <f>IF(AND('Mapa final'!#REF!="Baja",'Mapa final'!#REF!="Catastrófico"),CONCATENATE("R2C",'Mapa final'!#REF!),"")</f>
        <v>#REF!</v>
      </c>
      <c r="AM37" s="41" t="str">
        <f>IF(AND('Mapa final'!$AA$17="Baja",'Mapa final'!$AC$17="Catastrófico"),CONCATENATE("R2C",'Mapa final'!$Q$17),"")</f>
        <v/>
      </c>
      <c r="AN37" s="68"/>
      <c r="AO37" s="421"/>
      <c r="AP37" s="422"/>
      <c r="AQ37" s="422"/>
      <c r="AR37" s="422"/>
      <c r="AS37" s="422"/>
      <c r="AT37" s="423"/>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row>
    <row r="38" spans="1:80" ht="15" customHeight="1" x14ac:dyDescent="0.25">
      <c r="A38" s="68"/>
      <c r="B38" s="348"/>
      <c r="C38" s="348"/>
      <c r="D38" s="349"/>
      <c r="E38" s="389"/>
      <c r="F38" s="390"/>
      <c r="G38" s="390"/>
      <c r="H38" s="390"/>
      <c r="I38" s="406"/>
      <c r="J38" s="61" t="str">
        <f>IF(AND('Mapa final'!$AA$18="Baja",'Mapa final'!$AC$18="Leve"),CONCATENATE("R3C",'Mapa final'!$Q$18),"")</f>
        <v/>
      </c>
      <c r="K38" s="62" t="str">
        <f>IF(AND('Mapa final'!$AA$19="Baja",'Mapa final'!$AC$19="Leve"),CONCATENATE("R3C",'Mapa final'!$Q$19),"")</f>
        <v/>
      </c>
      <c r="L38" s="62" t="str">
        <f>IF(AND('Mapa final'!$AA$20="Baja",'Mapa final'!$AC$20="Leve"),CONCATENATE("R3C",'Mapa final'!$Q$20),"")</f>
        <v/>
      </c>
      <c r="M38" s="62" t="str">
        <f>IF(AND('Mapa final'!$AA$21="Baja",'Mapa final'!$AC$21="Leve"),CONCATENATE("R3C",'Mapa final'!$Q$21),"")</f>
        <v/>
      </c>
      <c r="N38" s="62" t="str">
        <f>IF(AND('Mapa final'!$AA$22="Baja",'Mapa final'!$AC$22="Leve"),CONCATENATE("R3C",'Mapa final'!$Q$22),"")</f>
        <v/>
      </c>
      <c r="O38" s="63" t="str">
        <f>IF(AND('Mapa final'!$AA$23="Baja",'Mapa final'!$AC$23="Leve"),CONCATENATE("R3C",'Mapa final'!$Q$23),"")</f>
        <v/>
      </c>
      <c r="P38" s="52" t="str">
        <f>IF(AND('Mapa final'!$AA$18="Baja",'Mapa final'!$AC$18="Menor"),CONCATENATE("R3C",'Mapa final'!$Q$18),"")</f>
        <v/>
      </c>
      <c r="Q38" s="53" t="str">
        <f>IF(AND('Mapa final'!$AA$19="Baja",'Mapa final'!$AC$19="Menor"),CONCATENATE("R3C",'Mapa final'!$Q$19),"")</f>
        <v/>
      </c>
      <c r="R38" s="53" t="str">
        <f>IF(AND('Mapa final'!$AA$20="Baja",'Mapa final'!$AC$20="Menor"),CONCATENATE("R3C",'Mapa final'!$Q$20),"")</f>
        <v/>
      </c>
      <c r="S38" s="53" t="str">
        <f>IF(AND('Mapa final'!$AA$21="Baja",'Mapa final'!$AC$21="Menor"),CONCATENATE("R3C",'Mapa final'!$Q$21),"")</f>
        <v/>
      </c>
      <c r="T38" s="53" t="str">
        <f>IF(AND('Mapa final'!$AA$22="Baja",'Mapa final'!$AC$22="Menor"),CONCATENATE("R3C",'Mapa final'!$Q$22),"")</f>
        <v/>
      </c>
      <c r="U38" s="54" t="str">
        <f>IF(AND('Mapa final'!$AA$23="Baja",'Mapa final'!$AC$23="Menor"),CONCATENATE("R3C",'Mapa final'!$Q$23),"")</f>
        <v/>
      </c>
      <c r="V38" s="52" t="str">
        <f>IF(AND('Mapa final'!$AA$18="Baja",'Mapa final'!$AC$18="Moderado"),CONCATENATE("R3C",'Mapa final'!$Q$18),"")</f>
        <v/>
      </c>
      <c r="W38" s="53" t="str">
        <f>IF(AND('Mapa final'!$AA$19="Baja",'Mapa final'!$AC$19="Moderado"),CONCATENATE("R3C",'Mapa final'!$Q$19),"")</f>
        <v/>
      </c>
      <c r="X38" s="53" t="str">
        <f>IF(AND('Mapa final'!$AA$20="Baja",'Mapa final'!$AC$20="Moderado"),CONCATENATE("R3C",'Mapa final'!$Q$20),"")</f>
        <v/>
      </c>
      <c r="Y38" s="53" t="str">
        <f>IF(AND('Mapa final'!$AA$21="Baja",'Mapa final'!$AC$21="Moderado"),CONCATENATE("R3C",'Mapa final'!$Q$21),"")</f>
        <v/>
      </c>
      <c r="Z38" s="53" t="str">
        <f>IF(AND('Mapa final'!$AA$22="Baja",'Mapa final'!$AC$22="Moderado"),CONCATENATE("R3C",'Mapa final'!$Q$22),"")</f>
        <v/>
      </c>
      <c r="AA38" s="54" t="str">
        <f>IF(AND('Mapa final'!$AA$23="Baja",'Mapa final'!$AC$23="Moderado"),CONCATENATE("R3C",'Mapa final'!$Q$23),"")</f>
        <v/>
      </c>
      <c r="AB38" s="36" t="str">
        <f>IF(AND('Mapa final'!$AA$18="Baja",'Mapa final'!$AC$18="Mayor"),CONCATENATE("R3C",'Mapa final'!$Q$18),"")</f>
        <v/>
      </c>
      <c r="AC38" s="37" t="str">
        <f>IF(AND('Mapa final'!$AA$19="Baja",'Mapa final'!$AC$19="Mayor"),CONCATENATE("R3C",'Mapa final'!$Q$19),"")</f>
        <v/>
      </c>
      <c r="AD38" s="37" t="str">
        <f>IF(AND('Mapa final'!$AA$20="Baja",'Mapa final'!$AC$20="Mayor"),CONCATENATE("R3C",'Mapa final'!$Q$20),"")</f>
        <v/>
      </c>
      <c r="AE38" s="37" t="str">
        <f>IF(AND('Mapa final'!$AA$21="Baja",'Mapa final'!$AC$21="Mayor"),CONCATENATE("R3C",'Mapa final'!$Q$21),"")</f>
        <v/>
      </c>
      <c r="AF38" s="37" t="str">
        <f>IF(AND('Mapa final'!$AA$22="Baja",'Mapa final'!$AC$22="Mayor"),CONCATENATE("R3C",'Mapa final'!$Q$22),"")</f>
        <v/>
      </c>
      <c r="AG38" s="38" t="str">
        <f>IF(AND('Mapa final'!$AA$23="Baja",'Mapa final'!$AC$23="Mayor"),CONCATENATE("R3C",'Mapa final'!$Q$23),"")</f>
        <v/>
      </c>
      <c r="AH38" s="39" t="str">
        <f>IF(AND('Mapa final'!$AA$18="Baja",'Mapa final'!$AC$18="Catastrófico"),CONCATENATE("R3C",'Mapa final'!$Q$18),"")</f>
        <v/>
      </c>
      <c r="AI38" s="40" t="str">
        <f>IF(AND('Mapa final'!$AA$19="Baja",'Mapa final'!$AC$19="Catastrófico"),CONCATENATE("R3C",'Mapa final'!$Q$19),"")</f>
        <v/>
      </c>
      <c r="AJ38" s="40" t="str">
        <f>IF(AND('Mapa final'!$AA$20="Baja",'Mapa final'!$AC$20="Catastrófico"),CONCATENATE("R3C",'Mapa final'!$Q$20),"")</f>
        <v/>
      </c>
      <c r="AK38" s="40" t="str">
        <f>IF(AND('Mapa final'!$AA$21="Baja",'Mapa final'!$AC$21="Catastrófico"),CONCATENATE("R3C",'Mapa final'!$Q$21),"")</f>
        <v/>
      </c>
      <c r="AL38" s="40" t="str">
        <f>IF(AND('Mapa final'!$AA$22="Baja",'Mapa final'!$AC$22="Catastrófico"),CONCATENATE("R3C",'Mapa final'!$Q$22),"")</f>
        <v/>
      </c>
      <c r="AM38" s="41" t="str">
        <f>IF(AND('Mapa final'!$AA$23="Baja",'Mapa final'!$AC$23="Catastrófico"),CONCATENATE("R3C",'Mapa final'!$Q$23),"")</f>
        <v/>
      </c>
      <c r="AN38" s="68"/>
      <c r="AO38" s="421"/>
      <c r="AP38" s="422"/>
      <c r="AQ38" s="422"/>
      <c r="AR38" s="422"/>
      <c r="AS38" s="422"/>
      <c r="AT38" s="423"/>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row>
    <row r="39" spans="1:80" ht="15" customHeight="1" x14ac:dyDescent="0.25">
      <c r="A39" s="68"/>
      <c r="B39" s="348"/>
      <c r="C39" s="348"/>
      <c r="D39" s="349"/>
      <c r="E39" s="389"/>
      <c r="F39" s="390"/>
      <c r="G39" s="390"/>
      <c r="H39" s="390"/>
      <c r="I39" s="406"/>
      <c r="J39" s="61" t="str">
        <f>IF(AND('Mapa final'!$AA$24="Baja",'Mapa final'!$AC$24="Leve"),CONCATENATE("R4C",'Mapa final'!$Q$24),"")</f>
        <v/>
      </c>
      <c r="K39" s="62" t="str">
        <f>IF(AND('Mapa final'!$AA$25="Baja",'Mapa final'!$AC$25="Leve"),CONCATENATE("R4C",'Mapa final'!$Q$25),"")</f>
        <v/>
      </c>
      <c r="L39" s="62" t="str">
        <f>IF(AND('Mapa final'!$AA$26="Baja",'Mapa final'!$AC$26="Leve"),CONCATENATE("R4C",'Mapa final'!$Q$26),"")</f>
        <v/>
      </c>
      <c r="M39" s="62" t="str">
        <f>IF(AND('Mapa final'!$AA$27="Baja",'Mapa final'!$AC$27="Leve"),CONCATENATE("R4C",'Mapa final'!$Q$27),"")</f>
        <v/>
      </c>
      <c r="N39" s="62" t="str">
        <f>IF(AND('Mapa final'!$AA$28="Baja",'Mapa final'!$AC$28="Leve"),CONCATENATE("R4C",'Mapa final'!$Q$28),"")</f>
        <v/>
      </c>
      <c r="O39" s="63" t="str">
        <f>IF(AND('Mapa final'!$AA$29="Baja",'Mapa final'!$AC$29="Leve"),CONCATENATE("R4C",'Mapa final'!$Q$29),"")</f>
        <v/>
      </c>
      <c r="P39" s="52" t="str">
        <f>IF(AND('Mapa final'!$AA$24="Baja",'Mapa final'!$AC$24="Menor"),CONCATENATE("R4C",'Mapa final'!$Q$24),"")</f>
        <v/>
      </c>
      <c r="Q39" s="53" t="str">
        <f>IF(AND('Mapa final'!$AA$25="Baja",'Mapa final'!$AC$25="Menor"),CONCATENATE("R4C",'Mapa final'!$Q$25),"")</f>
        <v/>
      </c>
      <c r="R39" s="53" t="str">
        <f>IF(AND('Mapa final'!$AA$26="Baja",'Mapa final'!$AC$26="Menor"),CONCATENATE("R4C",'Mapa final'!$Q$26),"")</f>
        <v/>
      </c>
      <c r="S39" s="53" t="str">
        <f>IF(AND('Mapa final'!$AA$27="Baja",'Mapa final'!$AC$27="Menor"),CONCATENATE("R4C",'Mapa final'!$Q$27),"")</f>
        <v/>
      </c>
      <c r="T39" s="53" t="str">
        <f>IF(AND('Mapa final'!$AA$28="Baja",'Mapa final'!$AC$28="Menor"),CONCATENATE("R4C",'Mapa final'!$Q$28),"")</f>
        <v/>
      </c>
      <c r="U39" s="54" t="str">
        <f>IF(AND('Mapa final'!$AA$29="Baja",'Mapa final'!$AC$29="Menor"),CONCATENATE("R4C",'Mapa final'!$Q$29),"")</f>
        <v/>
      </c>
      <c r="V39" s="52" t="str">
        <f>IF(AND('Mapa final'!$AA$24="Baja",'Mapa final'!$AC$24="Moderado"),CONCATENATE("R4C",'Mapa final'!$Q$24),"")</f>
        <v/>
      </c>
      <c r="W39" s="53" t="str">
        <f>IF(AND('Mapa final'!$AA$25="Baja",'Mapa final'!$AC$25="Moderado"),CONCATENATE("R4C",'Mapa final'!$Q$25),"")</f>
        <v/>
      </c>
      <c r="X39" s="53" t="str">
        <f>IF(AND('Mapa final'!$AA$26="Baja",'Mapa final'!$AC$26="Moderado"),CONCATENATE("R4C",'Mapa final'!$Q$26),"")</f>
        <v/>
      </c>
      <c r="Y39" s="53" t="str">
        <f>IF(AND('Mapa final'!$AA$27="Baja",'Mapa final'!$AC$27="Moderado"),CONCATENATE("R4C",'Mapa final'!$Q$27),"")</f>
        <v/>
      </c>
      <c r="Z39" s="53" t="str">
        <f>IF(AND('Mapa final'!$AA$28="Baja",'Mapa final'!$AC$28="Moderado"),CONCATENATE("R4C",'Mapa final'!$Q$28),"")</f>
        <v/>
      </c>
      <c r="AA39" s="54" t="str">
        <f>IF(AND('Mapa final'!$AA$29="Baja",'Mapa final'!$AC$29="Moderado"),CONCATENATE("R4C",'Mapa final'!$Q$29),"")</f>
        <v/>
      </c>
      <c r="AB39" s="36" t="str">
        <f>IF(AND('Mapa final'!$AA$24="Baja",'Mapa final'!$AC$24="Mayor"),CONCATENATE("R4C",'Mapa final'!$Q$24),"")</f>
        <v/>
      </c>
      <c r="AC39" s="37" t="str">
        <f>IF(AND('Mapa final'!$AA$25="Baja",'Mapa final'!$AC$25="Mayor"),CONCATENATE("R4C",'Mapa final'!$Q$25),"")</f>
        <v/>
      </c>
      <c r="AD39" s="37" t="str">
        <f>IF(AND('Mapa final'!$AA$26="Baja",'Mapa final'!$AC$26="Mayor"),CONCATENATE("R4C",'Mapa final'!$Q$26),"")</f>
        <v/>
      </c>
      <c r="AE39" s="37" t="str">
        <f>IF(AND('Mapa final'!$AA$27="Baja",'Mapa final'!$AC$27="Mayor"),CONCATENATE("R4C",'Mapa final'!$Q$27),"")</f>
        <v/>
      </c>
      <c r="AF39" s="37" t="str">
        <f>IF(AND('Mapa final'!$AA$28="Baja",'Mapa final'!$AC$28="Mayor"),CONCATENATE("R4C",'Mapa final'!$Q$28),"")</f>
        <v/>
      </c>
      <c r="AG39" s="38" t="str">
        <f>IF(AND('Mapa final'!$AA$29="Baja",'Mapa final'!$AC$29="Mayor"),CONCATENATE("R4C",'Mapa final'!$Q$29),"")</f>
        <v/>
      </c>
      <c r="AH39" s="39" t="str">
        <f>IF(AND('Mapa final'!$AA$24="Baja",'Mapa final'!$AC$24="Catastrófico"),CONCATENATE("R4C",'Mapa final'!$Q$24),"")</f>
        <v/>
      </c>
      <c r="AI39" s="40" t="str">
        <f>IF(AND('Mapa final'!$AA$25="Baja",'Mapa final'!$AC$25="Catastrófico"),CONCATENATE("R4C",'Mapa final'!$Q$25),"")</f>
        <v/>
      </c>
      <c r="AJ39" s="40" t="str">
        <f>IF(AND('Mapa final'!$AA$26="Baja",'Mapa final'!$AC$26="Catastrófico"),CONCATENATE("R4C",'Mapa final'!$Q$26),"")</f>
        <v/>
      </c>
      <c r="AK39" s="40" t="str">
        <f>IF(AND('Mapa final'!$AA$27="Baja",'Mapa final'!$AC$27="Catastrófico"),CONCATENATE("R4C",'Mapa final'!$Q$27),"")</f>
        <v/>
      </c>
      <c r="AL39" s="40" t="str">
        <f>IF(AND('Mapa final'!$AA$28="Baja",'Mapa final'!$AC$28="Catastrófico"),CONCATENATE("R4C",'Mapa final'!$Q$28),"")</f>
        <v/>
      </c>
      <c r="AM39" s="41" t="str">
        <f>IF(AND('Mapa final'!$AA$29="Baja",'Mapa final'!$AC$29="Catastrófico"),CONCATENATE("R4C",'Mapa final'!$Q$29),"")</f>
        <v/>
      </c>
      <c r="AN39" s="68"/>
      <c r="AO39" s="421"/>
      <c r="AP39" s="422"/>
      <c r="AQ39" s="422"/>
      <c r="AR39" s="422"/>
      <c r="AS39" s="422"/>
      <c r="AT39" s="423"/>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row>
    <row r="40" spans="1:80" ht="15" customHeight="1" x14ac:dyDescent="0.25">
      <c r="A40" s="68"/>
      <c r="B40" s="348"/>
      <c r="C40" s="348"/>
      <c r="D40" s="349"/>
      <c r="E40" s="389"/>
      <c r="F40" s="390"/>
      <c r="G40" s="390"/>
      <c r="H40" s="390"/>
      <c r="I40" s="406"/>
      <c r="J40" s="61" t="str">
        <f>IF(AND('Mapa final'!$AA$30="Baja",'Mapa final'!$AC$30="Leve"),CONCATENATE("R5C",'Mapa final'!$Q$30),"")</f>
        <v/>
      </c>
      <c r="K40" s="62" t="str">
        <f>IF(AND('Mapa final'!$AA$31="Baja",'Mapa final'!$AC$31="Leve"),CONCATENATE("R5C",'Mapa final'!$Q$31),"")</f>
        <v/>
      </c>
      <c r="L40" s="62" t="str">
        <f>IF(AND('Mapa final'!$AA$32="Baja",'Mapa final'!$AC$32="Leve"),CONCATENATE("R5C",'Mapa final'!$Q$32),"")</f>
        <v/>
      </c>
      <c r="M40" s="62" t="str">
        <f>IF(AND('Mapa final'!$AA$33="Baja",'Mapa final'!$AC$33="Leve"),CONCATENATE("R5C",'Mapa final'!$Q$33),"")</f>
        <v/>
      </c>
      <c r="N40" s="62" t="str">
        <f>IF(AND('Mapa final'!$AA$34="Baja",'Mapa final'!$AC$34="Leve"),CONCATENATE("R5C",'Mapa final'!$Q$34),"")</f>
        <v/>
      </c>
      <c r="O40" s="63" t="str">
        <f>IF(AND('Mapa final'!$AA$35="Baja",'Mapa final'!$AC$35="Leve"),CONCATENATE("R5C",'Mapa final'!$Q$35),"")</f>
        <v/>
      </c>
      <c r="P40" s="52" t="str">
        <f>IF(AND('Mapa final'!$AA$30="Baja",'Mapa final'!$AC$30="Menor"),CONCATENATE("R5C",'Mapa final'!$Q$30),"")</f>
        <v/>
      </c>
      <c r="Q40" s="53" t="str">
        <f>IF(AND('Mapa final'!$AA$31="Baja",'Mapa final'!$AC$31="Menor"),CONCATENATE("R5C",'Mapa final'!$Q$31),"")</f>
        <v/>
      </c>
      <c r="R40" s="53" t="str">
        <f>IF(AND('Mapa final'!$AA$32="Baja",'Mapa final'!$AC$32="Menor"),CONCATENATE("R5C",'Mapa final'!$Q$32),"")</f>
        <v/>
      </c>
      <c r="S40" s="53" t="str">
        <f>IF(AND('Mapa final'!$AA$33="Baja",'Mapa final'!$AC$33="Menor"),CONCATENATE("R5C",'Mapa final'!$Q$33),"")</f>
        <v/>
      </c>
      <c r="T40" s="53" t="str">
        <f>IF(AND('Mapa final'!$AA$34="Baja",'Mapa final'!$AC$34="Menor"),CONCATENATE("R5C",'Mapa final'!$Q$34),"")</f>
        <v/>
      </c>
      <c r="U40" s="54" t="str">
        <f>IF(AND('Mapa final'!$AA$35="Baja",'Mapa final'!$AC$35="Menor"),CONCATENATE("R5C",'Mapa final'!$Q$35),"")</f>
        <v/>
      </c>
      <c r="V40" s="52" t="str">
        <f>IF(AND('Mapa final'!$AA$30="Baja",'Mapa final'!$AC$30="Moderado"),CONCATENATE("R5C",'Mapa final'!$Q$30),"")</f>
        <v/>
      </c>
      <c r="W40" s="53" t="str">
        <f>IF(AND('Mapa final'!$AA$31="Baja",'Mapa final'!$AC$31="Moderado"),CONCATENATE("R5C",'Mapa final'!$Q$31),"")</f>
        <v/>
      </c>
      <c r="X40" s="53" t="str">
        <f>IF(AND('Mapa final'!$AA$32="Baja",'Mapa final'!$AC$32="Moderado"),CONCATENATE("R5C",'Mapa final'!$Q$32),"")</f>
        <v/>
      </c>
      <c r="Y40" s="53" t="str">
        <f>IF(AND('Mapa final'!$AA$33="Baja",'Mapa final'!$AC$33="Moderado"),CONCATENATE("R5C",'Mapa final'!$Q$33),"")</f>
        <v/>
      </c>
      <c r="Z40" s="53" t="str">
        <f>IF(AND('Mapa final'!$AA$34="Baja",'Mapa final'!$AC$34="Moderado"),CONCATENATE("R5C",'Mapa final'!$Q$34),"")</f>
        <v/>
      </c>
      <c r="AA40" s="54" t="str">
        <f>IF(AND('Mapa final'!$AA$35="Baja",'Mapa final'!$AC$35="Moderado"),CONCATENATE("R5C",'Mapa final'!$Q$35),"")</f>
        <v/>
      </c>
      <c r="AB40" s="36" t="str">
        <f>IF(AND('Mapa final'!$AA$30="Baja",'Mapa final'!$AC$30="Mayor"),CONCATENATE("R5C",'Mapa final'!$Q$30),"")</f>
        <v/>
      </c>
      <c r="AC40" s="37" t="str">
        <f>IF(AND('Mapa final'!$AA$31="Baja",'Mapa final'!$AC$31="Mayor"),CONCATENATE("R5C",'Mapa final'!$Q$31),"")</f>
        <v/>
      </c>
      <c r="AD40" s="42" t="str">
        <f>IF(AND('Mapa final'!$AA$32="Baja",'Mapa final'!$AC$32="Mayor"),CONCATENATE("R5C",'Mapa final'!$Q$32),"")</f>
        <v/>
      </c>
      <c r="AE40" s="42" t="str">
        <f>IF(AND('Mapa final'!$AA$33="Baja",'Mapa final'!$AC$33="Mayor"),CONCATENATE("R5C",'Mapa final'!$Q$33),"")</f>
        <v/>
      </c>
      <c r="AF40" s="42" t="str">
        <f>IF(AND('Mapa final'!$AA$34="Baja",'Mapa final'!$AC$34="Mayor"),CONCATENATE("R5C",'Mapa final'!$Q$34),"")</f>
        <v/>
      </c>
      <c r="AG40" s="38" t="str">
        <f>IF(AND('Mapa final'!$AA$35="Baja",'Mapa final'!$AC$35="Mayor"),CONCATENATE("R5C",'Mapa final'!$Q$35),"")</f>
        <v/>
      </c>
      <c r="AH40" s="39" t="str">
        <f>IF(AND('Mapa final'!$AA$30="Baja",'Mapa final'!$AC$30="Catastrófico"),CONCATENATE("R5C",'Mapa final'!$Q$30),"")</f>
        <v/>
      </c>
      <c r="AI40" s="40" t="str">
        <f>IF(AND('Mapa final'!$AA$31="Baja",'Mapa final'!$AC$31="Catastrófico"),CONCATENATE("R5C",'Mapa final'!$Q$31),"")</f>
        <v/>
      </c>
      <c r="AJ40" s="40" t="str">
        <f>IF(AND('Mapa final'!$AA$32="Baja",'Mapa final'!$AC$32="Catastrófico"),CONCATENATE("R5C",'Mapa final'!$Q$32),"")</f>
        <v/>
      </c>
      <c r="AK40" s="40" t="str">
        <f>IF(AND('Mapa final'!$AA$33="Baja",'Mapa final'!$AC$33="Catastrófico"),CONCATENATE("R5C",'Mapa final'!$Q$33),"")</f>
        <v/>
      </c>
      <c r="AL40" s="40" t="str">
        <f>IF(AND('Mapa final'!$AA$34="Baja",'Mapa final'!$AC$34="Catastrófico"),CONCATENATE("R5C",'Mapa final'!$Q$34),"")</f>
        <v/>
      </c>
      <c r="AM40" s="41" t="str">
        <f>IF(AND('Mapa final'!$AA$35="Baja",'Mapa final'!$AC$35="Catastrófico"),CONCATENATE("R5C",'Mapa final'!$Q$35),"")</f>
        <v/>
      </c>
      <c r="AN40" s="68"/>
      <c r="AO40" s="421"/>
      <c r="AP40" s="422"/>
      <c r="AQ40" s="422"/>
      <c r="AR40" s="422"/>
      <c r="AS40" s="422"/>
      <c r="AT40" s="423"/>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row>
    <row r="41" spans="1:80" ht="15" customHeight="1" x14ac:dyDescent="0.25">
      <c r="A41" s="68"/>
      <c r="B41" s="348"/>
      <c r="C41" s="348"/>
      <c r="D41" s="349"/>
      <c r="E41" s="389"/>
      <c r="F41" s="390"/>
      <c r="G41" s="390"/>
      <c r="H41" s="390"/>
      <c r="I41" s="406"/>
      <c r="J41" s="61" t="str">
        <f>IF(AND('Mapa final'!$AA$36="Baja",'Mapa final'!$AC$36="Leve"),CONCATENATE("R6C",'Mapa final'!$Q$36),"")</f>
        <v/>
      </c>
      <c r="K41" s="62" t="str">
        <f>IF(AND('Mapa final'!$AA$37="Baja",'Mapa final'!$AC$37="Leve"),CONCATENATE("R6C",'Mapa final'!$Q$37),"")</f>
        <v/>
      </c>
      <c r="L41" s="62" t="str">
        <f>IF(AND('Mapa final'!$AA$38="Baja",'Mapa final'!$AC$38="Leve"),CONCATENATE("R6C",'Mapa final'!$Q$38),"")</f>
        <v/>
      </c>
      <c r="M41" s="62" t="str">
        <f>IF(AND('Mapa final'!$AA$39="Baja",'Mapa final'!$AC$39="Leve"),CONCATENATE("R6C",'Mapa final'!$Q$39),"")</f>
        <v/>
      </c>
      <c r="N41" s="62" t="str">
        <f>IF(AND('Mapa final'!$AA$40="Baja",'Mapa final'!$AC$40="Leve"),CONCATENATE("R6C",'Mapa final'!$Q$40),"")</f>
        <v/>
      </c>
      <c r="O41" s="63" t="str">
        <f>IF(AND('Mapa final'!$AA$41="Baja",'Mapa final'!$AC$41="Leve"),CONCATENATE("R6C",'Mapa final'!$Q$41),"")</f>
        <v/>
      </c>
      <c r="P41" s="52" t="str">
        <f>IF(AND('Mapa final'!$AA$36="Baja",'Mapa final'!$AC$36="Menor"),CONCATENATE("R6C",'Mapa final'!$Q$36),"")</f>
        <v/>
      </c>
      <c r="Q41" s="53" t="str">
        <f>IF(AND('Mapa final'!$AA$37="Baja",'Mapa final'!$AC$37="Menor"),CONCATENATE("R6C",'Mapa final'!$Q$37),"")</f>
        <v/>
      </c>
      <c r="R41" s="53" t="str">
        <f>IF(AND('Mapa final'!$AA$38="Baja",'Mapa final'!$AC$38="Menor"),CONCATENATE("R6C",'Mapa final'!$Q$38),"")</f>
        <v/>
      </c>
      <c r="S41" s="53" t="str">
        <f>IF(AND('Mapa final'!$AA$39="Baja",'Mapa final'!$AC$39="Menor"),CONCATENATE("R6C",'Mapa final'!$Q$39),"")</f>
        <v/>
      </c>
      <c r="T41" s="53" t="str">
        <f>IF(AND('Mapa final'!$AA$40="Baja",'Mapa final'!$AC$40="Menor"),CONCATENATE("R6C",'Mapa final'!$Q$40),"")</f>
        <v/>
      </c>
      <c r="U41" s="54" t="str">
        <f>IF(AND('Mapa final'!$AA$41="Baja",'Mapa final'!$AC$41="Menor"),CONCATENATE("R6C",'Mapa final'!$Q$41),"")</f>
        <v/>
      </c>
      <c r="V41" s="52" t="str">
        <f>IF(AND('Mapa final'!$AA$36="Baja",'Mapa final'!$AC$36="Moderado"),CONCATENATE("R6C",'Mapa final'!$Q$36),"")</f>
        <v/>
      </c>
      <c r="W41" s="53" t="str">
        <f>IF(AND('Mapa final'!$AA$37="Baja",'Mapa final'!$AC$37="Moderado"),CONCATENATE("R6C",'Mapa final'!$Q$37),"")</f>
        <v/>
      </c>
      <c r="X41" s="53" t="str">
        <f>IF(AND('Mapa final'!$AA$38="Baja",'Mapa final'!$AC$38="Moderado"),CONCATENATE("R6C",'Mapa final'!$Q$38),"")</f>
        <v/>
      </c>
      <c r="Y41" s="53" t="str">
        <f>IF(AND('Mapa final'!$AA$39="Baja",'Mapa final'!$AC$39="Moderado"),CONCATENATE("R6C",'Mapa final'!$Q$39),"")</f>
        <v/>
      </c>
      <c r="Z41" s="53" t="str">
        <f>IF(AND('Mapa final'!$AA$40="Baja",'Mapa final'!$AC$40="Moderado"),CONCATENATE("R6C",'Mapa final'!$Q$40),"")</f>
        <v/>
      </c>
      <c r="AA41" s="54" t="str">
        <f>IF(AND('Mapa final'!$AA$41="Baja",'Mapa final'!$AC$41="Moderado"),CONCATENATE("R6C",'Mapa final'!$Q$41),"")</f>
        <v/>
      </c>
      <c r="AB41" s="36" t="str">
        <f>IF(AND('Mapa final'!$AA$36="Baja",'Mapa final'!$AC$36="Mayor"),CONCATENATE("R6C",'Mapa final'!$Q$36),"")</f>
        <v/>
      </c>
      <c r="AC41" s="37" t="str">
        <f>IF(AND('Mapa final'!$AA$37="Baja",'Mapa final'!$AC$37="Mayor"),CONCATENATE("R6C",'Mapa final'!$Q$37),"")</f>
        <v/>
      </c>
      <c r="AD41" s="42" t="str">
        <f>IF(AND('Mapa final'!$AA$38="Baja",'Mapa final'!$AC$38="Mayor"),CONCATENATE("R6C",'Mapa final'!$Q$38),"")</f>
        <v/>
      </c>
      <c r="AE41" s="42" t="str">
        <f>IF(AND('Mapa final'!$AA$39="Baja",'Mapa final'!$AC$39="Mayor"),CONCATENATE("R6C",'Mapa final'!$Q$39),"")</f>
        <v/>
      </c>
      <c r="AF41" s="42" t="str">
        <f>IF(AND('Mapa final'!$AA$40="Baja",'Mapa final'!$AC$40="Mayor"),CONCATENATE("R6C",'Mapa final'!$Q$40),"")</f>
        <v/>
      </c>
      <c r="AG41" s="38" t="str">
        <f>IF(AND('Mapa final'!$AA$41="Baja",'Mapa final'!$AC$41="Mayor"),CONCATENATE("R6C",'Mapa final'!$Q$41),"")</f>
        <v/>
      </c>
      <c r="AH41" s="39" t="str">
        <f>IF(AND('Mapa final'!$AA$36="Baja",'Mapa final'!$AC$36="Catastrófico"),CONCATENATE("R6C",'Mapa final'!$Q$36),"")</f>
        <v/>
      </c>
      <c r="AI41" s="40" t="str">
        <f>IF(AND('Mapa final'!$AA$37="Baja",'Mapa final'!$AC$37="Catastrófico"),CONCATENATE("R6C",'Mapa final'!$Q$37),"")</f>
        <v/>
      </c>
      <c r="AJ41" s="40" t="str">
        <f>IF(AND('Mapa final'!$AA$38="Baja",'Mapa final'!$AC$38="Catastrófico"),CONCATENATE("R6C",'Mapa final'!$Q$38),"")</f>
        <v/>
      </c>
      <c r="AK41" s="40" t="str">
        <f>IF(AND('Mapa final'!$AA$39="Baja",'Mapa final'!$AC$39="Catastrófico"),CONCATENATE("R6C",'Mapa final'!$Q$39),"")</f>
        <v/>
      </c>
      <c r="AL41" s="40" t="str">
        <f>IF(AND('Mapa final'!$AA$40="Baja",'Mapa final'!$AC$40="Catastrófico"),CONCATENATE("R6C",'Mapa final'!$Q$40),"")</f>
        <v/>
      </c>
      <c r="AM41" s="41" t="str">
        <f>IF(AND('Mapa final'!$AA$41="Baja",'Mapa final'!$AC$41="Catastrófico"),CONCATENATE("R6C",'Mapa final'!$Q$41),"")</f>
        <v/>
      </c>
      <c r="AN41" s="68"/>
      <c r="AO41" s="421"/>
      <c r="AP41" s="422"/>
      <c r="AQ41" s="422"/>
      <c r="AR41" s="422"/>
      <c r="AS41" s="422"/>
      <c r="AT41" s="423"/>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row>
    <row r="42" spans="1:80" ht="15" customHeight="1" x14ac:dyDescent="0.25">
      <c r="A42" s="68"/>
      <c r="B42" s="348"/>
      <c r="C42" s="348"/>
      <c r="D42" s="349"/>
      <c r="E42" s="389"/>
      <c r="F42" s="390"/>
      <c r="G42" s="390"/>
      <c r="H42" s="390"/>
      <c r="I42" s="406"/>
      <c r="J42" s="61" t="str">
        <f>IF(AND('Mapa final'!$AA$42="Baja",'Mapa final'!$AC$42="Leve"),CONCATENATE("R7C",'Mapa final'!$Q$42),"")</f>
        <v/>
      </c>
      <c r="K42" s="62" t="str">
        <f>IF(AND('Mapa final'!$AA$43="Baja",'Mapa final'!$AC$43="Leve"),CONCATENATE("R7C",'Mapa final'!$Q$43),"")</f>
        <v/>
      </c>
      <c r="L42" s="62" t="str">
        <f>IF(AND('Mapa final'!$AA$44="Baja",'Mapa final'!$AC$44="Leve"),CONCATENATE("R7C",'Mapa final'!$Q$44),"")</f>
        <v/>
      </c>
      <c r="M42" s="62" t="str">
        <f>IF(AND('Mapa final'!$AA$45="Baja",'Mapa final'!$AC$45="Leve"),CONCATENATE("R7C",'Mapa final'!$Q$45),"")</f>
        <v/>
      </c>
      <c r="N42" s="62" t="str">
        <f>IF(AND('Mapa final'!$AA$46="Baja",'Mapa final'!$AC$46="Leve"),CONCATENATE("R7C",'Mapa final'!$Q$46),"")</f>
        <v/>
      </c>
      <c r="O42" s="63" t="str">
        <f>IF(AND('Mapa final'!$AA$47="Baja",'Mapa final'!$AC$47="Leve"),CONCATENATE("R7C",'Mapa final'!$Q$47),"")</f>
        <v/>
      </c>
      <c r="P42" s="52" t="str">
        <f>IF(AND('Mapa final'!$AA$42="Baja",'Mapa final'!$AC$42="Menor"),CONCATENATE("R7C",'Mapa final'!$Q$42),"")</f>
        <v/>
      </c>
      <c r="Q42" s="53" t="str">
        <f>IF(AND('Mapa final'!$AA$43="Baja",'Mapa final'!$AC$43="Menor"),CONCATENATE("R7C",'Mapa final'!$Q$43),"")</f>
        <v/>
      </c>
      <c r="R42" s="53" t="str">
        <f>IF(AND('Mapa final'!$AA$44="Baja",'Mapa final'!$AC$44="Menor"),CONCATENATE("R7C",'Mapa final'!$Q$44),"")</f>
        <v/>
      </c>
      <c r="S42" s="53" t="str">
        <f>IF(AND('Mapa final'!$AA$45="Baja",'Mapa final'!$AC$45="Menor"),CONCATENATE("R7C",'Mapa final'!$Q$45),"")</f>
        <v/>
      </c>
      <c r="T42" s="53" t="str">
        <f>IF(AND('Mapa final'!$AA$46="Baja",'Mapa final'!$AC$46="Menor"),CONCATENATE("R7C",'Mapa final'!$Q$46),"")</f>
        <v/>
      </c>
      <c r="U42" s="54" t="str">
        <f>IF(AND('Mapa final'!$AA$47="Baja",'Mapa final'!$AC$47="Menor"),CONCATENATE("R7C",'Mapa final'!$Q$47),"")</f>
        <v/>
      </c>
      <c r="V42" s="52" t="str">
        <f>IF(AND('Mapa final'!$AA$42="Baja",'Mapa final'!$AC$42="Moderado"),CONCATENATE("R7C",'Mapa final'!$Q$42),"")</f>
        <v/>
      </c>
      <c r="W42" s="53" t="str">
        <f>IF(AND('Mapa final'!$AA$43="Baja",'Mapa final'!$AC$43="Moderado"),CONCATENATE("R7C",'Mapa final'!$Q$43),"")</f>
        <v/>
      </c>
      <c r="X42" s="53" t="str">
        <f>IF(AND('Mapa final'!$AA$44="Baja",'Mapa final'!$AC$44="Moderado"),CONCATENATE("R7C",'Mapa final'!$Q$44),"")</f>
        <v/>
      </c>
      <c r="Y42" s="53" t="str">
        <f>IF(AND('Mapa final'!$AA$45="Baja",'Mapa final'!$AC$45="Moderado"),CONCATENATE("R7C",'Mapa final'!$Q$45),"")</f>
        <v/>
      </c>
      <c r="Z42" s="53" t="str">
        <f>IF(AND('Mapa final'!$AA$46="Baja",'Mapa final'!$AC$46="Moderado"),CONCATENATE("R7C",'Mapa final'!$Q$46),"")</f>
        <v/>
      </c>
      <c r="AA42" s="54" t="str">
        <f>IF(AND('Mapa final'!$AA$47="Baja",'Mapa final'!$AC$47="Moderado"),CONCATENATE("R7C",'Mapa final'!$Q$47),"")</f>
        <v/>
      </c>
      <c r="AB42" s="36" t="str">
        <f>IF(AND('Mapa final'!$AA$42="Baja",'Mapa final'!$AC$42="Mayor"),CONCATENATE("R7C",'Mapa final'!$Q$42),"")</f>
        <v/>
      </c>
      <c r="AC42" s="37" t="str">
        <f>IF(AND('Mapa final'!$AA$43="Baja",'Mapa final'!$AC$43="Mayor"),CONCATENATE("R7C",'Mapa final'!$Q$43),"")</f>
        <v/>
      </c>
      <c r="AD42" s="42" t="str">
        <f>IF(AND('Mapa final'!$AA$44="Baja",'Mapa final'!$AC$44="Mayor"),CONCATENATE("R7C",'Mapa final'!$Q$44),"")</f>
        <v/>
      </c>
      <c r="AE42" s="42" t="str">
        <f>IF(AND('Mapa final'!$AA$45="Baja",'Mapa final'!$AC$45="Mayor"),CONCATENATE("R7C",'Mapa final'!$Q$45),"")</f>
        <v/>
      </c>
      <c r="AF42" s="42" t="str">
        <f>IF(AND('Mapa final'!$AA$46="Baja",'Mapa final'!$AC$46="Mayor"),CONCATENATE("R7C",'Mapa final'!$Q$46),"")</f>
        <v/>
      </c>
      <c r="AG42" s="38" t="str">
        <f>IF(AND('Mapa final'!$AA$47="Baja",'Mapa final'!$AC$47="Mayor"),CONCATENATE("R7C",'Mapa final'!$Q$47),"")</f>
        <v/>
      </c>
      <c r="AH42" s="39" t="str">
        <f>IF(AND('Mapa final'!$AA$42="Baja",'Mapa final'!$AC$42="Catastrófico"),CONCATENATE("R7C",'Mapa final'!$Q$42),"")</f>
        <v/>
      </c>
      <c r="AI42" s="40" t="str">
        <f>IF(AND('Mapa final'!$AA$43="Baja",'Mapa final'!$AC$43="Catastrófico"),CONCATENATE("R7C",'Mapa final'!$Q$43),"")</f>
        <v/>
      </c>
      <c r="AJ42" s="40" t="str">
        <f>IF(AND('Mapa final'!$AA$44="Baja",'Mapa final'!$AC$44="Catastrófico"),CONCATENATE("R7C",'Mapa final'!$Q$44),"")</f>
        <v/>
      </c>
      <c r="AK42" s="40" t="str">
        <f>IF(AND('Mapa final'!$AA$45="Baja",'Mapa final'!$AC$45="Catastrófico"),CONCATENATE("R7C",'Mapa final'!$Q$45),"")</f>
        <v/>
      </c>
      <c r="AL42" s="40" t="str">
        <f>IF(AND('Mapa final'!$AA$46="Baja",'Mapa final'!$AC$46="Catastrófico"),CONCATENATE("R7C",'Mapa final'!$Q$46),"")</f>
        <v/>
      </c>
      <c r="AM42" s="41" t="str">
        <f>IF(AND('Mapa final'!$AA$47="Baja",'Mapa final'!$AC$47="Catastrófico"),CONCATENATE("R7C",'Mapa final'!$Q$47),"")</f>
        <v/>
      </c>
      <c r="AN42" s="68"/>
      <c r="AO42" s="421"/>
      <c r="AP42" s="422"/>
      <c r="AQ42" s="422"/>
      <c r="AR42" s="422"/>
      <c r="AS42" s="422"/>
      <c r="AT42" s="423"/>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row>
    <row r="43" spans="1:80" ht="15" customHeight="1" x14ac:dyDescent="0.25">
      <c r="A43" s="68"/>
      <c r="B43" s="348"/>
      <c r="C43" s="348"/>
      <c r="D43" s="349"/>
      <c r="E43" s="389"/>
      <c r="F43" s="390"/>
      <c r="G43" s="390"/>
      <c r="H43" s="390"/>
      <c r="I43" s="406"/>
      <c r="J43" s="61" t="str">
        <f>IF(AND('Mapa final'!$AA$48="Baja",'Mapa final'!$AC$48="Leve"),CONCATENATE("R8C",'Mapa final'!$Q$48),"")</f>
        <v/>
      </c>
      <c r="K43" s="62" t="str">
        <f>IF(AND('Mapa final'!$AA$49="Baja",'Mapa final'!$AC$49="Leve"),CONCATENATE("R8C",'Mapa final'!$Q$49),"")</f>
        <v/>
      </c>
      <c r="L43" s="62" t="str">
        <f>IF(AND('Mapa final'!$AA$50="Baja",'Mapa final'!$AC$50="Leve"),CONCATENATE("R8C",'Mapa final'!$Q$50),"")</f>
        <v/>
      </c>
      <c r="M43" s="62" t="str">
        <f>IF(AND('Mapa final'!$AA$51="Baja",'Mapa final'!$AC$51="Leve"),CONCATENATE("R8C",'Mapa final'!$Q$51),"")</f>
        <v/>
      </c>
      <c r="N43" s="62" t="str">
        <f>IF(AND('Mapa final'!$AA$52="Baja",'Mapa final'!$AC$52="Leve"),CONCATENATE("R8C",'Mapa final'!$Q$52),"")</f>
        <v/>
      </c>
      <c r="O43" s="63" t="str">
        <f>IF(AND('Mapa final'!$AA$53="Baja",'Mapa final'!$AC$53="Leve"),CONCATENATE("R8C",'Mapa final'!$Q$53),"")</f>
        <v/>
      </c>
      <c r="P43" s="52" t="str">
        <f>IF(AND('Mapa final'!$AA$48="Baja",'Mapa final'!$AC$48="Menor"),CONCATENATE("R8C",'Mapa final'!$Q$48),"")</f>
        <v/>
      </c>
      <c r="Q43" s="53" t="str">
        <f>IF(AND('Mapa final'!$AA$49="Baja",'Mapa final'!$AC$49="Menor"),CONCATENATE("R8C",'Mapa final'!$Q$49),"")</f>
        <v/>
      </c>
      <c r="R43" s="53" t="str">
        <f>IF(AND('Mapa final'!$AA$50="Baja",'Mapa final'!$AC$50="Menor"),CONCATENATE("R8C",'Mapa final'!$Q$50),"")</f>
        <v/>
      </c>
      <c r="S43" s="53" t="str">
        <f>IF(AND('Mapa final'!$AA$51="Baja",'Mapa final'!$AC$51="Menor"),CONCATENATE("R8C",'Mapa final'!$Q$51),"")</f>
        <v/>
      </c>
      <c r="T43" s="53" t="str">
        <f>IF(AND('Mapa final'!$AA$52="Baja",'Mapa final'!$AC$52="Menor"),CONCATENATE("R8C",'Mapa final'!$Q$52),"")</f>
        <v/>
      </c>
      <c r="U43" s="54" t="str">
        <f>IF(AND('Mapa final'!$AA$53="Baja",'Mapa final'!$AC$53="Menor"),CONCATENATE("R8C",'Mapa final'!$Q$53),"")</f>
        <v/>
      </c>
      <c r="V43" s="52" t="str">
        <f>IF(AND('Mapa final'!$AA$48="Baja",'Mapa final'!$AC$48="Moderado"),CONCATENATE("R8C",'Mapa final'!$Q$48),"")</f>
        <v/>
      </c>
      <c r="W43" s="53" t="str">
        <f>IF(AND('Mapa final'!$AA$49="Baja",'Mapa final'!$AC$49="Moderado"),CONCATENATE("R8C",'Mapa final'!$Q$49),"")</f>
        <v/>
      </c>
      <c r="X43" s="53" t="str">
        <f>IF(AND('Mapa final'!$AA$50="Baja",'Mapa final'!$AC$50="Moderado"),CONCATENATE("R8C",'Mapa final'!$Q$50),"")</f>
        <v/>
      </c>
      <c r="Y43" s="53" t="str">
        <f>IF(AND('Mapa final'!$AA$51="Baja",'Mapa final'!$AC$51="Moderado"),CONCATENATE("R8C",'Mapa final'!$Q$51),"")</f>
        <v/>
      </c>
      <c r="Z43" s="53" t="str">
        <f>IF(AND('Mapa final'!$AA$52="Baja",'Mapa final'!$AC$52="Moderado"),CONCATENATE("R8C",'Mapa final'!$Q$52),"")</f>
        <v/>
      </c>
      <c r="AA43" s="54" t="str">
        <f>IF(AND('Mapa final'!$AA$53="Baja",'Mapa final'!$AC$53="Moderado"),CONCATENATE("R8C",'Mapa final'!$Q$53),"")</f>
        <v/>
      </c>
      <c r="AB43" s="36" t="str">
        <f>IF(AND('Mapa final'!$AA$48="Baja",'Mapa final'!$AC$48="Mayor"),CONCATENATE("R8C",'Mapa final'!$Q$48),"")</f>
        <v/>
      </c>
      <c r="AC43" s="37" t="str">
        <f>IF(AND('Mapa final'!$AA$49="Baja",'Mapa final'!$AC$49="Mayor"),CONCATENATE("R8C",'Mapa final'!$Q$49),"")</f>
        <v/>
      </c>
      <c r="AD43" s="42" t="str">
        <f>IF(AND('Mapa final'!$AA$50="Baja",'Mapa final'!$AC$50="Mayor"),CONCATENATE("R8C",'Mapa final'!$Q$50),"")</f>
        <v/>
      </c>
      <c r="AE43" s="42" t="str">
        <f>IF(AND('Mapa final'!$AA$51="Baja",'Mapa final'!$AC$51="Mayor"),CONCATENATE("R8C",'Mapa final'!$Q$51),"")</f>
        <v/>
      </c>
      <c r="AF43" s="42" t="str">
        <f>IF(AND('Mapa final'!$AA$52="Baja",'Mapa final'!$AC$52="Mayor"),CONCATENATE("R8C",'Mapa final'!$Q$52),"")</f>
        <v/>
      </c>
      <c r="AG43" s="38" t="str">
        <f>IF(AND('Mapa final'!$AA$53="Baja",'Mapa final'!$AC$53="Mayor"),CONCATENATE("R8C",'Mapa final'!$Q$53),"")</f>
        <v/>
      </c>
      <c r="AH43" s="39" t="str">
        <f>IF(AND('Mapa final'!$AA$48="Baja",'Mapa final'!$AC$48="Catastrófico"),CONCATENATE("R8C",'Mapa final'!$Q$48),"")</f>
        <v/>
      </c>
      <c r="AI43" s="40" t="str">
        <f>IF(AND('Mapa final'!$AA$49="Baja",'Mapa final'!$AC$49="Catastrófico"),CONCATENATE("R8C",'Mapa final'!$Q$49),"")</f>
        <v/>
      </c>
      <c r="AJ43" s="40" t="str">
        <f>IF(AND('Mapa final'!$AA$50="Baja",'Mapa final'!$AC$50="Catastrófico"),CONCATENATE("R8C",'Mapa final'!$Q$50),"")</f>
        <v/>
      </c>
      <c r="AK43" s="40" t="str">
        <f>IF(AND('Mapa final'!$AA$51="Baja",'Mapa final'!$AC$51="Catastrófico"),CONCATENATE("R8C",'Mapa final'!$Q$51),"")</f>
        <v/>
      </c>
      <c r="AL43" s="40" t="str">
        <f>IF(AND('Mapa final'!$AA$52="Baja",'Mapa final'!$AC$52="Catastrófico"),CONCATENATE("R8C",'Mapa final'!$Q$52),"")</f>
        <v/>
      </c>
      <c r="AM43" s="41" t="str">
        <f>IF(AND('Mapa final'!$AA$53="Baja",'Mapa final'!$AC$53="Catastrófico"),CONCATENATE("R8C",'Mapa final'!$Q$53),"")</f>
        <v/>
      </c>
      <c r="AN43" s="68"/>
      <c r="AO43" s="421"/>
      <c r="AP43" s="422"/>
      <c r="AQ43" s="422"/>
      <c r="AR43" s="422"/>
      <c r="AS43" s="422"/>
      <c r="AT43" s="423"/>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row>
    <row r="44" spans="1:80" ht="15" customHeight="1" x14ac:dyDescent="0.25">
      <c r="A44" s="68"/>
      <c r="B44" s="348"/>
      <c r="C44" s="348"/>
      <c r="D44" s="349"/>
      <c r="E44" s="389"/>
      <c r="F44" s="390"/>
      <c r="G44" s="390"/>
      <c r="H44" s="390"/>
      <c r="I44" s="406"/>
      <c r="J44" s="61" t="str">
        <f>IF(AND('Mapa final'!$AA$54="Baja",'Mapa final'!$AC$54="Leve"),CONCATENATE("R9C",'Mapa final'!$Q$54),"")</f>
        <v/>
      </c>
      <c r="K44" s="62" t="str">
        <f>IF(AND('Mapa final'!$AA$55="Baja",'Mapa final'!$AC$55="Leve"),CONCATENATE("R9C",'Mapa final'!$Q$55),"")</f>
        <v/>
      </c>
      <c r="L44" s="62" t="str">
        <f>IF(AND('Mapa final'!$AA$56="Baja",'Mapa final'!$AC$56="Leve"),CONCATENATE("R9C",'Mapa final'!$Q$56),"")</f>
        <v/>
      </c>
      <c r="M44" s="62" t="str">
        <f>IF(AND('Mapa final'!$AA$57="Baja",'Mapa final'!$AC$57="Leve"),CONCATENATE("R9C",'Mapa final'!$Q$57),"")</f>
        <v/>
      </c>
      <c r="N44" s="62" t="str">
        <f>IF(AND('Mapa final'!$AA$58="Baja",'Mapa final'!$AC$58="Leve"),CONCATENATE("R9C",'Mapa final'!$Q$58),"")</f>
        <v/>
      </c>
      <c r="O44" s="63" t="str">
        <f>IF(AND('Mapa final'!$AA$59="Baja",'Mapa final'!$AC$59="Leve"),CONCATENATE("R9C",'Mapa final'!$Q$59),"")</f>
        <v/>
      </c>
      <c r="P44" s="52" t="str">
        <f>IF(AND('Mapa final'!$AA$54="Baja",'Mapa final'!$AC$54="Menor"),CONCATENATE("R9C",'Mapa final'!$Q$54),"")</f>
        <v/>
      </c>
      <c r="Q44" s="53" t="str">
        <f>IF(AND('Mapa final'!$AA$55="Baja",'Mapa final'!$AC$55="Menor"),CONCATENATE("R9C",'Mapa final'!$Q$55),"")</f>
        <v/>
      </c>
      <c r="R44" s="53" t="str">
        <f>IF(AND('Mapa final'!$AA$56="Baja",'Mapa final'!$AC$56="Menor"),CONCATENATE("R9C",'Mapa final'!$Q$56),"")</f>
        <v/>
      </c>
      <c r="S44" s="53" t="str">
        <f>IF(AND('Mapa final'!$AA$57="Baja",'Mapa final'!$AC$57="Menor"),CONCATENATE("R9C",'Mapa final'!$Q$57),"")</f>
        <v/>
      </c>
      <c r="T44" s="53" t="str">
        <f>IF(AND('Mapa final'!$AA$58="Baja",'Mapa final'!$AC$58="Menor"),CONCATENATE("R9C",'Mapa final'!$Q$58),"")</f>
        <v/>
      </c>
      <c r="U44" s="54" t="str">
        <f>IF(AND('Mapa final'!$AA$59="Baja",'Mapa final'!$AC$59="Menor"),CONCATENATE("R9C",'Mapa final'!$Q$59),"")</f>
        <v/>
      </c>
      <c r="V44" s="52" t="str">
        <f>IF(AND('Mapa final'!$AA$54="Baja",'Mapa final'!$AC$54="Moderado"),CONCATENATE("R9C",'Mapa final'!$Q$54),"")</f>
        <v/>
      </c>
      <c r="W44" s="53" t="str">
        <f>IF(AND('Mapa final'!$AA$55="Baja",'Mapa final'!$AC$55="Moderado"),CONCATENATE("R9C",'Mapa final'!$Q$55),"")</f>
        <v/>
      </c>
      <c r="X44" s="53" t="str">
        <f>IF(AND('Mapa final'!$AA$56="Baja",'Mapa final'!$AC$56="Moderado"),CONCATENATE("R9C",'Mapa final'!$Q$56),"")</f>
        <v/>
      </c>
      <c r="Y44" s="53" t="str">
        <f>IF(AND('Mapa final'!$AA$57="Baja",'Mapa final'!$AC$57="Moderado"),CONCATENATE("R9C",'Mapa final'!$Q$57),"")</f>
        <v/>
      </c>
      <c r="Z44" s="53" t="str">
        <f>IF(AND('Mapa final'!$AA$58="Baja",'Mapa final'!$AC$58="Moderado"),CONCATENATE("R9C",'Mapa final'!$Q$58),"")</f>
        <v/>
      </c>
      <c r="AA44" s="54" t="str">
        <f>IF(AND('Mapa final'!$AA$59="Baja",'Mapa final'!$AC$59="Moderado"),CONCATENATE("R9C",'Mapa final'!$Q$59),"")</f>
        <v/>
      </c>
      <c r="AB44" s="36" t="str">
        <f>IF(AND('Mapa final'!$AA$54="Baja",'Mapa final'!$AC$54="Mayor"),CONCATENATE("R9C",'Mapa final'!$Q$54),"")</f>
        <v/>
      </c>
      <c r="AC44" s="37" t="str">
        <f>IF(AND('Mapa final'!$AA$55="Baja",'Mapa final'!$AC$55="Mayor"),CONCATENATE("R9C",'Mapa final'!$Q$55),"")</f>
        <v/>
      </c>
      <c r="AD44" s="42" t="str">
        <f>IF(AND('Mapa final'!$AA$56="Baja",'Mapa final'!$AC$56="Mayor"),CONCATENATE("R9C",'Mapa final'!$Q$56),"")</f>
        <v/>
      </c>
      <c r="AE44" s="42" t="str">
        <f>IF(AND('Mapa final'!$AA$57="Baja",'Mapa final'!$AC$57="Mayor"),CONCATENATE("R9C",'Mapa final'!$Q$57),"")</f>
        <v/>
      </c>
      <c r="AF44" s="42" t="str">
        <f>IF(AND('Mapa final'!$AA$58="Baja",'Mapa final'!$AC$58="Mayor"),CONCATENATE("R9C",'Mapa final'!$Q$58),"")</f>
        <v/>
      </c>
      <c r="AG44" s="38" t="str">
        <f>IF(AND('Mapa final'!$AA$59="Baja",'Mapa final'!$AC$59="Mayor"),CONCATENATE("R9C",'Mapa final'!$Q$59),"")</f>
        <v/>
      </c>
      <c r="AH44" s="39" t="str">
        <f>IF(AND('Mapa final'!$AA$54="Baja",'Mapa final'!$AC$54="Catastrófico"),CONCATENATE("R9C",'Mapa final'!$Q$54),"")</f>
        <v/>
      </c>
      <c r="AI44" s="40" t="str">
        <f>IF(AND('Mapa final'!$AA$55="Baja",'Mapa final'!$AC$55="Catastrófico"),CONCATENATE("R9C",'Mapa final'!$Q$55),"")</f>
        <v/>
      </c>
      <c r="AJ44" s="40" t="str">
        <f>IF(AND('Mapa final'!$AA$56="Baja",'Mapa final'!$AC$56="Catastrófico"),CONCATENATE("R9C",'Mapa final'!$Q$56),"")</f>
        <v/>
      </c>
      <c r="AK44" s="40" t="str">
        <f>IF(AND('Mapa final'!$AA$57="Baja",'Mapa final'!$AC$57="Catastrófico"),CONCATENATE("R9C",'Mapa final'!$Q$57),"")</f>
        <v/>
      </c>
      <c r="AL44" s="40" t="str">
        <f>IF(AND('Mapa final'!$AA$58="Baja",'Mapa final'!$AC$58="Catastrófico"),CONCATENATE("R9C",'Mapa final'!$Q$58),"")</f>
        <v/>
      </c>
      <c r="AM44" s="41" t="str">
        <f>IF(AND('Mapa final'!$AA$59="Baja",'Mapa final'!$AC$59="Catastrófico"),CONCATENATE("R9C",'Mapa final'!$Q$59),"")</f>
        <v/>
      </c>
      <c r="AN44" s="68"/>
      <c r="AO44" s="421"/>
      <c r="AP44" s="422"/>
      <c r="AQ44" s="422"/>
      <c r="AR44" s="422"/>
      <c r="AS44" s="422"/>
      <c r="AT44" s="423"/>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row>
    <row r="45" spans="1:80" ht="15.75" customHeight="1" thickBot="1" x14ac:dyDescent="0.3">
      <c r="A45" s="68"/>
      <c r="B45" s="348"/>
      <c r="C45" s="348"/>
      <c r="D45" s="349"/>
      <c r="E45" s="392"/>
      <c r="F45" s="393"/>
      <c r="G45" s="393"/>
      <c r="H45" s="393"/>
      <c r="I45" s="393"/>
      <c r="J45" s="64" t="str">
        <f>IF(AND('Mapa final'!$AA$60="Baja",'Mapa final'!$AC$60="Leve"),CONCATENATE("R10C",'Mapa final'!$Q$60),"")</f>
        <v/>
      </c>
      <c r="K45" s="65" t="str">
        <f>IF(AND('Mapa final'!$AA$61="Baja",'Mapa final'!$AC$61="Leve"),CONCATENATE("R10C",'Mapa final'!$Q$61),"")</f>
        <v/>
      </c>
      <c r="L45" s="65" t="str">
        <f>IF(AND('Mapa final'!$AA$62="Baja",'Mapa final'!$AC$62="Leve"),CONCATENATE("R10C",'Mapa final'!$Q$62),"")</f>
        <v/>
      </c>
      <c r="M45" s="65" t="str">
        <f>IF(AND('Mapa final'!$AA$63="Baja",'Mapa final'!$AC$63="Leve"),CONCATENATE("R10C",'Mapa final'!$Q$63),"")</f>
        <v/>
      </c>
      <c r="N45" s="65" t="str">
        <f>IF(AND('Mapa final'!$AA$64="Baja",'Mapa final'!$AC$64="Leve"),CONCATENATE("R10C",'Mapa final'!$Q$64),"")</f>
        <v/>
      </c>
      <c r="O45" s="66" t="str">
        <f>IF(AND('Mapa final'!$AA$65="Baja",'Mapa final'!$AC$65="Leve"),CONCATENATE("R10C",'Mapa final'!$Q$65),"")</f>
        <v/>
      </c>
      <c r="P45" s="52" t="str">
        <f>IF(AND('Mapa final'!$AA$60="Baja",'Mapa final'!$AC$60="Menor"),CONCATENATE("R10C",'Mapa final'!$Q$60),"")</f>
        <v/>
      </c>
      <c r="Q45" s="53" t="str">
        <f>IF(AND('Mapa final'!$AA$61="Baja",'Mapa final'!$AC$61="Menor"),CONCATENATE("R10C",'Mapa final'!$Q$61),"")</f>
        <v/>
      </c>
      <c r="R45" s="53" t="str">
        <f>IF(AND('Mapa final'!$AA$62="Baja",'Mapa final'!$AC$62="Menor"),CONCATENATE("R10C",'Mapa final'!$Q$62),"")</f>
        <v/>
      </c>
      <c r="S45" s="53" t="str">
        <f>IF(AND('Mapa final'!$AA$63="Baja",'Mapa final'!$AC$63="Menor"),CONCATENATE("R10C",'Mapa final'!$Q$63),"")</f>
        <v/>
      </c>
      <c r="T45" s="53" t="str">
        <f>IF(AND('Mapa final'!$AA$64="Baja",'Mapa final'!$AC$64="Menor"),CONCATENATE("R10C",'Mapa final'!$Q$64),"")</f>
        <v/>
      </c>
      <c r="U45" s="54" t="str">
        <f>IF(AND('Mapa final'!$AA$65="Baja",'Mapa final'!$AC$65="Menor"),CONCATENATE("R10C",'Mapa final'!$Q$65),"")</f>
        <v/>
      </c>
      <c r="V45" s="55" t="str">
        <f>IF(AND('Mapa final'!$AA$60="Baja",'Mapa final'!$AC$60="Moderado"),CONCATENATE("R10C",'Mapa final'!$Q$60),"")</f>
        <v/>
      </c>
      <c r="W45" s="56" t="str">
        <f>IF(AND('Mapa final'!$AA$61="Baja",'Mapa final'!$AC$61="Moderado"),CONCATENATE("R10C",'Mapa final'!$Q$61),"")</f>
        <v/>
      </c>
      <c r="X45" s="56" t="str">
        <f>IF(AND('Mapa final'!$AA$62="Baja",'Mapa final'!$AC$62="Moderado"),CONCATENATE("R10C",'Mapa final'!$Q$62),"")</f>
        <v/>
      </c>
      <c r="Y45" s="56" t="str">
        <f>IF(AND('Mapa final'!$AA$63="Baja",'Mapa final'!$AC$63="Moderado"),CONCATENATE("R10C",'Mapa final'!$Q$63),"")</f>
        <v/>
      </c>
      <c r="Z45" s="56" t="str">
        <f>IF(AND('Mapa final'!$AA$64="Baja",'Mapa final'!$AC$64="Moderado"),CONCATENATE("R10C",'Mapa final'!$Q$64),"")</f>
        <v/>
      </c>
      <c r="AA45" s="57" t="str">
        <f>IF(AND('Mapa final'!$AA$65="Baja",'Mapa final'!$AC$65="Moderado"),CONCATENATE("R10C",'Mapa final'!$Q$65),"")</f>
        <v/>
      </c>
      <c r="AB45" s="43" t="str">
        <f>IF(AND('Mapa final'!$AA$60="Baja",'Mapa final'!$AC$60="Mayor"),CONCATENATE("R10C",'Mapa final'!$Q$60),"")</f>
        <v/>
      </c>
      <c r="AC45" s="44" t="str">
        <f>IF(AND('Mapa final'!$AA$61="Baja",'Mapa final'!$AC$61="Mayor"),CONCATENATE("R10C",'Mapa final'!$Q$61),"")</f>
        <v/>
      </c>
      <c r="AD45" s="44" t="str">
        <f>IF(AND('Mapa final'!$AA$62="Baja",'Mapa final'!$AC$62="Mayor"),CONCATENATE("R10C",'Mapa final'!$Q$62),"")</f>
        <v/>
      </c>
      <c r="AE45" s="44" t="str">
        <f>IF(AND('Mapa final'!$AA$63="Baja",'Mapa final'!$AC$63="Mayor"),CONCATENATE("R10C",'Mapa final'!$Q$63),"")</f>
        <v/>
      </c>
      <c r="AF45" s="44" t="str">
        <f>IF(AND('Mapa final'!$AA$64="Baja",'Mapa final'!$AC$64="Mayor"),CONCATENATE("R10C",'Mapa final'!$Q$64),"")</f>
        <v/>
      </c>
      <c r="AG45" s="45" t="str">
        <f>IF(AND('Mapa final'!$AA$65="Baja",'Mapa final'!$AC$65="Mayor"),CONCATENATE("R10C",'Mapa final'!$Q$65),"")</f>
        <v/>
      </c>
      <c r="AH45" s="46" t="str">
        <f>IF(AND('Mapa final'!$AA$60="Baja",'Mapa final'!$AC$60="Catastrófico"),CONCATENATE("R10C",'Mapa final'!$Q$60),"")</f>
        <v/>
      </c>
      <c r="AI45" s="47" t="str">
        <f>IF(AND('Mapa final'!$AA$61="Baja",'Mapa final'!$AC$61="Catastrófico"),CONCATENATE("R10C",'Mapa final'!$Q$61),"")</f>
        <v/>
      </c>
      <c r="AJ45" s="47" t="str">
        <f>IF(AND('Mapa final'!$AA$62="Baja",'Mapa final'!$AC$62="Catastrófico"),CONCATENATE("R10C",'Mapa final'!$Q$62),"")</f>
        <v/>
      </c>
      <c r="AK45" s="47" t="str">
        <f>IF(AND('Mapa final'!$AA$63="Baja",'Mapa final'!$AC$63="Catastrófico"),CONCATENATE("R10C",'Mapa final'!$Q$63),"")</f>
        <v/>
      </c>
      <c r="AL45" s="47" t="str">
        <f>IF(AND('Mapa final'!$AA$64="Baja",'Mapa final'!$AC$64="Catastrófico"),CONCATENATE("R10C",'Mapa final'!$Q$64),"")</f>
        <v/>
      </c>
      <c r="AM45" s="48" t="str">
        <f>IF(AND('Mapa final'!$AA$65="Baja",'Mapa final'!$AC$65="Catastrófico"),CONCATENATE("R10C",'Mapa final'!$Q$65),"")</f>
        <v/>
      </c>
      <c r="AN45" s="68"/>
      <c r="AO45" s="424"/>
      <c r="AP45" s="425"/>
      <c r="AQ45" s="425"/>
      <c r="AR45" s="425"/>
      <c r="AS45" s="425"/>
      <c r="AT45" s="426"/>
    </row>
    <row r="46" spans="1:80" ht="46.5" customHeight="1" x14ac:dyDescent="0.35">
      <c r="A46" s="68"/>
      <c r="B46" s="348"/>
      <c r="C46" s="348"/>
      <c r="D46" s="349"/>
      <c r="E46" s="386" t="s">
        <v>108</v>
      </c>
      <c r="F46" s="387"/>
      <c r="G46" s="387"/>
      <c r="H46" s="387"/>
      <c r="I46" s="388"/>
      <c r="J46" s="58" t="str">
        <f ca="1">IF(AND('Mapa final'!$AA$10="Muy Baja",'Mapa final'!$AC$10="Leve"),CONCATENATE("R1C",'Mapa final'!$Q$10),"")</f>
        <v/>
      </c>
      <c r="K46" s="59" t="str">
        <f>IF(AND('Mapa final'!$AA$11="Muy Baja",'Mapa final'!$AC$11="Leve"),CONCATENATE("R1C",'Mapa final'!$Q$11),"")</f>
        <v/>
      </c>
      <c r="L46" s="59" t="str">
        <f>IF(AND('Mapa final'!$AA$12="Muy Baja",'Mapa final'!$AC$12="Leve"),CONCATENATE("R1C",'Mapa final'!$Q$12),"")</f>
        <v/>
      </c>
      <c r="M46" s="59" t="str">
        <f>IF(AND('Mapa final'!$AA$13="Muy Baja",'Mapa final'!$AC$13="Leve"),CONCATENATE("R1C",'Mapa final'!$Q$13),"")</f>
        <v/>
      </c>
      <c r="N46" s="59" t="e">
        <f>IF(AND('Mapa final'!#REF!="Muy Baja",'Mapa final'!#REF!="Leve"),CONCATENATE("R1C",'Mapa final'!#REF!),"")</f>
        <v>#REF!</v>
      </c>
      <c r="O46" s="60" t="e">
        <f>IF(AND('Mapa final'!#REF!="Muy Baja",'Mapa final'!#REF!="Leve"),CONCATENATE("R1C",'Mapa final'!#REF!),"")</f>
        <v>#REF!</v>
      </c>
      <c r="P46" s="58" t="str">
        <f ca="1">IF(AND('Mapa final'!$AA$10="Muy Baja",'Mapa final'!$AC$10="Menor"),CONCATENATE("R1C",'Mapa final'!$Q$10),"")</f>
        <v/>
      </c>
      <c r="Q46" s="59" t="str">
        <f>IF(AND('Mapa final'!$AA$11="Muy Baja",'Mapa final'!$AC$11="Menor"),CONCATENATE("R1C",'Mapa final'!$Q$11),"")</f>
        <v/>
      </c>
      <c r="R46" s="59" t="str">
        <f>IF(AND('Mapa final'!$AA$12="Muy Baja",'Mapa final'!$AC$12="Menor"),CONCATENATE("R1C",'Mapa final'!$Q$12),"")</f>
        <v/>
      </c>
      <c r="S46" s="59" t="str">
        <f>IF(AND('Mapa final'!$AA$13="Muy Baja",'Mapa final'!$AC$13="Menor"),CONCATENATE("R1C",'Mapa final'!$Q$13),"")</f>
        <v/>
      </c>
      <c r="T46" s="59" t="e">
        <f>IF(AND('Mapa final'!#REF!="Muy Baja",'Mapa final'!#REF!="Menor"),CONCATENATE("R1C",'Mapa final'!#REF!),"")</f>
        <v>#REF!</v>
      </c>
      <c r="U46" s="60" t="e">
        <f>IF(AND('Mapa final'!#REF!="Muy Baja",'Mapa final'!#REF!="Menor"),CONCATENATE("R1C",'Mapa final'!#REF!),"")</f>
        <v>#REF!</v>
      </c>
      <c r="V46" s="49" t="str">
        <f ca="1">IF(AND('Mapa final'!$AA$10="Muy Baja",'Mapa final'!$AC$10="Moderado"),CONCATENATE("R1C",'Mapa final'!$Q$10),"")</f>
        <v/>
      </c>
      <c r="W46" s="67" t="str">
        <f>IF(AND('Mapa final'!$AA$11="Muy Baja",'Mapa final'!$AC$11="Moderado"),CONCATENATE("R1C",'Mapa final'!$Q$11),"")</f>
        <v/>
      </c>
      <c r="X46" s="50" t="str">
        <f>IF(AND('Mapa final'!$AA$12="Muy Baja",'Mapa final'!$AC$12="Moderado"),CONCATENATE("R1C",'Mapa final'!$Q$12),"")</f>
        <v/>
      </c>
      <c r="Y46" s="50" t="str">
        <f>IF(AND('Mapa final'!$AA$13="Muy Baja",'Mapa final'!$AC$13="Moderado"),CONCATENATE("R1C",'Mapa final'!$Q$13),"")</f>
        <v/>
      </c>
      <c r="Z46" s="50" t="e">
        <f>IF(AND('Mapa final'!#REF!="Muy Baja",'Mapa final'!#REF!="Moderado"),CONCATENATE("R1C",'Mapa final'!#REF!),"")</f>
        <v>#REF!</v>
      </c>
      <c r="AA46" s="51" t="e">
        <f>IF(AND('Mapa final'!#REF!="Muy Baja",'Mapa final'!#REF!="Moderado"),CONCATENATE("R1C",'Mapa final'!#REF!),"")</f>
        <v>#REF!</v>
      </c>
      <c r="AB46" s="30" t="str">
        <f ca="1">IF(AND('Mapa final'!$AA$10="Muy Baja",'Mapa final'!$AC$10="Mayor"),CONCATENATE("R1C",'Mapa final'!$Q$10),"")</f>
        <v/>
      </c>
      <c r="AC46" s="31" t="str">
        <f>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e">
        <f>IF(AND('Mapa final'!#REF!="Muy Baja",'Mapa final'!#REF!="Mayor"),CONCATENATE("R1C",'Mapa final'!#REF!),"")</f>
        <v>#REF!</v>
      </c>
      <c r="AG46" s="32" t="e">
        <f>IF(AND('Mapa final'!#REF!="Muy Baja",'Mapa final'!#REF!="Mayor"),CONCATENATE("R1C",'Mapa final'!#REF!),"")</f>
        <v>#REF!</v>
      </c>
      <c r="AH46" s="33" t="str">
        <f ca="1">IF(AND('Mapa final'!$AA$10="Muy Baja",'Mapa final'!$AC$10="Catastrófico"),CONCATENATE("R1C",'Mapa final'!$Q$10),"")</f>
        <v/>
      </c>
      <c r="AI46" s="34" t="str">
        <f>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e">
        <f>IF(AND('Mapa final'!#REF!="Muy Baja",'Mapa final'!#REF!="Catastrófico"),CONCATENATE("R1C",'Mapa final'!#REF!),"")</f>
        <v>#REF!</v>
      </c>
      <c r="AM46" s="35" t="e">
        <f>IF(AND('Mapa final'!#REF!="Muy Baja",'Mapa final'!#REF!="Catastrófico"),CONCATENATE("R1C",'Mapa final'!#REF!),"")</f>
        <v>#REF!</v>
      </c>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ht="46.5" customHeight="1" x14ac:dyDescent="0.25">
      <c r="A47" s="68"/>
      <c r="B47" s="348"/>
      <c r="C47" s="348"/>
      <c r="D47" s="349"/>
      <c r="E47" s="405"/>
      <c r="F47" s="406"/>
      <c r="G47" s="406"/>
      <c r="H47" s="406"/>
      <c r="I47" s="391"/>
      <c r="J47" s="61" t="str">
        <f ca="1">IF(AND('Mapa final'!$AA$14="Muy Baja",'Mapa final'!$AC$14="Leve"),CONCATENATE("R2C",'Mapa final'!$Q$14),"")</f>
        <v/>
      </c>
      <c r="K47" s="62" t="str">
        <f ca="1">IF(AND('Mapa final'!$AA$15="Muy Baja",'Mapa final'!$AC$15="Leve"),CONCATENATE("R2C",'Mapa final'!$Q$15),"")</f>
        <v/>
      </c>
      <c r="L47" s="62" t="str">
        <f ca="1">IF(AND('Mapa final'!$AA$16="Muy Baja",'Mapa final'!$AC$16="Leve"),CONCATENATE("R2C",'Mapa final'!$Q$16),"")</f>
        <v/>
      </c>
      <c r="M47" s="62" t="e">
        <f>IF(AND('Mapa final'!#REF!="Muy Baja",'Mapa final'!#REF!="Leve"),CONCATENATE("R2C",'Mapa final'!#REF!),"")</f>
        <v>#REF!</v>
      </c>
      <c r="N47" s="62" t="e">
        <f>IF(AND('Mapa final'!#REF!="Muy Baja",'Mapa final'!#REF!="Leve"),CONCATENATE("R2C",'Mapa final'!#REF!),"")</f>
        <v>#REF!</v>
      </c>
      <c r="O47" s="63" t="str">
        <f>IF(AND('Mapa final'!$AA$17="Muy Baja",'Mapa final'!$AC$17="Leve"),CONCATENATE("R2C",'Mapa final'!$Q$17),"")</f>
        <v/>
      </c>
      <c r="P47" s="61" t="str">
        <f ca="1">IF(AND('Mapa final'!$AA$14="Muy Baja",'Mapa final'!$AC$14="Menor"),CONCATENATE("R2C",'Mapa final'!$Q$14),"")</f>
        <v/>
      </c>
      <c r="Q47" s="62" t="str">
        <f ca="1">IF(AND('Mapa final'!$AA$15="Muy Baja",'Mapa final'!$AC$15="Menor"),CONCATENATE("R2C",'Mapa final'!$Q$15),"")</f>
        <v/>
      </c>
      <c r="R47" s="62" t="str">
        <f ca="1">IF(AND('Mapa final'!$AA$16="Muy Baja",'Mapa final'!$AC$16="Menor"),CONCATENATE("R2C",'Mapa final'!$Q$16),"")</f>
        <v/>
      </c>
      <c r="S47" s="62" t="e">
        <f>IF(AND('Mapa final'!#REF!="Muy Baja",'Mapa final'!#REF!="Menor"),CONCATENATE("R2C",'Mapa final'!#REF!),"")</f>
        <v>#REF!</v>
      </c>
      <c r="T47" s="62" t="e">
        <f>IF(AND('Mapa final'!#REF!="Muy Baja",'Mapa final'!#REF!="Menor"),CONCATENATE("R2C",'Mapa final'!#REF!),"")</f>
        <v>#REF!</v>
      </c>
      <c r="U47" s="63" t="str">
        <f>IF(AND('Mapa final'!$AA$17="Muy Baja",'Mapa final'!$AC$17="Menor"),CONCATENATE("R2C",'Mapa final'!$Q$17),"")</f>
        <v/>
      </c>
      <c r="V47" s="52" t="str">
        <f ca="1">IF(AND('Mapa final'!$AA$14="Muy Baja",'Mapa final'!$AC$14="Moderado"),CONCATENATE("R2C",'Mapa final'!$Q$14),"")</f>
        <v/>
      </c>
      <c r="W47" s="53" t="str">
        <f ca="1">IF(AND('Mapa final'!$AA$15="Muy Baja",'Mapa final'!$AC$15="Moderado"),CONCATENATE("R2C",'Mapa final'!$Q$15),"")</f>
        <v/>
      </c>
      <c r="X47" s="53" t="str">
        <f ca="1">IF(AND('Mapa final'!$AA$16="Muy Baja",'Mapa final'!$AC$16="Moderado"),CONCATENATE("R2C",'Mapa final'!$Q$16),"")</f>
        <v/>
      </c>
      <c r="Y47" s="53" t="e">
        <f>IF(AND('Mapa final'!#REF!="Muy Baja",'Mapa final'!#REF!="Moderado"),CONCATENATE("R2C",'Mapa final'!#REF!),"")</f>
        <v>#REF!</v>
      </c>
      <c r="Z47" s="53" t="e">
        <f>IF(AND('Mapa final'!#REF!="Muy Baja",'Mapa final'!#REF!="Moderado"),CONCATENATE("R2C",'Mapa final'!#REF!),"")</f>
        <v>#REF!</v>
      </c>
      <c r="AA47" s="54" t="str">
        <f>IF(AND('Mapa final'!$AA$17="Muy Baja",'Mapa final'!$AC$17="Moderado"),CONCATENATE("R2C",'Mapa final'!$Q$17),"")</f>
        <v/>
      </c>
      <c r="AB47" s="36" t="str">
        <f ca="1">IF(AND('Mapa final'!$AA$14="Muy Baja",'Mapa final'!$AC$14="Mayor"),CONCATENATE("R2C",'Mapa final'!$Q$14),"")</f>
        <v/>
      </c>
      <c r="AC47" s="37" t="str">
        <f ca="1">IF(AND('Mapa final'!$AA$15="Muy Baja",'Mapa final'!$AC$15="Mayor"),CONCATENATE("R2C",'Mapa final'!$Q$15),"")</f>
        <v/>
      </c>
      <c r="AD47" s="37" t="str">
        <f ca="1">IF(AND('Mapa final'!$AA$16="Muy Baja",'Mapa final'!$AC$16="Mayor"),CONCATENATE("R2C",'Mapa final'!$Q$16),"")</f>
        <v>R2C3</v>
      </c>
      <c r="AE47" s="37" t="e">
        <f>IF(AND('Mapa final'!#REF!="Muy Baja",'Mapa final'!#REF!="Mayor"),CONCATENATE("R2C",'Mapa final'!#REF!),"")</f>
        <v>#REF!</v>
      </c>
      <c r="AF47" s="37" t="e">
        <f>IF(AND('Mapa final'!#REF!="Muy Baja",'Mapa final'!#REF!="Mayor"),CONCATENATE("R2C",'Mapa final'!#REF!),"")</f>
        <v>#REF!</v>
      </c>
      <c r="AG47" s="38" t="str">
        <f>IF(AND('Mapa final'!$AA$17="Muy Baja",'Mapa final'!$AC$17="Mayor"),CONCATENATE("R2C",'Mapa final'!$Q$17),"")</f>
        <v/>
      </c>
      <c r="AH47" s="39" t="str">
        <f ca="1">IF(AND('Mapa final'!$AA$14="Muy Baja",'Mapa final'!$AC$14="Catastrófico"),CONCATENATE("R2C",'Mapa final'!$Q$14),"")</f>
        <v/>
      </c>
      <c r="AI47" s="40" t="str">
        <f ca="1">IF(AND('Mapa final'!$AA$15="Muy Baja",'Mapa final'!$AC$15="Catastrófico"),CONCATENATE("R2C",'Mapa final'!$Q$15),"")</f>
        <v/>
      </c>
      <c r="AJ47" s="40" t="str">
        <f ca="1">IF(AND('Mapa final'!$AA$16="Muy Baja",'Mapa final'!$AC$16="Catastrófico"),CONCATENATE("R2C",'Mapa final'!$Q$16),"")</f>
        <v/>
      </c>
      <c r="AK47" s="40" t="e">
        <f>IF(AND('Mapa final'!#REF!="Muy Baja",'Mapa final'!#REF!="Catastrófico"),CONCATENATE("R2C",'Mapa final'!#REF!),"")</f>
        <v>#REF!</v>
      </c>
      <c r="AL47" s="40" t="e">
        <f>IF(AND('Mapa final'!#REF!="Muy Baja",'Mapa final'!#REF!="Catastrófico"),CONCATENATE("R2C",'Mapa final'!#REF!),"")</f>
        <v>#REF!</v>
      </c>
      <c r="AM47" s="41" t="str">
        <f>IF(AND('Mapa final'!$AA$17="Muy Baja",'Mapa final'!$AC$17="Catastrófico"),CONCATENATE("R2C",'Mapa final'!$Q$17),"")</f>
        <v/>
      </c>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ht="15" customHeight="1" x14ac:dyDescent="0.25">
      <c r="A48" s="68"/>
      <c r="B48" s="348"/>
      <c r="C48" s="348"/>
      <c r="D48" s="349"/>
      <c r="E48" s="405"/>
      <c r="F48" s="406"/>
      <c r="G48" s="406"/>
      <c r="H48" s="406"/>
      <c r="I48" s="391"/>
      <c r="J48" s="61" t="str">
        <f>IF(AND('Mapa final'!$AA$18="Muy Baja",'Mapa final'!$AC$18="Leve"),CONCATENATE("R3C",'Mapa final'!$Q$18),"")</f>
        <v/>
      </c>
      <c r="K48" s="62" t="str">
        <f>IF(AND('Mapa final'!$AA$19="Muy Baja",'Mapa final'!$AC$19="Leve"),CONCATENATE("R3C",'Mapa final'!$Q$19),"")</f>
        <v/>
      </c>
      <c r="L48" s="62" t="str">
        <f>IF(AND('Mapa final'!$AA$20="Muy Baja",'Mapa final'!$AC$20="Leve"),CONCATENATE("R3C",'Mapa final'!$Q$20),"")</f>
        <v/>
      </c>
      <c r="M48" s="62" t="str">
        <f>IF(AND('Mapa final'!$AA$21="Muy Baja",'Mapa final'!$AC$21="Leve"),CONCATENATE("R3C",'Mapa final'!$Q$21),"")</f>
        <v/>
      </c>
      <c r="N48" s="62" t="str">
        <f>IF(AND('Mapa final'!$AA$22="Muy Baja",'Mapa final'!$AC$22="Leve"),CONCATENATE("R3C",'Mapa final'!$Q$22),"")</f>
        <v/>
      </c>
      <c r="O48" s="63" t="str">
        <f>IF(AND('Mapa final'!$AA$23="Muy Baja",'Mapa final'!$AC$23="Leve"),CONCATENATE("R3C",'Mapa final'!$Q$23),"")</f>
        <v/>
      </c>
      <c r="P48" s="61" t="str">
        <f>IF(AND('Mapa final'!$AA$18="Muy Baja",'Mapa final'!$AC$18="Menor"),CONCATENATE("R3C",'Mapa final'!$Q$18),"")</f>
        <v/>
      </c>
      <c r="Q48" s="62" t="str">
        <f>IF(AND('Mapa final'!$AA$19="Muy Baja",'Mapa final'!$AC$19="Menor"),CONCATENATE("R3C",'Mapa final'!$Q$19),"")</f>
        <v/>
      </c>
      <c r="R48" s="62" t="str">
        <f>IF(AND('Mapa final'!$AA$20="Muy Baja",'Mapa final'!$AC$20="Menor"),CONCATENATE("R3C",'Mapa final'!$Q$20),"")</f>
        <v/>
      </c>
      <c r="S48" s="62" t="str">
        <f>IF(AND('Mapa final'!$AA$21="Muy Baja",'Mapa final'!$AC$21="Menor"),CONCATENATE("R3C",'Mapa final'!$Q$21),"")</f>
        <v/>
      </c>
      <c r="T48" s="62" t="str">
        <f>IF(AND('Mapa final'!$AA$22="Muy Baja",'Mapa final'!$AC$22="Menor"),CONCATENATE("R3C",'Mapa final'!$Q$22),"")</f>
        <v/>
      </c>
      <c r="U48" s="63" t="str">
        <f>IF(AND('Mapa final'!$AA$23="Muy Baja",'Mapa final'!$AC$23="Menor"),CONCATENATE("R3C",'Mapa final'!$Q$23),"")</f>
        <v/>
      </c>
      <c r="V48" s="52" t="str">
        <f>IF(AND('Mapa final'!$AA$18="Muy Baja",'Mapa final'!$AC$18="Moderado"),CONCATENATE("R3C",'Mapa final'!$Q$18),"")</f>
        <v/>
      </c>
      <c r="W48" s="53" t="str">
        <f>IF(AND('Mapa final'!$AA$19="Muy Baja",'Mapa final'!$AC$19="Moderado"),CONCATENATE("R3C",'Mapa final'!$Q$19),"")</f>
        <v/>
      </c>
      <c r="X48" s="53" t="str">
        <f>IF(AND('Mapa final'!$AA$20="Muy Baja",'Mapa final'!$AC$20="Moderado"),CONCATENATE("R3C",'Mapa final'!$Q$20),"")</f>
        <v/>
      </c>
      <c r="Y48" s="53" t="str">
        <f>IF(AND('Mapa final'!$AA$21="Muy Baja",'Mapa final'!$AC$21="Moderado"),CONCATENATE("R3C",'Mapa final'!$Q$21),"")</f>
        <v/>
      </c>
      <c r="Z48" s="53" t="str">
        <f>IF(AND('Mapa final'!$AA$22="Muy Baja",'Mapa final'!$AC$22="Moderado"),CONCATENATE("R3C",'Mapa final'!$Q$22),"")</f>
        <v/>
      </c>
      <c r="AA48" s="54" t="str">
        <f>IF(AND('Mapa final'!$AA$23="Muy Baja",'Mapa final'!$AC$23="Moderado"),CONCATENATE("R3C",'Mapa final'!$Q$23),"")</f>
        <v/>
      </c>
      <c r="AB48" s="36" t="str">
        <f>IF(AND('Mapa final'!$AA$18="Muy Baja",'Mapa final'!$AC$18="Mayor"),CONCATENATE("R3C",'Mapa final'!$Q$18),"")</f>
        <v/>
      </c>
      <c r="AC48" s="37" t="str">
        <f>IF(AND('Mapa final'!$AA$19="Muy Baja",'Mapa final'!$AC$19="Mayor"),CONCATENATE("R3C",'Mapa final'!$Q$19),"")</f>
        <v/>
      </c>
      <c r="AD48" s="37" t="str">
        <f>IF(AND('Mapa final'!$AA$20="Muy Baja",'Mapa final'!$AC$20="Mayor"),CONCATENATE("R3C",'Mapa final'!$Q$20),"")</f>
        <v/>
      </c>
      <c r="AE48" s="37" t="str">
        <f>IF(AND('Mapa final'!$AA$21="Muy Baja",'Mapa final'!$AC$21="Mayor"),CONCATENATE("R3C",'Mapa final'!$Q$21),"")</f>
        <v/>
      </c>
      <c r="AF48" s="37" t="str">
        <f>IF(AND('Mapa final'!$AA$22="Muy Baja",'Mapa final'!$AC$22="Mayor"),CONCATENATE("R3C",'Mapa final'!$Q$22),"")</f>
        <v/>
      </c>
      <c r="AG48" s="38" t="str">
        <f>IF(AND('Mapa final'!$AA$23="Muy Baja",'Mapa final'!$AC$23="Mayor"),CONCATENATE("R3C",'Mapa final'!$Q$23),"")</f>
        <v/>
      </c>
      <c r="AH48" s="39" t="str">
        <f>IF(AND('Mapa final'!$AA$18="Muy Baja",'Mapa final'!$AC$18="Catastrófico"),CONCATENATE("R3C",'Mapa final'!$Q$18),"")</f>
        <v/>
      </c>
      <c r="AI48" s="40" t="str">
        <f>IF(AND('Mapa final'!$AA$19="Muy Baja",'Mapa final'!$AC$19="Catastrófico"),CONCATENATE("R3C",'Mapa final'!$Q$19),"")</f>
        <v/>
      </c>
      <c r="AJ48" s="40" t="str">
        <f>IF(AND('Mapa final'!$AA$20="Muy Baja",'Mapa final'!$AC$20="Catastrófico"),CONCATENATE("R3C",'Mapa final'!$Q$20),"")</f>
        <v/>
      </c>
      <c r="AK48" s="40" t="str">
        <f>IF(AND('Mapa final'!$AA$21="Muy Baja",'Mapa final'!$AC$21="Catastrófico"),CONCATENATE("R3C",'Mapa final'!$Q$21),"")</f>
        <v/>
      </c>
      <c r="AL48" s="40" t="str">
        <f>IF(AND('Mapa final'!$AA$22="Muy Baja",'Mapa final'!$AC$22="Catastrófico"),CONCATENATE("R3C",'Mapa final'!$Q$22),"")</f>
        <v/>
      </c>
      <c r="AM48" s="41" t="str">
        <f>IF(AND('Mapa final'!$AA$23="Muy Baja",'Mapa final'!$AC$23="Catastrófico"),CONCATENATE("R3C",'Mapa final'!$Q$23),"")</f>
        <v/>
      </c>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ht="15" customHeight="1" x14ac:dyDescent="0.25">
      <c r="A49" s="68"/>
      <c r="B49" s="348"/>
      <c r="C49" s="348"/>
      <c r="D49" s="349"/>
      <c r="E49" s="389"/>
      <c r="F49" s="390"/>
      <c r="G49" s="390"/>
      <c r="H49" s="390"/>
      <c r="I49" s="391"/>
      <c r="J49" s="61" t="str">
        <f>IF(AND('Mapa final'!$AA$24="Muy Baja",'Mapa final'!$AC$24="Leve"),CONCATENATE("R4C",'Mapa final'!$Q$24),"")</f>
        <v/>
      </c>
      <c r="K49" s="62" t="str">
        <f>IF(AND('Mapa final'!$AA$25="Muy Baja",'Mapa final'!$AC$25="Leve"),CONCATENATE("R4C",'Mapa final'!$Q$25),"")</f>
        <v/>
      </c>
      <c r="L49" s="62" t="str">
        <f>IF(AND('Mapa final'!$AA$26="Muy Baja",'Mapa final'!$AC$26="Leve"),CONCATENATE("R4C",'Mapa final'!$Q$26),"")</f>
        <v/>
      </c>
      <c r="M49" s="62" t="str">
        <f>IF(AND('Mapa final'!$AA$27="Muy Baja",'Mapa final'!$AC$27="Leve"),CONCATENATE("R4C",'Mapa final'!$Q$27),"")</f>
        <v/>
      </c>
      <c r="N49" s="62" t="str">
        <f>IF(AND('Mapa final'!$AA$28="Muy Baja",'Mapa final'!$AC$28="Leve"),CONCATENATE("R4C",'Mapa final'!$Q$28),"")</f>
        <v/>
      </c>
      <c r="O49" s="63" t="str">
        <f>IF(AND('Mapa final'!$AA$29="Muy Baja",'Mapa final'!$AC$29="Leve"),CONCATENATE("R4C",'Mapa final'!$Q$29),"")</f>
        <v/>
      </c>
      <c r="P49" s="61" t="str">
        <f>IF(AND('Mapa final'!$AA$24="Muy Baja",'Mapa final'!$AC$24="Menor"),CONCATENATE("R4C",'Mapa final'!$Q$24),"")</f>
        <v/>
      </c>
      <c r="Q49" s="62" t="str">
        <f>IF(AND('Mapa final'!$AA$25="Muy Baja",'Mapa final'!$AC$25="Menor"),CONCATENATE("R4C",'Mapa final'!$Q$25),"")</f>
        <v/>
      </c>
      <c r="R49" s="62" t="str">
        <f>IF(AND('Mapa final'!$AA$26="Muy Baja",'Mapa final'!$AC$26="Menor"),CONCATENATE("R4C",'Mapa final'!$Q$26),"")</f>
        <v/>
      </c>
      <c r="S49" s="62" t="str">
        <f>IF(AND('Mapa final'!$AA$27="Muy Baja",'Mapa final'!$AC$27="Menor"),CONCATENATE("R4C",'Mapa final'!$Q$27),"")</f>
        <v/>
      </c>
      <c r="T49" s="62" t="str">
        <f>IF(AND('Mapa final'!$AA$28="Muy Baja",'Mapa final'!$AC$28="Menor"),CONCATENATE("R4C",'Mapa final'!$Q$28),"")</f>
        <v/>
      </c>
      <c r="U49" s="63" t="str">
        <f>IF(AND('Mapa final'!$AA$29="Muy Baja",'Mapa final'!$AC$29="Menor"),CONCATENATE("R4C",'Mapa final'!$Q$29),"")</f>
        <v/>
      </c>
      <c r="V49" s="52" t="str">
        <f>IF(AND('Mapa final'!$AA$24="Muy Baja",'Mapa final'!$AC$24="Moderado"),CONCATENATE("R4C",'Mapa final'!$Q$24),"")</f>
        <v/>
      </c>
      <c r="W49" s="53" t="str">
        <f>IF(AND('Mapa final'!$AA$25="Muy Baja",'Mapa final'!$AC$25="Moderado"),CONCATENATE("R4C",'Mapa final'!$Q$25),"")</f>
        <v/>
      </c>
      <c r="X49" s="53" t="str">
        <f>IF(AND('Mapa final'!$AA$26="Muy Baja",'Mapa final'!$AC$26="Moderado"),CONCATENATE("R4C",'Mapa final'!$Q$26),"")</f>
        <v/>
      </c>
      <c r="Y49" s="53" t="str">
        <f>IF(AND('Mapa final'!$AA$27="Muy Baja",'Mapa final'!$AC$27="Moderado"),CONCATENATE("R4C",'Mapa final'!$Q$27),"")</f>
        <v/>
      </c>
      <c r="Z49" s="53" t="str">
        <f>IF(AND('Mapa final'!$AA$28="Muy Baja",'Mapa final'!$AC$28="Moderado"),CONCATENATE("R4C",'Mapa final'!$Q$28),"")</f>
        <v/>
      </c>
      <c r="AA49" s="54" t="str">
        <f>IF(AND('Mapa final'!$AA$29="Muy Baja",'Mapa final'!$AC$29="Moderado"),CONCATENATE("R4C",'Mapa final'!$Q$29),"")</f>
        <v/>
      </c>
      <c r="AB49" s="36" t="str">
        <f>IF(AND('Mapa final'!$AA$24="Muy Baja",'Mapa final'!$AC$24="Mayor"),CONCATENATE("R4C",'Mapa final'!$Q$24),"")</f>
        <v/>
      </c>
      <c r="AC49" s="37" t="str">
        <f>IF(AND('Mapa final'!$AA$25="Muy Baja",'Mapa final'!$AC$25="Mayor"),CONCATENATE("R4C",'Mapa final'!$Q$25),"")</f>
        <v/>
      </c>
      <c r="AD49" s="37" t="str">
        <f>IF(AND('Mapa final'!$AA$26="Muy Baja",'Mapa final'!$AC$26="Mayor"),CONCATENATE("R4C",'Mapa final'!$Q$26),"")</f>
        <v/>
      </c>
      <c r="AE49" s="37" t="str">
        <f>IF(AND('Mapa final'!$AA$27="Muy Baja",'Mapa final'!$AC$27="Mayor"),CONCATENATE("R4C",'Mapa final'!$Q$27),"")</f>
        <v/>
      </c>
      <c r="AF49" s="37" t="str">
        <f>IF(AND('Mapa final'!$AA$28="Muy Baja",'Mapa final'!$AC$28="Mayor"),CONCATENATE("R4C",'Mapa final'!$Q$28),"")</f>
        <v/>
      </c>
      <c r="AG49" s="38" t="str">
        <f>IF(AND('Mapa final'!$AA$29="Muy Baja",'Mapa final'!$AC$29="Mayor"),CONCATENATE("R4C",'Mapa final'!$Q$29),"")</f>
        <v/>
      </c>
      <c r="AH49" s="39" t="str">
        <f>IF(AND('Mapa final'!$AA$24="Muy Baja",'Mapa final'!$AC$24="Catastrófico"),CONCATENATE("R4C",'Mapa final'!$Q$24),"")</f>
        <v/>
      </c>
      <c r="AI49" s="40" t="str">
        <f>IF(AND('Mapa final'!$AA$25="Muy Baja",'Mapa final'!$AC$25="Catastrófico"),CONCATENATE("R4C",'Mapa final'!$Q$25),"")</f>
        <v/>
      </c>
      <c r="AJ49" s="40" t="str">
        <f>IF(AND('Mapa final'!$AA$26="Muy Baja",'Mapa final'!$AC$26="Catastrófico"),CONCATENATE("R4C",'Mapa final'!$Q$26),"")</f>
        <v/>
      </c>
      <c r="AK49" s="40" t="str">
        <f>IF(AND('Mapa final'!$AA$27="Muy Baja",'Mapa final'!$AC$27="Catastrófico"),CONCATENATE("R4C",'Mapa final'!$Q$27),"")</f>
        <v/>
      </c>
      <c r="AL49" s="40" t="str">
        <f>IF(AND('Mapa final'!$AA$28="Muy Baja",'Mapa final'!$AC$28="Catastrófico"),CONCATENATE("R4C",'Mapa final'!$Q$28),"")</f>
        <v/>
      </c>
      <c r="AM49" s="41" t="str">
        <f>IF(AND('Mapa final'!$AA$29="Muy Baja",'Mapa final'!$AC$29="Catastrófico"),CONCATENATE("R4C",'Mapa final'!$Q$29),"")</f>
        <v/>
      </c>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ht="15" customHeight="1" x14ac:dyDescent="0.25">
      <c r="A50" s="68"/>
      <c r="B50" s="348"/>
      <c r="C50" s="348"/>
      <c r="D50" s="349"/>
      <c r="E50" s="389"/>
      <c r="F50" s="390"/>
      <c r="G50" s="390"/>
      <c r="H50" s="390"/>
      <c r="I50" s="391"/>
      <c r="J50" s="61" t="str">
        <f>IF(AND('Mapa final'!$AA$30="Muy Baja",'Mapa final'!$AC$30="Leve"),CONCATENATE("R5C",'Mapa final'!$Q$30),"")</f>
        <v/>
      </c>
      <c r="K50" s="62" t="str">
        <f>IF(AND('Mapa final'!$AA$31="Muy Baja",'Mapa final'!$AC$31="Leve"),CONCATENATE("R5C",'Mapa final'!$Q$31),"")</f>
        <v/>
      </c>
      <c r="L50" s="62" t="str">
        <f>IF(AND('Mapa final'!$AA$32="Muy Baja",'Mapa final'!$AC$32="Leve"),CONCATENATE("R5C",'Mapa final'!$Q$32),"")</f>
        <v/>
      </c>
      <c r="M50" s="62" t="str">
        <f>IF(AND('Mapa final'!$AA$33="Muy Baja",'Mapa final'!$AC$33="Leve"),CONCATENATE("R5C",'Mapa final'!$Q$33),"")</f>
        <v/>
      </c>
      <c r="N50" s="62" t="str">
        <f>IF(AND('Mapa final'!$AA$34="Muy Baja",'Mapa final'!$AC$34="Leve"),CONCATENATE("R5C",'Mapa final'!$Q$34),"")</f>
        <v/>
      </c>
      <c r="O50" s="63" t="str">
        <f>IF(AND('Mapa final'!$AA$35="Muy Baja",'Mapa final'!$AC$35="Leve"),CONCATENATE("R5C",'Mapa final'!$Q$35),"")</f>
        <v/>
      </c>
      <c r="P50" s="61" t="str">
        <f>IF(AND('Mapa final'!$AA$30="Muy Baja",'Mapa final'!$AC$30="Menor"),CONCATENATE("R5C",'Mapa final'!$Q$30),"")</f>
        <v/>
      </c>
      <c r="Q50" s="62" t="str">
        <f>IF(AND('Mapa final'!$AA$31="Muy Baja",'Mapa final'!$AC$31="Menor"),CONCATENATE("R5C",'Mapa final'!$Q$31),"")</f>
        <v/>
      </c>
      <c r="R50" s="62" t="str">
        <f>IF(AND('Mapa final'!$AA$32="Muy Baja",'Mapa final'!$AC$32="Menor"),CONCATENATE("R5C",'Mapa final'!$Q$32),"")</f>
        <v/>
      </c>
      <c r="S50" s="62" t="str">
        <f>IF(AND('Mapa final'!$AA$33="Muy Baja",'Mapa final'!$AC$33="Menor"),CONCATENATE("R5C",'Mapa final'!$Q$33),"")</f>
        <v/>
      </c>
      <c r="T50" s="62" t="str">
        <f>IF(AND('Mapa final'!$AA$34="Muy Baja",'Mapa final'!$AC$34="Menor"),CONCATENATE("R5C",'Mapa final'!$Q$34),"")</f>
        <v/>
      </c>
      <c r="U50" s="63" t="str">
        <f>IF(AND('Mapa final'!$AA$35="Muy Baja",'Mapa final'!$AC$35="Menor"),CONCATENATE("R5C",'Mapa final'!$Q$35),"")</f>
        <v/>
      </c>
      <c r="V50" s="52" t="str">
        <f>IF(AND('Mapa final'!$AA$30="Muy Baja",'Mapa final'!$AC$30="Moderado"),CONCATENATE("R5C",'Mapa final'!$Q$30),"")</f>
        <v/>
      </c>
      <c r="W50" s="53" t="str">
        <f>IF(AND('Mapa final'!$AA$31="Muy Baja",'Mapa final'!$AC$31="Moderado"),CONCATENATE("R5C",'Mapa final'!$Q$31),"")</f>
        <v/>
      </c>
      <c r="X50" s="53" t="str">
        <f>IF(AND('Mapa final'!$AA$32="Muy Baja",'Mapa final'!$AC$32="Moderado"),CONCATENATE("R5C",'Mapa final'!$Q$32),"")</f>
        <v/>
      </c>
      <c r="Y50" s="53" t="str">
        <f>IF(AND('Mapa final'!$AA$33="Muy Baja",'Mapa final'!$AC$33="Moderado"),CONCATENATE("R5C",'Mapa final'!$Q$33),"")</f>
        <v/>
      </c>
      <c r="Z50" s="53" t="str">
        <f>IF(AND('Mapa final'!$AA$34="Muy Baja",'Mapa final'!$AC$34="Moderado"),CONCATENATE("R5C",'Mapa final'!$Q$34),"")</f>
        <v/>
      </c>
      <c r="AA50" s="54" t="str">
        <f>IF(AND('Mapa final'!$AA$35="Muy Baja",'Mapa final'!$AC$35="Moderado"),CONCATENATE("R5C",'Mapa final'!$Q$35),"")</f>
        <v/>
      </c>
      <c r="AB50" s="36" t="str">
        <f>IF(AND('Mapa final'!$AA$30="Muy Baja",'Mapa final'!$AC$30="Mayor"),CONCATENATE("R5C",'Mapa final'!$Q$30),"")</f>
        <v/>
      </c>
      <c r="AC50" s="37" t="str">
        <f>IF(AND('Mapa final'!$AA$31="Muy Baja",'Mapa final'!$AC$31="Mayor"),CONCATENATE("R5C",'Mapa final'!$Q$31),"")</f>
        <v/>
      </c>
      <c r="AD50" s="42" t="str">
        <f>IF(AND('Mapa final'!$AA$32="Muy Baja",'Mapa final'!$AC$32="Mayor"),CONCATENATE("R5C",'Mapa final'!$Q$32),"")</f>
        <v/>
      </c>
      <c r="AE50" s="42" t="str">
        <f>IF(AND('Mapa final'!$AA$33="Muy Baja",'Mapa final'!$AC$33="Mayor"),CONCATENATE("R5C",'Mapa final'!$Q$33),"")</f>
        <v/>
      </c>
      <c r="AF50" s="42" t="str">
        <f>IF(AND('Mapa final'!$AA$34="Muy Baja",'Mapa final'!$AC$34="Mayor"),CONCATENATE("R5C",'Mapa final'!$Q$34),"")</f>
        <v/>
      </c>
      <c r="AG50" s="38" t="str">
        <f>IF(AND('Mapa final'!$AA$35="Muy Baja",'Mapa final'!$AC$35="Mayor"),CONCATENATE("R5C",'Mapa final'!$Q$35),"")</f>
        <v/>
      </c>
      <c r="AH50" s="39" t="str">
        <f>IF(AND('Mapa final'!$AA$30="Muy Baja",'Mapa final'!$AC$30="Catastrófico"),CONCATENATE("R5C",'Mapa final'!$Q$30),"")</f>
        <v/>
      </c>
      <c r="AI50" s="40" t="str">
        <f>IF(AND('Mapa final'!$AA$31="Muy Baja",'Mapa final'!$AC$31="Catastrófico"),CONCATENATE("R5C",'Mapa final'!$Q$31),"")</f>
        <v/>
      </c>
      <c r="AJ50" s="40" t="str">
        <f>IF(AND('Mapa final'!$AA$32="Muy Baja",'Mapa final'!$AC$32="Catastrófico"),CONCATENATE("R5C",'Mapa final'!$Q$32),"")</f>
        <v/>
      </c>
      <c r="AK50" s="40" t="str">
        <f>IF(AND('Mapa final'!$AA$33="Muy Baja",'Mapa final'!$AC$33="Catastrófico"),CONCATENATE("R5C",'Mapa final'!$Q$33),"")</f>
        <v/>
      </c>
      <c r="AL50" s="40" t="str">
        <f>IF(AND('Mapa final'!$AA$34="Muy Baja",'Mapa final'!$AC$34="Catastrófico"),CONCATENATE("R5C",'Mapa final'!$Q$34),"")</f>
        <v/>
      </c>
      <c r="AM50" s="41" t="str">
        <f>IF(AND('Mapa final'!$AA$35="Muy Baja",'Mapa final'!$AC$35="Catastrófico"),CONCATENATE("R5C",'Mapa final'!$Q$35),"")</f>
        <v/>
      </c>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 customHeight="1" x14ac:dyDescent="0.25">
      <c r="A51" s="68"/>
      <c r="B51" s="348"/>
      <c r="C51" s="348"/>
      <c r="D51" s="349"/>
      <c r="E51" s="389"/>
      <c r="F51" s="390"/>
      <c r="G51" s="390"/>
      <c r="H51" s="390"/>
      <c r="I51" s="391"/>
      <c r="J51" s="61" t="str">
        <f>IF(AND('Mapa final'!$AA$36="Muy Baja",'Mapa final'!$AC$36="Leve"),CONCATENATE("R6C",'Mapa final'!$Q$36),"")</f>
        <v/>
      </c>
      <c r="K51" s="62" t="str">
        <f>IF(AND('Mapa final'!$AA$37="Muy Baja",'Mapa final'!$AC$37="Leve"),CONCATENATE("R6C",'Mapa final'!$Q$37),"")</f>
        <v/>
      </c>
      <c r="L51" s="62" t="str">
        <f>IF(AND('Mapa final'!$AA$38="Muy Baja",'Mapa final'!$AC$38="Leve"),CONCATENATE("R6C",'Mapa final'!$Q$38),"")</f>
        <v/>
      </c>
      <c r="M51" s="62" t="str">
        <f>IF(AND('Mapa final'!$AA$39="Muy Baja",'Mapa final'!$AC$39="Leve"),CONCATENATE("R6C",'Mapa final'!$Q$39),"")</f>
        <v/>
      </c>
      <c r="N51" s="62" t="str">
        <f>IF(AND('Mapa final'!$AA$40="Muy Baja",'Mapa final'!$AC$40="Leve"),CONCATENATE("R6C",'Mapa final'!$Q$40),"")</f>
        <v/>
      </c>
      <c r="O51" s="63" t="str">
        <f>IF(AND('Mapa final'!$AA$41="Muy Baja",'Mapa final'!$AC$41="Leve"),CONCATENATE("R6C",'Mapa final'!$Q$41),"")</f>
        <v/>
      </c>
      <c r="P51" s="61" t="str">
        <f>IF(AND('Mapa final'!$AA$36="Muy Baja",'Mapa final'!$AC$36="Menor"),CONCATENATE("R6C",'Mapa final'!$Q$36),"")</f>
        <v/>
      </c>
      <c r="Q51" s="62" t="str">
        <f>IF(AND('Mapa final'!$AA$37="Muy Baja",'Mapa final'!$AC$37="Menor"),CONCATENATE("R6C",'Mapa final'!$Q$37),"")</f>
        <v/>
      </c>
      <c r="R51" s="62" t="str">
        <f>IF(AND('Mapa final'!$AA$38="Muy Baja",'Mapa final'!$AC$38="Menor"),CONCATENATE("R6C",'Mapa final'!$Q$38),"")</f>
        <v/>
      </c>
      <c r="S51" s="62" t="str">
        <f>IF(AND('Mapa final'!$AA$39="Muy Baja",'Mapa final'!$AC$39="Menor"),CONCATENATE("R6C",'Mapa final'!$Q$39),"")</f>
        <v/>
      </c>
      <c r="T51" s="62" t="str">
        <f>IF(AND('Mapa final'!$AA$40="Muy Baja",'Mapa final'!$AC$40="Menor"),CONCATENATE("R6C",'Mapa final'!$Q$40),"")</f>
        <v/>
      </c>
      <c r="U51" s="63" t="str">
        <f>IF(AND('Mapa final'!$AA$41="Muy Baja",'Mapa final'!$AC$41="Menor"),CONCATENATE("R6C",'Mapa final'!$Q$41),"")</f>
        <v/>
      </c>
      <c r="V51" s="52" t="str">
        <f>IF(AND('Mapa final'!$AA$36="Muy Baja",'Mapa final'!$AC$36="Moderado"),CONCATENATE("R6C",'Mapa final'!$Q$36),"")</f>
        <v/>
      </c>
      <c r="W51" s="53" t="str">
        <f>IF(AND('Mapa final'!$AA$37="Muy Baja",'Mapa final'!$AC$37="Moderado"),CONCATENATE("R6C",'Mapa final'!$Q$37),"")</f>
        <v/>
      </c>
      <c r="X51" s="53" t="str">
        <f>IF(AND('Mapa final'!$AA$38="Muy Baja",'Mapa final'!$AC$38="Moderado"),CONCATENATE("R6C",'Mapa final'!$Q$38),"")</f>
        <v/>
      </c>
      <c r="Y51" s="53" t="str">
        <f>IF(AND('Mapa final'!$AA$39="Muy Baja",'Mapa final'!$AC$39="Moderado"),CONCATENATE("R6C",'Mapa final'!$Q$39),"")</f>
        <v/>
      </c>
      <c r="Z51" s="53" t="str">
        <f>IF(AND('Mapa final'!$AA$40="Muy Baja",'Mapa final'!$AC$40="Moderado"),CONCATENATE("R6C",'Mapa final'!$Q$40),"")</f>
        <v/>
      </c>
      <c r="AA51" s="54" t="str">
        <f>IF(AND('Mapa final'!$AA$41="Muy Baja",'Mapa final'!$AC$41="Moderado"),CONCATENATE("R6C",'Mapa final'!$Q$41),"")</f>
        <v/>
      </c>
      <c r="AB51" s="36" t="str">
        <f>IF(AND('Mapa final'!$AA$36="Muy Baja",'Mapa final'!$AC$36="Mayor"),CONCATENATE("R6C",'Mapa final'!$Q$36),"")</f>
        <v/>
      </c>
      <c r="AC51" s="37" t="str">
        <f>IF(AND('Mapa final'!$AA$37="Muy Baja",'Mapa final'!$AC$37="Mayor"),CONCATENATE("R6C",'Mapa final'!$Q$37),"")</f>
        <v/>
      </c>
      <c r="AD51" s="42" t="str">
        <f>IF(AND('Mapa final'!$AA$38="Muy Baja",'Mapa final'!$AC$38="Mayor"),CONCATENATE("R6C",'Mapa final'!$Q$38),"")</f>
        <v/>
      </c>
      <c r="AE51" s="42" t="str">
        <f>IF(AND('Mapa final'!$AA$39="Muy Baja",'Mapa final'!$AC$39="Mayor"),CONCATENATE("R6C",'Mapa final'!$Q$39),"")</f>
        <v/>
      </c>
      <c r="AF51" s="42" t="str">
        <f>IF(AND('Mapa final'!$AA$40="Muy Baja",'Mapa final'!$AC$40="Mayor"),CONCATENATE("R6C",'Mapa final'!$Q$40),"")</f>
        <v/>
      </c>
      <c r="AG51" s="38" t="str">
        <f>IF(AND('Mapa final'!$AA$41="Muy Baja",'Mapa final'!$AC$41="Mayor"),CONCATENATE("R6C",'Mapa final'!$Q$41),"")</f>
        <v/>
      </c>
      <c r="AH51" s="39" t="str">
        <f>IF(AND('Mapa final'!$AA$36="Muy Baja",'Mapa final'!$AC$36="Catastrófico"),CONCATENATE("R6C",'Mapa final'!$Q$36),"")</f>
        <v/>
      </c>
      <c r="AI51" s="40" t="str">
        <f>IF(AND('Mapa final'!$AA$37="Muy Baja",'Mapa final'!$AC$37="Catastrófico"),CONCATENATE("R6C",'Mapa final'!$Q$37),"")</f>
        <v/>
      </c>
      <c r="AJ51" s="40" t="str">
        <f>IF(AND('Mapa final'!$AA$38="Muy Baja",'Mapa final'!$AC$38="Catastrófico"),CONCATENATE("R6C",'Mapa final'!$Q$38),"")</f>
        <v/>
      </c>
      <c r="AK51" s="40" t="str">
        <f>IF(AND('Mapa final'!$AA$39="Muy Baja",'Mapa final'!$AC$39="Catastrófico"),CONCATENATE("R6C",'Mapa final'!$Q$39),"")</f>
        <v/>
      </c>
      <c r="AL51" s="40" t="str">
        <f>IF(AND('Mapa final'!$AA$40="Muy Baja",'Mapa final'!$AC$40="Catastrófico"),CONCATENATE("R6C",'Mapa final'!$Q$40),"")</f>
        <v/>
      </c>
      <c r="AM51" s="41" t="str">
        <f>IF(AND('Mapa final'!$AA$41="Muy Baja",'Mapa final'!$AC$41="Catastrófico"),CONCATENATE("R6C",'Mapa final'!$Q$41),"")</f>
        <v/>
      </c>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ht="15" customHeight="1" x14ac:dyDescent="0.25">
      <c r="A52" s="68"/>
      <c r="B52" s="348"/>
      <c r="C52" s="348"/>
      <c r="D52" s="349"/>
      <c r="E52" s="389"/>
      <c r="F52" s="390"/>
      <c r="G52" s="390"/>
      <c r="H52" s="390"/>
      <c r="I52" s="391"/>
      <c r="J52" s="61" t="str">
        <f>IF(AND('Mapa final'!$AA$42="Muy Baja",'Mapa final'!$AC$42="Leve"),CONCATENATE("R7C",'Mapa final'!$Q$42),"")</f>
        <v/>
      </c>
      <c r="K52" s="62" t="str">
        <f>IF(AND('Mapa final'!$AA$43="Muy Baja",'Mapa final'!$AC$43="Leve"),CONCATENATE("R7C",'Mapa final'!$Q$43),"")</f>
        <v/>
      </c>
      <c r="L52" s="62" t="str">
        <f>IF(AND('Mapa final'!$AA$44="Muy Baja",'Mapa final'!$AC$44="Leve"),CONCATENATE("R7C",'Mapa final'!$Q$44),"")</f>
        <v/>
      </c>
      <c r="M52" s="62" t="str">
        <f>IF(AND('Mapa final'!$AA$45="Muy Baja",'Mapa final'!$AC$45="Leve"),CONCATENATE("R7C",'Mapa final'!$Q$45),"")</f>
        <v/>
      </c>
      <c r="N52" s="62" t="str">
        <f>IF(AND('Mapa final'!$AA$46="Muy Baja",'Mapa final'!$AC$46="Leve"),CONCATENATE("R7C",'Mapa final'!$Q$46),"")</f>
        <v/>
      </c>
      <c r="O52" s="63" t="str">
        <f>IF(AND('Mapa final'!$AA$47="Muy Baja",'Mapa final'!$AC$47="Leve"),CONCATENATE("R7C",'Mapa final'!$Q$47),"")</f>
        <v/>
      </c>
      <c r="P52" s="61" t="str">
        <f>IF(AND('Mapa final'!$AA$42="Muy Baja",'Mapa final'!$AC$42="Menor"),CONCATENATE("R7C",'Mapa final'!$Q$42),"")</f>
        <v/>
      </c>
      <c r="Q52" s="62" t="str">
        <f>IF(AND('Mapa final'!$AA$43="Muy Baja",'Mapa final'!$AC$43="Menor"),CONCATENATE("R7C",'Mapa final'!$Q$43),"")</f>
        <v/>
      </c>
      <c r="R52" s="62" t="str">
        <f>IF(AND('Mapa final'!$AA$44="Muy Baja",'Mapa final'!$AC$44="Menor"),CONCATENATE("R7C",'Mapa final'!$Q$44),"")</f>
        <v/>
      </c>
      <c r="S52" s="62" t="str">
        <f>IF(AND('Mapa final'!$AA$45="Muy Baja",'Mapa final'!$AC$45="Menor"),CONCATENATE("R7C",'Mapa final'!$Q$45),"")</f>
        <v/>
      </c>
      <c r="T52" s="62" t="str">
        <f>IF(AND('Mapa final'!$AA$46="Muy Baja",'Mapa final'!$AC$46="Menor"),CONCATENATE("R7C",'Mapa final'!$Q$46),"")</f>
        <v/>
      </c>
      <c r="U52" s="63" t="str">
        <f>IF(AND('Mapa final'!$AA$47="Muy Baja",'Mapa final'!$AC$47="Menor"),CONCATENATE("R7C",'Mapa final'!$Q$47),"")</f>
        <v/>
      </c>
      <c r="V52" s="52" t="str">
        <f>IF(AND('Mapa final'!$AA$42="Muy Baja",'Mapa final'!$AC$42="Moderado"),CONCATENATE("R7C",'Mapa final'!$Q$42),"")</f>
        <v/>
      </c>
      <c r="W52" s="53" t="str">
        <f>IF(AND('Mapa final'!$AA$43="Muy Baja",'Mapa final'!$AC$43="Moderado"),CONCATENATE("R7C",'Mapa final'!$Q$43),"")</f>
        <v/>
      </c>
      <c r="X52" s="53" t="str">
        <f>IF(AND('Mapa final'!$AA$44="Muy Baja",'Mapa final'!$AC$44="Moderado"),CONCATENATE("R7C",'Mapa final'!$Q$44),"")</f>
        <v/>
      </c>
      <c r="Y52" s="53" t="str">
        <f>IF(AND('Mapa final'!$AA$45="Muy Baja",'Mapa final'!$AC$45="Moderado"),CONCATENATE("R7C",'Mapa final'!$Q$45),"")</f>
        <v/>
      </c>
      <c r="Z52" s="53" t="str">
        <f>IF(AND('Mapa final'!$AA$46="Muy Baja",'Mapa final'!$AC$46="Moderado"),CONCATENATE("R7C",'Mapa final'!$Q$46),"")</f>
        <v/>
      </c>
      <c r="AA52" s="54" t="str">
        <f>IF(AND('Mapa final'!$AA$47="Muy Baja",'Mapa final'!$AC$47="Moderado"),CONCATENATE("R7C",'Mapa final'!$Q$47),"")</f>
        <v/>
      </c>
      <c r="AB52" s="36" t="str">
        <f>IF(AND('Mapa final'!$AA$42="Muy Baja",'Mapa final'!$AC$42="Mayor"),CONCATENATE("R7C",'Mapa final'!$Q$42),"")</f>
        <v/>
      </c>
      <c r="AC52" s="37" t="str">
        <f>IF(AND('Mapa final'!$AA$43="Muy Baja",'Mapa final'!$AC$43="Mayor"),CONCATENATE("R7C",'Mapa final'!$Q$43),"")</f>
        <v/>
      </c>
      <c r="AD52" s="42" t="str">
        <f>IF(AND('Mapa final'!$AA$44="Muy Baja",'Mapa final'!$AC$44="Mayor"),CONCATENATE("R7C",'Mapa final'!$Q$44),"")</f>
        <v/>
      </c>
      <c r="AE52" s="42" t="str">
        <f>IF(AND('Mapa final'!$AA$45="Muy Baja",'Mapa final'!$AC$45="Mayor"),CONCATENATE("R7C",'Mapa final'!$Q$45),"")</f>
        <v/>
      </c>
      <c r="AF52" s="42" t="str">
        <f>IF(AND('Mapa final'!$AA$46="Muy Baja",'Mapa final'!$AC$46="Mayor"),CONCATENATE("R7C",'Mapa final'!$Q$46),"")</f>
        <v/>
      </c>
      <c r="AG52" s="38" t="str">
        <f>IF(AND('Mapa final'!$AA$47="Muy Baja",'Mapa final'!$AC$47="Mayor"),CONCATENATE("R7C",'Mapa final'!$Q$47),"")</f>
        <v/>
      </c>
      <c r="AH52" s="39" t="str">
        <f>IF(AND('Mapa final'!$AA$42="Muy Baja",'Mapa final'!$AC$42="Catastrófico"),CONCATENATE("R7C",'Mapa final'!$Q$42),"")</f>
        <v/>
      </c>
      <c r="AI52" s="40" t="str">
        <f>IF(AND('Mapa final'!$AA$43="Muy Baja",'Mapa final'!$AC$43="Catastrófico"),CONCATENATE("R7C",'Mapa final'!$Q$43),"")</f>
        <v/>
      </c>
      <c r="AJ52" s="40" t="str">
        <f>IF(AND('Mapa final'!$AA$44="Muy Baja",'Mapa final'!$AC$44="Catastrófico"),CONCATENATE("R7C",'Mapa final'!$Q$44),"")</f>
        <v/>
      </c>
      <c r="AK52" s="40" t="str">
        <f>IF(AND('Mapa final'!$AA$45="Muy Baja",'Mapa final'!$AC$45="Catastrófico"),CONCATENATE("R7C",'Mapa final'!$Q$45),"")</f>
        <v/>
      </c>
      <c r="AL52" s="40" t="str">
        <f>IF(AND('Mapa final'!$AA$46="Muy Baja",'Mapa final'!$AC$46="Catastrófico"),CONCATENATE("R7C",'Mapa final'!$Q$46),"")</f>
        <v/>
      </c>
      <c r="AM52" s="41" t="str">
        <f>IF(AND('Mapa final'!$AA$47="Muy Baja",'Mapa final'!$AC$47="Catastrófico"),CONCATENATE("R7C",'Mapa final'!$Q$47),"")</f>
        <v/>
      </c>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348"/>
      <c r="C53" s="348"/>
      <c r="D53" s="349"/>
      <c r="E53" s="389"/>
      <c r="F53" s="390"/>
      <c r="G53" s="390"/>
      <c r="H53" s="390"/>
      <c r="I53" s="391"/>
      <c r="J53" s="61" t="str">
        <f>IF(AND('Mapa final'!$AA$48="Muy Baja",'Mapa final'!$AC$48="Leve"),CONCATENATE("R8C",'Mapa final'!$Q$48),"")</f>
        <v/>
      </c>
      <c r="K53" s="62" t="str">
        <f>IF(AND('Mapa final'!$AA$49="Muy Baja",'Mapa final'!$AC$49="Leve"),CONCATENATE("R8C",'Mapa final'!$Q$49),"")</f>
        <v/>
      </c>
      <c r="L53" s="62" t="str">
        <f>IF(AND('Mapa final'!$AA$50="Muy Baja",'Mapa final'!$AC$50="Leve"),CONCATENATE("R8C",'Mapa final'!$Q$50),"")</f>
        <v/>
      </c>
      <c r="M53" s="62" t="str">
        <f>IF(AND('Mapa final'!$AA$51="Muy Baja",'Mapa final'!$AC$51="Leve"),CONCATENATE("R8C",'Mapa final'!$Q$51),"")</f>
        <v/>
      </c>
      <c r="N53" s="62" t="str">
        <f>IF(AND('Mapa final'!$AA$52="Muy Baja",'Mapa final'!$AC$52="Leve"),CONCATENATE("R8C",'Mapa final'!$Q$52),"")</f>
        <v/>
      </c>
      <c r="O53" s="63" t="str">
        <f>IF(AND('Mapa final'!$AA$53="Muy Baja",'Mapa final'!$AC$53="Leve"),CONCATENATE("R8C",'Mapa final'!$Q$53),"")</f>
        <v/>
      </c>
      <c r="P53" s="61" t="str">
        <f>IF(AND('Mapa final'!$AA$48="Muy Baja",'Mapa final'!$AC$48="Menor"),CONCATENATE("R8C",'Mapa final'!$Q$48),"")</f>
        <v/>
      </c>
      <c r="Q53" s="62" t="str">
        <f>IF(AND('Mapa final'!$AA$49="Muy Baja",'Mapa final'!$AC$49="Menor"),CONCATENATE("R8C",'Mapa final'!$Q$49),"")</f>
        <v/>
      </c>
      <c r="R53" s="62" t="str">
        <f>IF(AND('Mapa final'!$AA$50="Muy Baja",'Mapa final'!$AC$50="Menor"),CONCATENATE("R8C",'Mapa final'!$Q$50),"")</f>
        <v/>
      </c>
      <c r="S53" s="62" t="str">
        <f>IF(AND('Mapa final'!$AA$51="Muy Baja",'Mapa final'!$AC$51="Menor"),CONCATENATE("R8C",'Mapa final'!$Q$51),"")</f>
        <v/>
      </c>
      <c r="T53" s="62" t="str">
        <f>IF(AND('Mapa final'!$AA$52="Muy Baja",'Mapa final'!$AC$52="Menor"),CONCATENATE("R8C",'Mapa final'!$Q$52),"")</f>
        <v/>
      </c>
      <c r="U53" s="63" t="str">
        <f>IF(AND('Mapa final'!$AA$53="Muy Baja",'Mapa final'!$AC$53="Menor"),CONCATENATE("R8C",'Mapa final'!$Q$53),"")</f>
        <v/>
      </c>
      <c r="V53" s="52" t="str">
        <f>IF(AND('Mapa final'!$AA$48="Muy Baja",'Mapa final'!$AC$48="Moderado"),CONCATENATE("R8C",'Mapa final'!$Q$48),"")</f>
        <v/>
      </c>
      <c r="W53" s="53" t="str">
        <f>IF(AND('Mapa final'!$AA$49="Muy Baja",'Mapa final'!$AC$49="Moderado"),CONCATENATE("R8C",'Mapa final'!$Q$49),"")</f>
        <v/>
      </c>
      <c r="X53" s="53" t="str">
        <f>IF(AND('Mapa final'!$AA$50="Muy Baja",'Mapa final'!$AC$50="Moderado"),CONCATENATE("R8C",'Mapa final'!$Q$50),"")</f>
        <v/>
      </c>
      <c r="Y53" s="53" t="str">
        <f>IF(AND('Mapa final'!$AA$51="Muy Baja",'Mapa final'!$AC$51="Moderado"),CONCATENATE("R8C",'Mapa final'!$Q$51),"")</f>
        <v/>
      </c>
      <c r="Z53" s="53" t="str">
        <f>IF(AND('Mapa final'!$AA$52="Muy Baja",'Mapa final'!$AC$52="Moderado"),CONCATENATE("R8C",'Mapa final'!$Q$52),"")</f>
        <v/>
      </c>
      <c r="AA53" s="54" t="str">
        <f>IF(AND('Mapa final'!$AA$53="Muy Baja",'Mapa final'!$AC$53="Moderado"),CONCATENATE("R8C",'Mapa final'!$Q$53),"")</f>
        <v/>
      </c>
      <c r="AB53" s="36" t="str">
        <f>IF(AND('Mapa final'!$AA$48="Muy Baja",'Mapa final'!$AC$48="Mayor"),CONCATENATE("R8C",'Mapa final'!$Q$48),"")</f>
        <v/>
      </c>
      <c r="AC53" s="37" t="str">
        <f>IF(AND('Mapa final'!$AA$49="Muy Baja",'Mapa final'!$AC$49="Mayor"),CONCATENATE("R8C",'Mapa final'!$Q$49),"")</f>
        <v/>
      </c>
      <c r="AD53" s="42" t="str">
        <f>IF(AND('Mapa final'!$AA$50="Muy Baja",'Mapa final'!$AC$50="Mayor"),CONCATENATE("R8C",'Mapa final'!$Q$50),"")</f>
        <v/>
      </c>
      <c r="AE53" s="42" t="str">
        <f>IF(AND('Mapa final'!$AA$51="Muy Baja",'Mapa final'!$AC$51="Mayor"),CONCATENATE("R8C",'Mapa final'!$Q$51),"")</f>
        <v/>
      </c>
      <c r="AF53" s="42" t="str">
        <f>IF(AND('Mapa final'!$AA$52="Muy Baja",'Mapa final'!$AC$52="Mayor"),CONCATENATE("R8C",'Mapa final'!$Q$52),"")</f>
        <v/>
      </c>
      <c r="AG53" s="38" t="str">
        <f>IF(AND('Mapa final'!$AA$53="Muy Baja",'Mapa final'!$AC$53="Mayor"),CONCATENATE("R8C",'Mapa final'!$Q$53),"")</f>
        <v/>
      </c>
      <c r="AH53" s="39" t="str">
        <f>IF(AND('Mapa final'!$AA$48="Muy Baja",'Mapa final'!$AC$48="Catastrófico"),CONCATENATE("R8C",'Mapa final'!$Q$48),"")</f>
        <v/>
      </c>
      <c r="AI53" s="40" t="str">
        <f>IF(AND('Mapa final'!$AA$49="Muy Baja",'Mapa final'!$AC$49="Catastrófico"),CONCATENATE("R8C",'Mapa final'!$Q$49),"")</f>
        <v/>
      </c>
      <c r="AJ53" s="40" t="str">
        <f>IF(AND('Mapa final'!$AA$50="Muy Baja",'Mapa final'!$AC$50="Catastrófico"),CONCATENATE("R8C",'Mapa final'!$Q$50),"")</f>
        <v/>
      </c>
      <c r="AK53" s="40" t="str">
        <f>IF(AND('Mapa final'!$AA$51="Muy Baja",'Mapa final'!$AC$51="Catastrófico"),CONCATENATE("R8C",'Mapa final'!$Q$51),"")</f>
        <v/>
      </c>
      <c r="AL53" s="40" t="str">
        <f>IF(AND('Mapa final'!$AA$52="Muy Baja",'Mapa final'!$AC$52="Catastrófico"),CONCATENATE("R8C",'Mapa final'!$Q$52),"")</f>
        <v/>
      </c>
      <c r="AM53" s="41" t="str">
        <f>IF(AND('Mapa final'!$AA$53="Muy Baja",'Mapa final'!$AC$53="Catastrófico"),CONCATENATE("R8C",'Mapa final'!$Q$53),"")</f>
        <v/>
      </c>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348"/>
      <c r="C54" s="348"/>
      <c r="D54" s="349"/>
      <c r="E54" s="389"/>
      <c r="F54" s="390"/>
      <c r="G54" s="390"/>
      <c r="H54" s="390"/>
      <c r="I54" s="391"/>
      <c r="J54" s="61" t="str">
        <f>IF(AND('Mapa final'!$AA$54="Muy Baja",'Mapa final'!$AC$54="Leve"),CONCATENATE("R9C",'Mapa final'!$Q$54),"")</f>
        <v/>
      </c>
      <c r="K54" s="62" t="str">
        <f>IF(AND('Mapa final'!$AA$55="Muy Baja",'Mapa final'!$AC$55="Leve"),CONCATENATE("R9C",'Mapa final'!$Q$55),"")</f>
        <v/>
      </c>
      <c r="L54" s="62" t="str">
        <f>IF(AND('Mapa final'!$AA$56="Muy Baja",'Mapa final'!$AC$56="Leve"),CONCATENATE("R9C",'Mapa final'!$Q$56),"")</f>
        <v/>
      </c>
      <c r="M54" s="62" t="str">
        <f>IF(AND('Mapa final'!$AA$57="Muy Baja",'Mapa final'!$AC$57="Leve"),CONCATENATE("R9C",'Mapa final'!$Q$57),"")</f>
        <v/>
      </c>
      <c r="N54" s="62" t="str">
        <f>IF(AND('Mapa final'!$AA$58="Muy Baja",'Mapa final'!$AC$58="Leve"),CONCATENATE("R9C",'Mapa final'!$Q$58),"")</f>
        <v/>
      </c>
      <c r="O54" s="63" t="str">
        <f>IF(AND('Mapa final'!$AA$59="Muy Baja",'Mapa final'!$AC$59="Leve"),CONCATENATE("R9C",'Mapa final'!$Q$59),"")</f>
        <v/>
      </c>
      <c r="P54" s="61" t="str">
        <f>IF(AND('Mapa final'!$AA$54="Muy Baja",'Mapa final'!$AC$54="Menor"),CONCATENATE("R9C",'Mapa final'!$Q$54),"")</f>
        <v/>
      </c>
      <c r="Q54" s="62" t="str">
        <f>IF(AND('Mapa final'!$AA$55="Muy Baja",'Mapa final'!$AC$55="Menor"),CONCATENATE("R9C",'Mapa final'!$Q$55),"")</f>
        <v/>
      </c>
      <c r="R54" s="62" t="str">
        <f>IF(AND('Mapa final'!$AA$56="Muy Baja",'Mapa final'!$AC$56="Menor"),CONCATENATE("R9C",'Mapa final'!$Q$56),"")</f>
        <v/>
      </c>
      <c r="S54" s="62" t="str">
        <f>IF(AND('Mapa final'!$AA$57="Muy Baja",'Mapa final'!$AC$57="Menor"),CONCATENATE("R9C",'Mapa final'!$Q$57),"")</f>
        <v/>
      </c>
      <c r="T54" s="62" t="str">
        <f>IF(AND('Mapa final'!$AA$58="Muy Baja",'Mapa final'!$AC$58="Menor"),CONCATENATE("R9C",'Mapa final'!$Q$58),"")</f>
        <v/>
      </c>
      <c r="U54" s="63" t="str">
        <f>IF(AND('Mapa final'!$AA$59="Muy Baja",'Mapa final'!$AC$59="Menor"),CONCATENATE("R9C",'Mapa final'!$Q$59),"")</f>
        <v/>
      </c>
      <c r="V54" s="52" t="str">
        <f>IF(AND('Mapa final'!$AA$54="Muy Baja",'Mapa final'!$AC$54="Moderado"),CONCATENATE("R9C",'Mapa final'!$Q$54),"")</f>
        <v/>
      </c>
      <c r="W54" s="53" t="str">
        <f>IF(AND('Mapa final'!$AA$55="Muy Baja",'Mapa final'!$AC$55="Moderado"),CONCATENATE("R9C",'Mapa final'!$Q$55),"")</f>
        <v/>
      </c>
      <c r="X54" s="53" t="str">
        <f>IF(AND('Mapa final'!$AA$56="Muy Baja",'Mapa final'!$AC$56="Moderado"),CONCATENATE("R9C",'Mapa final'!$Q$56),"")</f>
        <v/>
      </c>
      <c r="Y54" s="53" t="str">
        <f>IF(AND('Mapa final'!$AA$57="Muy Baja",'Mapa final'!$AC$57="Moderado"),CONCATENATE("R9C",'Mapa final'!$Q$57),"")</f>
        <v/>
      </c>
      <c r="Z54" s="53" t="str">
        <f>IF(AND('Mapa final'!$AA$58="Muy Baja",'Mapa final'!$AC$58="Moderado"),CONCATENATE("R9C",'Mapa final'!$Q$58),"")</f>
        <v/>
      </c>
      <c r="AA54" s="54" t="str">
        <f>IF(AND('Mapa final'!$AA$59="Muy Baja",'Mapa final'!$AC$59="Moderado"),CONCATENATE("R9C",'Mapa final'!$Q$59),"")</f>
        <v/>
      </c>
      <c r="AB54" s="36" t="str">
        <f>IF(AND('Mapa final'!$AA$54="Muy Baja",'Mapa final'!$AC$54="Mayor"),CONCATENATE("R9C",'Mapa final'!$Q$54),"")</f>
        <v/>
      </c>
      <c r="AC54" s="37" t="str">
        <f>IF(AND('Mapa final'!$AA$55="Muy Baja",'Mapa final'!$AC$55="Mayor"),CONCATENATE("R9C",'Mapa final'!$Q$55),"")</f>
        <v/>
      </c>
      <c r="AD54" s="42" t="str">
        <f>IF(AND('Mapa final'!$AA$56="Muy Baja",'Mapa final'!$AC$56="Mayor"),CONCATENATE("R9C",'Mapa final'!$Q$56),"")</f>
        <v/>
      </c>
      <c r="AE54" s="42" t="str">
        <f>IF(AND('Mapa final'!$AA$57="Muy Baja",'Mapa final'!$AC$57="Mayor"),CONCATENATE("R9C",'Mapa final'!$Q$57),"")</f>
        <v/>
      </c>
      <c r="AF54" s="42" t="str">
        <f>IF(AND('Mapa final'!$AA$58="Muy Baja",'Mapa final'!$AC$58="Mayor"),CONCATENATE("R9C",'Mapa final'!$Q$58),"")</f>
        <v/>
      </c>
      <c r="AG54" s="38" t="str">
        <f>IF(AND('Mapa final'!$AA$59="Muy Baja",'Mapa final'!$AC$59="Mayor"),CONCATENATE("R9C",'Mapa final'!$Q$59),"")</f>
        <v/>
      </c>
      <c r="AH54" s="39" t="str">
        <f>IF(AND('Mapa final'!$AA$54="Muy Baja",'Mapa final'!$AC$54="Catastrófico"),CONCATENATE("R9C",'Mapa final'!$Q$54),"")</f>
        <v/>
      </c>
      <c r="AI54" s="40" t="str">
        <f>IF(AND('Mapa final'!$AA$55="Muy Baja",'Mapa final'!$AC$55="Catastrófico"),CONCATENATE("R9C",'Mapa final'!$Q$55),"")</f>
        <v/>
      </c>
      <c r="AJ54" s="40" t="str">
        <f>IF(AND('Mapa final'!$AA$56="Muy Baja",'Mapa final'!$AC$56="Catastrófico"),CONCATENATE("R9C",'Mapa final'!$Q$56),"")</f>
        <v/>
      </c>
      <c r="AK54" s="40" t="str">
        <f>IF(AND('Mapa final'!$AA$57="Muy Baja",'Mapa final'!$AC$57="Catastrófico"),CONCATENATE("R9C",'Mapa final'!$Q$57),"")</f>
        <v/>
      </c>
      <c r="AL54" s="40" t="str">
        <f>IF(AND('Mapa final'!$AA$58="Muy Baja",'Mapa final'!$AC$58="Catastrófico"),CONCATENATE("R9C",'Mapa final'!$Q$58),"")</f>
        <v/>
      </c>
      <c r="AM54" s="41" t="str">
        <f>IF(AND('Mapa final'!$AA$59="Muy Baja",'Mapa final'!$AC$59="Catastrófico"),CONCATENATE("R9C",'Mapa final'!$Q$59),"")</f>
        <v/>
      </c>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ht="15.75" customHeight="1" thickBot="1" x14ac:dyDescent="0.3">
      <c r="A55" s="68"/>
      <c r="B55" s="348"/>
      <c r="C55" s="348"/>
      <c r="D55" s="349"/>
      <c r="E55" s="392"/>
      <c r="F55" s="393"/>
      <c r="G55" s="393"/>
      <c r="H55" s="393"/>
      <c r="I55" s="394"/>
      <c r="J55" s="64" t="str">
        <f>IF(AND('Mapa final'!$AA$60="Muy Baja",'Mapa final'!$AC$60="Leve"),CONCATENATE("R10C",'Mapa final'!$Q$60),"")</f>
        <v/>
      </c>
      <c r="K55" s="65" t="str">
        <f>IF(AND('Mapa final'!$AA$61="Muy Baja",'Mapa final'!$AC$61="Leve"),CONCATENATE("R10C",'Mapa final'!$Q$61),"")</f>
        <v/>
      </c>
      <c r="L55" s="65" t="str">
        <f>IF(AND('Mapa final'!$AA$62="Muy Baja",'Mapa final'!$AC$62="Leve"),CONCATENATE("R10C",'Mapa final'!$Q$62),"")</f>
        <v/>
      </c>
      <c r="M55" s="65" t="str">
        <f>IF(AND('Mapa final'!$AA$63="Muy Baja",'Mapa final'!$AC$63="Leve"),CONCATENATE("R10C",'Mapa final'!$Q$63),"")</f>
        <v/>
      </c>
      <c r="N55" s="65" t="str">
        <f>IF(AND('Mapa final'!$AA$64="Muy Baja",'Mapa final'!$AC$64="Leve"),CONCATENATE("R10C",'Mapa final'!$Q$64),"")</f>
        <v/>
      </c>
      <c r="O55" s="66" t="str">
        <f>IF(AND('Mapa final'!$AA$65="Muy Baja",'Mapa final'!$AC$65="Leve"),CONCATENATE("R10C",'Mapa final'!$Q$65),"")</f>
        <v/>
      </c>
      <c r="P55" s="64" t="str">
        <f>IF(AND('Mapa final'!$AA$60="Muy Baja",'Mapa final'!$AC$60="Menor"),CONCATENATE("R10C",'Mapa final'!$Q$60),"")</f>
        <v/>
      </c>
      <c r="Q55" s="65" t="str">
        <f>IF(AND('Mapa final'!$AA$61="Muy Baja",'Mapa final'!$AC$61="Menor"),CONCATENATE("R10C",'Mapa final'!$Q$61),"")</f>
        <v/>
      </c>
      <c r="R55" s="65" t="str">
        <f>IF(AND('Mapa final'!$AA$62="Muy Baja",'Mapa final'!$AC$62="Menor"),CONCATENATE("R10C",'Mapa final'!$Q$62),"")</f>
        <v/>
      </c>
      <c r="S55" s="65" t="str">
        <f>IF(AND('Mapa final'!$AA$63="Muy Baja",'Mapa final'!$AC$63="Menor"),CONCATENATE("R10C",'Mapa final'!$Q$63),"")</f>
        <v/>
      </c>
      <c r="T55" s="65" t="str">
        <f>IF(AND('Mapa final'!$AA$64="Muy Baja",'Mapa final'!$AC$64="Menor"),CONCATENATE("R10C",'Mapa final'!$Q$64),"")</f>
        <v/>
      </c>
      <c r="U55" s="66" t="str">
        <f>IF(AND('Mapa final'!$AA$65="Muy Baja",'Mapa final'!$AC$65="Menor"),CONCATENATE("R10C",'Mapa final'!$Q$65),"")</f>
        <v/>
      </c>
      <c r="V55" s="55" t="str">
        <f>IF(AND('Mapa final'!$AA$60="Muy Baja",'Mapa final'!$AC$60="Moderado"),CONCATENATE("R10C",'Mapa final'!$Q$60),"")</f>
        <v/>
      </c>
      <c r="W55" s="56" t="str">
        <f>IF(AND('Mapa final'!$AA$61="Muy Baja",'Mapa final'!$AC$61="Moderado"),CONCATENATE("R10C",'Mapa final'!$Q$61),"")</f>
        <v/>
      </c>
      <c r="X55" s="56" t="str">
        <f>IF(AND('Mapa final'!$AA$62="Muy Baja",'Mapa final'!$AC$62="Moderado"),CONCATENATE("R10C",'Mapa final'!$Q$62),"")</f>
        <v/>
      </c>
      <c r="Y55" s="56" t="str">
        <f>IF(AND('Mapa final'!$AA$63="Muy Baja",'Mapa final'!$AC$63="Moderado"),CONCATENATE("R10C",'Mapa final'!$Q$63),"")</f>
        <v/>
      </c>
      <c r="Z55" s="56" t="str">
        <f>IF(AND('Mapa final'!$AA$64="Muy Baja",'Mapa final'!$AC$64="Moderado"),CONCATENATE("R10C",'Mapa final'!$Q$64),"")</f>
        <v/>
      </c>
      <c r="AA55" s="57" t="str">
        <f>IF(AND('Mapa final'!$AA$65="Muy Baja",'Mapa final'!$AC$65="Moderado"),CONCATENATE("R10C",'Mapa final'!$Q$65),"")</f>
        <v/>
      </c>
      <c r="AB55" s="43" t="str">
        <f>IF(AND('Mapa final'!$AA$60="Muy Baja",'Mapa final'!$AC$60="Mayor"),CONCATENATE("R10C",'Mapa final'!$Q$60),"")</f>
        <v/>
      </c>
      <c r="AC55" s="44" t="str">
        <f>IF(AND('Mapa final'!$AA$61="Muy Baja",'Mapa final'!$AC$61="Mayor"),CONCATENATE("R10C",'Mapa final'!$Q$61),"")</f>
        <v/>
      </c>
      <c r="AD55" s="44" t="str">
        <f>IF(AND('Mapa final'!$AA$62="Muy Baja",'Mapa final'!$AC$62="Mayor"),CONCATENATE("R10C",'Mapa final'!$Q$62),"")</f>
        <v/>
      </c>
      <c r="AE55" s="44" t="str">
        <f>IF(AND('Mapa final'!$AA$63="Muy Baja",'Mapa final'!$AC$63="Mayor"),CONCATENATE("R10C",'Mapa final'!$Q$63),"")</f>
        <v/>
      </c>
      <c r="AF55" s="44" t="str">
        <f>IF(AND('Mapa final'!$AA$64="Muy Baja",'Mapa final'!$AC$64="Mayor"),CONCATENATE("R10C",'Mapa final'!$Q$64),"")</f>
        <v/>
      </c>
      <c r="AG55" s="45" t="str">
        <f>IF(AND('Mapa final'!$AA$65="Muy Baja",'Mapa final'!$AC$65="Mayor"),CONCATENATE("R10C",'Mapa final'!$Q$65),"")</f>
        <v/>
      </c>
      <c r="AH55" s="46" t="str">
        <f>IF(AND('Mapa final'!$AA$60="Muy Baja",'Mapa final'!$AC$60="Catastrófico"),CONCATENATE("R10C",'Mapa final'!$Q$60),"")</f>
        <v/>
      </c>
      <c r="AI55" s="47" t="str">
        <f>IF(AND('Mapa final'!$AA$61="Muy Baja",'Mapa final'!$AC$61="Catastrófico"),CONCATENATE("R10C",'Mapa final'!$Q$61),"")</f>
        <v/>
      </c>
      <c r="AJ55" s="47" t="str">
        <f>IF(AND('Mapa final'!$AA$62="Muy Baja",'Mapa final'!$AC$62="Catastrófico"),CONCATENATE("R10C",'Mapa final'!$Q$62),"")</f>
        <v/>
      </c>
      <c r="AK55" s="47" t="str">
        <f>IF(AND('Mapa final'!$AA$63="Muy Baja",'Mapa final'!$AC$63="Catastrófico"),CONCATENATE("R10C",'Mapa final'!$Q$63),"")</f>
        <v/>
      </c>
      <c r="AL55" s="47" t="str">
        <f>IF(AND('Mapa final'!$AA$64="Muy Baja",'Mapa final'!$AC$64="Catastrófico"),CONCATENATE("R10C",'Mapa final'!$Q$64),"")</f>
        <v/>
      </c>
      <c r="AM55" s="48" t="str">
        <f>IF(AND('Mapa final'!$AA$65="Muy Baja",'Mapa final'!$AC$65="Catastrófico"),CONCATENATE("R10C",'Mapa final'!$Q$65),"")</f>
        <v/>
      </c>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386" t="s">
        <v>107</v>
      </c>
      <c r="K56" s="387"/>
      <c r="L56" s="387"/>
      <c r="M56" s="387"/>
      <c r="N56" s="387"/>
      <c r="O56" s="388"/>
      <c r="P56" s="386" t="s">
        <v>106</v>
      </c>
      <c r="Q56" s="387"/>
      <c r="R56" s="387"/>
      <c r="S56" s="387"/>
      <c r="T56" s="387"/>
      <c r="U56" s="388"/>
      <c r="V56" s="386" t="s">
        <v>105</v>
      </c>
      <c r="W56" s="387"/>
      <c r="X56" s="387"/>
      <c r="Y56" s="387"/>
      <c r="Z56" s="387"/>
      <c r="AA56" s="388"/>
      <c r="AB56" s="386" t="s">
        <v>104</v>
      </c>
      <c r="AC56" s="395"/>
      <c r="AD56" s="387"/>
      <c r="AE56" s="387"/>
      <c r="AF56" s="387"/>
      <c r="AG56" s="388"/>
      <c r="AH56" s="386" t="s">
        <v>103</v>
      </c>
      <c r="AI56" s="387"/>
      <c r="AJ56" s="387"/>
      <c r="AK56" s="387"/>
      <c r="AL56" s="387"/>
      <c r="AM56" s="38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389"/>
      <c r="K57" s="390"/>
      <c r="L57" s="390"/>
      <c r="M57" s="390"/>
      <c r="N57" s="390"/>
      <c r="O57" s="391"/>
      <c r="P57" s="389"/>
      <c r="Q57" s="390"/>
      <c r="R57" s="390"/>
      <c r="S57" s="390"/>
      <c r="T57" s="390"/>
      <c r="U57" s="391"/>
      <c r="V57" s="389"/>
      <c r="W57" s="390"/>
      <c r="X57" s="390"/>
      <c r="Y57" s="390"/>
      <c r="Z57" s="390"/>
      <c r="AA57" s="391"/>
      <c r="AB57" s="389"/>
      <c r="AC57" s="390"/>
      <c r="AD57" s="390"/>
      <c r="AE57" s="390"/>
      <c r="AF57" s="390"/>
      <c r="AG57" s="391"/>
      <c r="AH57" s="389"/>
      <c r="AI57" s="390"/>
      <c r="AJ57" s="390"/>
      <c r="AK57" s="390"/>
      <c r="AL57" s="390"/>
      <c r="AM57" s="391"/>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389"/>
      <c r="K58" s="390"/>
      <c r="L58" s="390"/>
      <c r="M58" s="390"/>
      <c r="N58" s="390"/>
      <c r="O58" s="391"/>
      <c r="P58" s="389"/>
      <c r="Q58" s="390"/>
      <c r="R58" s="390"/>
      <c r="S58" s="390"/>
      <c r="T58" s="390"/>
      <c r="U58" s="391"/>
      <c r="V58" s="389"/>
      <c r="W58" s="390"/>
      <c r="X58" s="390"/>
      <c r="Y58" s="390"/>
      <c r="Z58" s="390"/>
      <c r="AA58" s="391"/>
      <c r="AB58" s="389"/>
      <c r="AC58" s="390"/>
      <c r="AD58" s="390"/>
      <c r="AE58" s="390"/>
      <c r="AF58" s="390"/>
      <c r="AG58" s="391"/>
      <c r="AH58" s="389"/>
      <c r="AI58" s="390"/>
      <c r="AJ58" s="390"/>
      <c r="AK58" s="390"/>
      <c r="AL58" s="390"/>
      <c r="AM58" s="391"/>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389"/>
      <c r="K59" s="390"/>
      <c r="L59" s="390"/>
      <c r="M59" s="390"/>
      <c r="N59" s="390"/>
      <c r="O59" s="391"/>
      <c r="P59" s="389"/>
      <c r="Q59" s="390"/>
      <c r="R59" s="390"/>
      <c r="S59" s="390"/>
      <c r="T59" s="390"/>
      <c r="U59" s="391"/>
      <c r="V59" s="389"/>
      <c r="W59" s="390"/>
      <c r="X59" s="390"/>
      <c r="Y59" s="390"/>
      <c r="Z59" s="390"/>
      <c r="AA59" s="391"/>
      <c r="AB59" s="389"/>
      <c r="AC59" s="390"/>
      <c r="AD59" s="390"/>
      <c r="AE59" s="390"/>
      <c r="AF59" s="390"/>
      <c r="AG59" s="391"/>
      <c r="AH59" s="389"/>
      <c r="AI59" s="390"/>
      <c r="AJ59" s="390"/>
      <c r="AK59" s="390"/>
      <c r="AL59" s="390"/>
      <c r="AM59" s="391"/>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389"/>
      <c r="K60" s="390"/>
      <c r="L60" s="390"/>
      <c r="M60" s="390"/>
      <c r="N60" s="390"/>
      <c r="O60" s="391"/>
      <c r="P60" s="389"/>
      <c r="Q60" s="390"/>
      <c r="R60" s="390"/>
      <c r="S60" s="390"/>
      <c r="T60" s="390"/>
      <c r="U60" s="391"/>
      <c r="V60" s="389"/>
      <c r="W60" s="390"/>
      <c r="X60" s="390"/>
      <c r="Y60" s="390"/>
      <c r="Z60" s="390"/>
      <c r="AA60" s="391"/>
      <c r="AB60" s="389"/>
      <c r="AC60" s="390"/>
      <c r="AD60" s="390"/>
      <c r="AE60" s="390"/>
      <c r="AF60" s="390"/>
      <c r="AG60" s="391"/>
      <c r="AH60" s="389"/>
      <c r="AI60" s="390"/>
      <c r="AJ60" s="390"/>
      <c r="AK60" s="390"/>
      <c r="AL60" s="390"/>
      <c r="AM60" s="391"/>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ht="15.75" thickBot="1" x14ac:dyDescent="0.3">
      <c r="A61" s="68"/>
      <c r="B61" s="68"/>
      <c r="C61" s="68"/>
      <c r="D61" s="68"/>
      <c r="E61" s="68"/>
      <c r="F61" s="68"/>
      <c r="G61" s="68"/>
      <c r="H61" s="68"/>
      <c r="I61" s="68"/>
      <c r="J61" s="392"/>
      <c r="K61" s="393"/>
      <c r="L61" s="393"/>
      <c r="M61" s="393"/>
      <c r="N61" s="393"/>
      <c r="O61" s="394"/>
      <c r="P61" s="392"/>
      <c r="Q61" s="393"/>
      <c r="R61" s="393"/>
      <c r="S61" s="393"/>
      <c r="T61" s="393"/>
      <c r="U61" s="394"/>
      <c r="V61" s="392"/>
      <c r="W61" s="393"/>
      <c r="X61" s="393"/>
      <c r="Y61" s="393"/>
      <c r="Z61" s="393"/>
      <c r="AA61" s="394"/>
      <c r="AB61" s="392"/>
      <c r="AC61" s="393"/>
      <c r="AD61" s="393"/>
      <c r="AE61" s="393"/>
      <c r="AF61" s="393"/>
      <c r="AG61" s="394"/>
      <c r="AH61" s="392"/>
      <c r="AI61" s="393"/>
      <c r="AJ61" s="393"/>
      <c r="AK61" s="393"/>
      <c r="AL61" s="393"/>
      <c r="AM61" s="394"/>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row>
    <row r="63" spans="1:80" ht="15" customHeight="1" x14ac:dyDescent="0.25">
      <c r="A63" s="68"/>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68"/>
      <c r="AV63" s="68"/>
      <c r="AW63" s="68"/>
      <c r="AX63" s="68"/>
      <c r="AY63" s="68"/>
      <c r="AZ63" s="68"/>
      <c r="BA63" s="68"/>
      <c r="BB63" s="68"/>
      <c r="BC63" s="68"/>
      <c r="BD63" s="68"/>
      <c r="BE63" s="68"/>
      <c r="BF63" s="68"/>
      <c r="BG63" s="68"/>
      <c r="BH63" s="68"/>
    </row>
    <row r="64" spans="1:80" ht="15" customHeight="1" x14ac:dyDescent="0.25">
      <c r="A64" s="68"/>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68"/>
      <c r="AV64" s="68"/>
      <c r="AW64" s="68"/>
      <c r="AX64" s="68"/>
      <c r="AY64" s="68"/>
      <c r="AZ64" s="68"/>
      <c r="BA64" s="68"/>
      <c r="BB64" s="68"/>
      <c r="BC64" s="68"/>
      <c r="BD64" s="68"/>
      <c r="BE64" s="68"/>
      <c r="BF64" s="68"/>
      <c r="BG64" s="68"/>
      <c r="BH64" s="68"/>
    </row>
    <row r="65" spans="1:6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row>
    <row r="66" spans="1:6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row>
    <row r="67" spans="1:6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row>
    <row r="68" spans="1:6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row>
    <row r="69" spans="1:6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row>
    <row r="70" spans="1:6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row>
    <row r="71" spans="1:6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row>
    <row r="72" spans="1:6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row>
    <row r="73" spans="1:6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row>
    <row r="74" spans="1:6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row>
    <row r="75" spans="1:6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row>
    <row r="76" spans="1:6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row>
    <row r="77" spans="1:6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row>
    <row r="78" spans="1:6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row>
    <row r="79" spans="1:6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row>
    <row r="80" spans="1:6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row>
    <row r="81" spans="1:60"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row>
    <row r="82" spans="1:60"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row>
    <row r="83" spans="1:60"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row>
    <row r="84" spans="1:60"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row>
    <row r="85" spans="1:60"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row>
    <row r="86" spans="1:60"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row>
    <row r="87" spans="1:60"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row>
    <row r="88" spans="1:60"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row>
    <row r="89" spans="1:60"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row>
    <row r="90" spans="1:60"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row>
    <row r="91" spans="1:60"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row>
    <row r="92" spans="1:60"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row>
    <row r="93" spans="1:60"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row>
    <row r="94" spans="1:60"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row>
    <row r="95" spans="1:60"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row>
    <row r="96" spans="1:60"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row>
    <row r="97" spans="1:60"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row>
    <row r="98" spans="1:60"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row>
    <row r="99" spans="1:60"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row>
    <row r="100" spans="1:60"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row>
    <row r="101" spans="1:60"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row>
    <row r="102" spans="1:60"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row>
    <row r="103" spans="1:60"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row>
    <row r="104" spans="1:60"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row>
    <row r="105" spans="1:60"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row>
    <row r="106" spans="1:60"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row>
    <row r="107" spans="1:60"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row>
    <row r="108" spans="1:60"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row>
    <row r="109" spans="1:60"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row>
    <row r="110" spans="1:60"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row>
    <row r="111" spans="1:60"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row>
    <row r="112" spans="1:60"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row>
    <row r="113" spans="1:60"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row>
    <row r="114" spans="1:60"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row>
    <row r="115" spans="1:60"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row>
    <row r="116" spans="1:60"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row>
    <row r="117" spans="1:60"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row>
    <row r="118" spans="1:60"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row>
    <row r="119" spans="1:60"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row>
    <row r="120" spans="1:60"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row>
    <row r="121" spans="1:60"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row>
    <row r="122" spans="1:60" x14ac:dyDescent="0.2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row>
    <row r="123" spans="1:60" x14ac:dyDescent="0.2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row>
    <row r="124" spans="1:60" x14ac:dyDescent="0.2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row>
    <row r="125" spans="1:60" x14ac:dyDescent="0.2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row>
    <row r="126" spans="1:60" x14ac:dyDescent="0.2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row>
    <row r="127" spans="1:60" x14ac:dyDescent="0.2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row>
    <row r="128" spans="1:60" x14ac:dyDescent="0.2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row>
    <row r="129" spans="1:60" x14ac:dyDescent="0.2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row>
    <row r="130" spans="1:60" x14ac:dyDescent="0.2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row>
    <row r="131" spans="1:60" x14ac:dyDescent="0.2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row>
    <row r="132" spans="1:60" x14ac:dyDescent="0.2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row>
    <row r="133" spans="1:60" x14ac:dyDescent="0.2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row>
    <row r="134" spans="1:60" x14ac:dyDescent="0.2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row>
    <row r="135" spans="1:60" x14ac:dyDescent="0.2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row>
    <row r="136" spans="1:60" x14ac:dyDescent="0.2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row>
    <row r="137" spans="1:60" x14ac:dyDescent="0.2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row>
    <row r="138" spans="1:60" x14ac:dyDescent="0.2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row>
    <row r="139" spans="1:60" x14ac:dyDescent="0.2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row>
    <row r="140" spans="1:60" x14ac:dyDescent="0.2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row>
    <row r="141" spans="1:60" x14ac:dyDescent="0.2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row>
    <row r="142" spans="1:60" x14ac:dyDescent="0.2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row>
    <row r="143" spans="1:60" x14ac:dyDescent="0.2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row>
    <row r="144" spans="1:60" x14ac:dyDescent="0.2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row>
    <row r="145" spans="1:60" x14ac:dyDescent="0.2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row>
    <row r="146" spans="1:60" x14ac:dyDescent="0.2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row>
    <row r="147" spans="1:60" x14ac:dyDescent="0.25">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row>
    <row r="148" spans="1:60" x14ac:dyDescent="0.25">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row>
    <row r="149" spans="1:60" x14ac:dyDescent="0.25">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row>
    <row r="150" spans="1:60" x14ac:dyDescent="0.25">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row>
    <row r="151" spans="1:60" x14ac:dyDescent="0.2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row>
    <row r="152" spans="1:60" x14ac:dyDescent="0.25">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row>
    <row r="153" spans="1:60" x14ac:dyDescent="0.25">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row>
    <row r="154" spans="1:60" x14ac:dyDescent="0.25">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row>
    <row r="155" spans="1:60" x14ac:dyDescent="0.2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row>
    <row r="156" spans="1:60" x14ac:dyDescent="0.25">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row>
    <row r="157" spans="1:60" x14ac:dyDescent="0.25">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row>
    <row r="158" spans="1:60" x14ac:dyDescent="0.25">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row>
    <row r="159" spans="1:60" x14ac:dyDescent="0.25">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row>
    <row r="160" spans="1:60" x14ac:dyDescent="0.25">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row>
    <row r="161" spans="1:60" x14ac:dyDescent="0.25">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row>
    <row r="162" spans="1:60" x14ac:dyDescent="0.25">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row>
    <row r="163" spans="1:60" x14ac:dyDescent="0.25">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row>
    <row r="164" spans="1:60" x14ac:dyDescent="0.25">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row>
    <row r="165" spans="1:60" x14ac:dyDescent="0.2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row>
    <row r="166" spans="1:60" x14ac:dyDescent="0.25">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row>
    <row r="167" spans="1:60" x14ac:dyDescent="0.25">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row>
    <row r="168" spans="1:60" x14ac:dyDescent="0.25">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row>
    <row r="169" spans="1:60" x14ac:dyDescent="0.25">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row>
    <row r="170" spans="1:60" x14ac:dyDescent="0.2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row>
    <row r="171" spans="1:60" x14ac:dyDescent="0.25">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row>
    <row r="172" spans="1:60" x14ac:dyDescent="0.25">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row>
    <row r="173" spans="1:60" x14ac:dyDescent="0.25">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row>
    <row r="174" spans="1:60" x14ac:dyDescent="0.25">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row>
    <row r="175" spans="1:60" x14ac:dyDescent="0.2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row>
    <row r="176" spans="1:60" x14ac:dyDescent="0.25">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row>
    <row r="177" spans="1:60" x14ac:dyDescent="0.25">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row>
    <row r="178" spans="1:60" x14ac:dyDescent="0.25">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row>
    <row r="179" spans="1:60" x14ac:dyDescent="0.25">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row>
    <row r="180" spans="1:60" x14ac:dyDescent="0.25">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row>
    <row r="181" spans="1:60" x14ac:dyDescent="0.25">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row>
    <row r="182" spans="1:60" x14ac:dyDescent="0.25">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row>
    <row r="183" spans="1:60" x14ac:dyDescent="0.25">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row>
    <row r="184" spans="1:60" x14ac:dyDescent="0.25">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row>
    <row r="185" spans="1:60" x14ac:dyDescent="0.2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row>
    <row r="186" spans="1:60" x14ac:dyDescent="0.25">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row>
    <row r="187" spans="1:60" x14ac:dyDescent="0.25">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row>
    <row r="188" spans="1:60" x14ac:dyDescent="0.25">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row>
    <row r="189" spans="1:60" x14ac:dyDescent="0.2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row>
    <row r="190" spans="1:60" x14ac:dyDescent="0.2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row>
    <row r="191" spans="1:60" x14ac:dyDescent="0.25">
      <c r="A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row>
    <row r="192" spans="1:60" x14ac:dyDescent="0.25">
      <c r="A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row>
    <row r="193" spans="1:60" x14ac:dyDescent="0.25">
      <c r="A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row>
    <row r="194" spans="1:60" x14ac:dyDescent="0.25">
      <c r="A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row>
    <row r="195" spans="1:60" x14ac:dyDescent="0.25">
      <c r="A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row>
    <row r="196" spans="1:60" x14ac:dyDescent="0.25">
      <c r="A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row>
    <row r="197" spans="1:60" x14ac:dyDescent="0.25">
      <c r="A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row>
    <row r="198" spans="1:60" x14ac:dyDescent="0.25">
      <c r="A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row>
    <row r="199" spans="1:60" x14ac:dyDescent="0.25">
      <c r="A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row>
    <row r="200" spans="1:60" x14ac:dyDescent="0.25">
      <c r="A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row>
    <row r="201" spans="1:60" x14ac:dyDescent="0.25">
      <c r="A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row>
    <row r="202" spans="1:60" x14ac:dyDescent="0.25">
      <c r="A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row>
    <row r="203" spans="1:60" x14ac:dyDescent="0.25">
      <c r="A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row>
    <row r="204" spans="1:60" x14ac:dyDescent="0.25">
      <c r="A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row>
    <row r="205" spans="1:60" x14ac:dyDescent="0.25">
      <c r="A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row>
    <row r="206" spans="1:60" x14ac:dyDescent="0.25">
      <c r="A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row>
    <row r="207" spans="1:60" x14ac:dyDescent="0.25">
      <c r="A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row>
    <row r="208" spans="1:60" x14ac:dyDescent="0.25">
      <c r="A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row>
    <row r="209" spans="1:60" x14ac:dyDescent="0.25">
      <c r="A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row>
    <row r="210" spans="1:60" x14ac:dyDescent="0.25">
      <c r="A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row>
    <row r="211" spans="1:60" x14ac:dyDescent="0.25">
      <c r="A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row>
    <row r="212" spans="1:60" x14ac:dyDescent="0.25">
      <c r="A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row>
    <row r="213" spans="1:60" x14ac:dyDescent="0.25">
      <c r="A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row>
    <row r="214" spans="1:60" x14ac:dyDescent="0.25">
      <c r="A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row>
    <row r="215" spans="1:60" x14ac:dyDescent="0.25">
      <c r="A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row>
    <row r="216" spans="1:60" x14ac:dyDescent="0.25">
      <c r="A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row>
    <row r="217" spans="1:60" x14ac:dyDescent="0.25">
      <c r="A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row>
    <row r="218" spans="1:60" x14ac:dyDescent="0.25">
      <c r="A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row>
    <row r="219" spans="1:60" x14ac:dyDescent="0.25">
      <c r="A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row>
    <row r="220" spans="1:60" x14ac:dyDescent="0.25">
      <c r="A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row>
    <row r="221" spans="1:60" x14ac:dyDescent="0.25">
      <c r="A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row>
    <row r="222" spans="1:60" x14ac:dyDescent="0.25">
      <c r="A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row>
    <row r="223" spans="1:60" x14ac:dyDescent="0.25">
      <c r="A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row>
    <row r="224" spans="1:60" x14ac:dyDescent="0.25">
      <c r="A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row>
    <row r="225" spans="1:60" x14ac:dyDescent="0.25">
      <c r="A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row>
    <row r="226" spans="1:60" x14ac:dyDescent="0.25">
      <c r="A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row>
    <row r="227" spans="1:60" x14ac:dyDescent="0.25">
      <c r="A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row>
    <row r="228" spans="1:60" x14ac:dyDescent="0.25">
      <c r="A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row>
    <row r="229" spans="1:60" x14ac:dyDescent="0.25">
      <c r="A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row>
    <row r="230" spans="1:60" x14ac:dyDescent="0.25">
      <c r="A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row>
    <row r="231" spans="1:60" x14ac:dyDescent="0.25">
      <c r="A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row>
    <row r="232" spans="1:60" x14ac:dyDescent="0.25">
      <c r="A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row>
    <row r="233" spans="1:60" x14ac:dyDescent="0.25">
      <c r="A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row>
    <row r="234" spans="1:60" x14ac:dyDescent="0.25">
      <c r="A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row>
    <row r="235" spans="1:60" x14ac:dyDescent="0.25">
      <c r="A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row>
    <row r="236" spans="1:60" x14ac:dyDescent="0.25">
      <c r="A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row>
    <row r="237" spans="1:60" x14ac:dyDescent="0.25">
      <c r="A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row>
    <row r="238" spans="1:60" x14ac:dyDescent="0.25">
      <c r="A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row>
    <row r="239" spans="1:60" x14ac:dyDescent="0.25">
      <c r="A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row>
    <row r="240" spans="1:60" x14ac:dyDescent="0.25">
      <c r="A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8"/>
      <c r="BG240" s="68"/>
      <c r="BH240" s="68"/>
    </row>
    <row r="241" spans="1:60" x14ac:dyDescent="0.25">
      <c r="A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row>
    <row r="242" spans="1:60" x14ac:dyDescent="0.25">
      <c r="A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8"/>
      <c r="BG242" s="68"/>
      <c r="BH242" s="68"/>
    </row>
    <row r="243" spans="1:60" x14ac:dyDescent="0.25">
      <c r="A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row>
    <row r="244" spans="1:60" x14ac:dyDescent="0.25">
      <c r="A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8"/>
      <c r="BG244" s="68"/>
      <c r="BH244" s="68"/>
    </row>
    <row r="245" spans="1:60" x14ac:dyDescent="0.25">
      <c r="A245" s="68"/>
    </row>
    <row r="246" spans="1:60" x14ac:dyDescent="0.25">
      <c r="A246" s="68"/>
    </row>
    <row r="247" spans="1:60" x14ac:dyDescent="0.25">
      <c r="A247" s="68"/>
    </row>
    <row r="248" spans="1:60" x14ac:dyDescent="0.25">
      <c r="A248" s="68"/>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10"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8"/>
      <c r="B1" s="436" t="s">
        <v>55</v>
      </c>
      <c r="C1" s="436"/>
      <c r="D1" s="436"/>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7" x14ac:dyDescent="0.2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row>
    <row r="3" spans="1:37" ht="25.5" x14ac:dyDescent="0.25">
      <c r="A3" s="68"/>
      <c r="B3" s="11"/>
      <c r="C3" s="12" t="s">
        <v>52</v>
      </c>
      <c r="D3" s="12" t="s">
        <v>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37" ht="51" x14ac:dyDescent="0.25">
      <c r="A4" s="68"/>
      <c r="B4" s="13" t="s">
        <v>51</v>
      </c>
      <c r="C4" s="14" t="s">
        <v>97</v>
      </c>
      <c r="D4" s="15">
        <v>0.2</v>
      </c>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7" ht="51" x14ac:dyDescent="0.25">
      <c r="A5" s="68"/>
      <c r="B5" s="16" t="s">
        <v>53</v>
      </c>
      <c r="C5" s="17" t="s">
        <v>98</v>
      </c>
      <c r="D5" s="18">
        <v>0.4</v>
      </c>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ht="51" x14ac:dyDescent="0.25">
      <c r="A6" s="68"/>
      <c r="B6" s="19" t="s">
        <v>102</v>
      </c>
      <c r="C6" s="17" t="s">
        <v>99</v>
      </c>
      <c r="D6" s="18">
        <v>0.6</v>
      </c>
      <c r="E6" s="68"/>
      <c r="F6" s="68"/>
      <c r="G6" s="68"/>
      <c r="H6" s="68"/>
      <c r="I6" s="68"/>
      <c r="J6" s="68"/>
      <c r="K6" s="68"/>
      <c r="L6" s="68"/>
      <c r="M6" s="68"/>
      <c r="N6" s="68"/>
      <c r="O6" s="68"/>
      <c r="P6" s="68"/>
      <c r="Q6" s="68"/>
      <c r="R6" s="68"/>
      <c r="S6" s="68"/>
      <c r="T6" s="68"/>
      <c r="U6" s="68"/>
      <c r="V6" s="68"/>
      <c r="W6" s="68"/>
      <c r="X6" s="68"/>
      <c r="Y6" s="68"/>
      <c r="Z6" s="68"/>
      <c r="AA6" s="68"/>
      <c r="AB6" s="68"/>
      <c r="AC6" s="68"/>
      <c r="AD6" s="68"/>
      <c r="AE6" s="68"/>
    </row>
    <row r="7" spans="1:37" ht="76.5" x14ac:dyDescent="0.25">
      <c r="A7" s="68"/>
      <c r="B7" s="20" t="s">
        <v>6</v>
      </c>
      <c r="C7" s="17" t="s">
        <v>100</v>
      </c>
      <c r="D7" s="18">
        <v>0.8</v>
      </c>
      <c r="E7" s="68"/>
      <c r="F7" s="68"/>
      <c r="G7" s="68"/>
      <c r="H7" s="68"/>
      <c r="I7" s="68"/>
      <c r="J7" s="68"/>
      <c r="K7" s="68"/>
      <c r="L7" s="68"/>
      <c r="M7" s="68"/>
      <c r="N7" s="68"/>
      <c r="O7" s="68"/>
      <c r="P7" s="68"/>
      <c r="Q7" s="68"/>
      <c r="R7" s="68"/>
      <c r="S7" s="68"/>
      <c r="T7" s="68"/>
      <c r="U7" s="68"/>
      <c r="V7" s="68"/>
      <c r="W7" s="68"/>
      <c r="X7" s="68"/>
      <c r="Y7" s="68"/>
      <c r="Z7" s="68"/>
      <c r="AA7" s="68"/>
      <c r="AB7" s="68"/>
      <c r="AC7" s="68"/>
      <c r="AD7" s="68"/>
      <c r="AE7" s="68"/>
    </row>
    <row r="8" spans="1:37" ht="51" x14ac:dyDescent="0.25">
      <c r="A8" s="68"/>
      <c r="B8" s="21" t="s">
        <v>54</v>
      </c>
      <c r="C8" s="17" t="s">
        <v>101</v>
      </c>
      <c r="D8" s="18">
        <v>1</v>
      </c>
      <c r="E8" s="68"/>
      <c r="F8" s="68"/>
      <c r="G8" s="68"/>
      <c r="H8" s="68"/>
      <c r="I8" s="68"/>
      <c r="J8" s="68"/>
      <c r="K8" s="68"/>
      <c r="L8" s="68"/>
      <c r="M8" s="68"/>
      <c r="N8" s="68"/>
      <c r="O8" s="68"/>
      <c r="P8" s="68"/>
      <c r="Q8" s="68"/>
      <c r="R8" s="68"/>
      <c r="S8" s="68"/>
      <c r="T8" s="68"/>
      <c r="U8" s="68"/>
      <c r="V8" s="68"/>
      <c r="W8" s="68"/>
      <c r="X8" s="68"/>
      <c r="Y8" s="68"/>
      <c r="Z8" s="68"/>
      <c r="AA8" s="68"/>
      <c r="AB8" s="68"/>
      <c r="AC8" s="68"/>
      <c r="AD8" s="68"/>
      <c r="AE8" s="68"/>
    </row>
    <row r="9" spans="1:37" x14ac:dyDescent="0.25">
      <c r="A9" s="68"/>
      <c r="B9" s="90"/>
      <c r="C9" s="90"/>
      <c r="D9" s="90"/>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1:37" ht="16.5" x14ac:dyDescent="0.25">
      <c r="A10" s="68"/>
      <c r="B10" s="91"/>
      <c r="C10" s="90"/>
      <c r="D10" s="90"/>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row>
    <row r="11" spans="1:37" x14ac:dyDescent="0.25">
      <c r="A11" s="68"/>
      <c r="B11" s="90"/>
      <c r="C11" s="90"/>
      <c r="D11" s="90"/>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row>
    <row r="12" spans="1:37" x14ac:dyDescent="0.25">
      <c r="A12" s="68"/>
      <c r="B12" s="90"/>
      <c r="C12" s="90"/>
      <c r="D12" s="90"/>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row>
    <row r="13" spans="1:37" x14ac:dyDescent="0.25">
      <c r="A13" s="68"/>
      <c r="B13" s="90"/>
      <c r="C13" s="90"/>
      <c r="D13" s="90"/>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row>
    <row r="14" spans="1:37" x14ac:dyDescent="0.25">
      <c r="A14" s="68"/>
      <c r="B14" s="90"/>
      <c r="C14" s="90"/>
      <c r="D14" s="90"/>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row>
    <row r="15" spans="1:37" x14ac:dyDescent="0.25">
      <c r="A15" s="68"/>
      <c r="B15" s="90"/>
      <c r="C15" s="90"/>
      <c r="D15" s="90"/>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1:37" x14ac:dyDescent="0.25">
      <c r="A16" s="68"/>
      <c r="B16" s="90"/>
      <c r="C16" s="90"/>
      <c r="D16" s="90"/>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row>
    <row r="17" spans="1:37" x14ac:dyDescent="0.25">
      <c r="A17" s="68"/>
      <c r="B17" s="90"/>
      <c r="C17" s="90"/>
      <c r="D17" s="90"/>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row>
    <row r="18" spans="1:37" x14ac:dyDescent="0.25">
      <c r="A18" s="68"/>
      <c r="B18" s="90"/>
      <c r="C18" s="90"/>
      <c r="D18" s="90"/>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row>
    <row r="19" spans="1:37" x14ac:dyDescent="0.2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x14ac:dyDescent="0.2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x14ac:dyDescent="0.2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x14ac:dyDescent="0.25">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1:37" x14ac:dyDescent="0.25">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row>
    <row r="24" spans="1:37" x14ac:dyDescent="0.2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7" x14ac:dyDescent="0.2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37" x14ac:dyDescent="0.2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row>
    <row r="27" spans="1:37" x14ac:dyDescent="0.2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row>
    <row r="28" spans="1:37" x14ac:dyDescent="0.2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row>
    <row r="29" spans="1:37" x14ac:dyDescent="0.2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row>
    <row r="30" spans="1:37" x14ac:dyDescent="0.25">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row>
    <row r="31" spans="1:37" x14ac:dyDescent="0.2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row>
    <row r="32" spans="1:37" x14ac:dyDescent="0.2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row>
    <row r="33" spans="1:31" x14ac:dyDescent="0.25">
      <c r="A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1:31" x14ac:dyDescent="0.25">
      <c r="A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row>
    <row r="35" spans="1:31" x14ac:dyDescent="0.25">
      <c r="A35" s="68"/>
    </row>
    <row r="36" spans="1:31" x14ac:dyDescent="0.25">
      <c r="A36" s="68"/>
    </row>
    <row r="37" spans="1:31" x14ac:dyDescent="0.25">
      <c r="A37" s="68"/>
    </row>
    <row r="38" spans="1:31" x14ac:dyDescent="0.25">
      <c r="A38" s="68"/>
    </row>
    <row r="39" spans="1:31" x14ac:dyDescent="0.25">
      <c r="A39" s="68"/>
    </row>
    <row r="40" spans="1:31" x14ac:dyDescent="0.25">
      <c r="A40" s="68"/>
    </row>
    <row r="41" spans="1:31" x14ac:dyDescent="0.25">
      <c r="A41" s="68"/>
    </row>
    <row r="42" spans="1:31" x14ac:dyDescent="0.25">
      <c r="A42" s="68"/>
    </row>
    <row r="43" spans="1:31" x14ac:dyDescent="0.25">
      <c r="A43" s="68"/>
    </row>
    <row r="44" spans="1:31" x14ac:dyDescent="0.25">
      <c r="A44" s="68"/>
    </row>
    <row r="45" spans="1:31" x14ac:dyDescent="0.25">
      <c r="A45" s="68"/>
    </row>
    <row r="46" spans="1:31" x14ac:dyDescent="0.25">
      <c r="A46" s="68"/>
    </row>
    <row r="47" spans="1:31" x14ac:dyDescent="0.25">
      <c r="A47" s="68"/>
    </row>
    <row r="48" spans="1:31" x14ac:dyDescent="0.25">
      <c r="A48" s="68"/>
    </row>
    <row r="49" spans="1:1" x14ac:dyDescent="0.25">
      <c r="A49" s="68"/>
    </row>
    <row r="50" spans="1:1" x14ac:dyDescent="0.25">
      <c r="A50" s="68"/>
    </row>
    <row r="51" spans="1:1" x14ac:dyDescent="0.25">
      <c r="A51" s="68"/>
    </row>
    <row r="52" spans="1:1" x14ac:dyDescent="0.25">
      <c r="A52" s="68"/>
    </row>
    <row r="53" spans="1:1" x14ac:dyDescent="0.25">
      <c r="A53" s="68"/>
    </row>
    <row r="54" spans="1:1" x14ac:dyDescent="0.25">
      <c r="A54" s="68"/>
    </row>
    <row r="55" spans="1:1" x14ac:dyDescent="0.25">
      <c r="A55" s="6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C15" sqref="C15"/>
    </sheetView>
  </sheetViews>
  <sheetFormatPr baseColWidth="10"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90"/>
      <c r="B1" s="437" t="s">
        <v>62</v>
      </c>
      <c r="C1" s="437"/>
      <c r="D1" s="437"/>
      <c r="E1" s="90"/>
      <c r="F1" s="90"/>
      <c r="G1" s="90"/>
      <c r="H1" s="90"/>
      <c r="I1" s="90"/>
      <c r="J1" s="90"/>
      <c r="K1" s="90"/>
      <c r="L1" s="90"/>
      <c r="M1" s="90"/>
      <c r="N1" s="90"/>
      <c r="O1" s="90"/>
      <c r="P1" s="90"/>
      <c r="Q1" s="90"/>
      <c r="R1" s="90"/>
      <c r="S1" s="90"/>
      <c r="T1" s="90"/>
      <c r="U1" s="90"/>
    </row>
    <row r="2" spans="1:21" x14ac:dyDescent="0.25">
      <c r="A2" s="90"/>
      <c r="B2" s="90"/>
      <c r="C2" s="90"/>
      <c r="D2" s="90"/>
      <c r="E2" s="90"/>
      <c r="F2" s="90"/>
      <c r="G2" s="90"/>
      <c r="H2" s="90"/>
      <c r="I2" s="90"/>
      <c r="J2" s="90"/>
      <c r="K2" s="90"/>
      <c r="L2" s="90"/>
      <c r="M2" s="90"/>
      <c r="N2" s="90"/>
      <c r="O2" s="90"/>
      <c r="P2" s="90"/>
      <c r="Q2" s="90"/>
      <c r="R2" s="90"/>
      <c r="S2" s="90"/>
      <c r="T2" s="90"/>
      <c r="U2" s="90"/>
    </row>
    <row r="3" spans="1:21" ht="30" x14ac:dyDescent="0.25">
      <c r="A3" s="90"/>
      <c r="B3" s="89"/>
      <c r="C3" s="139" t="s">
        <v>56</v>
      </c>
      <c r="D3" s="139" t="s">
        <v>57</v>
      </c>
      <c r="E3" s="90"/>
      <c r="F3" s="90"/>
      <c r="G3" s="90"/>
      <c r="H3" s="90"/>
      <c r="I3" s="90"/>
      <c r="J3" s="90"/>
      <c r="K3" s="90"/>
      <c r="L3" s="90"/>
      <c r="M3" s="90"/>
      <c r="N3" s="90"/>
      <c r="O3" s="90"/>
      <c r="P3" s="90"/>
      <c r="Q3" s="90"/>
      <c r="R3" s="90"/>
      <c r="S3" s="90"/>
      <c r="T3" s="90"/>
      <c r="U3" s="90"/>
    </row>
    <row r="4" spans="1:21" ht="33.75" x14ac:dyDescent="0.25">
      <c r="A4" s="90" t="s">
        <v>82</v>
      </c>
      <c r="B4" s="140" t="s">
        <v>96</v>
      </c>
      <c r="C4" s="141" t="s">
        <v>205</v>
      </c>
      <c r="D4" s="142" t="s">
        <v>92</v>
      </c>
      <c r="E4" s="90"/>
      <c r="F4" s="90"/>
      <c r="G4" s="90"/>
      <c r="H4" s="90"/>
      <c r="I4" s="90"/>
      <c r="J4" s="90"/>
      <c r="K4" s="90"/>
      <c r="L4" s="90"/>
      <c r="M4" s="90"/>
      <c r="N4" s="90"/>
      <c r="O4" s="90"/>
      <c r="P4" s="90"/>
      <c r="Q4" s="90"/>
      <c r="R4" s="90"/>
      <c r="S4" s="90"/>
      <c r="T4" s="90"/>
      <c r="U4" s="90"/>
    </row>
    <row r="5" spans="1:21" ht="67.5" x14ac:dyDescent="0.25">
      <c r="A5" s="90" t="s">
        <v>83</v>
      </c>
      <c r="B5" s="143" t="s">
        <v>58</v>
      </c>
      <c r="C5" s="144" t="s">
        <v>206</v>
      </c>
      <c r="D5" s="145" t="s">
        <v>93</v>
      </c>
      <c r="E5" s="90"/>
      <c r="F5" s="90"/>
      <c r="G5" s="90"/>
      <c r="H5" s="90"/>
      <c r="I5" s="90"/>
      <c r="J5" s="90"/>
      <c r="K5" s="90"/>
      <c r="L5" s="90"/>
      <c r="M5" s="90"/>
      <c r="N5" s="90"/>
      <c r="O5" s="90"/>
      <c r="P5" s="90"/>
      <c r="Q5" s="90"/>
      <c r="R5" s="90"/>
      <c r="S5" s="90"/>
      <c r="T5" s="90"/>
      <c r="U5" s="90"/>
    </row>
    <row r="6" spans="1:21" ht="67.5" x14ac:dyDescent="0.25">
      <c r="A6" s="90" t="s">
        <v>80</v>
      </c>
      <c r="B6" s="146" t="s">
        <v>59</v>
      </c>
      <c r="C6" s="144" t="s">
        <v>210</v>
      </c>
      <c r="D6" s="145" t="s">
        <v>95</v>
      </c>
      <c r="E6" s="90"/>
      <c r="F6" s="90"/>
      <c r="G6" s="90"/>
      <c r="H6" s="90"/>
      <c r="I6" s="90"/>
      <c r="J6" s="90"/>
      <c r="K6" s="90"/>
      <c r="L6" s="90"/>
      <c r="M6" s="90"/>
      <c r="N6" s="90"/>
      <c r="O6" s="90"/>
      <c r="P6" s="90"/>
      <c r="Q6" s="90"/>
      <c r="R6" s="90"/>
      <c r="S6" s="90"/>
      <c r="T6" s="90"/>
      <c r="U6" s="90"/>
    </row>
    <row r="7" spans="1:21" ht="101.25" x14ac:dyDescent="0.25">
      <c r="A7" s="90" t="s">
        <v>7</v>
      </c>
      <c r="B7" s="147" t="s">
        <v>60</v>
      </c>
      <c r="C7" s="144" t="s">
        <v>211</v>
      </c>
      <c r="D7" s="145" t="s">
        <v>94</v>
      </c>
      <c r="E7" s="90"/>
      <c r="F7" s="90"/>
      <c r="G7" s="90"/>
      <c r="H7" s="90"/>
      <c r="I7" s="90"/>
      <c r="J7" s="90"/>
      <c r="K7" s="90"/>
      <c r="L7" s="90"/>
      <c r="M7" s="90"/>
      <c r="N7" s="90"/>
      <c r="O7" s="90"/>
      <c r="P7" s="90"/>
      <c r="Q7" s="90"/>
      <c r="R7" s="90"/>
      <c r="S7" s="90"/>
      <c r="T7" s="90"/>
      <c r="U7" s="90"/>
    </row>
    <row r="8" spans="1:21" ht="67.5" x14ac:dyDescent="0.25">
      <c r="A8" s="90" t="s">
        <v>84</v>
      </c>
      <c r="B8" s="148" t="s">
        <v>61</v>
      </c>
      <c r="C8" s="144" t="s">
        <v>207</v>
      </c>
      <c r="D8" s="145" t="s">
        <v>113</v>
      </c>
      <c r="E8" s="90"/>
      <c r="F8" s="90"/>
      <c r="G8" s="90"/>
      <c r="H8" s="90"/>
      <c r="I8" s="90"/>
      <c r="J8" s="90"/>
      <c r="K8" s="90"/>
      <c r="L8" s="90"/>
      <c r="M8" s="90"/>
      <c r="N8" s="90"/>
      <c r="O8" s="90"/>
      <c r="P8" s="90"/>
      <c r="Q8" s="90"/>
      <c r="R8" s="90"/>
      <c r="S8" s="90"/>
      <c r="T8" s="90"/>
      <c r="U8" s="90"/>
    </row>
    <row r="9" spans="1:21" s="23" customFormat="1" ht="20.25" x14ac:dyDescent="0.25">
      <c r="A9" s="88"/>
      <c r="B9" s="88"/>
      <c r="C9" s="152"/>
      <c r="D9" s="152"/>
      <c r="E9" s="88"/>
      <c r="F9" s="88"/>
      <c r="G9" s="88"/>
      <c r="H9" s="88"/>
      <c r="I9" s="88"/>
      <c r="J9" s="88"/>
      <c r="K9" s="88"/>
      <c r="L9" s="88"/>
      <c r="M9" s="88"/>
      <c r="N9" s="88"/>
      <c r="O9" s="88"/>
      <c r="P9" s="88"/>
      <c r="Q9" s="88"/>
      <c r="R9" s="88"/>
      <c r="S9" s="88"/>
      <c r="T9" s="88"/>
      <c r="U9" s="88"/>
    </row>
    <row r="10" spans="1:21" s="23" customFormat="1" ht="16.5" x14ac:dyDescent="0.25">
      <c r="A10" s="88"/>
      <c r="B10" s="153"/>
      <c r="C10" s="153"/>
      <c r="D10" s="153"/>
      <c r="E10" s="88"/>
      <c r="F10" s="88"/>
      <c r="G10" s="88"/>
      <c r="H10" s="88"/>
      <c r="I10" s="88"/>
      <c r="J10" s="88"/>
      <c r="K10" s="88"/>
      <c r="L10" s="88"/>
      <c r="M10" s="88"/>
      <c r="N10" s="88"/>
      <c r="O10" s="88"/>
      <c r="P10" s="88"/>
      <c r="Q10" s="88"/>
      <c r="R10" s="88"/>
      <c r="S10" s="88"/>
      <c r="T10" s="88"/>
      <c r="U10" s="88"/>
    </row>
    <row r="11" spans="1:21" s="23" customFormat="1" x14ac:dyDescent="0.25">
      <c r="A11" s="88"/>
      <c r="B11" s="88" t="s">
        <v>90</v>
      </c>
      <c r="C11" s="88" t="s">
        <v>209</v>
      </c>
      <c r="D11" s="88" t="s">
        <v>143</v>
      </c>
      <c r="E11" s="88"/>
      <c r="F11" s="88"/>
      <c r="G11" s="88"/>
      <c r="H11" s="88"/>
      <c r="I11" s="88"/>
      <c r="J11" s="88"/>
      <c r="K11" s="88"/>
      <c r="L11" s="88"/>
      <c r="M11" s="88"/>
      <c r="N11" s="88"/>
      <c r="O11" s="88"/>
      <c r="P11" s="88"/>
      <c r="Q11" s="88"/>
      <c r="R11" s="88"/>
      <c r="S11" s="88"/>
      <c r="T11" s="88"/>
      <c r="U11" s="88"/>
    </row>
    <row r="12" spans="1:21" s="23" customFormat="1" x14ac:dyDescent="0.25">
      <c r="A12" s="88"/>
      <c r="B12" s="88" t="s">
        <v>88</v>
      </c>
      <c r="C12" s="88" t="s">
        <v>208</v>
      </c>
      <c r="D12" s="88" t="s">
        <v>144</v>
      </c>
      <c r="E12" s="88"/>
      <c r="F12" s="88"/>
      <c r="G12" s="88"/>
      <c r="H12" s="88"/>
      <c r="I12" s="88"/>
      <c r="J12" s="88"/>
      <c r="K12" s="88"/>
      <c r="L12" s="88"/>
      <c r="M12" s="88"/>
      <c r="N12" s="88"/>
      <c r="O12" s="88"/>
      <c r="P12" s="88"/>
      <c r="Q12" s="88"/>
      <c r="R12" s="88"/>
      <c r="S12" s="88"/>
      <c r="T12" s="88"/>
      <c r="U12" s="88"/>
    </row>
    <row r="13" spans="1:21" s="23" customFormat="1" x14ac:dyDescent="0.25">
      <c r="A13" s="88"/>
      <c r="B13" s="88"/>
      <c r="C13" s="88" t="s">
        <v>212</v>
      </c>
      <c r="D13" s="88" t="s">
        <v>145</v>
      </c>
      <c r="E13" s="88"/>
      <c r="F13" s="88"/>
      <c r="G13" s="88"/>
      <c r="H13" s="88"/>
      <c r="I13" s="88"/>
      <c r="J13" s="88"/>
      <c r="K13" s="88"/>
      <c r="L13" s="88"/>
      <c r="M13" s="88"/>
      <c r="N13" s="88"/>
      <c r="O13" s="88"/>
      <c r="P13" s="88"/>
      <c r="Q13" s="88"/>
      <c r="R13" s="88"/>
      <c r="S13" s="88"/>
      <c r="T13" s="88"/>
      <c r="U13" s="88"/>
    </row>
    <row r="14" spans="1:21" s="23" customFormat="1" x14ac:dyDescent="0.25">
      <c r="A14" s="88"/>
      <c r="B14" s="88"/>
      <c r="C14" s="88" t="s">
        <v>214</v>
      </c>
      <c r="D14" s="88" t="s">
        <v>146</v>
      </c>
      <c r="E14" s="88"/>
      <c r="F14" s="88"/>
      <c r="G14" s="88"/>
      <c r="H14" s="88"/>
      <c r="I14" s="88"/>
      <c r="J14" s="88"/>
      <c r="K14" s="88"/>
      <c r="L14" s="88"/>
      <c r="M14" s="88"/>
      <c r="N14" s="88"/>
      <c r="O14" s="88"/>
      <c r="P14" s="88"/>
      <c r="Q14" s="88"/>
      <c r="R14" s="88"/>
      <c r="S14" s="88"/>
      <c r="T14" s="88"/>
      <c r="U14" s="88"/>
    </row>
    <row r="15" spans="1:21" s="23" customFormat="1" x14ac:dyDescent="0.25">
      <c r="A15" s="88"/>
      <c r="B15" s="88"/>
      <c r="C15" s="88" t="s">
        <v>213</v>
      </c>
      <c r="D15" s="88" t="s">
        <v>147</v>
      </c>
      <c r="E15" s="88"/>
      <c r="F15" s="88"/>
      <c r="G15" s="88"/>
      <c r="H15" s="88"/>
      <c r="I15" s="88"/>
      <c r="J15" s="88"/>
      <c r="K15" s="88"/>
      <c r="L15" s="88"/>
      <c r="M15" s="88"/>
      <c r="N15" s="88"/>
      <c r="O15" s="88"/>
      <c r="P15" s="88"/>
      <c r="Q15" s="88"/>
      <c r="R15" s="88"/>
      <c r="S15" s="88"/>
      <c r="T15" s="88"/>
      <c r="U15" s="88"/>
    </row>
    <row r="16" spans="1:21" s="23" customFormat="1" x14ac:dyDescent="0.25">
      <c r="A16" s="88"/>
      <c r="B16" s="88"/>
      <c r="C16" s="88"/>
      <c r="D16" s="88"/>
      <c r="E16" s="88"/>
      <c r="F16" s="88"/>
      <c r="G16" s="88"/>
      <c r="H16" s="88"/>
      <c r="I16" s="88"/>
      <c r="J16" s="88"/>
      <c r="K16" s="88"/>
      <c r="L16" s="88"/>
      <c r="M16" s="88"/>
      <c r="N16" s="88"/>
      <c r="O16" s="88"/>
    </row>
    <row r="17" spans="1:15" s="23" customFormat="1" x14ac:dyDescent="0.25">
      <c r="A17" s="88"/>
      <c r="B17" s="88"/>
      <c r="C17" s="88"/>
      <c r="D17" s="88"/>
      <c r="E17" s="88"/>
      <c r="F17" s="88"/>
      <c r="G17" s="88"/>
      <c r="H17" s="88"/>
      <c r="I17" s="88"/>
      <c r="J17" s="88"/>
      <c r="K17" s="88"/>
      <c r="L17" s="88"/>
      <c r="M17" s="88"/>
      <c r="N17" s="88"/>
      <c r="O17" s="88"/>
    </row>
    <row r="18" spans="1:15" s="23" customFormat="1" x14ac:dyDescent="0.25">
      <c r="A18" s="88"/>
      <c r="B18" s="88"/>
      <c r="C18" s="88"/>
      <c r="D18" s="88"/>
      <c r="E18" s="88"/>
      <c r="F18" s="88"/>
      <c r="G18" s="88"/>
      <c r="H18" s="88"/>
      <c r="I18" s="88"/>
      <c r="J18" s="88"/>
      <c r="K18" s="88"/>
      <c r="L18" s="88"/>
      <c r="M18" s="88"/>
      <c r="N18" s="88"/>
      <c r="O18" s="88"/>
    </row>
    <row r="19" spans="1:15" s="23" customFormat="1" x14ac:dyDescent="0.25">
      <c r="A19" s="88"/>
      <c r="B19" s="88"/>
      <c r="C19" s="88"/>
      <c r="D19" s="88"/>
      <c r="E19" s="88"/>
      <c r="F19" s="88"/>
      <c r="G19" s="88"/>
      <c r="H19" s="88"/>
      <c r="I19" s="88"/>
      <c r="J19" s="88"/>
      <c r="K19" s="88"/>
      <c r="L19" s="88"/>
      <c r="M19" s="88"/>
      <c r="N19" s="88"/>
      <c r="O19" s="88"/>
    </row>
    <row r="20" spans="1:15" s="23" customFormat="1" x14ac:dyDescent="0.25">
      <c r="A20" s="88"/>
      <c r="B20" s="88"/>
      <c r="C20" s="88"/>
      <c r="D20" s="88"/>
      <c r="E20" s="88"/>
      <c r="F20" s="88"/>
      <c r="G20" s="88"/>
      <c r="H20" s="88"/>
      <c r="I20" s="88"/>
      <c r="J20" s="88"/>
      <c r="K20" s="88"/>
      <c r="L20" s="88"/>
      <c r="M20" s="88"/>
      <c r="N20" s="88"/>
      <c r="O20" s="88"/>
    </row>
    <row r="21" spans="1:15" s="23" customFormat="1" x14ac:dyDescent="0.25">
      <c r="A21" s="88"/>
      <c r="B21" s="88"/>
      <c r="C21" s="88"/>
      <c r="D21" s="88"/>
      <c r="E21" s="88"/>
      <c r="F21" s="88"/>
      <c r="G21" s="88"/>
      <c r="H21" s="88"/>
      <c r="I21" s="88"/>
      <c r="J21" s="88"/>
      <c r="K21" s="88"/>
      <c r="L21" s="88"/>
      <c r="M21" s="88"/>
      <c r="N21" s="88"/>
      <c r="O21" s="88"/>
    </row>
    <row r="22" spans="1:15" s="23" customFormat="1" ht="20.25" x14ac:dyDescent="0.25">
      <c r="A22" s="88"/>
      <c r="B22" s="88"/>
      <c r="C22" s="152"/>
      <c r="D22" s="152"/>
      <c r="E22" s="88"/>
      <c r="F22" s="88"/>
      <c r="G22" s="88"/>
      <c r="H22" s="88"/>
      <c r="I22" s="88"/>
      <c r="J22" s="88"/>
      <c r="K22" s="88"/>
      <c r="L22" s="88"/>
      <c r="M22" s="88"/>
      <c r="N22" s="88"/>
      <c r="O22" s="88"/>
    </row>
    <row r="23" spans="1:15" s="23" customFormat="1" ht="20.25" x14ac:dyDescent="0.25">
      <c r="A23" s="88"/>
      <c r="B23" s="88"/>
      <c r="C23" s="152"/>
      <c r="D23" s="152"/>
      <c r="E23" s="88"/>
      <c r="F23" s="88"/>
      <c r="G23" s="88"/>
      <c r="H23" s="88"/>
      <c r="I23" s="88"/>
      <c r="J23" s="88"/>
      <c r="K23" s="88"/>
      <c r="L23" s="88"/>
      <c r="M23" s="88"/>
      <c r="N23" s="88"/>
      <c r="O23" s="88"/>
    </row>
    <row r="24" spans="1:15" s="23" customFormat="1" ht="20.25" x14ac:dyDescent="0.25">
      <c r="A24" s="88"/>
      <c r="B24" s="88"/>
      <c r="C24" s="152"/>
      <c r="D24" s="152"/>
      <c r="E24" s="88"/>
      <c r="F24" s="88"/>
      <c r="G24" s="88"/>
      <c r="H24" s="88"/>
      <c r="I24" s="88"/>
      <c r="J24" s="88"/>
      <c r="K24" s="88"/>
      <c r="L24" s="88"/>
      <c r="M24" s="88"/>
      <c r="N24" s="88"/>
      <c r="O24" s="88"/>
    </row>
    <row r="25" spans="1:15" s="23" customFormat="1" ht="20.25" x14ac:dyDescent="0.25">
      <c r="A25" s="88"/>
      <c r="B25" s="88"/>
      <c r="C25" s="152"/>
      <c r="D25" s="152"/>
      <c r="E25" s="88"/>
      <c r="F25" s="88"/>
      <c r="G25" s="88"/>
      <c r="H25" s="88"/>
      <c r="I25" s="88"/>
      <c r="J25" s="88"/>
      <c r="K25" s="88"/>
      <c r="L25" s="88"/>
      <c r="M25" s="88"/>
      <c r="N25" s="88"/>
      <c r="O25" s="88"/>
    </row>
    <row r="26" spans="1:15" s="23" customFormat="1" ht="20.25" x14ac:dyDescent="0.25">
      <c r="A26" s="88"/>
      <c r="B26" s="88"/>
      <c r="C26" s="152"/>
      <c r="D26" s="152"/>
      <c r="E26" s="88"/>
      <c r="F26" s="88"/>
      <c r="G26" s="88"/>
      <c r="H26" s="88"/>
      <c r="I26" s="88"/>
      <c r="J26" s="88"/>
      <c r="K26" s="88"/>
      <c r="L26" s="88"/>
      <c r="M26" s="88"/>
      <c r="N26" s="88"/>
      <c r="O26" s="88"/>
    </row>
    <row r="27" spans="1:15" s="23" customFormat="1" ht="20.25" x14ac:dyDescent="0.25">
      <c r="A27" s="88"/>
      <c r="B27" s="88"/>
      <c r="C27" s="152"/>
      <c r="D27" s="152"/>
      <c r="E27" s="88"/>
      <c r="F27" s="88"/>
      <c r="G27" s="88"/>
      <c r="H27" s="88"/>
      <c r="I27" s="88"/>
      <c r="J27" s="88"/>
      <c r="K27" s="88"/>
      <c r="L27" s="88"/>
      <c r="M27" s="88"/>
      <c r="N27" s="88"/>
      <c r="O27" s="88"/>
    </row>
    <row r="28" spans="1:15" s="23" customFormat="1" ht="20.25" x14ac:dyDescent="0.25">
      <c r="A28" s="88"/>
      <c r="B28" s="88"/>
      <c r="C28" s="152"/>
      <c r="D28" s="152"/>
      <c r="E28" s="88"/>
      <c r="F28" s="88"/>
      <c r="G28" s="88"/>
      <c r="H28" s="88"/>
      <c r="I28" s="88"/>
      <c r="J28" s="88"/>
      <c r="K28" s="88"/>
      <c r="L28" s="88"/>
      <c r="M28" s="88"/>
      <c r="N28" s="88"/>
      <c r="O28" s="88"/>
    </row>
    <row r="29" spans="1:15" s="23" customFormat="1" ht="20.25" x14ac:dyDescent="0.25">
      <c r="A29" s="88"/>
      <c r="B29" s="88"/>
      <c r="C29" s="152"/>
      <c r="D29" s="152"/>
      <c r="E29" s="88"/>
      <c r="F29" s="88"/>
      <c r="G29" s="88"/>
      <c r="H29" s="88"/>
      <c r="I29" s="88"/>
      <c r="J29" s="88"/>
      <c r="K29" s="88"/>
      <c r="L29" s="88"/>
      <c r="M29" s="88"/>
      <c r="N29" s="88"/>
      <c r="O29" s="88"/>
    </row>
    <row r="30" spans="1:15" s="23" customFormat="1" ht="20.25" x14ac:dyDescent="0.25">
      <c r="A30" s="88"/>
      <c r="B30" s="88"/>
      <c r="C30" s="152"/>
      <c r="D30" s="152"/>
      <c r="E30" s="88"/>
      <c r="F30" s="88"/>
      <c r="G30" s="88"/>
      <c r="H30" s="88"/>
      <c r="I30" s="88"/>
      <c r="J30" s="88"/>
      <c r="K30" s="88"/>
      <c r="L30" s="88"/>
      <c r="M30" s="88"/>
      <c r="N30" s="88"/>
      <c r="O30" s="88"/>
    </row>
    <row r="31" spans="1:15" s="23" customFormat="1" ht="20.25" x14ac:dyDescent="0.25">
      <c r="A31" s="88"/>
      <c r="B31" s="88"/>
      <c r="C31" s="152"/>
      <c r="D31" s="152"/>
      <c r="E31" s="88"/>
      <c r="F31" s="88"/>
      <c r="G31" s="88"/>
      <c r="H31" s="88"/>
      <c r="I31" s="88"/>
      <c r="J31" s="88"/>
      <c r="K31" s="88"/>
      <c r="L31" s="88"/>
      <c r="M31" s="88"/>
      <c r="N31" s="88"/>
      <c r="O31" s="88"/>
    </row>
    <row r="32" spans="1:15" s="23" customFormat="1" ht="20.25" x14ac:dyDescent="0.25">
      <c r="A32" s="88"/>
      <c r="B32" s="88"/>
      <c r="C32" s="152"/>
      <c r="D32" s="152"/>
      <c r="E32" s="88"/>
      <c r="F32" s="88"/>
      <c r="G32" s="88"/>
      <c r="H32" s="88"/>
      <c r="I32" s="88"/>
      <c r="J32" s="88"/>
      <c r="K32" s="88"/>
      <c r="L32" s="88"/>
      <c r="M32" s="88"/>
      <c r="N32" s="88"/>
      <c r="O32" s="88"/>
    </row>
    <row r="33" spans="1:15" s="23" customFormat="1" ht="20.25" x14ac:dyDescent="0.25">
      <c r="A33" s="88"/>
      <c r="B33" s="88"/>
      <c r="C33" s="152"/>
      <c r="D33" s="152"/>
      <c r="E33" s="88"/>
      <c r="F33" s="88"/>
      <c r="G33" s="88"/>
      <c r="H33" s="88"/>
      <c r="I33" s="88"/>
      <c r="J33" s="88"/>
      <c r="K33" s="88"/>
      <c r="L33" s="88"/>
      <c r="M33" s="88"/>
      <c r="N33" s="88"/>
      <c r="O33" s="88"/>
    </row>
    <row r="34" spans="1:15" s="23" customFormat="1" ht="20.25" x14ac:dyDescent="0.25">
      <c r="A34" s="88"/>
      <c r="B34" s="88"/>
      <c r="C34" s="152"/>
      <c r="D34" s="152"/>
      <c r="E34" s="88"/>
      <c r="F34" s="88"/>
      <c r="G34" s="88"/>
      <c r="H34" s="88"/>
      <c r="I34" s="88"/>
      <c r="J34" s="88"/>
      <c r="K34" s="88"/>
      <c r="L34" s="88"/>
      <c r="M34" s="88"/>
      <c r="N34" s="88"/>
      <c r="O34" s="88"/>
    </row>
    <row r="35" spans="1:15" s="23" customFormat="1" ht="20.25" x14ac:dyDescent="0.25">
      <c r="A35" s="88"/>
      <c r="B35" s="88"/>
      <c r="C35" s="152"/>
      <c r="D35" s="152"/>
      <c r="E35" s="88"/>
      <c r="F35" s="88"/>
      <c r="G35" s="88"/>
      <c r="H35" s="88"/>
      <c r="I35" s="88"/>
      <c r="J35" s="88"/>
      <c r="K35" s="88"/>
      <c r="L35" s="88"/>
      <c r="M35" s="88"/>
      <c r="N35" s="88"/>
      <c r="O35" s="88"/>
    </row>
    <row r="36" spans="1:15" s="23" customFormat="1" ht="20.25" x14ac:dyDescent="0.25">
      <c r="A36" s="88"/>
      <c r="B36" s="88"/>
      <c r="C36" s="152"/>
      <c r="D36" s="152"/>
      <c r="E36" s="88"/>
      <c r="F36" s="88"/>
      <c r="G36" s="88"/>
      <c r="H36" s="88"/>
      <c r="I36" s="88"/>
      <c r="J36" s="88"/>
      <c r="K36" s="88"/>
      <c r="L36" s="88"/>
      <c r="M36" s="88"/>
      <c r="N36" s="88"/>
      <c r="O36" s="88"/>
    </row>
    <row r="37" spans="1:15" s="23" customFormat="1" ht="20.25" x14ac:dyDescent="0.25">
      <c r="A37" s="88"/>
      <c r="B37" s="88"/>
      <c r="C37" s="152"/>
      <c r="D37" s="152"/>
      <c r="E37" s="88"/>
      <c r="F37" s="88"/>
      <c r="G37" s="88"/>
      <c r="H37" s="88"/>
      <c r="I37" s="88"/>
      <c r="J37" s="88"/>
      <c r="K37" s="88"/>
      <c r="L37" s="88"/>
      <c r="M37" s="88"/>
      <c r="N37" s="88"/>
      <c r="O37" s="88"/>
    </row>
    <row r="38" spans="1:15" s="23" customFormat="1" ht="20.25" x14ac:dyDescent="0.25">
      <c r="A38" s="88"/>
      <c r="B38" s="88"/>
      <c r="C38" s="152"/>
      <c r="D38" s="152"/>
      <c r="E38" s="88"/>
      <c r="F38" s="88"/>
      <c r="G38" s="88"/>
      <c r="H38" s="88"/>
      <c r="I38" s="88"/>
      <c r="J38" s="88"/>
      <c r="K38" s="88"/>
      <c r="L38" s="88"/>
      <c r="M38" s="88"/>
      <c r="N38" s="88"/>
      <c r="O38" s="88"/>
    </row>
    <row r="39" spans="1:15" s="23" customFormat="1" ht="20.25" x14ac:dyDescent="0.25">
      <c r="A39" s="88"/>
      <c r="B39" s="88"/>
      <c r="C39" s="152"/>
      <c r="D39" s="152"/>
      <c r="E39" s="88"/>
      <c r="F39" s="88"/>
      <c r="G39" s="88"/>
      <c r="H39" s="88"/>
      <c r="I39" s="88"/>
      <c r="J39" s="88"/>
      <c r="K39" s="88"/>
      <c r="L39" s="88"/>
      <c r="M39" s="88"/>
      <c r="N39" s="88"/>
      <c r="O39" s="88"/>
    </row>
    <row r="40" spans="1:15" s="23" customFormat="1" ht="20.25" x14ac:dyDescent="0.25">
      <c r="A40" s="88"/>
      <c r="B40" s="88"/>
      <c r="C40" s="152"/>
      <c r="D40" s="152"/>
      <c r="E40" s="88"/>
      <c r="F40" s="88"/>
      <c r="G40" s="88"/>
      <c r="H40" s="88"/>
      <c r="I40" s="88"/>
      <c r="J40" s="88"/>
      <c r="K40" s="88"/>
      <c r="L40" s="88"/>
      <c r="M40" s="88"/>
      <c r="N40" s="88"/>
      <c r="O40" s="88"/>
    </row>
    <row r="41" spans="1:15" s="23" customFormat="1" ht="20.25" x14ac:dyDescent="0.25">
      <c r="A41" s="88"/>
      <c r="B41" s="88"/>
      <c r="C41" s="152"/>
      <c r="D41" s="152"/>
      <c r="E41" s="88"/>
      <c r="F41" s="88"/>
      <c r="G41" s="88"/>
      <c r="H41" s="88"/>
      <c r="I41" s="88"/>
      <c r="J41" s="88"/>
      <c r="K41" s="88"/>
      <c r="L41" s="88"/>
      <c r="M41" s="88"/>
      <c r="N41" s="88"/>
      <c r="O41" s="88"/>
    </row>
    <row r="42" spans="1:15" s="23" customFormat="1" ht="20.25" x14ac:dyDescent="0.25">
      <c r="A42" s="88"/>
      <c r="B42" s="88"/>
      <c r="C42" s="152"/>
      <c r="D42" s="152"/>
      <c r="E42" s="88"/>
      <c r="F42" s="88"/>
      <c r="G42" s="88"/>
      <c r="H42" s="88"/>
      <c r="I42" s="88"/>
      <c r="J42" s="88"/>
      <c r="K42" s="88"/>
      <c r="L42" s="88"/>
      <c r="M42" s="88"/>
      <c r="N42" s="88"/>
      <c r="O42" s="88"/>
    </row>
    <row r="43" spans="1:15" s="23" customFormat="1" ht="20.25" x14ac:dyDescent="0.25">
      <c r="A43" s="88"/>
      <c r="B43" s="88"/>
      <c r="C43" s="152"/>
      <c r="D43" s="152"/>
      <c r="E43" s="88"/>
      <c r="F43" s="88"/>
      <c r="G43" s="88"/>
      <c r="H43" s="88"/>
      <c r="I43" s="88"/>
      <c r="J43" s="88"/>
      <c r="K43" s="88"/>
      <c r="L43" s="88"/>
      <c r="M43" s="88"/>
      <c r="N43" s="88"/>
      <c r="O43" s="88"/>
    </row>
    <row r="44" spans="1:15" s="23" customFormat="1" ht="20.25" x14ac:dyDescent="0.25">
      <c r="A44" s="88"/>
      <c r="B44" s="88"/>
      <c r="C44" s="152"/>
      <c r="D44" s="152"/>
      <c r="E44" s="88"/>
      <c r="F44" s="88"/>
      <c r="G44" s="88"/>
      <c r="H44" s="88"/>
      <c r="I44" s="88"/>
      <c r="J44" s="88"/>
      <c r="K44" s="88"/>
      <c r="L44" s="88"/>
      <c r="M44" s="88"/>
      <c r="N44" s="88"/>
      <c r="O44" s="88"/>
    </row>
    <row r="45" spans="1:15" s="23" customFormat="1" ht="20.25" x14ac:dyDescent="0.25">
      <c r="A45" s="88"/>
      <c r="B45" s="88"/>
      <c r="C45" s="152"/>
      <c r="D45" s="152"/>
      <c r="E45" s="88"/>
      <c r="F45" s="88"/>
      <c r="G45" s="88"/>
      <c r="H45" s="88"/>
      <c r="I45" s="88"/>
      <c r="J45" s="88"/>
      <c r="K45" s="88"/>
      <c r="L45" s="88"/>
      <c r="M45" s="88"/>
      <c r="N45" s="88"/>
      <c r="O45" s="88"/>
    </row>
    <row r="46" spans="1:15" s="23" customFormat="1" ht="20.25" x14ac:dyDescent="0.25">
      <c r="A46" s="88"/>
      <c r="B46" s="88"/>
      <c r="C46" s="152"/>
      <c r="D46" s="152"/>
      <c r="E46" s="88"/>
      <c r="F46" s="88"/>
      <c r="G46" s="88"/>
      <c r="H46" s="88"/>
      <c r="I46" s="88"/>
      <c r="J46" s="88"/>
      <c r="K46" s="88"/>
      <c r="L46" s="88"/>
      <c r="M46" s="88"/>
      <c r="N46" s="88"/>
      <c r="O46" s="88"/>
    </row>
    <row r="47" spans="1:15" s="23" customFormat="1" ht="20.25" x14ac:dyDescent="0.25">
      <c r="A47" s="88"/>
      <c r="B47" s="88"/>
      <c r="C47" s="152"/>
      <c r="D47" s="152"/>
      <c r="E47" s="88"/>
      <c r="F47" s="88"/>
      <c r="G47" s="88"/>
      <c r="H47" s="88"/>
      <c r="I47" s="88"/>
      <c r="J47" s="88"/>
      <c r="K47" s="88"/>
      <c r="L47" s="88"/>
      <c r="M47" s="88"/>
      <c r="N47" s="88"/>
      <c r="O47" s="88"/>
    </row>
    <row r="48" spans="1:15" s="23" customFormat="1" ht="20.25" x14ac:dyDescent="0.25">
      <c r="A48" s="88"/>
      <c r="B48" s="88"/>
      <c r="C48" s="152"/>
      <c r="D48" s="152"/>
      <c r="E48" s="88"/>
      <c r="F48" s="88"/>
      <c r="G48" s="88"/>
      <c r="H48" s="88"/>
      <c r="I48" s="88"/>
      <c r="J48" s="88"/>
      <c r="K48" s="88"/>
      <c r="L48" s="88"/>
      <c r="M48" s="88"/>
      <c r="N48" s="88"/>
      <c r="O48" s="88"/>
    </row>
    <row r="49" spans="1:15" s="23" customFormat="1" ht="20.25" x14ac:dyDescent="0.25">
      <c r="A49" s="88"/>
      <c r="B49" s="88"/>
      <c r="C49" s="152"/>
      <c r="D49" s="152"/>
      <c r="E49" s="88"/>
      <c r="F49" s="88"/>
      <c r="G49" s="88"/>
      <c r="H49" s="88"/>
      <c r="I49" s="88"/>
      <c r="J49" s="88"/>
      <c r="K49" s="88"/>
      <c r="L49" s="88"/>
      <c r="M49" s="88"/>
      <c r="N49" s="88"/>
      <c r="O49" s="88"/>
    </row>
    <row r="50" spans="1:15" s="23" customFormat="1" ht="20.25" x14ac:dyDescent="0.25">
      <c r="A50" s="88"/>
      <c r="B50" s="88"/>
      <c r="C50" s="152"/>
      <c r="D50" s="152"/>
      <c r="E50" s="88"/>
      <c r="F50" s="88"/>
      <c r="G50" s="88"/>
      <c r="H50" s="88"/>
      <c r="I50" s="88"/>
      <c r="J50" s="88"/>
      <c r="K50" s="88"/>
      <c r="L50" s="88"/>
      <c r="M50" s="88"/>
      <c r="N50" s="88"/>
      <c r="O50" s="88"/>
    </row>
    <row r="51" spans="1:15" s="23" customFormat="1" ht="20.25" x14ac:dyDescent="0.25">
      <c r="A51" s="88"/>
      <c r="B51" s="88"/>
      <c r="C51" s="152"/>
      <c r="D51" s="152"/>
      <c r="E51" s="88"/>
      <c r="F51" s="88"/>
      <c r="G51" s="88"/>
      <c r="H51" s="88"/>
      <c r="I51" s="88"/>
      <c r="J51" s="88"/>
      <c r="K51" s="88"/>
      <c r="L51" s="88"/>
      <c r="M51" s="88"/>
      <c r="N51" s="88"/>
      <c r="O51" s="88"/>
    </row>
    <row r="52" spans="1:15" s="23" customFormat="1" ht="20.25" x14ac:dyDescent="0.25">
      <c r="A52" s="88"/>
      <c r="C52" s="154"/>
      <c r="D52" s="154"/>
    </row>
    <row r="53" spans="1:15" s="23" customFormat="1" ht="20.25" x14ac:dyDescent="0.25">
      <c r="A53" s="88"/>
      <c r="C53" s="154"/>
      <c r="D53" s="154"/>
    </row>
    <row r="54" spans="1:15" s="23" customFormat="1" ht="20.25" x14ac:dyDescent="0.25">
      <c r="A54" s="88"/>
      <c r="C54" s="154"/>
      <c r="D54" s="154"/>
    </row>
    <row r="55" spans="1:15" s="23" customFormat="1" ht="20.25" x14ac:dyDescent="0.25">
      <c r="A55" s="88"/>
      <c r="C55" s="154"/>
      <c r="D55" s="154"/>
    </row>
    <row r="56" spans="1:15" s="23" customFormat="1" ht="20.25" x14ac:dyDescent="0.25">
      <c r="A56" s="88"/>
      <c r="C56" s="154"/>
      <c r="D56" s="154"/>
    </row>
    <row r="57" spans="1:15" s="23" customFormat="1" ht="20.25" x14ac:dyDescent="0.25">
      <c r="A57" s="88"/>
      <c r="C57" s="154"/>
      <c r="D57" s="154"/>
    </row>
    <row r="58" spans="1:15" s="23" customFormat="1" ht="20.25" x14ac:dyDescent="0.25">
      <c r="A58" s="88"/>
      <c r="C58" s="154"/>
      <c r="D58" s="154"/>
    </row>
    <row r="59" spans="1:15" s="23" customFormat="1" ht="20.25" x14ac:dyDescent="0.25">
      <c r="A59" s="88"/>
      <c r="C59" s="154"/>
      <c r="D59" s="154"/>
    </row>
    <row r="60" spans="1:15" s="23" customFormat="1" ht="20.25" x14ac:dyDescent="0.25">
      <c r="A60" s="88"/>
      <c r="C60" s="154"/>
      <c r="D60" s="154"/>
    </row>
    <row r="61" spans="1:15" s="23" customFormat="1" ht="20.25" x14ac:dyDescent="0.25">
      <c r="A61" s="88"/>
      <c r="C61" s="154"/>
      <c r="D61" s="154"/>
    </row>
    <row r="62" spans="1:15" s="23" customFormat="1" ht="20.25" x14ac:dyDescent="0.25">
      <c r="A62" s="88"/>
      <c r="C62" s="154"/>
      <c r="D62" s="154"/>
    </row>
    <row r="63" spans="1:15" s="23" customFormat="1" ht="20.25" x14ac:dyDescent="0.25">
      <c r="A63" s="88"/>
      <c r="C63" s="154"/>
      <c r="D63" s="154"/>
    </row>
    <row r="64" spans="1:15" s="23" customFormat="1" ht="20.25" x14ac:dyDescent="0.25">
      <c r="A64" s="88"/>
      <c r="C64" s="154"/>
      <c r="D64" s="154"/>
    </row>
    <row r="65" spans="1:4" s="23" customFormat="1" ht="20.25" x14ac:dyDescent="0.25">
      <c r="A65" s="88"/>
      <c r="C65" s="154"/>
      <c r="D65" s="154"/>
    </row>
    <row r="66" spans="1:4" s="23" customFormat="1" ht="20.25" x14ac:dyDescent="0.25">
      <c r="A66" s="88"/>
      <c r="C66" s="154"/>
      <c r="D66" s="154"/>
    </row>
    <row r="67" spans="1:4" s="23" customFormat="1" ht="20.25" x14ac:dyDescent="0.25">
      <c r="A67" s="88"/>
      <c r="C67" s="154"/>
      <c r="D67" s="154"/>
    </row>
    <row r="68" spans="1:4" s="23" customFormat="1" ht="20.25" x14ac:dyDescent="0.25">
      <c r="A68" s="88"/>
      <c r="C68" s="154"/>
      <c r="D68" s="154"/>
    </row>
    <row r="69" spans="1:4" s="23" customFormat="1" ht="20.25" x14ac:dyDescent="0.25">
      <c r="A69" s="88"/>
      <c r="C69" s="154"/>
      <c r="D69" s="154"/>
    </row>
    <row r="70" spans="1:4" s="23" customFormat="1" ht="20.25" x14ac:dyDescent="0.25">
      <c r="A70" s="88"/>
      <c r="C70" s="154"/>
      <c r="D70" s="154"/>
    </row>
    <row r="71" spans="1:4" s="23" customFormat="1" ht="20.25" x14ac:dyDescent="0.25">
      <c r="A71" s="88"/>
      <c r="C71" s="154"/>
      <c r="D71" s="154"/>
    </row>
    <row r="72" spans="1:4" s="23" customFormat="1" ht="20.25" x14ac:dyDescent="0.25">
      <c r="A72" s="88"/>
      <c r="C72" s="154"/>
      <c r="D72" s="154"/>
    </row>
    <row r="73" spans="1:4" s="23" customFormat="1" ht="20.25" x14ac:dyDescent="0.25">
      <c r="A73" s="88"/>
      <c r="C73" s="154"/>
      <c r="D73" s="154"/>
    </row>
    <row r="74" spans="1:4" s="23" customFormat="1" ht="20.25" x14ac:dyDescent="0.25">
      <c r="A74" s="88"/>
      <c r="C74" s="154"/>
      <c r="D74" s="154"/>
    </row>
    <row r="75" spans="1:4" s="23" customFormat="1" ht="20.25" x14ac:dyDescent="0.25">
      <c r="A75" s="88"/>
      <c r="C75" s="154"/>
      <c r="D75" s="154"/>
    </row>
    <row r="76" spans="1:4" s="23" customFormat="1" ht="20.25" x14ac:dyDescent="0.25">
      <c r="A76" s="88"/>
      <c r="C76" s="154"/>
      <c r="D76" s="154"/>
    </row>
    <row r="77" spans="1:4" s="23" customFormat="1" ht="20.25" x14ac:dyDescent="0.25">
      <c r="A77" s="88"/>
      <c r="C77" s="154"/>
      <c r="D77" s="154"/>
    </row>
    <row r="78" spans="1:4" s="23" customFormat="1" ht="20.25" x14ac:dyDescent="0.25">
      <c r="A78" s="88"/>
      <c r="C78" s="154"/>
      <c r="D78" s="154"/>
    </row>
    <row r="79" spans="1:4" s="23" customFormat="1" ht="20.25" x14ac:dyDescent="0.25">
      <c r="A79" s="88"/>
      <c r="C79" s="154"/>
      <c r="D79" s="154"/>
    </row>
    <row r="80" spans="1:4" s="23" customFormat="1" ht="20.25" x14ac:dyDescent="0.25">
      <c r="A80" s="88"/>
      <c r="C80" s="154"/>
      <c r="D80" s="154"/>
    </row>
    <row r="81" spans="1:4" s="23" customFormat="1" ht="20.25" x14ac:dyDescent="0.25">
      <c r="A81" s="88"/>
      <c r="C81" s="154"/>
      <c r="D81" s="154"/>
    </row>
    <row r="82" spans="1:4" s="23" customFormat="1" ht="20.25" x14ac:dyDescent="0.25">
      <c r="A82" s="88"/>
      <c r="C82" s="154"/>
      <c r="D82" s="154"/>
    </row>
    <row r="83" spans="1:4" s="23" customFormat="1" ht="20.25" x14ac:dyDescent="0.25">
      <c r="A83" s="88"/>
      <c r="C83" s="154"/>
      <c r="D83" s="154"/>
    </row>
    <row r="84" spans="1:4" s="23" customFormat="1" ht="20.25" x14ac:dyDescent="0.25">
      <c r="A84" s="88"/>
      <c r="C84" s="154"/>
      <c r="D84" s="154"/>
    </row>
    <row r="85" spans="1:4" s="23" customFormat="1" ht="20.25" x14ac:dyDescent="0.25">
      <c r="A85" s="88"/>
      <c r="C85" s="154"/>
      <c r="D85" s="154"/>
    </row>
    <row r="86" spans="1:4" s="23" customFormat="1" ht="20.25" x14ac:dyDescent="0.25">
      <c r="A86" s="88"/>
      <c r="C86" s="154"/>
      <c r="D86" s="154"/>
    </row>
    <row r="87" spans="1:4" s="23" customFormat="1" ht="20.25" x14ac:dyDescent="0.25">
      <c r="A87" s="88"/>
      <c r="C87" s="154"/>
      <c r="D87" s="154"/>
    </row>
    <row r="88" spans="1:4" s="23" customFormat="1" ht="20.25" x14ac:dyDescent="0.25">
      <c r="A88" s="88"/>
      <c r="C88" s="154"/>
      <c r="D88" s="154"/>
    </row>
    <row r="89" spans="1:4" s="23" customFormat="1" ht="20.25" x14ac:dyDescent="0.25">
      <c r="A89" s="88"/>
      <c r="C89" s="154"/>
      <c r="D89" s="154"/>
    </row>
    <row r="90" spans="1:4" s="23" customFormat="1" ht="20.25" x14ac:dyDescent="0.25">
      <c r="A90" s="88"/>
      <c r="C90" s="154"/>
      <c r="D90" s="154"/>
    </row>
    <row r="91" spans="1:4" s="23" customFormat="1" ht="20.25" x14ac:dyDescent="0.25">
      <c r="A91" s="88"/>
      <c r="C91" s="154"/>
      <c r="D91" s="154"/>
    </row>
    <row r="92" spans="1:4" s="23" customFormat="1" ht="20.25" x14ac:dyDescent="0.25">
      <c r="A92" s="88"/>
      <c r="C92" s="154"/>
      <c r="D92" s="154"/>
    </row>
    <row r="93" spans="1:4" s="23" customFormat="1" ht="20.25" x14ac:dyDescent="0.25">
      <c r="A93" s="88"/>
      <c r="C93" s="154"/>
      <c r="D93" s="154"/>
    </row>
    <row r="94" spans="1:4" s="23" customFormat="1" ht="20.25" x14ac:dyDescent="0.25">
      <c r="A94" s="88"/>
      <c r="C94" s="154"/>
      <c r="D94" s="154"/>
    </row>
    <row r="95" spans="1:4" s="23" customFormat="1" ht="20.25" x14ac:dyDescent="0.25">
      <c r="A95" s="88"/>
      <c r="C95" s="154"/>
      <c r="D95" s="154"/>
    </row>
    <row r="96" spans="1:4" s="23" customFormat="1" ht="20.25" x14ac:dyDescent="0.25">
      <c r="A96" s="88"/>
      <c r="C96" s="154"/>
      <c r="D96" s="154"/>
    </row>
    <row r="97" spans="1:4" s="23" customFormat="1" ht="20.25" x14ac:dyDescent="0.25">
      <c r="A97" s="88"/>
      <c r="C97" s="154"/>
      <c r="D97" s="154"/>
    </row>
    <row r="98" spans="1:4" s="23" customFormat="1" ht="20.25" x14ac:dyDescent="0.25">
      <c r="A98" s="88"/>
      <c r="C98" s="154"/>
      <c r="D98" s="154"/>
    </row>
    <row r="99" spans="1:4" s="23" customFormat="1" ht="20.25" x14ac:dyDescent="0.25">
      <c r="A99" s="88"/>
      <c r="C99" s="154"/>
      <c r="D99" s="154"/>
    </row>
    <row r="100" spans="1:4" s="23" customFormat="1" ht="20.25" x14ac:dyDescent="0.25">
      <c r="A100" s="88"/>
      <c r="C100" s="154"/>
      <c r="D100" s="154"/>
    </row>
    <row r="101" spans="1:4" s="23" customFormat="1" ht="20.25" x14ac:dyDescent="0.25">
      <c r="A101" s="88"/>
      <c r="C101" s="154"/>
      <c r="D101" s="154"/>
    </row>
    <row r="102" spans="1:4" s="23" customFormat="1" ht="20.25" x14ac:dyDescent="0.25">
      <c r="A102" s="88"/>
      <c r="C102" s="154"/>
      <c r="D102" s="154"/>
    </row>
    <row r="103" spans="1:4" s="23" customFormat="1" ht="20.25" x14ac:dyDescent="0.25">
      <c r="A103" s="88"/>
      <c r="C103" s="154"/>
      <c r="D103" s="154"/>
    </row>
    <row r="104" spans="1:4" s="23" customFormat="1" ht="20.25" x14ac:dyDescent="0.25">
      <c r="A104" s="88"/>
      <c r="C104" s="154"/>
      <c r="D104" s="154"/>
    </row>
    <row r="105" spans="1:4" s="23" customFormat="1" ht="20.25" x14ac:dyDescent="0.25">
      <c r="A105" s="88"/>
      <c r="C105" s="154"/>
      <c r="D105" s="154"/>
    </row>
    <row r="106" spans="1:4" s="23" customFormat="1" ht="20.25" x14ac:dyDescent="0.25">
      <c r="A106" s="88"/>
      <c r="C106" s="154"/>
      <c r="D106" s="154"/>
    </row>
    <row r="107" spans="1:4" s="23" customFormat="1" ht="20.25" x14ac:dyDescent="0.25">
      <c r="A107" s="88"/>
      <c r="C107" s="154"/>
      <c r="D107" s="154"/>
    </row>
    <row r="108" spans="1:4" s="23" customFormat="1" ht="20.25" x14ac:dyDescent="0.25">
      <c r="A108" s="88"/>
      <c r="C108" s="154"/>
      <c r="D108" s="154"/>
    </row>
    <row r="109" spans="1:4" s="23" customFormat="1" ht="20.25" x14ac:dyDescent="0.25">
      <c r="A109" s="88"/>
      <c r="C109" s="154"/>
      <c r="D109" s="154"/>
    </row>
    <row r="110" spans="1:4" s="23" customFormat="1" ht="20.25" x14ac:dyDescent="0.25">
      <c r="A110" s="88"/>
      <c r="C110" s="154"/>
      <c r="D110" s="154"/>
    </row>
    <row r="111" spans="1:4" s="23" customFormat="1" ht="20.25" x14ac:dyDescent="0.25">
      <c r="A111" s="88"/>
      <c r="C111" s="154"/>
      <c r="D111" s="154"/>
    </row>
    <row r="112" spans="1:4" s="23" customFormat="1" ht="20.25" x14ac:dyDescent="0.25">
      <c r="A112" s="88"/>
      <c r="C112" s="154"/>
      <c r="D112" s="154"/>
    </row>
    <row r="113" spans="1:4" s="23" customFormat="1" ht="20.25" x14ac:dyDescent="0.25">
      <c r="A113" s="88"/>
      <c r="C113" s="154"/>
      <c r="D113" s="154"/>
    </row>
    <row r="114" spans="1:4" s="23" customFormat="1" ht="20.25" x14ac:dyDescent="0.25">
      <c r="A114" s="88"/>
      <c r="C114" s="154"/>
      <c r="D114" s="154"/>
    </row>
    <row r="115" spans="1:4" s="23" customFormat="1" ht="20.25" x14ac:dyDescent="0.25">
      <c r="A115" s="88"/>
      <c r="C115" s="154"/>
      <c r="D115" s="154"/>
    </row>
    <row r="116" spans="1:4" s="23" customFormat="1" ht="20.25" x14ac:dyDescent="0.25">
      <c r="A116" s="88"/>
      <c r="C116" s="154"/>
      <c r="D116" s="154"/>
    </row>
    <row r="117" spans="1:4" s="23" customFormat="1" ht="20.25" x14ac:dyDescent="0.25">
      <c r="A117" s="88"/>
      <c r="C117" s="154"/>
      <c r="D117" s="154"/>
    </row>
    <row r="118" spans="1:4" s="23" customFormat="1" ht="20.25" x14ac:dyDescent="0.25">
      <c r="A118" s="88"/>
      <c r="C118" s="154"/>
      <c r="D118" s="154"/>
    </row>
    <row r="119" spans="1:4" s="23" customFormat="1" ht="20.25" x14ac:dyDescent="0.25">
      <c r="A119" s="88"/>
      <c r="C119" s="154"/>
      <c r="D119" s="154"/>
    </row>
    <row r="120" spans="1:4" s="23" customFormat="1" ht="20.25" x14ac:dyDescent="0.25">
      <c r="A120" s="88"/>
      <c r="C120" s="154"/>
      <c r="D120" s="154"/>
    </row>
    <row r="121" spans="1:4" s="23" customFormat="1" ht="20.25" x14ac:dyDescent="0.25">
      <c r="A121" s="88"/>
      <c r="C121" s="154"/>
      <c r="D121" s="154"/>
    </row>
    <row r="122" spans="1:4" s="23" customFormat="1" ht="20.25" x14ac:dyDescent="0.25">
      <c r="A122" s="88"/>
      <c r="C122" s="154"/>
      <c r="D122" s="154"/>
    </row>
    <row r="123" spans="1:4" s="23" customFormat="1" ht="20.25" x14ac:dyDescent="0.25">
      <c r="A123" s="88"/>
      <c r="C123" s="154"/>
      <c r="D123" s="154"/>
    </row>
    <row r="124" spans="1:4" s="23" customFormat="1" ht="20.25" x14ac:dyDescent="0.25">
      <c r="A124" s="88"/>
      <c r="C124" s="154"/>
      <c r="D124" s="154"/>
    </row>
    <row r="125" spans="1:4" s="23" customFormat="1" ht="20.25" x14ac:dyDescent="0.25">
      <c r="A125" s="88"/>
      <c r="C125" s="154"/>
      <c r="D125" s="154"/>
    </row>
    <row r="126" spans="1:4" s="23" customFormat="1" ht="20.25" x14ac:dyDescent="0.25">
      <c r="A126" s="88"/>
      <c r="C126" s="154"/>
      <c r="D126" s="154"/>
    </row>
    <row r="127" spans="1:4" s="23" customFormat="1" ht="20.25" x14ac:dyDescent="0.25">
      <c r="A127" s="88"/>
      <c r="C127" s="154"/>
      <c r="D127" s="154"/>
    </row>
    <row r="128" spans="1:4" s="23" customFormat="1" ht="20.25" x14ac:dyDescent="0.25">
      <c r="A128" s="88"/>
      <c r="C128" s="154"/>
      <c r="D128" s="154"/>
    </row>
    <row r="129" spans="1:4" s="23" customFormat="1" ht="20.25" x14ac:dyDescent="0.25">
      <c r="A129" s="88"/>
      <c r="C129" s="154"/>
      <c r="D129" s="154"/>
    </row>
    <row r="130" spans="1:4" s="23" customFormat="1" ht="20.25" x14ac:dyDescent="0.25">
      <c r="A130" s="88"/>
      <c r="C130" s="154"/>
      <c r="D130" s="154"/>
    </row>
    <row r="131" spans="1:4" s="23" customFormat="1" ht="20.25" x14ac:dyDescent="0.25">
      <c r="A131" s="88"/>
      <c r="C131" s="154"/>
      <c r="D131" s="154"/>
    </row>
    <row r="132" spans="1:4" s="23" customFormat="1" ht="20.25" x14ac:dyDescent="0.25">
      <c r="A132" s="88"/>
      <c r="C132" s="154"/>
      <c r="D132" s="154"/>
    </row>
    <row r="133" spans="1:4" s="23" customFormat="1" ht="20.25" x14ac:dyDescent="0.25">
      <c r="A133" s="88"/>
      <c r="C133" s="154"/>
      <c r="D133" s="154"/>
    </row>
    <row r="134" spans="1:4" s="23" customFormat="1" ht="20.25" x14ac:dyDescent="0.25">
      <c r="A134" s="88"/>
      <c r="C134" s="154"/>
      <c r="D134" s="154"/>
    </row>
    <row r="135" spans="1:4" s="23" customFormat="1" ht="20.25" x14ac:dyDescent="0.25">
      <c r="A135" s="88"/>
      <c r="C135" s="154"/>
      <c r="D135" s="154"/>
    </row>
    <row r="136" spans="1:4" s="23" customFormat="1" ht="20.25" x14ac:dyDescent="0.25">
      <c r="A136" s="88"/>
      <c r="C136" s="154"/>
      <c r="D136" s="154"/>
    </row>
    <row r="137" spans="1:4" s="23" customFormat="1" ht="20.25" x14ac:dyDescent="0.25">
      <c r="A137" s="88"/>
      <c r="C137" s="154"/>
      <c r="D137" s="154"/>
    </row>
    <row r="138" spans="1:4" s="23" customFormat="1" ht="20.25" x14ac:dyDescent="0.25">
      <c r="A138" s="88"/>
      <c r="C138" s="154"/>
      <c r="D138" s="154"/>
    </row>
    <row r="139" spans="1:4" s="23" customFormat="1" ht="20.25" x14ac:dyDescent="0.25">
      <c r="A139" s="88"/>
      <c r="C139" s="154"/>
      <c r="D139" s="154"/>
    </row>
    <row r="140" spans="1:4" s="23" customFormat="1" ht="20.25" x14ac:dyDescent="0.25">
      <c r="A140" s="88"/>
      <c r="C140" s="154"/>
      <c r="D140" s="154"/>
    </row>
    <row r="141" spans="1:4" s="23" customFormat="1" ht="20.25" x14ac:dyDescent="0.25">
      <c r="A141" s="88"/>
      <c r="C141" s="154"/>
      <c r="D141" s="154"/>
    </row>
    <row r="142" spans="1:4" s="23" customFormat="1" ht="20.25" x14ac:dyDescent="0.25">
      <c r="A142" s="88"/>
      <c r="C142" s="154"/>
      <c r="D142" s="154"/>
    </row>
    <row r="143" spans="1:4" s="23" customFormat="1" ht="20.25" x14ac:dyDescent="0.25">
      <c r="A143" s="88"/>
      <c r="C143" s="154"/>
      <c r="D143" s="154"/>
    </row>
    <row r="144" spans="1:4" s="23" customFormat="1" ht="20.25" x14ac:dyDescent="0.25">
      <c r="A144" s="88"/>
      <c r="C144" s="154"/>
      <c r="D144" s="154"/>
    </row>
    <row r="145" spans="1:4" s="23" customFormat="1" ht="20.25" x14ac:dyDescent="0.25">
      <c r="A145" s="88"/>
      <c r="C145" s="154"/>
      <c r="D145" s="154"/>
    </row>
    <row r="146" spans="1:4" s="23" customFormat="1" ht="20.25" x14ac:dyDescent="0.25">
      <c r="A146" s="88"/>
      <c r="C146" s="154"/>
      <c r="D146" s="154"/>
    </row>
    <row r="147" spans="1:4" s="23" customFormat="1" ht="20.25" x14ac:dyDescent="0.25">
      <c r="A147" s="88"/>
      <c r="C147" s="154"/>
      <c r="D147" s="154"/>
    </row>
    <row r="148" spans="1:4" s="23" customFormat="1" ht="20.25" x14ac:dyDescent="0.25">
      <c r="A148" s="88"/>
      <c r="C148" s="154"/>
      <c r="D148" s="154"/>
    </row>
    <row r="149" spans="1:4" s="23" customFormat="1" ht="20.25" x14ac:dyDescent="0.25">
      <c r="A149" s="88"/>
      <c r="C149" s="154"/>
      <c r="D149" s="154"/>
    </row>
    <row r="150" spans="1:4" s="23" customFormat="1" ht="20.25" x14ac:dyDescent="0.25">
      <c r="A150" s="88"/>
      <c r="C150" s="154"/>
      <c r="D150" s="154"/>
    </row>
    <row r="151" spans="1:4" s="23" customFormat="1" ht="20.25" x14ac:dyDescent="0.25">
      <c r="A151" s="88"/>
      <c r="C151" s="154"/>
      <c r="D151" s="154"/>
    </row>
    <row r="152" spans="1:4" s="23" customFormat="1" ht="20.25" x14ac:dyDescent="0.25">
      <c r="A152" s="88"/>
      <c r="C152" s="154"/>
      <c r="D152" s="154"/>
    </row>
    <row r="153" spans="1:4" s="23" customFormat="1" ht="20.25" x14ac:dyDescent="0.25">
      <c r="A153" s="88"/>
      <c r="C153" s="154"/>
      <c r="D153" s="154"/>
    </row>
    <row r="154" spans="1:4" s="23" customFormat="1" ht="20.25" x14ac:dyDescent="0.25">
      <c r="A154" s="88"/>
      <c r="C154" s="154"/>
      <c r="D154" s="154"/>
    </row>
    <row r="155" spans="1:4" s="23" customFormat="1" ht="20.25" x14ac:dyDescent="0.25">
      <c r="A155" s="88"/>
      <c r="C155" s="154"/>
      <c r="D155" s="154"/>
    </row>
    <row r="156" spans="1:4" s="23" customFormat="1" ht="20.25" x14ac:dyDescent="0.25">
      <c r="A156" s="88"/>
      <c r="C156" s="154"/>
      <c r="D156" s="154"/>
    </row>
    <row r="157" spans="1:4" s="23" customFormat="1" ht="20.25" x14ac:dyDescent="0.25">
      <c r="A157" s="88"/>
      <c r="C157" s="154"/>
      <c r="D157" s="154"/>
    </row>
    <row r="158" spans="1:4" s="23" customFormat="1" ht="20.25" x14ac:dyDescent="0.25">
      <c r="A158" s="88"/>
      <c r="C158" s="154"/>
      <c r="D158" s="154"/>
    </row>
    <row r="159" spans="1:4" s="23" customFormat="1" ht="20.25" x14ac:dyDescent="0.25">
      <c r="A159" s="88"/>
      <c r="C159" s="154"/>
      <c r="D159" s="154"/>
    </row>
    <row r="160" spans="1:4" s="23" customFormat="1" ht="20.25" x14ac:dyDescent="0.25">
      <c r="A160" s="88"/>
      <c r="C160" s="154"/>
      <c r="D160" s="154"/>
    </row>
    <row r="161" spans="1:4" s="23" customFormat="1" ht="20.25" x14ac:dyDescent="0.25">
      <c r="A161" s="88"/>
      <c r="C161" s="154"/>
      <c r="D161" s="154"/>
    </row>
    <row r="162" spans="1:4" s="23" customFormat="1" ht="20.25" x14ac:dyDescent="0.25">
      <c r="A162" s="88"/>
      <c r="C162" s="154"/>
      <c r="D162" s="154"/>
    </row>
    <row r="163" spans="1:4" s="23" customFormat="1" ht="20.25" x14ac:dyDescent="0.25">
      <c r="A163" s="88"/>
      <c r="C163" s="154"/>
      <c r="D163" s="154"/>
    </row>
    <row r="164" spans="1:4" s="23" customFormat="1" ht="20.25" x14ac:dyDescent="0.25">
      <c r="A164" s="88"/>
      <c r="C164" s="154"/>
      <c r="D164" s="154"/>
    </row>
    <row r="165" spans="1:4" s="23" customFormat="1" ht="20.25" x14ac:dyDescent="0.25">
      <c r="A165" s="88"/>
      <c r="C165" s="154"/>
      <c r="D165" s="154"/>
    </row>
    <row r="166" spans="1:4" s="23" customFormat="1" ht="20.25" x14ac:dyDescent="0.25">
      <c r="A166" s="88"/>
      <c r="C166" s="154"/>
      <c r="D166" s="154"/>
    </row>
    <row r="167" spans="1:4" s="23" customFormat="1" ht="20.25" x14ac:dyDescent="0.25">
      <c r="A167" s="88"/>
      <c r="C167" s="154"/>
      <c r="D167" s="154"/>
    </row>
    <row r="168" spans="1:4" s="23" customFormat="1" ht="20.25" x14ac:dyDescent="0.25">
      <c r="A168" s="88"/>
      <c r="C168" s="154"/>
      <c r="D168" s="154"/>
    </row>
    <row r="169" spans="1:4" s="23" customFormat="1" ht="20.25" x14ac:dyDescent="0.25">
      <c r="A169" s="88"/>
      <c r="C169" s="154"/>
      <c r="D169" s="154"/>
    </row>
    <row r="170" spans="1:4" s="23" customFormat="1" ht="20.25" x14ac:dyDescent="0.25">
      <c r="A170" s="88"/>
      <c r="C170" s="154"/>
      <c r="D170" s="154"/>
    </row>
    <row r="171" spans="1:4" s="23" customFormat="1" ht="20.25" x14ac:dyDescent="0.25">
      <c r="A171" s="88"/>
      <c r="C171" s="154"/>
      <c r="D171" s="154"/>
    </row>
    <row r="172" spans="1:4" s="23" customFormat="1" ht="20.25" x14ac:dyDescent="0.25">
      <c r="A172" s="88"/>
      <c r="C172" s="154"/>
      <c r="D172" s="154"/>
    </row>
    <row r="173" spans="1:4" s="23" customFormat="1" ht="20.25" x14ac:dyDescent="0.25">
      <c r="A173" s="88"/>
      <c r="C173" s="154"/>
      <c r="D173" s="154"/>
    </row>
    <row r="174" spans="1:4" s="23" customFormat="1" ht="20.25" x14ac:dyDescent="0.25">
      <c r="A174" s="88"/>
      <c r="C174" s="154"/>
      <c r="D174" s="154"/>
    </row>
    <row r="175" spans="1:4" s="23" customFormat="1" ht="20.25" x14ac:dyDescent="0.25">
      <c r="A175" s="88"/>
      <c r="C175" s="154"/>
      <c r="D175" s="154"/>
    </row>
    <row r="176" spans="1:4" s="23" customFormat="1" ht="20.25" x14ac:dyDescent="0.25">
      <c r="A176" s="88"/>
      <c r="C176" s="154"/>
      <c r="D176" s="154"/>
    </row>
    <row r="177" spans="1:4" s="23" customFormat="1" ht="20.25" x14ac:dyDescent="0.25">
      <c r="A177" s="88"/>
      <c r="C177" s="154"/>
      <c r="D177" s="154"/>
    </row>
    <row r="178" spans="1:4" s="23" customFormat="1" ht="20.25" x14ac:dyDescent="0.25">
      <c r="A178" s="88"/>
      <c r="C178" s="154"/>
      <c r="D178" s="154"/>
    </row>
    <row r="179" spans="1:4" s="23" customFormat="1" ht="20.25" x14ac:dyDescent="0.25">
      <c r="A179" s="88"/>
      <c r="C179" s="154"/>
      <c r="D179" s="154"/>
    </row>
    <row r="180" spans="1:4" s="23" customFormat="1" ht="20.25" x14ac:dyDescent="0.25">
      <c r="A180" s="88"/>
      <c r="C180" s="154"/>
      <c r="D180" s="154"/>
    </row>
    <row r="181" spans="1:4" s="23" customFormat="1" ht="20.25" x14ac:dyDescent="0.25">
      <c r="A181" s="88"/>
      <c r="C181" s="154"/>
      <c r="D181" s="154"/>
    </row>
    <row r="182" spans="1:4" s="23" customFormat="1" ht="20.25" x14ac:dyDescent="0.25">
      <c r="A182" s="88"/>
      <c r="C182" s="154"/>
      <c r="D182" s="154"/>
    </row>
    <row r="183" spans="1:4" s="23" customFormat="1" ht="20.25" x14ac:dyDescent="0.25">
      <c r="A183" s="88"/>
      <c r="C183" s="154"/>
      <c r="D183" s="154"/>
    </row>
    <row r="184" spans="1:4" s="23" customFormat="1" ht="20.25" x14ac:dyDescent="0.25">
      <c r="A184" s="88"/>
      <c r="C184" s="154"/>
      <c r="D184" s="154"/>
    </row>
    <row r="185" spans="1:4" s="23" customFormat="1" ht="20.25" x14ac:dyDescent="0.25">
      <c r="A185" s="88"/>
      <c r="C185" s="154"/>
      <c r="D185" s="154"/>
    </row>
    <row r="186" spans="1:4" s="23" customFormat="1" ht="20.25" x14ac:dyDescent="0.25">
      <c r="A186" s="88"/>
      <c r="C186" s="154"/>
      <c r="D186" s="154"/>
    </row>
    <row r="187" spans="1:4" s="23" customFormat="1" ht="20.25" x14ac:dyDescent="0.25">
      <c r="A187" s="88"/>
      <c r="C187" s="154"/>
      <c r="D187" s="154"/>
    </row>
    <row r="188" spans="1:4" s="23" customFormat="1" ht="20.25" x14ac:dyDescent="0.25">
      <c r="A188" s="88"/>
      <c r="C188" s="154"/>
      <c r="D188" s="154"/>
    </row>
    <row r="189" spans="1:4" s="23" customFormat="1" ht="20.25" x14ac:dyDescent="0.25">
      <c r="A189" s="88"/>
      <c r="C189" s="154"/>
      <c r="D189" s="154"/>
    </row>
    <row r="190" spans="1:4" s="23" customFormat="1" ht="20.25" x14ac:dyDescent="0.25">
      <c r="A190" s="88"/>
      <c r="C190" s="154"/>
      <c r="D190" s="154"/>
    </row>
    <row r="191" spans="1:4" s="23" customFormat="1" ht="20.25" x14ac:dyDescent="0.25">
      <c r="A191" s="88"/>
      <c r="C191" s="154"/>
      <c r="D191" s="154"/>
    </row>
    <row r="192" spans="1:4" s="23" customFormat="1" ht="20.25" x14ac:dyDescent="0.25">
      <c r="A192" s="88"/>
      <c r="C192" s="154"/>
      <c r="D192" s="154"/>
    </row>
    <row r="193" spans="1:4" s="23" customFormat="1" ht="20.25" x14ac:dyDescent="0.25">
      <c r="A193" s="88"/>
      <c r="C193" s="154"/>
      <c r="D193" s="154"/>
    </row>
    <row r="194" spans="1:4" s="23" customFormat="1" ht="20.25" x14ac:dyDescent="0.25">
      <c r="A194" s="88"/>
      <c r="C194" s="154"/>
      <c r="D194" s="154"/>
    </row>
    <row r="195" spans="1:4" s="23" customFormat="1" ht="20.25" x14ac:dyDescent="0.25">
      <c r="A195" s="88"/>
      <c r="C195" s="154"/>
      <c r="D195" s="154"/>
    </row>
    <row r="196" spans="1:4" s="23" customFormat="1" ht="20.25" x14ac:dyDescent="0.25">
      <c r="A196" s="88"/>
      <c r="C196" s="154"/>
      <c r="D196" s="154"/>
    </row>
    <row r="197" spans="1:4" s="23" customFormat="1" ht="20.25" x14ac:dyDescent="0.25">
      <c r="A197" s="88"/>
      <c r="C197" s="154"/>
      <c r="D197" s="154"/>
    </row>
    <row r="198" spans="1:4" s="23" customFormat="1" ht="20.25" x14ac:dyDescent="0.25">
      <c r="A198" s="88"/>
      <c r="C198" s="154"/>
      <c r="D198" s="154"/>
    </row>
    <row r="199" spans="1:4" s="23" customFormat="1" ht="20.25" x14ac:dyDescent="0.25">
      <c r="A199" s="88"/>
      <c r="C199" s="154"/>
      <c r="D199" s="154"/>
    </row>
    <row r="200" spans="1:4" s="23" customFormat="1" ht="20.25" x14ac:dyDescent="0.25">
      <c r="A200" s="88"/>
      <c r="C200" s="154"/>
      <c r="D200" s="154"/>
    </row>
    <row r="201" spans="1:4" s="23" customFormat="1" ht="20.25" x14ac:dyDescent="0.25">
      <c r="A201" s="88"/>
      <c r="C201" s="154"/>
      <c r="D201" s="154"/>
    </row>
    <row r="202" spans="1:4" s="23" customFormat="1" ht="20.25" x14ac:dyDescent="0.25">
      <c r="A202" s="88"/>
      <c r="C202" s="154"/>
      <c r="D202" s="154"/>
    </row>
    <row r="203" spans="1:4" s="23" customFormat="1" ht="20.25" x14ac:dyDescent="0.25">
      <c r="A203" s="88"/>
      <c r="C203" s="154"/>
      <c r="D203" s="154"/>
    </row>
    <row r="204" spans="1:4" s="23" customFormat="1" ht="20.25" x14ac:dyDescent="0.25">
      <c r="A204" s="88"/>
      <c r="C204" s="154"/>
      <c r="D204" s="154"/>
    </row>
    <row r="205" spans="1:4" s="23" customFormat="1" ht="20.25" x14ac:dyDescent="0.25">
      <c r="A205" s="88"/>
      <c r="C205" s="154"/>
      <c r="D205" s="154"/>
    </row>
    <row r="206" spans="1:4" s="23" customFormat="1" ht="20.25" x14ac:dyDescent="0.25">
      <c r="A206" s="88"/>
      <c r="C206" s="154"/>
      <c r="D206" s="154"/>
    </row>
    <row r="207" spans="1:4" s="23" customFormat="1" ht="20.25" x14ac:dyDescent="0.25">
      <c r="A207" s="88"/>
      <c r="C207" s="154"/>
      <c r="D207" s="154"/>
    </row>
    <row r="208" spans="1:4" s="23" customFormat="1" x14ac:dyDescent="0.25">
      <c r="A208" s="88"/>
    </row>
    <row r="209" spans="1:8" s="23" customFormat="1" ht="20.25" x14ac:dyDescent="0.25">
      <c r="A209" s="88"/>
      <c r="B209" s="155" t="s">
        <v>87</v>
      </c>
      <c r="C209" s="155" t="s">
        <v>140</v>
      </c>
      <c r="D209" s="156" t="s">
        <v>87</v>
      </c>
      <c r="E209" s="156" t="s">
        <v>140</v>
      </c>
    </row>
    <row r="210" spans="1:8" s="23" customFormat="1" ht="42" x14ac:dyDescent="0.35">
      <c r="A210" s="88"/>
      <c r="B210" s="157" t="s">
        <v>89</v>
      </c>
      <c r="C210" s="157"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35">
      <c r="A211" s="88"/>
      <c r="B211" s="157" t="s">
        <v>89</v>
      </c>
      <c r="C211" s="157" t="s">
        <v>206</v>
      </c>
      <c r="E211" s="23" t="s">
        <v>205</v>
      </c>
      <c r="F211" s="23" t="str">
        <f t="shared" ref="F211:F221" si="0">IF(NOT(ISBLANK(D211)),D211,IF(NOT(ISBLANK(E211)),"     "&amp;E211,FALSE))</f>
        <v xml:space="preserve">     Afectación menor a 200 SMLMV</v>
      </c>
    </row>
    <row r="212" spans="1:8" s="23" customFormat="1" ht="42" x14ac:dyDescent="0.35">
      <c r="A212" s="88"/>
      <c r="B212" s="157" t="s">
        <v>89</v>
      </c>
      <c r="C212" s="157" t="s">
        <v>210</v>
      </c>
      <c r="E212" s="23" t="s">
        <v>206</v>
      </c>
      <c r="F212" s="23" t="str">
        <f t="shared" si="0"/>
        <v xml:space="preserve">     Entre 200 y 1000 SMLMV</v>
      </c>
    </row>
    <row r="213" spans="1:8" s="23" customFormat="1" ht="42" x14ac:dyDescent="0.35">
      <c r="A213" s="88"/>
      <c r="B213" s="157" t="s">
        <v>89</v>
      </c>
      <c r="C213" s="157" t="s">
        <v>211</v>
      </c>
      <c r="E213" s="23" t="s">
        <v>210</v>
      </c>
      <c r="F213" s="23" t="str">
        <f t="shared" si="0"/>
        <v xml:space="preserve">     Entre 1000 y 5000 SMLMV </v>
      </c>
    </row>
    <row r="214" spans="1:8" s="23" customFormat="1" ht="42" x14ac:dyDescent="0.35">
      <c r="A214" s="88"/>
      <c r="B214" s="157" t="s">
        <v>89</v>
      </c>
      <c r="C214" s="157" t="s">
        <v>207</v>
      </c>
      <c r="E214" s="23" t="s">
        <v>211</v>
      </c>
      <c r="F214" s="23" t="str">
        <f t="shared" si="0"/>
        <v xml:space="preserve">     Entre 5000 y 10000 SMLMV</v>
      </c>
    </row>
    <row r="215" spans="1:8" s="23" customFormat="1" ht="42" x14ac:dyDescent="0.35">
      <c r="A215" s="88"/>
      <c r="B215" s="157" t="s">
        <v>57</v>
      </c>
      <c r="C215" s="157" t="s">
        <v>92</v>
      </c>
      <c r="E215" s="23" t="s">
        <v>207</v>
      </c>
      <c r="F215" s="23" t="str">
        <f t="shared" si="0"/>
        <v xml:space="preserve">     Mayor a 10000 SMLMV</v>
      </c>
    </row>
    <row r="216" spans="1:8" s="23" customFormat="1" ht="63" x14ac:dyDescent="0.35">
      <c r="A216" s="88"/>
      <c r="B216" s="157" t="s">
        <v>57</v>
      </c>
      <c r="C216" s="157" t="s">
        <v>93</v>
      </c>
      <c r="D216" s="23" t="s">
        <v>57</v>
      </c>
      <c r="F216" s="23" t="str">
        <f t="shared" si="0"/>
        <v>Pérdida Reputacional</v>
      </c>
    </row>
    <row r="217" spans="1:8" s="23" customFormat="1" ht="42" x14ac:dyDescent="0.35">
      <c r="A217" s="88"/>
      <c r="B217" s="157" t="s">
        <v>57</v>
      </c>
      <c r="C217" s="157" t="s">
        <v>95</v>
      </c>
      <c r="E217" s="23" t="s">
        <v>92</v>
      </c>
      <c r="F217" s="23" t="str">
        <f>IF(NOT(ISBLANK(D217)),D217,IF(NOT(ISBLANK(E217)),"     "&amp;E217,FALSE))</f>
        <v xml:space="preserve">     El riesgo afecta la imagen de alguna área de la organización</v>
      </c>
    </row>
    <row r="218" spans="1:8" s="23" customFormat="1" ht="63" x14ac:dyDescent="0.35">
      <c r="A218" s="88"/>
      <c r="B218" s="157" t="s">
        <v>57</v>
      </c>
      <c r="C218" s="157"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8"/>
      <c r="B219" s="157" t="s">
        <v>57</v>
      </c>
      <c r="C219" s="157" t="s">
        <v>113</v>
      </c>
      <c r="E219" s="23" t="s">
        <v>95</v>
      </c>
      <c r="F219" s="23" t="str">
        <f t="shared" si="0"/>
        <v xml:space="preserve">     El riesgo afecta la imagen de la entidad con algunos usuarios de relevancia frente al logro de los objetivos</v>
      </c>
    </row>
    <row r="220" spans="1:8" s="23" customFormat="1" x14ac:dyDescent="0.25">
      <c r="A220" s="88"/>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8"/>
      <c r="B221" s="23" t="e" c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25">
      <c r="A222" s="88"/>
      <c r="B222" s="23" t="e">
        <f ca="1"/>
        <v>#NAME?</v>
      </c>
    </row>
    <row r="223" spans="1:8" s="23" customFormat="1" x14ac:dyDescent="0.25">
      <c r="B223" s="23" t="e">
        <f ca="1"/>
        <v>#NAME?</v>
      </c>
      <c r="F223" s="158" t="s">
        <v>141</v>
      </c>
    </row>
    <row r="224" spans="1:8" s="23" customFormat="1" x14ac:dyDescent="0.25">
      <c r="F224" s="158" t="s">
        <v>142</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73"/>
    <col min="3" max="3" width="17" style="73" customWidth="1"/>
    <col min="4" max="4" width="14.28515625" style="73"/>
    <col min="5" max="5" width="46" style="73" customWidth="1"/>
    <col min="6" max="16384" width="14.28515625" style="73"/>
  </cols>
  <sheetData>
    <row r="1" spans="2:6" ht="24" customHeight="1" thickBot="1" x14ac:dyDescent="0.25">
      <c r="B1" s="438" t="s">
        <v>77</v>
      </c>
      <c r="C1" s="439"/>
      <c r="D1" s="439"/>
      <c r="E1" s="439"/>
      <c r="F1" s="440"/>
    </row>
    <row r="2" spans="2:6" ht="16.5" thickBot="1" x14ac:dyDescent="0.3">
      <c r="B2" s="74"/>
      <c r="C2" s="74"/>
      <c r="D2" s="74"/>
      <c r="E2" s="74"/>
      <c r="F2" s="74"/>
    </row>
    <row r="3" spans="2:6" ht="16.5" thickBot="1" x14ac:dyDescent="0.25">
      <c r="B3" s="442" t="s">
        <v>63</v>
      </c>
      <c r="C3" s="443"/>
      <c r="D3" s="443"/>
      <c r="E3" s="86" t="s">
        <v>64</v>
      </c>
      <c r="F3" s="87" t="s">
        <v>65</v>
      </c>
    </row>
    <row r="4" spans="2:6" ht="31.5" x14ac:dyDescent="0.2">
      <c r="B4" s="444" t="s">
        <v>66</v>
      </c>
      <c r="C4" s="446" t="s">
        <v>13</v>
      </c>
      <c r="D4" s="75" t="s">
        <v>14</v>
      </c>
      <c r="E4" s="76" t="s">
        <v>67</v>
      </c>
      <c r="F4" s="77">
        <v>0.25</v>
      </c>
    </row>
    <row r="5" spans="2:6" ht="47.25" x14ac:dyDescent="0.2">
      <c r="B5" s="445"/>
      <c r="C5" s="447"/>
      <c r="D5" s="78" t="s">
        <v>15</v>
      </c>
      <c r="E5" s="79" t="s">
        <v>68</v>
      </c>
      <c r="F5" s="80">
        <v>0.15</v>
      </c>
    </row>
    <row r="6" spans="2:6" ht="47.25" x14ac:dyDescent="0.2">
      <c r="B6" s="445"/>
      <c r="C6" s="447"/>
      <c r="D6" s="78" t="s">
        <v>16</v>
      </c>
      <c r="E6" s="79" t="s">
        <v>69</v>
      </c>
      <c r="F6" s="80">
        <v>0.1</v>
      </c>
    </row>
    <row r="7" spans="2:6" ht="63" x14ac:dyDescent="0.2">
      <c r="B7" s="445"/>
      <c r="C7" s="447" t="s">
        <v>17</v>
      </c>
      <c r="D7" s="78" t="s">
        <v>10</v>
      </c>
      <c r="E7" s="79" t="s">
        <v>70</v>
      </c>
      <c r="F7" s="80">
        <v>0.25</v>
      </c>
    </row>
    <row r="8" spans="2:6" ht="31.5" x14ac:dyDescent="0.2">
      <c r="B8" s="445"/>
      <c r="C8" s="447"/>
      <c r="D8" s="78" t="s">
        <v>9</v>
      </c>
      <c r="E8" s="79" t="s">
        <v>71</v>
      </c>
      <c r="F8" s="80">
        <v>0.15</v>
      </c>
    </row>
    <row r="9" spans="2:6" ht="47.25" x14ac:dyDescent="0.2">
      <c r="B9" s="445" t="s">
        <v>151</v>
      </c>
      <c r="C9" s="447" t="s">
        <v>18</v>
      </c>
      <c r="D9" s="78" t="s">
        <v>19</v>
      </c>
      <c r="E9" s="79" t="s">
        <v>72</v>
      </c>
      <c r="F9" s="81" t="s">
        <v>73</v>
      </c>
    </row>
    <row r="10" spans="2:6" ht="63" x14ac:dyDescent="0.2">
      <c r="B10" s="445"/>
      <c r="C10" s="447"/>
      <c r="D10" s="78" t="s">
        <v>20</v>
      </c>
      <c r="E10" s="79" t="s">
        <v>74</v>
      </c>
      <c r="F10" s="81" t="s">
        <v>73</v>
      </c>
    </row>
    <row r="11" spans="2:6" ht="47.25" x14ac:dyDescent="0.2">
      <c r="B11" s="445"/>
      <c r="C11" s="447" t="s">
        <v>21</v>
      </c>
      <c r="D11" s="78" t="s">
        <v>22</v>
      </c>
      <c r="E11" s="79" t="s">
        <v>75</v>
      </c>
      <c r="F11" s="81" t="s">
        <v>73</v>
      </c>
    </row>
    <row r="12" spans="2:6" ht="47.25" x14ac:dyDescent="0.2">
      <c r="B12" s="445"/>
      <c r="C12" s="447"/>
      <c r="D12" s="78" t="s">
        <v>23</v>
      </c>
      <c r="E12" s="79" t="s">
        <v>76</v>
      </c>
      <c r="F12" s="81" t="s">
        <v>73</v>
      </c>
    </row>
    <row r="13" spans="2:6" ht="31.5" x14ac:dyDescent="0.2">
      <c r="B13" s="445"/>
      <c r="C13" s="447" t="s">
        <v>24</v>
      </c>
      <c r="D13" s="78" t="s">
        <v>114</v>
      </c>
      <c r="E13" s="79" t="s">
        <v>117</v>
      </c>
      <c r="F13" s="81" t="s">
        <v>73</v>
      </c>
    </row>
    <row r="14" spans="2:6" ht="32.25" thickBot="1" x14ac:dyDescent="0.25">
      <c r="B14" s="448"/>
      <c r="C14" s="449"/>
      <c r="D14" s="82" t="s">
        <v>115</v>
      </c>
      <c r="E14" s="83" t="s">
        <v>116</v>
      </c>
      <c r="F14" s="84" t="s">
        <v>73</v>
      </c>
    </row>
    <row r="15" spans="2:6" ht="49.5" customHeight="1" x14ac:dyDescent="0.2">
      <c r="B15" s="441" t="s">
        <v>148</v>
      </c>
      <c r="C15" s="441"/>
      <c r="D15" s="441"/>
      <c r="E15" s="441"/>
      <c r="F15" s="441"/>
    </row>
    <row r="16" spans="2:6" ht="27" customHeight="1" x14ac:dyDescent="0.25">
      <c r="B16" s="8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HACIENDA123</cp:lastModifiedBy>
  <cp:lastPrinted>2020-05-13T01:12:22Z</cp:lastPrinted>
  <dcterms:created xsi:type="dcterms:W3CDTF">2020-03-24T23:12:47Z</dcterms:created>
  <dcterms:modified xsi:type="dcterms:W3CDTF">2022-01-27T20:37:50Z</dcterms:modified>
</cp:coreProperties>
</file>