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hidePivotFieldList="1" defaultThemeVersion="124226"/>
  <mc:AlternateContent xmlns:mc="http://schemas.openxmlformats.org/markup-compatibility/2006">
    <mc:Choice Requires="x15">
      <x15ac:absPath xmlns:x15ac="http://schemas.microsoft.com/office/spreadsheetml/2010/11/ac" url="C:\Users\HACIENDA123\Desktop\CONTROL INTERNO-MIPG\AVANCE MONITOREOS\"/>
    </mc:Choice>
  </mc:AlternateContent>
  <xr:revisionPtr revIDLastSave="0" documentId="13_ncr:1_{2C0A22BF-02DC-4E03-BD07-6F671262F638}" xr6:coauthVersionLast="36" xr6:coauthVersionMax="36" xr10:uidLastSave="{00000000-0000-0000-0000-000000000000}"/>
  <bookViews>
    <workbookView xWindow="0" yWindow="0" windowWidth="28800" windowHeight="11730"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91029"/>
  <pivotCaches>
    <pivotCache cacheId="0" r:id="rId12"/>
  </pivotCaches>
</workbook>
</file>

<file path=xl/calcChain.xml><?xml version="1.0" encoding="utf-8"?>
<calcChain xmlns="http://schemas.openxmlformats.org/spreadsheetml/2006/main">
  <c r="J18" i="1" l="1"/>
  <c r="K18" i="1" s="1"/>
  <c r="J24" i="1"/>
  <c r="J30" i="1"/>
  <c r="K30" i="1" s="1"/>
  <c r="J36" i="1"/>
  <c r="K36" i="1" s="1"/>
  <c r="J42" i="1"/>
  <c r="K42" i="1" s="1"/>
  <c r="J48" i="1"/>
  <c r="K48" i="1" s="1"/>
  <c r="J54" i="1"/>
  <c r="K54" i="1" s="1"/>
  <c r="J60" i="1"/>
  <c r="K60" i="1" s="1"/>
  <c r="V29" i="1"/>
  <c r="S29" i="1"/>
  <c r="V28" i="1"/>
  <c r="S28" i="1"/>
  <c r="AD29" i="1" s="1"/>
  <c r="AC29" i="1" s="1"/>
  <c r="V27" i="1"/>
  <c r="S27" i="1"/>
  <c r="AD28" i="1" s="1"/>
  <c r="AC28" i="1" s="1"/>
  <c r="V26" i="1"/>
  <c r="S26" i="1"/>
  <c r="V25" i="1"/>
  <c r="S25" i="1"/>
  <c r="V24" i="1"/>
  <c r="S24" i="1"/>
  <c r="AD25" i="1" s="1"/>
  <c r="AC25" i="1" s="1"/>
  <c r="V23" i="1"/>
  <c r="S23" i="1"/>
  <c r="V22" i="1"/>
  <c r="S22" i="1"/>
  <c r="V21" i="1"/>
  <c r="S21" i="1"/>
  <c r="V20" i="1"/>
  <c r="S20" i="1"/>
  <c r="AD21" i="1" s="1"/>
  <c r="AC21" i="1" s="1"/>
  <c r="V19" i="1"/>
  <c r="S19" i="1"/>
  <c r="AD20" i="1" s="1"/>
  <c r="AC20" i="1" s="1"/>
  <c r="V18" i="1"/>
  <c r="S18" i="1"/>
  <c r="V17" i="1"/>
  <c r="V16" i="1"/>
  <c r="V15" i="1"/>
  <c r="V14" i="1"/>
  <c r="V12" i="1"/>
  <c r="V13" i="1"/>
  <c r="V11" i="1"/>
  <c r="M35" i="1"/>
  <c r="M52" i="1"/>
  <c r="M26" i="1"/>
  <c r="M25" i="1"/>
  <c r="M53" i="1"/>
  <c r="M43" i="1"/>
  <c r="M49" i="1"/>
  <c r="M27" i="1"/>
  <c r="M44" i="1"/>
  <c r="M61" i="1"/>
  <c r="M28" i="1"/>
  <c r="M45" i="1"/>
  <c r="M62" i="1"/>
  <c r="M29" i="1"/>
  <c r="M46" i="1"/>
  <c r="M63" i="1"/>
  <c r="M64" i="1"/>
  <c r="M38" i="1"/>
  <c r="M55" i="1"/>
  <c r="M56" i="1"/>
  <c r="M19" i="1"/>
  <c r="M47" i="1"/>
  <c r="M33" i="1"/>
  <c r="M34" i="1"/>
  <c r="M51" i="1"/>
  <c r="M20" i="1"/>
  <c r="M37" i="1"/>
  <c r="M65" i="1"/>
  <c r="M21" i="1"/>
  <c r="M22" i="1"/>
  <c r="M39" i="1"/>
  <c r="M50" i="1"/>
  <c r="M23" i="1"/>
  <c r="M40" i="1"/>
  <c r="M57" i="1"/>
  <c r="M41" i="1"/>
  <c r="M58" i="1"/>
  <c r="M59" i="1"/>
  <c r="M32" i="1"/>
  <c r="M31" i="1"/>
  <c r="AD19" i="1" l="1"/>
  <c r="AC19" i="1" s="1"/>
  <c r="Z23" i="1"/>
  <c r="AA23" i="1" s="1"/>
  <c r="AD27" i="1"/>
  <c r="AC27" i="1" s="1"/>
  <c r="AD22" i="1"/>
  <c r="AC22" i="1" s="1"/>
  <c r="Z26" i="1"/>
  <c r="AB26" i="1" s="1"/>
  <c r="K24" i="1"/>
  <c r="Z24" i="1"/>
  <c r="Z28" i="1"/>
  <c r="AD24" i="1"/>
  <c r="AC24" i="1" s="1"/>
  <c r="AD26" i="1"/>
  <c r="AC26" i="1" s="1"/>
  <c r="Z25" i="1"/>
  <c r="Z27" i="1"/>
  <c r="Z29" i="1"/>
  <c r="Z20" i="1"/>
  <c r="Z18" i="1"/>
  <c r="Z22" i="1"/>
  <c r="AD18" i="1"/>
  <c r="AC18" i="1" s="1"/>
  <c r="Z21" i="1"/>
  <c r="Z19" i="1"/>
  <c r="AD23" i="1"/>
  <c r="AC23" i="1" s="1"/>
  <c r="AB23" i="1" l="1"/>
  <c r="AA26" i="1"/>
  <c r="AE26" i="1" s="1"/>
  <c r="AB28" i="1"/>
  <c r="AA28" i="1"/>
  <c r="AE28" i="1" s="1"/>
  <c r="AB27" i="1"/>
  <c r="AA27" i="1"/>
  <c r="AE27" i="1" s="1"/>
  <c r="AB24" i="1"/>
  <c r="AA24" i="1"/>
  <c r="AE24" i="1" s="1"/>
  <c r="AA29" i="1"/>
  <c r="AE29" i="1" s="1"/>
  <c r="AB29" i="1"/>
  <c r="AB25" i="1"/>
  <c r="AA25" i="1"/>
  <c r="AE25" i="1" s="1"/>
  <c r="AB19" i="1"/>
  <c r="AA19" i="1"/>
  <c r="AE19" i="1" s="1"/>
  <c r="AB18" i="1"/>
  <c r="AA18" i="1"/>
  <c r="AE18" i="1" s="1"/>
  <c r="AE23" i="1"/>
  <c r="AB21" i="1"/>
  <c r="AA21" i="1"/>
  <c r="AE21" i="1" s="1"/>
  <c r="AB22" i="1"/>
  <c r="AA22" i="1"/>
  <c r="AE22" i="1" s="1"/>
  <c r="AB20" i="1"/>
  <c r="AA20" i="1"/>
  <c r="AE20" i="1" s="1"/>
  <c r="S11" i="1" l="1"/>
  <c r="F217" i="13"/>
  <c r="S12" i="1"/>
  <c r="S13" i="1"/>
  <c r="Z12" i="1" l="1"/>
  <c r="AD12" i="1" l="1"/>
  <c r="AC12" i="1" s="1"/>
  <c r="AA12" i="1"/>
  <c r="AB12" i="1"/>
  <c r="Z13" i="1" s="1"/>
  <c r="AD13" i="1"/>
  <c r="AE12" i="1" l="1"/>
  <c r="AC13" i="1"/>
  <c r="AA13" i="1"/>
  <c r="AB13" i="1"/>
  <c r="AE13" i="1" l="1"/>
  <c r="V10" i="1"/>
  <c r="S10" i="1"/>
  <c r="Z11" i="1" l="1"/>
  <c r="AD11" i="1"/>
  <c r="AC11" i="1" s="1"/>
  <c r="J10" i="1"/>
  <c r="K10" i="1" s="1"/>
  <c r="M17" i="1"/>
  <c r="M15" i="1"/>
  <c r="M16" i="1"/>
  <c r="AA11" i="1" l="1"/>
  <c r="AE11" i="1" s="1"/>
  <c r="AB11" i="1"/>
  <c r="F221" i="13"/>
  <c r="F211" i="13"/>
  <c r="F212" i="13"/>
  <c r="F213" i="13"/>
  <c r="F214" i="13"/>
  <c r="F215" i="13"/>
  <c r="F216" i="13"/>
  <c r="F218" i="13"/>
  <c r="F219" i="13"/>
  <c r="F220" i="13"/>
  <c r="F210" i="13"/>
  <c r="B221" i="13" a="1"/>
  <c r="M13" i="1"/>
  <c r="M11" i="1"/>
  <c r="M12" i="1"/>
  <c r="B221" i="13" l="1"/>
  <c r="S4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5" i="1" l="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AD49" i="1" s="1"/>
  <c r="V48" i="1"/>
  <c r="J14" i="1"/>
  <c r="S17" i="1"/>
  <c r="S16" i="1"/>
  <c r="Z15" i="1" l="1"/>
  <c r="Z16" i="1"/>
  <c r="AD17" i="1"/>
  <c r="AC17" i="1" s="1"/>
  <c r="Z17" i="1"/>
  <c r="AD61" i="1"/>
  <c r="AD55" i="1"/>
  <c r="K14" i="1"/>
  <c r="Z14" i="1" s="1"/>
  <c r="Z60" i="1"/>
  <c r="Z54" i="1"/>
  <c r="Z48" i="1"/>
  <c r="AB14" i="1" l="1"/>
  <c r="AA14" i="1"/>
  <c r="AB17" i="1"/>
  <c r="AA17" i="1"/>
  <c r="AE17" i="1" s="1"/>
  <c r="AA16" i="1"/>
  <c r="AB16" i="1"/>
  <c r="AA15" i="1"/>
  <c r="AB15" i="1"/>
  <c r="AA60" i="1"/>
  <c r="AB60" i="1"/>
  <c r="Z61" i="1" s="1"/>
  <c r="AA61" i="1" s="1"/>
  <c r="AA54" i="1"/>
  <c r="AB54" i="1"/>
  <c r="Z55" i="1" s="1"/>
  <c r="AB55" i="1" s="1"/>
  <c r="Z56" i="1" s="1"/>
  <c r="AA48" i="1"/>
  <c r="AB48" i="1"/>
  <c r="Z49" i="1" s="1"/>
  <c r="AB49" i="1" s="1"/>
  <c r="Z50" i="1" s="1"/>
  <c r="AA55" i="1" l="1"/>
  <c r="AA49" i="1"/>
  <c r="AB56" i="1"/>
  <c r="Z57" i="1" s="1"/>
  <c r="AA56" i="1"/>
  <c r="AB50" i="1"/>
  <c r="Z51" i="1" s="1"/>
  <c r="AA50" i="1"/>
  <c r="AB61" i="1"/>
  <c r="Z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57" i="1" l="1"/>
  <c r="AB57" i="1"/>
  <c r="AA51" i="1"/>
  <c r="AB51" i="1"/>
  <c r="Z52" i="1" s="1"/>
  <c r="AA62" i="1"/>
  <c r="AB62" i="1"/>
  <c r="Z63" i="1" s="1"/>
  <c r="AA52" i="1" l="1"/>
  <c r="AB52" i="1"/>
  <c r="Z53" i="1" s="1"/>
  <c r="Z58" i="1"/>
  <c r="Z59" i="1"/>
  <c r="AB63" i="1"/>
  <c r="AA63" i="1"/>
  <c r="AA59" i="1" l="1"/>
  <c r="AB59" i="1"/>
  <c r="AA58" i="1"/>
  <c r="AB58" i="1"/>
  <c r="AA53" i="1"/>
  <c r="AB53" i="1"/>
  <c r="Z64" i="1"/>
  <c r="Z65" i="1"/>
  <c r="Z10" i="1"/>
  <c r="AA10" i="1" s="1"/>
  <c r="AA65" i="1" l="1"/>
  <c r="AB65" i="1"/>
  <c r="AA64" i="1"/>
  <c r="AB64" i="1"/>
  <c r="AB10" i="1" l="1"/>
  <c r="AD60" i="1" l="1"/>
  <c r="AC60" i="1" l="1"/>
  <c r="AD62" i="1"/>
  <c r="AD54" i="1"/>
  <c r="AD48" i="1"/>
  <c r="AC48"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0" i="1"/>
  <c r="P25" i="19"/>
  <c r="V55" i="19"/>
  <c r="J15" i="19"/>
  <c r="AB15" i="19"/>
  <c r="J35" i="19"/>
  <c r="AB35" i="19"/>
  <c r="J55" i="19"/>
  <c r="AB25" i="19"/>
  <c r="P35" i="19"/>
  <c r="P55" i="19"/>
  <c r="AB45" i="19"/>
  <c r="P15" i="19"/>
  <c r="AE4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4" i="1"/>
  <c r="AC6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2" i="1"/>
  <c r="AD6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9" i="1"/>
  <c r="AD50" i="1"/>
  <c r="AC55" i="1"/>
  <c r="AD56" i="1"/>
  <c r="AC63" i="1" l="1"/>
  <c r="AD64" i="1"/>
  <c r="K35" i="19"/>
  <c r="AC25" i="19"/>
  <c r="K45" i="19"/>
  <c r="AI45" i="19"/>
  <c r="W45" i="19"/>
  <c r="Q35" i="19"/>
  <c r="K55" i="19"/>
  <c r="AC15" i="19"/>
  <c r="Q15" i="19"/>
  <c r="AC35" i="19"/>
  <c r="AI35" i="19"/>
  <c r="Q55" i="19"/>
  <c r="AI25" i="19"/>
  <c r="AE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0" i="1"/>
  <c r="AD5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56" i="1"/>
  <c r="AD5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1" i="1"/>
  <c r="AD52" i="1"/>
  <c r="AC64" i="1"/>
  <c r="AD65" i="1"/>
  <c r="AC65" i="1" s="1"/>
  <c r="AJ43" i="19"/>
  <c r="AD33" i="19"/>
  <c r="X33" i="19"/>
  <c r="X13" i="19"/>
  <c r="AD43" i="19"/>
  <c r="L43" i="19"/>
  <c r="AE50" i="1"/>
  <c r="X23" i="19"/>
  <c r="R33" i="19"/>
  <c r="R43" i="19"/>
  <c r="AD53" i="19"/>
  <c r="AJ13" i="19"/>
  <c r="R23" i="19"/>
  <c r="R13" i="19"/>
  <c r="AJ53" i="19"/>
  <c r="L33" i="19"/>
  <c r="L23" i="19"/>
  <c r="X43" i="19"/>
  <c r="X53" i="19"/>
  <c r="AD13" i="19"/>
  <c r="L53" i="19"/>
  <c r="L13" i="19"/>
  <c r="AD23" i="19"/>
  <c r="AJ33" i="19"/>
  <c r="AJ23" i="19"/>
  <c r="R53" i="19"/>
  <c r="M55" i="19"/>
  <c r="AK15" i="19"/>
  <c r="AE25" i="19"/>
  <c r="AE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7" i="1"/>
  <c r="AD58"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7"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2" i="1"/>
  <c r="AD53" i="1"/>
  <c r="AC53"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8" i="1"/>
  <c r="AD59" i="1"/>
  <c r="AC5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1"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9" i="1"/>
  <c r="AA14" i="19"/>
  <c r="O54" i="19"/>
  <c r="U44" i="19"/>
  <c r="U43" i="19"/>
  <c r="U13" i="19"/>
  <c r="AM53" i="19"/>
  <c r="AA53" i="19"/>
  <c r="AA43" i="19"/>
  <c r="O53" i="19"/>
  <c r="O23" i="19"/>
  <c r="O13" i="19"/>
  <c r="AG43" i="19"/>
  <c r="U33" i="19"/>
  <c r="U23" i="19"/>
  <c r="AM13" i="19"/>
  <c r="AM23" i="19"/>
  <c r="AG13" i="19"/>
  <c r="AA23" i="19"/>
  <c r="AG33" i="19"/>
  <c r="AA33" i="19"/>
  <c r="AM33" i="19"/>
  <c r="AA13" i="19"/>
  <c r="AE5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8" i="1"/>
  <c r="AF53" i="19"/>
  <c r="T43" i="19"/>
  <c r="Z53" i="19"/>
  <c r="N43" i="19"/>
  <c r="T23" i="19"/>
  <c r="AF43" i="19"/>
  <c r="Z13" i="19"/>
  <c r="Z43" i="19"/>
  <c r="AF23" i="19"/>
  <c r="AL13" i="19"/>
  <c r="Z23" i="19"/>
  <c r="AL43" i="19"/>
  <c r="AF13" i="19"/>
  <c r="AL23" i="19"/>
  <c r="N13" i="19"/>
  <c r="T33" i="19"/>
  <c r="AL53" i="19"/>
  <c r="N23" i="19"/>
  <c r="N53" i="19"/>
  <c r="AF33" i="19"/>
  <c r="N33" i="19"/>
  <c r="AE52"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M10" i="1"/>
  <c r="N10" i="1" s="1"/>
  <c r="M42" i="1"/>
  <c r="N42" i="1" s="1"/>
  <c r="M14" i="1"/>
  <c r="N14" i="1" s="1"/>
  <c r="M60" i="1"/>
  <c r="N60" i="1" s="1"/>
  <c r="M48" i="1"/>
  <c r="N48" i="1" s="1"/>
  <c r="M24" i="1"/>
  <c r="N24" i="1" s="1"/>
  <c r="M54" i="1"/>
  <c r="N54" i="1" s="1"/>
  <c r="M30" i="1"/>
  <c r="N30" i="1" s="1"/>
  <c r="M36" i="1"/>
  <c r="N36" i="1" s="1"/>
  <c r="O54" i="1" l="1"/>
  <c r="P54" i="1"/>
  <c r="Z42" i="18"/>
  <c r="T18" i="18"/>
  <c r="N18" i="18"/>
  <c r="T26" i="18"/>
  <c r="N34" i="18"/>
  <c r="T34" i="18"/>
  <c r="N42" i="18"/>
  <c r="Z18" i="18"/>
  <c r="N10" i="18"/>
  <c r="AF26" i="18"/>
  <c r="Z10" i="18"/>
  <c r="AL34" i="18"/>
  <c r="AF42" i="18"/>
  <c r="AL10" i="18"/>
  <c r="N26" i="18"/>
  <c r="AL18" i="18"/>
  <c r="AL42" i="18"/>
  <c r="AF18" i="18"/>
  <c r="Z26" i="18"/>
  <c r="AF10" i="18"/>
  <c r="AF34" i="18"/>
  <c r="T10" i="18"/>
  <c r="T42" i="18"/>
  <c r="Z34" i="18"/>
  <c r="AL26" i="18"/>
  <c r="O24" i="1"/>
  <c r="P24" i="1"/>
  <c r="P16" i="18"/>
  <c r="P40" i="18"/>
  <c r="V32" i="18"/>
  <c r="J24" i="18"/>
  <c r="P24" i="18"/>
  <c r="P32" i="18"/>
  <c r="V8" i="18"/>
  <c r="AH24" i="18"/>
  <c r="AH8" i="18"/>
  <c r="P8" i="18"/>
  <c r="J8" i="18"/>
  <c r="AB32" i="18"/>
  <c r="AB8" i="18"/>
  <c r="AB40" i="18"/>
  <c r="J32" i="18"/>
  <c r="AH16" i="18"/>
  <c r="V16" i="18"/>
  <c r="AH40" i="18"/>
  <c r="AH32" i="18"/>
  <c r="J16" i="18"/>
  <c r="AB16" i="18"/>
  <c r="V40" i="18"/>
  <c r="AB24" i="18"/>
  <c r="J40" i="18"/>
  <c r="V24" i="18"/>
  <c r="P48" i="1"/>
  <c r="O48" i="1"/>
  <c r="R18" i="18"/>
  <c r="AJ10" i="18"/>
  <c r="L18" i="18"/>
  <c r="AJ34" i="18"/>
  <c r="R26" i="18"/>
  <c r="AJ42" i="18"/>
  <c r="R10" i="18"/>
  <c r="X42" i="18"/>
  <c r="L26" i="18"/>
  <c r="R34" i="18"/>
  <c r="L34" i="18"/>
  <c r="AJ18" i="18"/>
  <c r="R42" i="18"/>
  <c r="X26" i="18"/>
  <c r="AD26" i="18"/>
  <c r="X18" i="18"/>
  <c r="AD42" i="18"/>
  <c r="AJ26" i="18"/>
  <c r="X34" i="18"/>
  <c r="L10" i="18"/>
  <c r="L42" i="18"/>
  <c r="X10" i="18"/>
  <c r="AD18" i="18"/>
  <c r="AD10" i="18"/>
  <c r="AD34" i="18"/>
  <c r="O60" i="1"/>
  <c r="P60" i="1"/>
  <c r="V12" i="18"/>
  <c r="V36" i="18"/>
  <c r="V20" i="18"/>
  <c r="V44" i="18"/>
  <c r="V28" i="18"/>
  <c r="AH28" i="18"/>
  <c r="J28" i="18"/>
  <c r="P20" i="18"/>
  <c r="AB20" i="18"/>
  <c r="AH36" i="18"/>
  <c r="J36" i="18"/>
  <c r="AB44" i="18"/>
  <c r="P36" i="18"/>
  <c r="AH44" i="18"/>
  <c r="AB36" i="18"/>
  <c r="J12" i="18"/>
  <c r="J44" i="18"/>
  <c r="AB28" i="18"/>
  <c r="AH12" i="18"/>
  <c r="J20" i="18"/>
  <c r="P12" i="18"/>
  <c r="P28" i="18"/>
  <c r="P44" i="18"/>
  <c r="AB12" i="18"/>
  <c r="AH20" i="18"/>
  <c r="L30" i="18"/>
  <c r="R38" i="18"/>
  <c r="AJ14" i="18"/>
  <c r="R14" i="18"/>
  <c r="L14" i="18"/>
  <c r="AD22" i="18"/>
  <c r="AD30" i="18"/>
  <c r="AJ38" i="18"/>
  <c r="AJ22" i="18"/>
  <c r="X30" i="18"/>
  <c r="P14" i="1"/>
  <c r="AJ6" i="18"/>
  <c r="L38" i="18"/>
  <c r="AD14" i="18"/>
  <c r="X38" i="18"/>
  <c r="R30" i="18"/>
  <c r="AD38" i="18"/>
  <c r="AD6" i="18"/>
  <c r="O14" i="1"/>
  <c r="AD14" i="1" s="1"/>
  <c r="L22" i="18"/>
  <c r="R6" i="18"/>
  <c r="X14" i="18"/>
  <c r="X22" i="18"/>
  <c r="X6" i="18"/>
  <c r="AJ30" i="18"/>
  <c r="R22" i="18"/>
  <c r="L6" i="18"/>
  <c r="O42" i="1"/>
  <c r="P42" i="1"/>
  <c r="AB10" i="18"/>
  <c r="J18" i="18"/>
  <c r="P18" i="18"/>
  <c r="AB18" i="18"/>
  <c r="P34" i="18"/>
  <c r="AH18" i="18"/>
  <c r="J26" i="18"/>
  <c r="AH10" i="18"/>
  <c r="AB42" i="18"/>
  <c r="V18" i="18"/>
  <c r="AB34" i="18"/>
  <c r="V10" i="18"/>
  <c r="P26" i="18"/>
  <c r="P42" i="18"/>
  <c r="V34" i="18"/>
  <c r="AH26" i="18"/>
  <c r="J10" i="18"/>
  <c r="V42" i="18"/>
  <c r="V26" i="18"/>
  <c r="J42" i="18"/>
  <c r="AB26" i="18"/>
  <c r="J34" i="18"/>
  <c r="AH34" i="18"/>
  <c r="P10" i="18"/>
  <c r="AH42" i="18"/>
  <c r="O36" i="1"/>
  <c r="P36" i="1"/>
  <c r="AL32" i="18"/>
  <c r="N40" i="18"/>
  <c r="AF16" i="18"/>
  <c r="T8" i="18"/>
  <c r="AL8" i="18"/>
  <c r="Z8" i="18"/>
  <c r="AF40" i="18"/>
  <c r="Z32" i="18"/>
  <c r="N24" i="18"/>
  <c r="AL40" i="18"/>
  <c r="T40" i="18"/>
  <c r="AL24" i="18"/>
  <c r="T24" i="18"/>
  <c r="Z16" i="18"/>
  <c r="AL16" i="18"/>
  <c r="N8" i="18"/>
  <c r="AF32" i="18"/>
  <c r="AF8" i="18"/>
  <c r="AF24" i="18"/>
  <c r="T16" i="18"/>
  <c r="Z24" i="18"/>
  <c r="Z40" i="18"/>
  <c r="N32" i="18"/>
  <c r="N16" i="18"/>
  <c r="T32" i="18"/>
  <c r="J30" i="18"/>
  <c r="P38" i="18"/>
  <c r="AB6" i="18"/>
  <c r="AB38" i="18"/>
  <c r="AB30" i="18"/>
  <c r="V38" i="18"/>
  <c r="J14" i="18"/>
  <c r="J38" i="18"/>
  <c r="AH6" i="18"/>
  <c r="V6" i="18"/>
  <c r="O10" i="1"/>
  <c r="AD10" i="1" s="1"/>
  <c r="AC10" i="1" s="1"/>
  <c r="AH38" i="18"/>
  <c r="J6" i="18"/>
  <c r="P30" i="18"/>
  <c r="AH22" i="18"/>
  <c r="P6" i="18"/>
  <c r="P22" i="18"/>
  <c r="P10" i="1"/>
  <c r="V30" i="18"/>
  <c r="AH14" i="18"/>
  <c r="AH30" i="18"/>
  <c r="J22" i="18"/>
  <c r="AB22" i="18"/>
  <c r="P14" i="18"/>
  <c r="V22" i="18"/>
  <c r="V14" i="18"/>
  <c r="AB14" i="18"/>
  <c r="P30" i="1"/>
  <c r="O30" i="1"/>
  <c r="L16" i="18"/>
  <c r="AJ16" i="18"/>
  <c r="R8" i="18"/>
  <c r="AD32" i="18"/>
  <c r="R24" i="18"/>
  <c r="R32" i="18"/>
  <c r="AD8" i="18"/>
  <c r="X40" i="18"/>
  <c r="AD16" i="18"/>
  <c r="AJ32" i="18"/>
  <c r="L32" i="18"/>
  <c r="X8" i="18"/>
  <c r="L40" i="18"/>
  <c r="AJ8" i="18"/>
  <c r="L8" i="18"/>
  <c r="R40" i="18"/>
  <c r="X16" i="18"/>
  <c r="AJ24" i="18"/>
  <c r="AJ40" i="18"/>
  <c r="R16" i="18"/>
  <c r="AD40" i="18"/>
  <c r="X32" i="18"/>
  <c r="AD24" i="18"/>
  <c r="L24" i="18"/>
  <c r="X24" i="18"/>
  <c r="O18" i="1"/>
  <c r="P18" i="1"/>
  <c r="AL6" i="18"/>
  <c r="Z30" i="18"/>
  <c r="N30" i="18"/>
  <c r="AF30" i="18"/>
  <c r="Z6" i="18"/>
  <c r="AL38" i="18"/>
  <c r="N14" i="18"/>
  <c r="T14" i="18"/>
  <c r="AL14" i="18"/>
  <c r="N22" i="18"/>
  <c r="Z38" i="18"/>
  <c r="T22" i="18"/>
  <c r="AF6" i="18"/>
  <c r="AF38" i="18"/>
  <c r="T38" i="18"/>
  <c r="N6" i="18"/>
  <c r="AL22" i="18"/>
  <c r="T6" i="18"/>
  <c r="N38" i="18"/>
  <c r="Z14" i="18"/>
  <c r="AF22" i="18"/>
  <c r="AL30" i="18"/>
  <c r="T30" i="18"/>
  <c r="Z22" i="18"/>
  <c r="AF14" i="18"/>
  <c r="AC14" i="1" l="1"/>
  <c r="AE14" i="1" s="1"/>
  <c r="AD15" i="1"/>
  <c r="V26" i="19"/>
  <c r="AH36" i="19"/>
  <c r="P26" i="19"/>
  <c r="V16" i="19"/>
  <c r="V36" i="19"/>
  <c r="AE10" i="1"/>
  <c r="AB36" i="19"/>
  <c r="AB6" i="19"/>
  <c r="P36" i="19"/>
  <c r="J36" i="19"/>
  <c r="AH46" i="19"/>
  <c r="J16" i="19"/>
  <c r="AH16" i="19"/>
  <c r="J26" i="19"/>
  <c r="V6" i="19"/>
  <c r="J46" i="19"/>
  <c r="V46" i="19"/>
  <c r="AB46" i="19"/>
  <c r="P16" i="19"/>
  <c r="P6" i="19"/>
  <c r="AH6" i="19"/>
  <c r="J6" i="19"/>
  <c r="P46" i="19"/>
  <c r="AB26" i="19"/>
  <c r="AB16" i="19"/>
  <c r="AH26" i="19"/>
  <c r="J17" i="19" l="1"/>
  <c r="AH27" i="19"/>
  <c r="P37" i="19"/>
  <c r="J27" i="19"/>
  <c r="V17" i="19"/>
  <c r="AB37" i="19"/>
  <c r="J47" i="19"/>
  <c r="P7" i="19"/>
  <c r="V37" i="19"/>
  <c r="J37" i="19"/>
  <c r="P47" i="19"/>
  <c r="P27" i="19"/>
  <c r="AB17" i="19"/>
  <c r="V47" i="19"/>
  <c r="AB27" i="19"/>
  <c r="V7" i="19"/>
  <c r="P17" i="19"/>
  <c r="AB47" i="19"/>
  <c r="V27" i="19"/>
  <c r="J7" i="19"/>
  <c r="AH7" i="19"/>
  <c r="AB7" i="19"/>
  <c r="AH47" i="19"/>
  <c r="AH17" i="19"/>
  <c r="AH37" i="19"/>
  <c r="AC15" i="1"/>
  <c r="AE15" i="1" s="1"/>
  <c r="AD16" i="1"/>
  <c r="AC16" i="1" s="1"/>
  <c r="Q47" i="19" l="1"/>
  <c r="AI37" i="19"/>
  <c r="AC37" i="19"/>
  <c r="AI27" i="19"/>
  <c r="K37" i="19"/>
  <c r="W27" i="19"/>
  <c r="W17" i="19"/>
  <c r="AC27" i="19"/>
  <c r="AI17" i="19"/>
  <c r="W47" i="19"/>
  <c r="Q17" i="19"/>
  <c r="K47" i="19"/>
  <c r="K7" i="19"/>
  <c r="Q27" i="19"/>
  <c r="AC7" i="19"/>
  <c r="W7" i="19"/>
  <c r="AI7" i="19"/>
  <c r="AC17" i="19"/>
  <c r="K17" i="19"/>
  <c r="AI47" i="19"/>
  <c r="AC47" i="19"/>
  <c r="K27" i="19"/>
  <c r="W37" i="19"/>
  <c r="Q37" i="19"/>
  <c r="Q7" i="19"/>
  <c r="AE16" i="1"/>
  <c r="AJ7" i="19"/>
  <c r="X47" i="19"/>
  <c r="L47" i="19"/>
  <c r="R47" i="19"/>
  <c r="X7" i="19"/>
  <c r="AJ37" i="19"/>
  <c r="L7" i="19"/>
  <c r="R37" i="19"/>
  <c r="AD37" i="19"/>
  <c r="AJ17" i="19"/>
  <c r="L27" i="19"/>
  <c r="L17" i="19"/>
  <c r="AD7" i="19"/>
  <c r="R27" i="19"/>
  <c r="X37" i="19"/>
  <c r="X27" i="19"/>
  <c r="AD27" i="19"/>
  <c r="AD17" i="19"/>
  <c r="L37" i="19"/>
  <c r="X17" i="19"/>
  <c r="AJ47" i="19"/>
  <c r="AD47" i="19"/>
  <c r="R17" i="19"/>
  <c r="R7" i="19"/>
  <c r="AJ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<sst xmlns="http://schemas.openxmlformats.org/spreadsheetml/2006/main" count="497" uniqueCount="235">
  <si>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</si>
  <si>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</si>
  <si>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</si>
  <si>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</si>
  <si>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</si>
  <si>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</si>
  <si>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</si>
  <si>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</si>
  <si>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</si>
  <si>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</si>
  <si>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</si>
  <si>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</si>
  <si>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</si>
  <si>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</si>
  <si>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</si>
  <si>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</si>
  <si>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</si>
  <si>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</si>
  <si>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</si>
  <si>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</si>
  <si>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</si>
  <si>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</si>
  <si>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</si>
  <si>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</si>
  <si>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</si>
  <si>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</si>
  <si>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</si>
  <si>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</si>
  <si>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</si>
  <si>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</si>
  <si>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</si>
  <si>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</si>
  <si>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</si>
  <si>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</si>
  <si>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</si>
  <si>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</si>
  <si>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</si>
  <si>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</si>
  <si>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</si>
  <si>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</si>
  <si>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</si>
  <si>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</si>
  <si>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</si>
  <si>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</si>
  <si>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</si>
  <si>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</si>
  <si>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</si>
  <si>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</si>
  <si>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</si>
  <si>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</si>
  <si>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</si>
  <si>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</si>
  <si>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</si>
  <si>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</si>
  <si>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</si>
  <si>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</si>
  <si>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</si>
  <si>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</si>
  <si>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</si>
  <si>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</si>
  <si>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</si>
  <si>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</si>
  <si>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</si>
  <si>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</si>
  <si>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</si>
  <si>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</si>
  <si>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</si>
  <si>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</si>
  <si>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</si>
  <si>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</si>
  <si>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</si>
  <si>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</si>
  <si>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</si>
  <si>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</si>
  <si>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</si>
  <si>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</si>
  <si>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</si>
  <si>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</si>
  <si>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</si>
  <si>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</si>
  <si>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</si>
  <si>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</si>
  <si>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</si>
  <si>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</si>
  <si>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</si>
  <si>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</si>
  <si>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</si>
  <si>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</si>
  <si>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</si>
  <si>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</si>
  <si>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</si>
  <si>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</si>
  <si>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</si>
  <si>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</si>
  <si>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</si>
  <si>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</si>
  <si>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</si>
  <si>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</si>
  <si>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</si>
  <si>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</si>
  <si>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</si>
  <si>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</si>
  <si>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</si>
  <si>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</si>
  <si>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</si>
  <si>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</si>
  <si>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</si>
  <si>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</si>
  <si>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</si>
  <si>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</si>
  <si>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</si>
  <si>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</si>
  <si>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</si>
  <si>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</si>
  <si>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</si>
  <si>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</si>
  <si>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</si>
  <si>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</si>
  <si>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</si>
  <si>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</si>
  <si>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</si>
  <si>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</si>
  <si>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</si>
  <si>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</si>
  <si>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</si>
  <si>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</si>
  <si>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</si>
  <si>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</si>
  <si>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</si>
  <si>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</si>
  <si>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</si>
  <si>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</si>
  <si>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</si>
  <si>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</si>
  <si>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</si>
  <si>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</si>
  <si>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</si>
  <si>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</si>
  <si>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</si>
  <si>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</si>
  <si>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</si>
  <si>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</si>
  <si>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</si>
  <si>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</si>
  <si>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</si>
  <si>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</si>
  <si>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</si>
  <si>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</si>
  <si>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</si>
  <si>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</si>
  <si>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</si>
  <si>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</si>
  <si>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</si>
  <si>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</si>
  <si>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</si>
  <si>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</si>
  <si>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</si>
  <si>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</si>
  <si>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</si>
  <si>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</si>
  <si>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</si>
  <si>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</si>
  <si>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</si>
  <si>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</si>
  <si>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</si>
  <si>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</si>
  <si>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</si>
  <si>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</si>
  <si>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</si>
  <si>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</si>
  <si>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</si>
  <si>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</si>
  <si>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</si>
  <si>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</si>
  <si>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</si>
  <si>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</si>
  <si>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</si>
  <si>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</si>
  <si>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</si>
  <si>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</si>
  <si>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</si>
  <si>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</si>
  <si>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</si>
  <si>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</si>
  <si>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</si>
  <si>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</si>
  <si>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</si>
  <si>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</si>
  <si>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</si>
  <si>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</si>
  <si>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</si>
  <si>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</si>
  <si>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</si>
  <si>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</si>
  <si>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</si>
  <si>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</si>
  <si>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</si>
  <si>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</si>
  <si>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</si>
  <si>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</si>
  <si>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</si>
  <si>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</si>
  <si>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</si>
  <si>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</si>
  <si>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</si>
  <si>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</si>
  <si>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</si>
  <si>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</si>
  <si>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</si>
  <si>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</si>
  <si>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</si>
  <si>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</si>
  <si>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</si>
  <si>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</si>
  <si>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</si>
  <si>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</si>
  <si>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Gestión inoportuna para dar cumplimiento a las providencias  por parte de los Secretarios de Despacho</t>
  </si>
  <si>
    <t xml:space="preserve">EFECTUAR SEGUIMIENTO AL CUMPLIMIENTO DEL FALLO CONDENATORIO 
EJERCER LA REPRESENTACIÓN DEL MUNICIPIO EN EL PROCESO JUDICIAL
REALIZAR ASESORÍA Y ACOMPAÑAMIENTO JURÍDICO
                          </t>
  </si>
  <si>
    <t>Insuficiencia o inoportunidad en la entrega de informes y/o elementos materiales probatorios que se deban presentar en la actuaciones procesales por parte de las dependencias ejecutoras</t>
  </si>
  <si>
    <t xml:space="preserve">Sanciones Disciplinarias, penales y administrativas -  incidentes de desacato  </t>
  </si>
  <si>
    <t>i</t>
  </si>
  <si>
    <t xml:space="preserve">
inadecuada defensa juridica </t>
  </si>
  <si>
    <t xml:space="preserve">fallos desfavorables en los procesos judiciales </t>
  </si>
  <si>
    <t xml:space="preserve">EJERCER LA REPRESENTACIÓN DEL MUNICIPIO EN EL PROCESO JUDICIAL
EJERCER LA REPRESENTACIÓN DEL MUNICIPIO EN EL PROCESO ADMINISTRATIVO
EFECTUAR SEGUIMIENTO AL CUMPLIMIENTO DEL FALLO CONDENATORIO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</si>
  <si>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</si>
  <si>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probabilidad</t>
  </si>
  <si>
    <t>No cumplimiento de las decisiones impartidas por los  despachos judiciales</t>
  </si>
  <si>
    <t>posibilidad de perdida economica y reputacional, debido sanciones disciplinarias e incidente de desacato, por el incumploimiento de las decisiones impartidas por los  despachos judiciales</t>
  </si>
  <si>
    <t xml:space="preserve">Posibilidad de perdida econocmica y reputacional, debido a fallos desfavorables en los procesos judiciales como consecuencia de una inadecuada defensa juridica.   </t>
  </si>
  <si>
    <t xml:space="preserve"> </t>
  </si>
  <si>
    <t xml:space="preserve">Ausencia de propuestas de defensa  al interor de cada caso en concreto </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</si>
  <si>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</si>
  <si>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falta de actualizacion de las normas y jurisprudencia aplicable a cada caso concreto.</t>
  </si>
  <si>
    <t xml:space="preserve">La Jefe de oficina juridica, enviara a capacitaciones al personal de la oficina para la actualizacion de la normatividad vigente y  validarala la socializacion de los conocimientos adquiridos atravez de los comites juridicos dirigidos por los asistentes a la capacitacion, quienes socializaran al personal de la oficina juridica, dejando como evidencia acta. </t>
  </si>
  <si>
    <t xml:space="preserve">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</si>
</sst>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77111117893"/>
      </right>
      <top style="dashed">
        <color theme="9" tint="-0.24994659260841701"/>
      </top>
      <bottom/>
      <diagonal/>
    </border>
    <border>
      <left style="dashed">
        <color theme="9" tint="-0.249977111117893"/>
      </left>
      <right style="dashed">
        <color theme="9" tint="-0.249977111117893"/>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5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3" borderId="2" xfId="0" applyFont="1" applyFill="1" applyBorder="1" applyAlignment="1" applyProtection="1">
      <alignment horizontal="justify" vertical="top"/>
      <protection locked="0"/>
    </xf>
    <xf numFmtId="0" fontId="6" fillId="3" borderId="2" xfId="0" applyFont="1" applyFill="1" applyBorder="1" applyAlignment="1" applyProtection="1">
      <alignment horizontal="justify" vertical="top" wrapText="1"/>
      <protection locked="0"/>
    </xf>
    <xf numFmtId="0" fontId="1" fillId="3" borderId="2" xfId="0" applyFont="1" applyFill="1" applyBorder="1" applyAlignment="1" applyProtection="1">
      <alignment horizontal="justify" vertical="top" wrapText="1"/>
      <protection locked="0"/>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50" fillId="0" borderId="4" xfId="0" applyFont="1" applyBorder="1" applyAlignment="1" applyProtection="1">
      <alignment horizontal="center" vertical="top" wrapText="1"/>
      <protection locked="0"/>
    </xf>
    <xf numFmtId="0" fontId="50" fillId="0" borderId="8"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7" xfId="0" applyFont="1" applyBorder="1" applyAlignment="1" applyProtection="1">
      <alignment horizontal="center" vertical="top" wrapText="1"/>
      <protection locked="0"/>
    </xf>
    <xf numFmtId="0" fontId="46" fillId="0" borderId="80" xfId="0" applyFont="1" applyBorder="1" applyAlignment="1" applyProtection="1">
      <alignment horizontal="center" vertical="top" wrapText="1"/>
      <protection locked="0"/>
    </xf>
    <xf numFmtId="0" fontId="46" fillId="0" borderId="81" xfId="0" applyFont="1" applyBorder="1" applyAlignment="1" applyProtection="1">
      <alignment horizontal="center" vertical="top" wrapText="1"/>
      <protection locked="0"/>
    </xf>
    <xf numFmtId="0" fontId="46" fillId="0" borderId="79" xfId="0" applyFont="1" applyBorder="1" applyAlignment="1" applyProtection="1">
      <alignment horizontal="center" vertical="top" wrapText="1"/>
      <protection locked="0"/>
    </xf>
    <xf numFmtId="0" fontId="1" fillId="0" borderId="78" xfId="0" applyFont="1" applyBorder="1" applyAlignment="1" applyProtection="1">
      <alignment horizontal="center" vertical="top" wrapText="1"/>
      <protection locked="0"/>
    </xf>
    <xf numFmtId="0" fontId="1" fillId="0" borderId="79"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27" fillId="0" borderId="4"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6" fillId="0" borderId="4"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CIENDA123/Downloads/Formato%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29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C24" zoomScale="185" workbookViewId="0">
      <selection activeCell="E25" sqref="E25:F25"/>
    </sheetView>
  </sheetViews>
  <sheetFormatPr baseColWidth="10"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64" t="s">
        <v>155</v>
      </c>
      <c r="C2" s="165"/>
      <c r="D2" s="165"/>
      <c r="E2" s="165"/>
      <c r="F2" s="165"/>
      <c r="G2" s="165"/>
      <c r="H2" s="166"/>
    </row>
    <row r="3" spans="2:8" x14ac:dyDescent="0.25">
      <c r="B3" s="69"/>
      <c r="C3" s="70"/>
      <c r="D3" s="70"/>
      <c r="E3" s="70"/>
      <c r="F3" s="70"/>
      <c r="G3" s="70"/>
      <c r="H3" s="71"/>
    </row>
    <row r="4" spans="2:8" ht="63" customHeight="1" x14ac:dyDescent="0.25">
      <c r="B4" s="167" t="s">
        <v>198</v>
      </c>
      <c r="C4" s="168"/>
      <c r="D4" s="168"/>
      <c r="E4" s="168"/>
      <c r="F4" s="168"/>
      <c r="G4" s="168"/>
      <c r="H4" s="169"/>
    </row>
    <row r="5" spans="2:8" ht="63" customHeight="1" x14ac:dyDescent="0.25">
      <c r="B5" s="170"/>
      <c r="C5" s="171"/>
      <c r="D5" s="171"/>
      <c r="E5" s="171"/>
      <c r="F5" s="171"/>
      <c r="G5" s="171"/>
      <c r="H5" s="172"/>
    </row>
    <row r="6" spans="2:8" ht="16.5" x14ac:dyDescent="0.25">
      <c r="B6" s="173" t="s">
        <v>153</v>
      </c>
      <c r="C6" s="174"/>
      <c r="D6" s="174"/>
      <c r="E6" s="174"/>
      <c r="F6" s="174"/>
      <c r="G6" s="174"/>
      <c r="H6" s="175"/>
    </row>
    <row r="7" spans="2:8" ht="95.25" customHeight="1" x14ac:dyDescent="0.25">
      <c r="B7" s="183" t="s">
        <v>158</v>
      </c>
      <c r="C7" s="184"/>
      <c r="D7" s="184"/>
      <c r="E7" s="184"/>
      <c r="F7" s="184"/>
      <c r="G7" s="184"/>
      <c r="H7" s="185"/>
    </row>
    <row r="8" spans="2:8" ht="16.5" x14ac:dyDescent="0.25">
      <c r="B8" s="104"/>
      <c r="C8" s="105"/>
      <c r="D8" s="105"/>
      <c r="E8" s="105"/>
      <c r="F8" s="105"/>
      <c r="G8" s="105"/>
      <c r="H8" s="106"/>
    </row>
    <row r="9" spans="2:8" ht="16.5" customHeight="1" x14ac:dyDescent="0.25">
      <c r="B9" s="176" t="s">
        <v>191</v>
      </c>
      <c r="C9" s="177"/>
      <c r="D9" s="177"/>
      <c r="E9" s="177"/>
      <c r="F9" s="177"/>
      <c r="G9" s="177"/>
      <c r="H9" s="178"/>
    </row>
    <row r="10" spans="2:8" ht="44.25" customHeight="1" x14ac:dyDescent="0.25">
      <c r="B10" s="176"/>
      <c r="C10" s="177"/>
      <c r="D10" s="177"/>
      <c r="E10" s="177"/>
      <c r="F10" s="177"/>
      <c r="G10" s="177"/>
      <c r="H10" s="178"/>
    </row>
    <row r="11" spans="2:8" ht="15.75" thickBot="1" x14ac:dyDescent="0.3">
      <c r="B11" s="92"/>
      <c r="C11" s="95"/>
      <c r="D11" s="100"/>
      <c r="E11" s="101"/>
      <c r="F11" s="101"/>
      <c r="G11" s="102"/>
      <c r="H11" s="103"/>
    </row>
    <row r="12" spans="2:8" ht="15.75" thickTop="1" x14ac:dyDescent="0.25">
      <c r="B12" s="92"/>
      <c r="C12" s="179" t="s">
        <v>154</v>
      </c>
      <c r="D12" s="180"/>
      <c r="E12" s="181" t="s">
        <v>192</v>
      </c>
      <c r="F12" s="182"/>
      <c r="G12" s="95"/>
      <c r="H12" s="96"/>
    </row>
    <row r="13" spans="2:8" ht="35.25" customHeight="1" x14ac:dyDescent="0.25">
      <c r="B13" s="92"/>
      <c r="C13" s="186" t="s">
        <v>185</v>
      </c>
      <c r="D13" s="187"/>
      <c r="E13" s="188" t="s">
        <v>190</v>
      </c>
      <c r="F13" s="189"/>
      <c r="G13" s="95"/>
      <c r="H13" s="96"/>
    </row>
    <row r="14" spans="2:8" ht="17.25" customHeight="1" x14ac:dyDescent="0.25">
      <c r="B14" s="92"/>
      <c r="C14" s="186" t="s">
        <v>186</v>
      </c>
      <c r="D14" s="187"/>
      <c r="E14" s="188" t="s">
        <v>188</v>
      </c>
      <c r="F14" s="189"/>
      <c r="G14" s="95"/>
      <c r="H14" s="96"/>
    </row>
    <row r="15" spans="2:8" ht="19.5" customHeight="1" x14ac:dyDescent="0.25">
      <c r="B15" s="92"/>
      <c r="C15" s="186" t="s">
        <v>187</v>
      </c>
      <c r="D15" s="187"/>
      <c r="E15" s="188" t="s">
        <v>189</v>
      </c>
      <c r="F15" s="189"/>
      <c r="G15" s="95"/>
      <c r="H15" s="96"/>
    </row>
    <row r="16" spans="2:8" ht="69.75" customHeight="1" x14ac:dyDescent="0.25">
      <c r="B16" s="92"/>
      <c r="C16" s="186" t="s">
        <v>156</v>
      </c>
      <c r="D16" s="187"/>
      <c r="E16" s="188" t="s">
        <v>157</v>
      </c>
      <c r="F16" s="189"/>
      <c r="G16" s="95"/>
      <c r="H16" s="96"/>
    </row>
    <row r="17" spans="2:8" ht="34.5" customHeight="1" x14ac:dyDescent="0.25">
      <c r="B17" s="92"/>
      <c r="C17" s="190" t="s">
        <v>2</v>
      </c>
      <c r="D17" s="191"/>
      <c r="E17" s="192" t="s">
        <v>199</v>
      </c>
      <c r="F17" s="193"/>
      <c r="G17" s="95"/>
      <c r="H17" s="96"/>
    </row>
    <row r="18" spans="2:8" ht="27.75" customHeight="1" x14ac:dyDescent="0.25">
      <c r="B18" s="92"/>
      <c r="C18" s="190" t="s">
        <v>3</v>
      </c>
      <c r="D18" s="191"/>
      <c r="E18" s="192" t="s">
        <v>200</v>
      </c>
      <c r="F18" s="193"/>
      <c r="G18" s="95"/>
      <c r="H18" s="96"/>
    </row>
    <row r="19" spans="2:8" ht="28.5" customHeight="1" x14ac:dyDescent="0.25">
      <c r="B19" s="92"/>
      <c r="C19" s="190" t="s">
        <v>42</v>
      </c>
      <c r="D19" s="191"/>
      <c r="E19" s="192" t="s">
        <v>201</v>
      </c>
      <c r="F19" s="193"/>
      <c r="G19" s="95"/>
      <c r="H19" s="96"/>
    </row>
    <row r="20" spans="2:8" ht="72.75" customHeight="1" x14ac:dyDescent="0.25">
      <c r="B20" s="92"/>
      <c r="C20" s="190" t="s">
        <v>1</v>
      </c>
      <c r="D20" s="191"/>
      <c r="E20" s="192" t="s">
        <v>202</v>
      </c>
      <c r="F20" s="193"/>
      <c r="G20" s="95"/>
      <c r="H20" s="96"/>
    </row>
    <row r="21" spans="2:8" ht="64.5" customHeight="1" x14ac:dyDescent="0.25">
      <c r="B21" s="92"/>
      <c r="C21" s="190" t="s">
        <v>50</v>
      </c>
      <c r="D21" s="191"/>
      <c r="E21" s="192" t="s">
        <v>160</v>
      </c>
      <c r="F21" s="193"/>
      <c r="G21" s="95"/>
      <c r="H21" s="96"/>
    </row>
    <row r="22" spans="2:8" ht="71.25" customHeight="1" x14ac:dyDescent="0.25">
      <c r="B22" s="92"/>
      <c r="C22" s="190" t="s">
        <v>159</v>
      </c>
      <c r="D22" s="191"/>
      <c r="E22" s="192" t="s">
        <v>161</v>
      </c>
      <c r="F22" s="193"/>
      <c r="G22" s="95"/>
      <c r="H22" s="96"/>
    </row>
    <row r="23" spans="2:8" ht="55.5" customHeight="1" x14ac:dyDescent="0.25">
      <c r="B23" s="92"/>
      <c r="C23" s="197" t="s">
        <v>162</v>
      </c>
      <c r="D23" s="198"/>
      <c r="E23" s="192" t="s">
        <v>163</v>
      </c>
      <c r="F23" s="193"/>
      <c r="G23" s="95"/>
      <c r="H23" s="96"/>
    </row>
    <row r="24" spans="2:8" ht="42" customHeight="1" x14ac:dyDescent="0.25">
      <c r="B24" s="92"/>
      <c r="C24" s="197" t="s">
        <v>48</v>
      </c>
      <c r="D24" s="198"/>
      <c r="E24" s="192" t="s">
        <v>164</v>
      </c>
      <c r="F24" s="193"/>
      <c r="G24" s="95"/>
      <c r="H24" s="96"/>
    </row>
    <row r="25" spans="2:8" ht="59.25" customHeight="1" x14ac:dyDescent="0.25">
      <c r="B25" s="92"/>
      <c r="C25" s="197" t="s">
        <v>152</v>
      </c>
      <c r="D25" s="198"/>
      <c r="E25" s="192" t="s">
        <v>165</v>
      </c>
      <c r="F25" s="193"/>
      <c r="G25" s="95"/>
      <c r="H25" s="96"/>
    </row>
    <row r="26" spans="2:8" ht="23.25" customHeight="1" x14ac:dyDescent="0.25">
      <c r="B26" s="92"/>
      <c r="C26" s="197" t="s">
        <v>12</v>
      </c>
      <c r="D26" s="198"/>
      <c r="E26" s="192" t="s">
        <v>166</v>
      </c>
      <c r="F26" s="193"/>
      <c r="G26" s="95"/>
      <c r="H26" s="96"/>
    </row>
    <row r="27" spans="2:8" ht="30.75" customHeight="1" x14ac:dyDescent="0.25">
      <c r="B27" s="92"/>
      <c r="C27" s="197" t="s">
        <v>170</v>
      </c>
      <c r="D27" s="198"/>
      <c r="E27" s="192" t="s">
        <v>167</v>
      </c>
      <c r="F27" s="193"/>
      <c r="G27" s="95"/>
      <c r="H27" s="96"/>
    </row>
    <row r="28" spans="2:8" ht="35.25" customHeight="1" x14ac:dyDescent="0.25">
      <c r="B28" s="92"/>
      <c r="C28" s="197" t="s">
        <v>171</v>
      </c>
      <c r="D28" s="198"/>
      <c r="E28" s="192" t="s">
        <v>168</v>
      </c>
      <c r="F28" s="193"/>
      <c r="G28" s="95"/>
      <c r="H28" s="96"/>
    </row>
    <row r="29" spans="2:8" ht="33" customHeight="1" x14ac:dyDescent="0.25">
      <c r="B29" s="92"/>
      <c r="C29" s="197" t="s">
        <v>171</v>
      </c>
      <c r="D29" s="198"/>
      <c r="E29" s="192" t="s">
        <v>168</v>
      </c>
      <c r="F29" s="193"/>
      <c r="G29" s="95"/>
      <c r="H29" s="96"/>
    </row>
    <row r="30" spans="2:8" ht="30" customHeight="1" x14ac:dyDescent="0.25">
      <c r="B30" s="92"/>
      <c r="C30" s="197" t="s">
        <v>172</v>
      </c>
      <c r="D30" s="198"/>
      <c r="E30" s="192" t="s">
        <v>169</v>
      </c>
      <c r="F30" s="193"/>
      <c r="G30" s="95"/>
      <c r="H30" s="96"/>
    </row>
    <row r="31" spans="2:8" ht="35.25" customHeight="1" x14ac:dyDescent="0.25">
      <c r="B31" s="92"/>
      <c r="C31" s="197" t="s">
        <v>173</v>
      </c>
      <c r="D31" s="198"/>
      <c r="E31" s="192" t="s">
        <v>174</v>
      </c>
      <c r="F31" s="193"/>
      <c r="G31" s="95"/>
      <c r="H31" s="96"/>
    </row>
    <row r="32" spans="2:8" ht="31.5" customHeight="1" x14ac:dyDescent="0.25">
      <c r="B32" s="92"/>
      <c r="C32" s="197" t="s">
        <v>175</v>
      </c>
      <c r="D32" s="198"/>
      <c r="E32" s="192" t="s">
        <v>176</v>
      </c>
      <c r="F32" s="193"/>
      <c r="G32" s="95"/>
      <c r="H32" s="96"/>
    </row>
    <row r="33" spans="2:8" ht="35.25" customHeight="1" x14ac:dyDescent="0.25">
      <c r="B33" s="92"/>
      <c r="C33" s="197" t="s">
        <v>177</v>
      </c>
      <c r="D33" s="198"/>
      <c r="E33" s="192" t="s">
        <v>178</v>
      </c>
      <c r="F33" s="193"/>
      <c r="G33" s="95"/>
      <c r="H33" s="96"/>
    </row>
    <row r="34" spans="2:8" ht="59.25" customHeight="1" x14ac:dyDescent="0.25">
      <c r="B34" s="92"/>
      <c r="C34" s="197" t="s">
        <v>179</v>
      </c>
      <c r="D34" s="198"/>
      <c r="E34" s="192" t="s">
        <v>180</v>
      </c>
      <c r="F34" s="193"/>
      <c r="G34" s="95"/>
      <c r="H34" s="96"/>
    </row>
    <row r="35" spans="2:8" ht="29.25" customHeight="1" x14ac:dyDescent="0.25">
      <c r="B35" s="92"/>
      <c r="C35" s="197" t="s">
        <v>29</v>
      </c>
      <c r="D35" s="198"/>
      <c r="E35" s="192" t="s">
        <v>181</v>
      </c>
      <c r="F35" s="193"/>
      <c r="G35" s="95"/>
      <c r="H35" s="96"/>
    </row>
    <row r="36" spans="2:8" ht="82.5" customHeight="1" x14ac:dyDescent="0.25">
      <c r="B36" s="92"/>
      <c r="C36" s="197" t="s">
        <v>183</v>
      </c>
      <c r="D36" s="198"/>
      <c r="E36" s="192" t="s">
        <v>182</v>
      </c>
      <c r="F36" s="193"/>
      <c r="G36" s="95"/>
      <c r="H36" s="96"/>
    </row>
    <row r="37" spans="2:8" ht="46.5" customHeight="1" x14ac:dyDescent="0.25">
      <c r="B37" s="92"/>
      <c r="C37" s="197" t="s">
        <v>39</v>
      </c>
      <c r="D37" s="198"/>
      <c r="E37" s="192" t="s">
        <v>184</v>
      </c>
      <c r="F37" s="193"/>
      <c r="G37" s="95"/>
      <c r="H37" s="96"/>
    </row>
    <row r="38" spans="2:8" ht="6.75" customHeight="1" thickBot="1" x14ac:dyDescent="0.3">
      <c r="B38" s="92"/>
      <c r="C38" s="199"/>
      <c r="D38" s="200"/>
      <c r="E38" s="201"/>
      <c r="F38" s="202"/>
      <c r="G38" s="95"/>
      <c r="H38" s="96"/>
    </row>
    <row r="39" spans="2:8" ht="15.75" thickTop="1" x14ac:dyDescent="0.25">
      <c r="B39" s="92"/>
      <c r="C39" s="93"/>
      <c r="D39" s="93"/>
      <c r="E39" s="94"/>
      <c r="F39" s="94"/>
      <c r="G39" s="95"/>
      <c r="H39" s="96"/>
    </row>
    <row r="40" spans="2:8" ht="21" customHeight="1" x14ac:dyDescent="0.25">
      <c r="B40" s="194" t="s">
        <v>193</v>
      </c>
      <c r="C40" s="195"/>
      <c r="D40" s="195"/>
      <c r="E40" s="195"/>
      <c r="F40" s="195"/>
      <c r="G40" s="195"/>
      <c r="H40" s="196"/>
    </row>
    <row r="41" spans="2:8" ht="20.25" customHeight="1" x14ac:dyDescent="0.25">
      <c r="B41" s="194" t="s">
        <v>194</v>
      </c>
      <c r="C41" s="195"/>
      <c r="D41" s="195"/>
      <c r="E41" s="195"/>
      <c r="F41" s="195"/>
      <c r="G41" s="195"/>
      <c r="H41" s="196"/>
    </row>
    <row r="42" spans="2:8" ht="20.25" customHeight="1" x14ac:dyDescent="0.25">
      <c r="B42" s="194" t="s">
        <v>195</v>
      </c>
      <c r="C42" s="195"/>
      <c r="D42" s="195"/>
      <c r="E42" s="195"/>
      <c r="F42" s="195"/>
      <c r="G42" s="195"/>
      <c r="H42" s="196"/>
    </row>
    <row r="43" spans="2:8" ht="20.25" customHeight="1" x14ac:dyDescent="0.25">
      <c r="B43" s="194" t="s">
        <v>196</v>
      </c>
      <c r="C43" s="195"/>
      <c r="D43" s="195"/>
      <c r="E43" s="195"/>
      <c r="F43" s="195"/>
      <c r="G43" s="195"/>
      <c r="H43" s="196"/>
    </row>
    <row r="44" spans="2:8" x14ac:dyDescent="0.25">
      <c r="B44" s="194" t="s">
        <v>197</v>
      </c>
      <c r="C44" s="195"/>
      <c r="D44" s="195"/>
      <c r="E44" s="195"/>
      <c r="F44" s="195"/>
      <c r="G44" s="195"/>
      <c r="H44" s="196"/>
    </row>
    <row r="45" spans="2:8" ht="15.75" thickBot="1" x14ac:dyDescent="0.3">
      <c r="B45" s="97"/>
      <c r="C45" s="98"/>
      <c r="D45" s="98"/>
      <c r="E45" s="98"/>
      <c r="F45" s="98"/>
      <c r="G45" s="98"/>
      <c r="H45" s="9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68"/>
  <sheetViews>
    <sheetView tabSelected="1" topLeftCell="D13" zoomScale="114" zoomScaleNormal="85" workbookViewId="0">
      <selection activeCell="I14" sqref="I14:I17"/>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8.570312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88" t="s">
        <v>139</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90"/>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91"/>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3"/>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7" t="s">
        <v>43</v>
      </c>
      <c r="B4" s="248"/>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47" t="s">
        <v>125</v>
      </c>
      <c r="B5" s="248"/>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7" t="s">
        <v>44</v>
      </c>
      <c r="B6" s="248"/>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94" t="s">
        <v>134</v>
      </c>
      <c r="B7" s="295"/>
      <c r="C7" s="296"/>
      <c r="D7" s="296"/>
      <c r="E7" s="296"/>
      <c r="F7" s="296"/>
      <c r="G7" s="296"/>
      <c r="H7" s="296"/>
      <c r="I7" s="297"/>
      <c r="J7" s="239" t="s">
        <v>135</v>
      </c>
      <c r="K7" s="296"/>
      <c r="L7" s="296"/>
      <c r="M7" s="296"/>
      <c r="N7" s="296"/>
      <c r="O7" s="296"/>
      <c r="P7" s="297"/>
      <c r="Q7" s="239" t="s">
        <v>136</v>
      </c>
      <c r="R7" s="296"/>
      <c r="S7" s="296"/>
      <c r="T7" s="296"/>
      <c r="U7" s="296"/>
      <c r="V7" s="296"/>
      <c r="W7" s="296"/>
      <c r="X7" s="296"/>
      <c r="Y7" s="297"/>
      <c r="Z7" s="239" t="s">
        <v>137</v>
      </c>
      <c r="AA7" s="296"/>
      <c r="AB7" s="296"/>
      <c r="AC7" s="296"/>
      <c r="AD7" s="296"/>
      <c r="AE7" s="296"/>
      <c r="AF7" s="297"/>
      <c r="AG7" s="239" t="s">
        <v>34</v>
      </c>
      <c r="AH7" s="296"/>
      <c r="AI7" s="296"/>
      <c r="AJ7" s="296"/>
      <c r="AK7" s="296"/>
      <c r="AL7" s="297"/>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9" t="s">
        <v>0</v>
      </c>
      <c r="B8" s="241" t="s">
        <v>2</v>
      </c>
      <c r="C8" s="235" t="s">
        <v>3</v>
      </c>
      <c r="D8" s="235" t="s">
        <v>42</v>
      </c>
      <c r="E8" s="242" t="s">
        <v>203</v>
      </c>
      <c r="F8" s="251" t="s">
        <v>1</v>
      </c>
      <c r="G8" s="149"/>
      <c r="H8" s="242" t="s">
        <v>50</v>
      </c>
      <c r="I8" s="235" t="s">
        <v>130</v>
      </c>
      <c r="J8" s="237" t="s">
        <v>33</v>
      </c>
      <c r="K8" s="238" t="s">
        <v>5</v>
      </c>
      <c r="L8" s="242" t="s">
        <v>86</v>
      </c>
      <c r="M8" s="242" t="s">
        <v>91</v>
      </c>
      <c r="N8" s="240" t="s">
        <v>45</v>
      </c>
      <c r="O8" s="238" t="s">
        <v>5</v>
      </c>
      <c r="P8" s="235" t="s">
        <v>48</v>
      </c>
      <c r="Q8" s="253" t="s">
        <v>11</v>
      </c>
      <c r="R8" s="236" t="s">
        <v>152</v>
      </c>
      <c r="S8" s="242" t="s">
        <v>12</v>
      </c>
      <c r="T8" s="236" t="s">
        <v>8</v>
      </c>
      <c r="U8" s="236"/>
      <c r="V8" s="236"/>
      <c r="W8" s="236"/>
      <c r="X8" s="236"/>
      <c r="Y8" s="236"/>
      <c r="Z8" s="234" t="s">
        <v>133</v>
      </c>
      <c r="AA8" s="234" t="s">
        <v>46</v>
      </c>
      <c r="AB8" s="234" t="s">
        <v>5</v>
      </c>
      <c r="AC8" s="234" t="s">
        <v>47</v>
      </c>
      <c r="AD8" s="234" t="s">
        <v>5</v>
      </c>
      <c r="AE8" s="234" t="s">
        <v>49</v>
      </c>
      <c r="AF8" s="253" t="s">
        <v>29</v>
      </c>
      <c r="AG8" s="236" t="s">
        <v>34</v>
      </c>
      <c r="AH8" s="236" t="s">
        <v>35</v>
      </c>
      <c r="AI8" s="236" t="s">
        <v>36</v>
      </c>
      <c r="AJ8" s="236" t="s">
        <v>38</v>
      </c>
      <c r="AK8" s="236" t="s">
        <v>37</v>
      </c>
      <c r="AL8" s="236"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50"/>
      <c r="B9" s="241"/>
      <c r="C9" s="236"/>
      <c r="D9" s="236"/>
      <c r="E9" s="237"/>
      <c r="F9" s="252"/>
      <c r="G9" s="149" t="s">
        <v>204</v>
      </c>
      <c r="H9" s="235"/>
      <c r="I9" s="236"/>
      <c r="J9" s="235"/>
      <c r="K9" s="239"/>
      <c r="L9" s="235"/>
      <c r="M9" s="235"/>
      <c r="N9" s="239"/>
      <c r="O9" s="239"/>
      <c r="P9" s="236"/>
      <c r="Q9" s="254"/>
      <c r="R9" s="236"/>
      <c r="S9" s="235"/>
      <c r="T9" s="7" t="s">
        <v>13</v>
      </c>
      <c r="U9" s="7" t="s">
        <v>17</v>
      </c>
      <c r="V9" s="7" t="s">
        <v>28</v>
      </c>
      <c r="W9" s="7" t="s">
        <v>18</v>
      </c>
      <c r="X9" s="7" t="s">
        <v>21</v>
      </c>
      <c r="Y9" s="7" t="s">
        <v>24</v>
      </c>
      <c r="Z9" s="234"/>
      <c r="AA9" s="234"/>
      <c r="AB9" s="234"/>
      <c r="AC9" s="234"/>
      <c r="AD9" s="234"/>
      <c r="AE9" s="234"/>
      <c r="AF9" s="254"/>
      <c r="AG9" s="236"/>
      <c r="AH9" s="236"/>
      <c r="AI9" s="236"/>
      <c r="AJ9" s="236"/>
      <c r="AK9" s="236"/>
      <c r="AL9" s="236"/>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43.25" customHeight="1" x14ac:dyDescent="0.25">
      <c r="A10" s="219">
        <v>1</v>
      </c>
      <c r="B10" s="221" t="s">
        <v>129</v>
      </c>
      <c r="C10" s="221" t="s">
        <v>219</v>
      </c>
      <c r="D10" s="221" t="s">
        <v>226</v>
      </c>
      <c r="E10" s="232" t="s">
        <v>216</v>
      </c>
      <c r="F10" s="203" t="s">
        <v>227</v>
      </c>
      <c r="G10" s="229" t="s">
        <v>217</v>
      </c>
      <c r="H10" s="213" t="s">
        <v>118</v>
      </c>
      <c r="I10" s="215">
        <v>300</v>
      </c>
      <c r="J10" s="217" t="str">
        <f>IF(I10&lt;=0,"",IF(I10&lt;=2,"Muy Baja",IF(I10&lt;=24,"Baja",IF(I10&lt;=500,"Media",IF(I10&lt;=5000,"Alta","Muy Alta")))))</f>
        <v>Media</v>
      </c>
      <c r="K10" s="225">
        <f>IF(J10="","",IF(J10="Muy Baja",0.2,IF(J10="Baja",0.4,IF(J10="Media",0.6,IF(J10="Alta",0.8,IF(J10="Muy Alta",1,))))))</f>
        <v>0.6</v>
      </c>
      <c r="L10" s="227" t="s">
        <v>146</v>
      </c>
      <c r="M10" s="225"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17" t="str">
        <f ca="1">IF(OR(M10='Tabla Impacto'!$C$11,M10='Tabla Impacto'!$D$11),"Leve",IF(OR(M10='Tabla Impacto'!$C$12,M10='Tabla Impacto'!$D$12),"Menor",IF(OR(M10='Tabla Impacto'!$C$13,M10='Tabla Impacto'!$D$13),"Moderado",IF(OR(M10='Tabla Impacto'!$C$14,M10='Tabla Impacto'!$D$14),"Mayor",IF(OR(M10='Tabla Impacto'!$C$15,M10='Tabla Impacto'!$D$15),"Catastrófico","")))))</f>
        <v>Mayor</v>
      </c>
      <c r="O10" s="225">
        <f ca="1">IF(N10="","",IF(N10="Leve",0.2,IF(N10="Menor",0.4,IF(N10="Moderado",0.6,IF(N10="Mayor",0.8,IF(N10="Catastrófico",1,))))))</f>
        <v>0.8</v>
      </c>
      <c r="P10" s="22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7">
        <v>1</v>
      </c>
      <c r="R10" s="163" t="s">
        <v>234</v>
      </c>
      <c r="S10" s="109" t="str">
        <f>IF(OR(T10="Preventivo",T10="Detectivo"),"Probabilidad",IF(T10="Correctivo","Impacto",""))</f>
        <v>Probabilidad</v>
      </c>
      <c r="T10" s="122" t="s">
        <v>14</v>
      </c>
      <c r="U10" s="122" t="s">
        <v>9</v>
      </c>
      <c r="V10" s="123" t="str">
        <f>IF(AND(T10="Preventivo",U10="Automático"),"50%",IF(AND(T10="Preventivo",U10="Manual"),"40%",IF(AND(T10="Detectivo",U10="Automático"),"40%",IF(AND(T10="Detectivo",U10="Manual"),"30%",IF(AND(T10="Correctivo",U10="Automático"),"35%",IF(AND(T10="Correctivo",U10="Manual"),"25%",""))))))</f>
        <v>40%</v>
      </c>
      <c r="W10" s="122" t="s">
        <v>19</v>
      </c>
      <c r="X10" s="122" t="s">
        <v>23</v>
      </c>
      <c r="Y10" s="122" t="s">
        <v>114</v>
      </c>
      <c r="Z10" s="112">
        <f>IFERROR(IF(S10="Probabilidad",(K10-(+K10*V10)),IF(S10="Impacto",K10,"")),"")</f>
        <v>0.36</v>
      </c>
      <c r="AA10" s="127" t="str">
        <f>IFERROR(IF(Z10="","",IF(Z10&lt;=0.2,"Muy Baja",IF(Z10&lt;=0.4,"Baja",IF(Z10&lt;=0.6,"Media",IF(Z10&lt;=0.8,"Alta","Muy Alta"))))),"")</f>
        <v>Baja</v>
      </c>
      <c r="AB10" s="128">
        <f>+Z10</f>
        <v>0.36</v>
      </c>
      <c r="AC10" s="127" t="str">
        <f ca="1">IFERROR(IF(AD10="","",IF(AD10&lt;=0.2,"Leve",IF(AD10&lt;=0.4,"Menor",IF(AD10&lt;=0.6,"Moderado",IF(AD10&lt;=0.8,"Mayor","Catastrófico"))))),"")</f>
        <v>Mayor</v>
      </c>
      <c r="AD10" s="128">
        <f ca="1">IFERROR(IF(S10="Impacto",(O10-(+O10*V10)),IF(S10="Probabilidad",O10,"")),"")</f>
        <v>0.8</v>
      </c>
      <c r="AE10" s="129"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30"/>
      <c r="AG10" s="124"/>
      <c r="AH10" s="125"/>
      <c r="AI10" s="126"/>
      <c r="AJ10" s="126"/>
      <c r="AK10" s="124"/>
      <c r="AL10" s="125"/>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32.25" customHeight="1" x14ac:dyDescent="0.3">
      <c r="A11" s="220"/>
      <c r="B11" s="222"/>
      <c r="C11" s="222"/>
      <c r="D11" s="222"/>
      <c r="E11" s="233"/>
      <c r="F11" s="204"/>
      <c r="G11" s="230"/>
      <c r="H11" s="214"/>
      <c r="I11" s="216"/>
      <c r="J11" s="218"/>
      <c r="K11" s="226"/>
      <c r="L11" s="228"/>
      <c r="M11" s="226">
        <f ca="1">IF(NOT(ISERROR(MATCH(L11,_xlfn.ANCHORARRAY(F18),0))),K20&amp;"Por favor no seleccionar los criterios de impacto",L11)</f>
        <v>0</v>
      </c>
      <c r="N11" s="218"/>
      <c r="O11" s="226"/>
      <c r="P11" s="224"/>
      <c r="Q11" s="107">
        <v>2</v>
      </c>
      <c r="R11" s="108"/>
      <c r="S11" s="109" t="str">
        <f>IF(OR(T11="Preventivo",T11="Detectivo"),"Probabilidad",IF(T11="Correctivo","Impacto",""))</f>
        <v/>
      </c>
      <c r="T11" s="122"/>
      <c r="U11" s="122"/>
      <c r="V11" s="123" t="str">
        <f t="shared" ref="V11" si="0">IF(AND(T11="Preventivo",U11="Automático"),"50%",IF(AND(T11="Preventivo",U11="Manual"),"40%",IF(AND(T11="Detectivo",U11="Automático"),"40%",IF(AND(T11="Detectivo",U11="Manual"),"30%",IF(AND(T11="Correctivo",U11="Automático"),"35%",IF(AND(T11="Correctivo",U11="Manual"),"25%",""))))))</f>
        <v/>
      </c>
      <c r="W11" s="122"/>
      <c r="X11" s="122"/>
      <c r="Y11" s="122"/>
      <c r="Z11" s="112" t="str">
        <f>IFERROR(IF(AND(S10="Probabilidad",S11="Probabilidad"),(AB10-(+AB10*V11)),IF(AND(S10="Impacto",S11="Probabilidad"),(AB9-(+AB9*V11)),IF(S11="Impacto",AB10,""))),"")</f>
        <v/>
      </c>
      <c r="AA11" s="127" t="str">
        <f t="shared" ref="AA11" si="1">IFERROR(IF(Z11="","",IF(Z11&lt;=0.2,"Muy Baja",IF(Z11&lt;=0.4,"Baja",IF(Z11&lt;=0.6,"Media",IF(Z11&lt;=0.8,"Alta","Muy Alta"))))),"")</f>
        <v/>
      </c>
      <c r="AB11" s="128" t="str">
        <f t="shared" ref="AB11" si="2">+Z11</f>
        <v/>
      </c>
      <c r="AC11" s="127" t="str">
        <f t="shared" ref="AC11" si="3">IFERROR(IF(AD11="","",IF(AD11&lt;=0.2,"Leve",IF(AD11&lt;=0.4,"Menor",IF(AD11&lt;=0.6,"Moderado",IF(AD11&lt;=0.8,"Mayor","Catastrófico"))))),"")</f>
        <v/>
      </c>
      <c r="AD11" s="131" t="str">
        <f>IFERROR(IF(AND(S10="Impacto",S11="Impacto"),(AD10-(+AD10*V11)),IF(AND(S10="Probabilidad",S11="Impacto"),(AD9-(+AD9*V11)),IF(S11="Probabilidad",AD10,""))),"")</f>
        <v/>
      </c>
      <c r="AE11" s="129" t="str">
        <f t="shared" ref="AE1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30"/>
      <c r="AG11" s="117"/>
      <c r="AH11" s="118"/>
      <c r="AI11" s="119"/>
      <c r="AJ11" s="119"/>
      <c r="AK11" s="117"/>
      <c r="AL11" s="11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72.75" customHeight="1" x14ac:dyDescent="0.3">
      <c r="A12" s="220"/>
      <c r="B12" s="222"/>
      <c r="C12" s="222"/>
      <c r="D12" s="222"/>
      <c r="E12" s="206" t="s">
        <v>218</v>
      </c>
      <c r="F12" s="204"/>
      <c r="G12" s="230"/>
      <c r="H12" s="214"/>
      <c r="I12" s="216"/>
      <c r="J12" s="218"/>
      <c r="K12" s="226"/>
      <c r="L12" s="228"/>
      <c r="M12" s="226">
        <f ca="1">IF(NOT(ISERROR(MATCH(L12,_xlfn.ANCHORARRAY(F19),0))),K21&amp;"Por favor no seleccionar los criterios de impacto",L12)</f>
        <v>0</v>
      </c>
      <c r="N12" s="218"/>
      <c r="O12" s="226"/>
      <c r="P12" s="224"/>
      <c r="Q12" s="107">
        <v>3</v>
      </c>
      <c r="R12" s="120"/>
      <c r="S12" s="109" t="str">
        <f t="shared" ref="S12:S13" si="5">IF(OR(T12="Preventivo",T12="Detectivo"),"Probabilidad",IF(T12="Correctivo","Impacto",""))</f>
        <v/>
      </c>
      <c r="T12" s="122"/>
      <c r="U12" s="122"/>
      <c r="V12" s="123" t="str">
        <f t="shared" ref="V12:V13" si="6">IF(AND(T12="Preventivo",U12="Automático"),"50%",IF(AND(T12="Preventivo",U12="Manual"),"40%",IF(AND(T12="Detectivo",U12="Automático"),"40%",IF(AND(T12="Detectivo",U12="Manual"),"30%",IF(AND(T12="Correctivo",U12="Automático"),"35%",IF(AND(T12="Correctivo",U12="Manual"),"25%",""))))))</f>
        <v/>
      </c>
      <c r="W12" s="122"/>
      <c r="X12" s="122"/>
      <c r="Y12" s="122"/>
      <c r="Z12" s="112" t="str">
        <f t="shared" ref="Z12:Z13" si="7">IFERROR(IF(AND(S11="Probabilidad",S12="Probabilidad"),(AB11-(+AB11*V12)),IF(AND(S11="Impacto",S12="Probabilidad"),(AB10-(+AB10*V12)),IF(S12="Impacto",AB11,""))),"")</f>
        <v/>
      </c>
      <c r="AA12" s="127" t="str">
        <f t="shared" ref="AA12:AA13" si="8">IFERROR(IF(Z12="","",IF(Z12&lt;=0.2,"Muy Baja",IF(Z12&lt;=0.4,"Baja",IF(Z12&lt;=0.6,"Media",IF(Z12&lt;=0.8,"Alta","Muy Alta"))))),"")</f>
        <v/>
      </c>
      <c r="AB12" s="128" t="str">
        <f t="shared" ref="AB12:AB13" si="9">+Z12</f>
        <v/>
      </c>
      <c r="AC12" s="127" t="str">
        <f t="shared" ref="AC12:AC13" si="10">IFERROR(IF(AD12="","",IF(AD12&lt;=0.2,"Leve",IF(AD12&lt;=0.4,"Menor",IF(AD12&lt;=0.6,"Moderado",IF(AD12&lt;=0.8,"Mayor","Catastrófico"))))),"")</f>
        <v/>
      </c>
      <c r="AD12" s="131" t="str">
        <f t="shared" ref="AD12:AD13" si="11">IFERROR(IF(AND(S11="Impacto",S12="Impacto"),(AD11-(+AD11*V12)),IF(AND(S11="Probabilidad",S12="Impacto"),(AD10-(+AD10*V12)),IF(S12="Probabilidad",AD11,""))),"")</f>
        <v/>
      </c>
      <c r="AE12" s="129" t="str">
        <f t="shared" ref="AE12:AE13"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30"/>
      <c r="AG12" s="117"/>
      <c r="AH12" s="118"/>
      <c r="AI12" s="119"/>
      <c r="AJ12" s="119"/>
      <c r="AK12" s="117"/>
      <c r="AL12" s="11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3">
      <c r="A13" s="220"/>
      <c r="B13" s="222"/>
      <c r="C13" s="222"/>
      <c r="D13" s="222"/>
      <c r="E13" s="207"/>
      <c r="F13" s="205"/>
      <c r="G13" s="231"/>
      <c r="H13" s="214"/>
      <c r="I13" s="216"/>
      <c r="J13" s="218"/>
      <c r="K13" s="226"/>
      <c r="L13" s="228"/>
      <c r="M13" s="226">
        <f ca="1">IF(NOT(ISERROR(MATCH(L13,_xlfn.ANCHORARRAY(F20),0))),K22&amp;"Por favor no seleccionar los criterios de impacto",L13)</f>
        <v>0</v>
      </c>
      <c r="N13" s="218"/>
      <c r="O13" s="226"/>
      <c r="P13" s="224"/>
      <c r="Q13" s="107">
        <v>4</v>
      </c>
      <c r="R13" s="108"/>
      <c r="S13" s="109" t="str">
        <f t="shared" si="5"/>
        <v/>
      </c>
      <c r="T13" s="122"/>
      <c r="U13" s="122"/>
      <c r="V13" s="123" t="str">
        <f t="shared" si="6"/>
        <v/>
      </c>
      <c r="W13" s="122"/>
      <c r="X13" s="122"/>
      <c r="Y13" s="122"/>
      <c r="Z13" s="112" t="str">
        <f t="shared" si="7"/>
        <v/>
      </c>
      <c r="AA13" s="127" t="str">
        <f t="shared" si="8"/>
        <v/>
      </c>
      <c r="AB13" s="128" t="str">
        <f t="shared" si="9"/>
        <v/>
      </c>
      <c r="AC13" s="127" t="str">
        <f t="shared" si="10"/>
        <v/>
      </c>
      <c r="AD13" s="131" t="str">
        <f t="shared" si="11"/>
        <v/>
      </c>
      <c r="AE13" s="129" t="str">
        <f t="shared" si="12"/>
        <v/>
      </c>
      <c r="AF13" s="130"/>
      <c r="AG13" s="117"/>
      <c r="AH13" s="118"/>
      <c r="AI13" s="119"/>
      <c r="AJ13" s="119"/>
      <c r="AK13" s="117"/>
      <c r="AL13" s="11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71.25" customHeight="1" x14ac:dyDescent="0.3">
      <c r="A14" s="219">
        <v>2</v>
      </c>
      <c r="B14" s="265" t="s">
        <v>129</v>
      </c>
      <c r="C14" s="265" t="s">
        <v>222</v>
      </c>
      <c r="D14" s="243" t="s">
        <v>221</v>
      </c>
      <c r="E14" s="159" t="s">
        <v>230</v>
      </c>
      <c r="F14" s="246" t="s">
        <v>228</v>
      </c>
      <c r="G14" s="208" t="s">
        <v>223</v>
      </c>
      <c r="H14" s="271" t="s">
        <v>118</v>
      </c>
      <c r="I14" s="274">
        <v>1060</v>
      </c>
      <c r="J14" s="258" t="str">
        <f>IF(I14&lt;=0,"",IF(I14&lt;=2,"Muy Baja",IF(I14&lt;=24,"Baja",IF(I14&lt;=500,"Media",IF(I14&lt;=5000,"Alta","Muy Alta")))))</f>
        <v>Alta</v>
      </c>
      <c r="K14" s="255">
        <f>IF(J14="","",IF(J14="Muy Baja",0.2,IF(J14="Baja",0.4,IF(J14="Media",0.6,IF(J14="Alta",0.8,IF(J14="Muy Alta",1,))))))</f>
        <v>0.8</v>
      </c>
      <c r="L14" s="277" t="s">
        <v>146</v>
      </c>
      <c r="M14" s="255" t="str">
        <f ca="1">IF(NOT(ISERROR(MATCH(L14,'Tabla Impacto'!$B$221:$B$223,0))),'Tabla Impacto'!$F$223&amp;"Por favor no seleccionar los criterios de impacto(Afectación Económica o presupuestal y Pérdida Reputacional)",L14)</f>
        <v xml:space="preserve">     El riesgo afecta la imagen de de la entidad con efecto publicitario sostenido a nivel de sector administrativo, nivel departamental o municipal</v>
      </c>
      <c r="N14" s="258" t="str">
        <f ca="1">IF(OR(M14='Tabla Impacto'!$C$11,M14='Tabla Impacto'!$D$11),"Leve",IF(OR(M14='Tabla Impacto'!$C$12,M14='Tabla Impacto'!$D$12),"Menor",IF(OR(M14='Tabla Impacto'!$C$13,M14='Tabla Impacto'!$D$13),"Moderado",IF(OR(M14='Tabla Impacto'!$C$14,M14='Tabla Impacto'!$D$14),"Mayor",IF(OR(M14='Tabla Impacto'!$C$15,M14='Tabla Impacto'!$D$15),"Catastrófico","")))))</f>
        <v>Mayor</v>
      </c>
      <c r="O14" s="255">
        <f ca="1">IF(N14="","",IF(N14="Leve",0.2,IF(N14="Menor",0.4,IF(N14="Moderado",0.6,IF(N14="Mayor",0.8,IF(N14="Catastrófico",1,))))))</f>
        <v>0.8</v>
      </c>
      <c r="P14" s="261"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Alto</v>
      </c>
      <c r="Q14" s="107">
        <v>1</v>
      </c>
      <c r="R14" s="162" t="s">
        <v>224</v>
      </c>
      <c r="S14" s="109" t="s">
        <v>225</v>
      </c>
      <c r="T14" s="122" t="s">
        <v>14</v>
      </c>
      <c r="U14" s="122" t="s">
        <v>9</v>
      </c>
      <c r="V14" s="123" t="str">
        <f>IF(AND(T14="Preventivo",U14="Automático"),"50%",IF(AND(T14="Preventivo",U14="Manual"),"40%",IF(AND(T14="Detectivo",U14="Automático"),"40%",IF(AND(T14="Detectivo",U14="Manual"),"30%",IF(AND(T14="Correctivo",U14="Automático"),"35%",IF(AND(T14="Correctivo",U14="Manual"),"25%",""))))))</f>
        <v>40%</v>
      </c>
      <c r="W14" s="122" t="s">
        <v>19</v>
      </c>
      <c r="X14" s="122" t="s">
        <v>23</v>
      </c>
      <c r="Y14" s="122" t="s">
        <v>114</v>
      </c>
      <c r="Z14" s="112">
        <f>IFERROR(IF(S14="Probabilidad",(K14-(+K14*V14)),IF(S14="Impacto",K14,"")),"")</f>
        <v>0.48</v>
      </c>
      <c r="AA14" s="127" t="str">
        <f>IFERROR(IF(Z14="","",IF(Z14&lt;=0.2,"Muy Baja",IF(Z14&lt;=0.4,"Baja",IF(Z14&lt;=0.6,"Media",IF(Z14&lt;=0.8,"Alta","Muy Alta"))))),"")</f>
        <v>Media</v>
      </c>
      <c r="AB14" s="128">
        <f>+Z14</f>
        <v>0.48</v>
      </c>
      <c r="AC14" s="127" t="str">
        <f ca="1">IFERROR(IF(AD14="","",IF(AD14&lt;=0.2,"Leve",IF(AD14&lt;=0.4,"Menor",IF(AD14&lt;=0.6,"Moderado",IF(AD14&lt;=0.8,"Mayor","Catastrófico"))))),"")</f>
        <v>Mayor</v>
      </c>
      <c r="AD14" s="128">
        <f ca="1">IFERROR(IF(S14="Impacto",(O14-(+O14*V14)),IF(S14="Probabilidad",O14,"")),"")</f>
        <v>0.8</v>
      </c>
      <c r="AE14" s="129"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Alto</v>
      </c>
      <c r="AF14" s="116"/>
      <c r="AG14" s="117"/>
      <c r="AH14" s="118"/>
      <c r="AI14" s="119"/>
      <c r="AJ14" s="119"/>
      <c r="AK14" s="117"/>
      <c r="AL14" s="11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66" customHeight="1" x14ac:dyDescent="0.3">
      <c r="A15" s="220"/>
      <c r="B15" s="266"/>
      <c r="C15" s="266"/>
      <c r="D15" s="244"/>
      <c r="E15" s="160" t="s">
        <v>232</v>
      </c>
      <c r="F15" s="246"/>
      <c r="G15" s="209"/>
      <c r="H15" s="272"/>
      <c r="I15" s="275"/>
      <c r="J15" s="259"/>
      <c r="K15" s="256"/>
      <c r="L15" s="278"/>
      <c r="M15" s="256">
        <f ca="1">IF(NOT(ISERROR(MATCH(L15,_xlfn.ANCHORARRAY(F24),0))),K26&amp;"Por favor no seleccionar los criterios de impacto",L15)</f>
        <v>0</v>
      </c>
      <c r="N15" s="259"/>
      <c r="O15" s="256"/>
      <c r="P15" s="262"/>
      <c r="Q15" s="107">
        <v>2</v>
      </c>
      <c r="R15" s="162" t="s">
        <v>231</v>
      </c>
      <c r="S15" s="109" t="s">
        <v>4</v>
      </c>
      <c r="T15" s="122" t="s">
        <v>14</v>
      </c>
      <c r="U15" s="122" t="s">
        <v>9</v>
      </c>
      <c r="V15" s="123" t="str">
        <f t="shared" ref="V15:V17" si="13">IF(AND(T15="Preventivo",U15="Automático"),"50%",IF(AND(T15="Preventivo",U15="Manual"),"40%",IF(AND(T15="Detectivo",U15="Automático"),"40%",IF(AND(T15="Detectivo",U15="Manual"),"30%",IF(AND(T15="Correctivo",U15="Automático"),"35%",IF(AND(T15="Correctivo",U15="Manual"),"25%",""))))))</f>
        <v>40%</v>
      </c>
      <c r="W15" s="122" t="s">
        <v>19</v>
      </c>
      <c r="X15" s="122" t="s">
        <v>23</v>
      </c>
      <c r="Y15" s="122" t="s">
        <v>114</v>
      </c>
      <c r="Z15" s="112">
        <f>IFERROR(IF(AND(S14="Probabilidad",S15="Probabilidad"),(AB14-(+AB14*V15)),IF(AND(S14="Impacto",S15="Probabilidad"),(#REF!-(+#REF!*V15)),IF(S15="Impacto",AB14,""))),"")</f>
        <v>0.28799999999999998</v>
      </c>
      <c r="AA15" s="127" t="str">
        <f t="shared" ref="AA15:AA17" si="14">IFERROR(IF(Z15="","",IF(Z15&lt;=0.2,"Muy Baja",IF(Z15&lt;=0.4,"Baja",IF(Z15&lt;=0.6,"Media",IF(Z15&lt;=0.8,"Alta","Muy Alta"))))),"")</f>
        <v>Baja</v>
      </c>
      <c r="AB15" s="128">
        <f t="shared" ref="AB15:AB17" si="15">+Z15</f>
        <v>0.28799999999999998</v>
      </c>
      <c r="AC15" s="127" t="str">
        <f t="shared" ref="AC15:AC17" ca="1" si="16">IFERROR(IF(AD15="","",IF(AD15&lt;=0.2,"Leve",IF(AD15&lt;=0.4,"Menor",IF(AD15&lt;=0.6,"Moderado",IF(AD15&lt;=0.8,"Mayor","Catastrófico"))))),"")</f>
        <v>Mayor</v>
      </c>
      <c r="AD15" s="131">
        <f ca="1">IFERROR(IF(AND(S14="Impacto",S15="Impacto"),(AD14-(+AD14*V15)),IF(AND(S14="Probabilidad",S15="Impacto"),(#REF!-(+#REF!*V15)),IF(S15="Probabilidad",AD14,""))),"")</f>
        <v>0.8</v>
      </c>
      <c r="AE15" s="129" t="str">
        <f t="shared" ref="AE15:AE17" ca="1" si="17">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116"/>
      <c r="AG15" s="117"/>
      <c r="AH15" s="118"/>
      <c r="AI15" s="119"/>
      <c r="AJ15" s="119"/>
      <c r="AK15" s="117"/>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12.5" customHeight="1" x14ac:dyDescent="0.3">
      <c r="A16" s="220"/>
      <c r="B16" s="266"/>
      <c r="C16" s="266"/>
      <c r="D16" s="244"/>
      <c r="E16" s="211" t="s">
        <v>229</v>
      </c>
      <c r="F16" s="246"/>
      <c r="G16" s="209"/>
      <c r="H16" s="272"/>
      <c r="I16" s="275"/>
      <c r="J16" s="259"/>
      <c r="K16" s="256"/>
      <c r="L16" s="278"/>
      <c r="M16" s="256">
        <f ca="1">IF(NOT(ISERROR(MATCH(L16,_xlfn.ANCHORARRAY(F25),0))),K27&amp;"Por favor no seleccionar los criterios de impacto",L16)</f>
        <v>0</v>
      </c>
      <c r="N16" s="259"/>
      <c r="O16" s="256"/>
      <c r="P16" s="262"/>
      <c r="Q16" s="107">
        <v>3</v>
      </c>
      <c r="R16" s="161" t="s">
        <v>233</v>
      </c>
      <c r="S16" s="109" t="str">
        <f>IF(OR(T16="Preventivo",T16="Detectivo"),"Probabilidad",IF(T16="Correctivo","Impacto",""))</f>
        <v>Probabilidad</v>
      </c>
      <c r="T16" s="122" t="s">
        <v>14</v>
      </c>
      <c r="U16" s="122" t="s">
        <v>9</v>
      </c>
      <c r="V16" s="123" t="str">
        <f t="shared" si="13"/>
        <v>40%</v>
      </c>
      <c r="W16" s="122" t="s">
        <v>19</v>
      </c>
      <c r="X16" s="122" t="s">
        <v>23</v>
      </c>
      <c r="Y16" s="122" t="s">
        <v>114</v>
      </c>
      <c r="Z16" s="112">
        <f t="shared" ref="Z16" si="18">IFERROR(IF(AND(S15="Probabilidad",S16="Probabilidad"),(AB15-(+AB15*V16)),IF(AND(S15="Impacto",S16="Probabilidad"),(AB14-(+AB14*V16)),IF(S16="Impacto",AB15,""))),"")</f>
        <v>0.17279999999999998</v>
      </c>
      <c r="AA16" s="127" t="str">
        <f t="shared" si="14"/>
        <v>Muy Baja</v>
      </c>
      <c r="AB16" s="128">
        <f t="shared" si="15"/>
        <v>0.17279999999999998</v>
      </c>
      <c r="AC16" s="127" t="str">
        <f t="shared" ca="1" si="16"/>
        <v>Mayor</v>
      </c>
      <c r="AD16" s="131">
        <f t="shared" ref="AD16" ca="1" si="19">IFERROR(IF(AND(S15="Impacto",S16="Impacto"),(AD15-(+AD15*V16)),IF(AND(S15="Probabilidad",S16="Impacto"),(AD14-(+AD14*V16)),IF(S16="Probabilidad",AD15,""))),"")</f>
        <v>0.8</v>
      </c>
      <c r="AE16" s="129" t="str">
        <f t="shared" ca="1" si="17"/>
        <v>Alto</v>
      </c>
      <c r="AF16" s="116"/>
      <c r="AG16" s="117"/>
      <c r="AH16" s="118"/>
      <c r="AI16" s="119"/>
      <c r="AJ16" s="119"/>
      <c r="AK16" s="117"/>
      <c r="AL16" s="11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5.5" customHeight="1" x14ac:dyDescent="0.3">
      <c r="A17" s="264"/>
      <c r="B17" s="267"/>
      <c r="C17" s="267"/>
      <c r="D17" s="245"/>
      <c r="E17" s="212"/>
      <c r="F17" s="246"/>
      <c r="G17" s="210"/>
      <c r="H17" s="273"/>
      <c r="I17" s="276"/>
      <c r="J17" s="260"/>
      <c r="K17" s="257"/>
      <c r="L17" s="279"/>
      <c r="M17" s="257">
        <f ca="1">IF(NOT(ISERROR(MATCH(L17,_xlfn.ANCHORARRAY(F28),0))),K30&amp;"Por favor no seleccionar los criterios de impacto",L17)</f>
        <v>0</v>
      </c>
      <c r="N17" s="260"/>
      <c r="O17" s="257"/>
      <c r="P17" s="263"/>
      <c r="Q17" s="107">
        <v>4</v>
      </c>
      <c r="R17" s="108"/>
      <c r="S17" s="109" t="str">
        <f t="shared" ref="S17" si="20">IF(OR(T17="Preventivo",T17="Detectivo"),"Probabilidad",IF(T17="Correctivo","Impacto",""))</f>
        <v/>
      </c>
      <c r="T17" s="122"/>
      <c r="U17" s="122"/>
      <c r="V17" s="123" t="str">
        <f t="shared" si="13"/>
        <v/>
      </c>
      <c r="W17" s="122"/>
      <c r="X17" s="122"/>
      <c r="Y17" s="122"/>
      <c r="Z17" s="112" t="str">
        <f>IFERROR(IF(AND(#REF!="Probabilidad",S17="Probabilidad"),(#REF!-(+#REF!*V17)),IF(AND(#REF!="Impacto",S17="Probabilidad"),(#REF!-(+#REF!*V17)),IF(S17="Impacto",#REF!,""))),"")</f>
        <v/>
      </c>
      <c r="AA17" s="127" t="str">
        <f t="shared" si="14"/>
        <v/>
      </c>
      <c r="AB17" s="128" t="str">
        <f t="shared" si="15"/>
        <v/>
      </c>
      <c r="AC17" s="127" t="str">
        <f t="shared" si="16"/>
        <v/>
      </c>
      <c r="AD17" s="131" t="str">
        <f>IFERROR(IF(AND(#REF!="Impacto",S17="Impacto"),(#REF!-(+#REF!*V17)),IF(AND(#REF!="Probabilidad",S17="Impacto"),(#REF!-(+#REF!*V17)),IF(S17="Probabilidad",#REF!,""))),"")</f>
        <v/>
      </c>
      <c r="AE17" s="129" t="str">
        <f t="shared" si="17"/>
        <v/>
      </c>
      <c r="AF17" s="116"/>
      <c r="AG17" s="117"/>
      <c r="AH17" s="118"/>
      <c r="AI17" s="119"/>
      <c r="AJ17" s="119"/>
      <c r="AK17" s="117"/>
      <c r="AL17" s="11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30.75" customHeight="1" x14ac:dyDescent="0.3">
      <c r="A18" s="219">
        <v>3</v>
      </c>
      <c r="B18" s="265"/>
      <c r="C18" s="265" t="s">
        <v>220</v>
      </c>
      <c r="D18" s="243"/>
      <c r="E18" s="150"/>
      <c r="F18" s="268"/>
      <c r="G18" s="151"/>
      <c r="H18" s="271"/>
      <c r="I18" s="274"/>
      <c r="J18" s="258" t="str">
        <f t="shared" ref="J18" si="21">IF(I18&lt;=0,"",IF(I18&lt;=2,"Muy Baja",IF(I18&lt;=24,"Baja",IF(I18&lt;=500,"Media",IF(I18&lt;=5000,"Alta","Muy Alta")))))</f>
        <v/>
      </c>
      <c r="K18" s="255" t="str">
        <f t="shared" ref="K18" si="22">IF(J18="","",IF(J18="Muy Baja",0.2,IF(J18="Baja",0.4,IF(J18="Media",0.6,IF(J18="Alta",0.8,IF(J18="Muy Alta",1,))))))</f>
        <v/>
      </c>
      <c r="L18" s="277"/>
      <c r="M18" s="255">
        <f ca="1">IF(NOT(ISERROR(MATCH(L18,'Tabla Impacto'!$B$221:$B$223,0))),'Tabla Impacto'!$F$223&amp;"Por favor no seleccionar los criterios de impacto(Afectación Económica o presupuestal y Pérdida Reputacional)",L18)</f>
        <v>0</v>
      </c>
      <c r="N18" s="258" t="str">
        <f ca="1">IF(OR(M18='Tabla Impacto'!$C$11,M18='Tabla Impacto'!$D$11),"Leve",IF(OR(M18='Tabla Impacto'!$C$12,M18='Tabla Impacto'!$D$12),"Menor",IF(OR(M18='Tabla Impacto'!$C$13,M18='Tabla Impacto'!$D$13),"Moderado",IF(OR(M18='Tabla Impacto'!$C$14,M18='Tabla Impacto'!$D$14),"Mayor",IF(OR(M18='Tabla Impacto'!$C$15,M18='Tabla Impacto'!$D$15),"Catastrófico","")))))</f>
        <v/>
      </c>
      <c r="O18" s="255" t="str">
        <f t="shared" ref="O18" ca="1" si="23">IF(N18="","",IF(N18="Leve",0.2,IF(N18="Menor",0.4,IF(N18="Moderado",0.6,IF(N18="Mayor",0.8,IF(N18="Catastrófico",1,))))))</f>
        <v/>
      </c>
      <c r="P18" s="261" t="str">
        <f t="shared" ref="P18" ca="1" si="24">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07">
        <v>1</v>
      </c>
      <c r="R18" s="108"/>
      <c r="S18" s="109" t="str">
        <f>IF(OR(T18="Preventivo",T18="Detectivo"),"Probabilidad",IF(T18="Correctivo","Impacto",""))</f>
        <v/>
      </c>
      <c r="T18" s="110"/>
      <c r="U18" s="110"/>
      <c r="V18" s="111" t="str">
        <f>IF(AND(T18="Preventivo",U18="Automático"),"50%",IF(AND(T18="Preventivo",U18="Manual"),"40%",IF(AND(T18="Detectivo",U18="Automático"),"40%",IF(AND(T18="Detectivo",U18="Manual"),"30%",IF(AND(T18="Correctivo",U18="Automático"),"35%",IF(AND(T18="Correctivo",U18="Manual"),"25%",""))))))</f>
        <v/>
      </c>
      <c r="W18" s="110"/>
      <c r="X18" s="110"/>
      <c r="Y18" s="110"/>
      <c r="Z18" s="112" t="str">
        <f>IFERROR(IF(S18="Probabilidad",(K18-(+K18*V18)),IF(S18="Impacto",K18,"")),"")</f>
        <v/>
      </c>
      <c r="AA18" s="113" t="str">
        <f>IFERROR(IF(Z18="","",IF(Z18&lt;=0.2,"Muy Baja",IF(Z18&lt;=0.4,"Baja",IF(Z18&lt;=0.6,"Media",IF(Z18&lt;=0.8,"Alta","Muy Alta"))))),"")</f>
        <v/>
      </c>
      <c r="AB18" s="114" t="str">
        <f>+Z18</f>
        <v/>
      </c>
      <c r="AC18" s="113" t="str">
        <f>IFERROR(IF(AD18="","",IF(AD18&lt;=0.2,"Leve",IF(AD18&lt;=0.4,"Menor",IF(AD18&lt;=0.6,"Moderado",IF(AD18&lt;=0.8,"Mayor","Catastrófico"))))),"")</f>
        <v/>
      </c>
      <c r="AD18" s="121" t="str">
        <f>IFERROR(IF(S18="Impacto",(O18-(+O18*V18)),IF(S18="Probabilidad",O18,"")),"")</f>
        <v/>
      </c>
      <c r="AE18" s="115"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16"/>
      <c r="AG18" s="117"/>
      <c r="AH18" s="118"/>
      <c r="AI18" s="119"/>
      <c r="AJ18" s="119"/>
      <c r="AK18" s="117"/>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3">
      <c r="A19" s="220"/>
      <c r="B19" s="266"/>
      <c r="C19" s="266"/>
      <c r="D19" s="244"/>
      <c r="E19" s="150"/>
      <c r="F19" s="269"/>
      <c r="G19" s="151"/>
      <c r="H19" s="272"/>
      <c r="I19" s="275"/>
      <c r="J19" s="259"/>
      <c r="K19" s="256"/>
      <c r="L19" s="278"/>
      <c r="M19" s="256">
        <f ca="1">IF(NOT(ISERROR(MATCH(L19,_xlfn.ANCHORARRAY(F30),0))),K32&amp;"Por favor no seleccionar los criterios de impacto",L19)</f>
        <v>0</v>
      </c>
      <c r="N19" s="259"/>
      <c r="O19" s="256"/>
      <c r="P19" s="262"/>
      <c r="Q19" s="107">
        <v>2</v>
      </c>
      <c r="R19" s="108"/>
      <c r="S19" s="109" t="str">
        <f>IF(OR(T19="Preventivo",T19="Detectivo"),"Probabilidad",IF(T19="Correctivo","Impacto",""))</f>
        <v/>
      </c>
      <c r="T19" s="110"/>
      <c r="U19" s="110"/>
      <c r="V19" s="111" t="str">
        <f t="shared" ref="V19:V23" si="25">IF(AND(T19="Preventivo",U19="Automático"),"50%",IF(AND(T19="Preventivo",U19="Manual"),"40%",IF(AND(T19="Detectivo",U19="Automático"),"40%",IF(AND(T19="Detectivo",U19="Manual"),"30%",IF(AND(T19="Correctivo",U19="Automático"),"35%",IF(AND(T19="Correctivo",U19="Manual"),"25%",""))))))</f>
        <v/>
      </c>
      <c r="W19" s="110"/>
      <c r="X19" s="110"/>
      <c r="Y19" s="110"/>
      <c r="Z19" s="112" t="str">
        <f>IFERROR(IF(AND(S18="Probabilidad",S19="Probabilidad"),(AB18-(+AB18*V19)),IF(AND(S18="Impacto",S19="Probabilidad"),(AB17-(+AB17*V19)),IF(S19="Impacto",AB18,""))),"")</f>
        <v/>
      </c>
      <c r="AA19" s="113" t="str">
        <f t="shared" ref="AA19:AA23" si="26">IFERROR(IF(Z19="","",IF(Z19&lt;=0.2,"Muy Baja",IF(Z19&lt;=0.4,"Baja",IF(Z19&lt;=0.6,"Media",IF(Z19&lt;=0.8,"Alta","Muy Alta"))))),"")</f>
        <v/>
      </c>
      <c r="AB19" s="114" t="str">
        <f t="shared" ref="AB19:AB23" si="27">+Z19</f>
        <v/>
      </c>
      <c r="AC19" s="113" t="str">
        <f t="shared" ref="AC19:AC23" si="28">IFERROR(IF(AD19="","",IF(AD19&lt;=0.2,"Leve",IF(AD19&lt;=0.4,"Menor",IF(AD19&lt;=0.6,"Moderado",IF(AD19&lt;=0.8,"Mayor","Catastrófico"))))),"")</f>
        <v/>
      </c>
      <c r="AD19" s="121" t="str">
        <f>IFERROR(IF(AND(S18="Impacto",S19="Impacto"),(AD18-(+AD18*V19)),IF(AND(S18="Probabilidad",S19="Impacto"),(AD17-(+AD17*V19)),IF(S19="Probabilidad",AD18,""))),"")</f>
        <v/>
      </c>
      <c r="AE19" s="115" t="str">
        <f t="shared" ref="AE19:AE23" si="29">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16"/>
      <c r="AG19" s="117"/>
      <c r="AH19" s="118"/>
      <c r="AI19" s="119"/>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x14ac:dyDescent="0.3">
      <c r="A20" s="220"/>
      <c r="B20" s="266"/>
      <c r="C20" s="266"/>
      <c r="D20" s="244"/>
      <c r="E20" s="150"/>
      <c r="F20" s="269"/>
      <c r="G20" s="151"/>
      <c r="H20" s="272"/>
      <c r="I20" s="275"/>
      <c r="J20" s="259"/>
      <c r="K20" s="256"/>
      <c r="L20" s="278"/>
      <c r="M20" s="256">
        <f ca="1">IF(NOT(ISERROR(MATCH(L20,_xlfn.ANCHORARRAY(F31),0))),K33&amp;"Por favor no seleccionar los criterios de impacto",L20)</f>
        <v>0</v>
      </c>
      <c r="N20" s="259"/>
      <c r="O20" s="256"/>
      <c r="P20" s="262"/>
      <c r="Q20" s="107">
        <v>3</v>
      </c>
      <c r="R20" s="120"/>
      <c r="S20" s="109" t="str">
        <f>IF(OR(T20="Preventivo",T20="Detectivo"),"Probabilidad",IF(T20="Correctivo","Impacto",""))</f>
        <v/>
      </c>
      <c r="T20" s="110"/>
      <c r="U20" s="110"/>
      <c r="V20" s="111" t="str">
        <f t="shared" si="25"/>
        <v/>
      </c>
      <c r="W20" s="110"/>
      <c r="X20" s="110"/>
      <c r="Y20" s="110"/>
      <c r="Z20" s="112" t="str">
        <f t="shared" ref="Z20:Z23" si="30">IFERROR(IF(AND(S19="Probabilidad",S20="Probabilidad"),(AB19-(+AB19*V20)),IF(AND(S19="Impacto",S20="Probabilidad"),(AB18-(+AB18*V20)),IF(S20="Impacto",AB19,""))),"")</f>
        <v/>
      </c>
      <c r="AA20" s="113" t="str">
        <f t="shared" si="26"/>
        <v/>
      </c>
      <c r="AB20" s="114" t="str">
        <f t="shared" si="27"/>
        <v/>
      </c>
      <c r="AC20" s="113" t="str">
        <f t="shared" si="28"/>
        <v/>
      </c>
      <c r="AD20" s="121" t="str">
        <f t="shared" ref="AD20:AD23" si="31">IFERROR(IF(AND(S19="Impacto",S20="Impacto"),(AD19-(+AD19*V20)),IF(AND(S19="Probabilidad",S20="Impacto"),(AD18-(+AD18*V20)),IF(S20="Probabilidad",AD19,""))),"")</f>
        <v/>
      </c>
      <c r="AE20" s="115" t="str">
        <f t="shared" si="29"/>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x14ac:dyDescent="0.3">
      <c r="A21" s="220"/>
      <c r="B21" s="266"/>
      <c r="C21" s="266"/>
      <c r="D21" s="244"/>
      <c r="E21" s="150"/>
      <c r="F21" s="269"/>
      <c r="G21" s="151"/>
      <c r="H21" s="272"/>
      <c r="I21" s="275"/>
      <c r="J21" s="259"/>
      <c r="K21" s="256"/>
      <c r="L21" s="278"/>
      <c r="M21" s="256">
        <f ca="1">IF(NOT(ISERROR(MATCH(L21,_xlfn.ANCHORARRAY(F32),0))),K34&amp;"Por favor no seleccionar los criterios de impacto",L21)</f>
        <v>0</v>
      </c>
      <c r="N21" s="259"/>
      <c r="O21" s="256"/>
      <c r="P21" s="262"/>
      <c r="Q21" s="107">
        <v>4</v>
      </c>
      <c r="R21" s="108"/>
      <c r="S21" s="109" t="str">
        <f t="shared" ref="S21:S23" si="32">IF(OR(T21="Preventivo",T21="Detectivo"),"Probabilidad",IF(T21="Correctivo","Impacto",""))</f>
        <v/>
      </c>
      <c r="T21" s="110"/>
      <c r="U21" s="110"/>
      <c r="V21" s="111" t="str">
        <f t="shared" si="25"/>
        <v/>
      </c>
      <c r="W21" s="110"/>
      <c r="X21" s="110"/>
      <c r="Y21" s="110"/>
      <c r="Z21" s="112" t="str">
        <f t="shared" si="30"/>
        <v/>
      </c>
      <c r="AA21" s="113" t="str">
        <f t="shared" si="26"/>
        <v/>
      </c>
      <c r="AB21" s="114" t="str">
        <f t="shared" si="27"/>
        <v/>
      </c>
      <c r="AC21" s="113" t="str">
        <f t="shared" si="28"/>
        <v/>
      </c>
      <c r="AD21" s="121" t="str">
        <f t="shared" si="31"/>
        <v/>
      </c>
      <c r="AE21" s="115" t="str">
        <f t="shared" si="29"/>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x14ac:dyDescent="0.3">
      <c r="A22" s="220"/>
      <c r="B22" s="266"/>
      <c r="C22" s="266"/>
      <c r="D22" s="244"/>
      <c r="E22" s="150"/>
      <c r="F22" s="269"/>
      <c r="G22" s="151"/>
      <c r="H22" s="272"/>
      <c r="I22" s="275"/>
      <c r="J22" s="259"/>
      <c r="K22" s="256"/>
      <c r="L22" s="278"/>
      <c r="M22" s="256">
        <f ca="1">IF(NOT(ISERROR(MATCH(L22,_xlfn.ANCHORARRAY(F33),0))),K35&amp;"Por favor no seleccionar los criterios de impacto",L22)</f>
        <v>0</v>
      </c>
      <c r="N22" s="259"/>
      <c r="O22" s="256"/>
      <c r="P22" s="262"/>
      <c r="Q22" s="107">
        <v>5</v>
      </c>
      <c r="R22" s="108"/>
      <c r="S22" s="109" t="str">
        <f t="shared" si="32"/>
        <v/>
      </c>
      <c r="T22" s="110"/>
      <c r="U22" s="110"/>
      <c r="V22" s="111" t="str">
        <f t="shared" si="25"/>
        <v/>
      </c>
      <c r="W22" s="110"/>
      <c r="X22" s="110"/>
      <c r="Y22" s="110"/>
      <c r="Z22" s="112" t="str">
        <f t="shared" si="30"/>
        <v/>
      </c>
      <c r="AA22" s="113" t="str">
        <f t="shared" si="26"/>
        <v/>
      </c>
      <c r="AB22" s="114" t="str">
        <f t="shared" si="27"/>
        <v/>
      </c>
      <c r="AC22" s="113" t="str">
        <f t="shared" si="28"/>
        <v/>
      </c>
      <c r="AD22" s="121" t="str">
        <f t="shared" si="31"/>
        <v/>
      </c>
      <c r="AE22" s="115" t="str">
        <f t="shared" si="29"/>
        <v/>
      </c>
      <c r="AF22" s="116"/>
      <c r="AG22" s="117"/>
      <c r="AH22" s="118"/>
      <c r="AI22" s="119"/>
      <c r="AJ22" s="119"/>
      <c r="AK22" s="117"/>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64"/>
      <c r="B23" s="267"/>
      <c r="C23" s="267"/>
      <c r="D23" s="245"/>
      <c r="E23" s="150"/>
      <c r="F23" s="270"/>
      <c r="G23" s="151"/>
      <c r="H23" s="273"/>
      <c r="I23" s="276"/>
      <c r="J23" s="260"/>
      <c r="K23" s="257"/>
      <c r="L23" s="279"/>
      <c r="M23" s="257">
        <f ca="1">IF(NOT(ISERROR(MATCH(L23,_xlfn.ANCHORARRAY(F34),0))),K36&amp;"Por favor no seleccionar los criterios de impacto",L23)</f>
        <v>0</v>
      </c>
      <c r="N23" s="260"/>
      <c r="O23" s="257"/>
      <c r="P23" s="263"/>
      <c r="Q23" s="107">
        <v>6</v>
      </c>
      <c r="R23" s="108"/>
      <c r="S23" s="109" t="str">
        <f t="shared" si="32"/>
        <v/>
      </c>
      <c r="T23" s="110"/>
      <c r="U23" s="110"/>
      <c r="V23" s="111" t="str">
        <f t="shared" si="25"/>
        <v/>
      </c>
      <c r="W23" s="110"/>
      <c r="X23" s="110"/>
      <c r="Y23" s="110"/>
      <c r="Z23" s="112" t="str">
        <f t="shared" si="30"/>
        <v/>
      </c>
      <c r="AA23" s="113" t="str">
        <f t="shared" si="26"/>
        <v/>
      </c>
      <c r="AB23" s="114" t="str">
        <f t="shared" si="27"/>
        <v/>
      </c>
      <c r="AC23" s="113" t="str">
        <f t="shared" si="28"/>
        <v/>
      </c>
      <c r="AD23" s="121" t="str">
        <f t="shared" si="31"/>
        <v/>
      </c>
      <c r="AE23" s="115" t="str">
        <f t="shared" si="29"/>
        <v/>
      </c>
      <c r="AF23" s="116"/>
      <c r="AG23" s="117"/>
      <c r="AH23" s="118"/>
      <c r="AI23" s="119"/>
      <c r="AJ23" s="119"/>
      <c r="AK23" s="117"/>
      <c r="AL23" s="11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19">
        <v>4</v>
      </c>
      <c r="B24" s="265"/>
      <c r="C24" s="265"/>
      <c r="D24" s="243"/>
      <c r="E24" s="150"/>
      <c r="F24" s="246"/>
      <c r="G24" s="151"/>
      <c r="H24" s="271"/>
      <c r="I24" s="274"/>
      <c r="J24" s="258" t="str">
        <f t="shared" ref="J24" si="33">IF(I24&lt;=0,"",IF(I24&lt;=2,"Muy Baja",IF(I24&lt;=24,"Baja",IF(I24&lt;=500,"Media",IF(I24&lt;=5000,"Alta","Muy Alta")))))</f>
        <v/>
      </c>
      <c r="K24" s="255" t="str">
        <f t="shared" ref="K24" si="34">IF(J24="","",IF(J24="Muy Baja",0.2,IF(J24="Baja",0.4,IF(J24="Media",0.6,IF(J24="Alta",0.8,IF(J24="Muy Alta",1,))))))</f>
        <v/>
      </c>
      <c r="L24" s="277"/>
      <c r="M24" s="255">
        <f ca="1">IF(NOT(ISERROR(MATCH(L24,'Tabla Impacto'!$B$221:$B$223,0))),'Tabla Impacto'!$F$223&amp;"Por favor no seleccionar los criterios de impacto(Afectación Económica o presupuestal y Pérdida Reputacional)",L24)</f>
        <v>0</v>
      </c>
      <c r="N24" s="258" t="str">
        <f ca="1">IF(OR(M24='Tabla Impacto'!$C$11,M24='Tabla Impacto'!$D$11),"Leve",IF(OR(M24='Tabla Impacto'!$C$12,M24='Tabla Impacto'!$D$12),"Menor",IF(OR(M24='Tabla Impacto'!$C$13,M24='Tabla Impacto'!$D$13),"Moderado",IF(OR(M24='Tabla Impacto'!$C$14,M24='Tabla Impacto'!$D$14),"Mayor",IF(OR(M24='Tabla Impacto'!$C$15,M24='Tabla Impacto'!$D$15),"Catastrófico","")))))</f>
        <v/>
      </c>
      <c r="O24" s="255" t="str">
        <f t="shared" ref="O24" ca="1" si="35">IF(N24="","",IF(N24="Leve",0.2,IF(N24="Menor",0.4,IF(N24="Moderado",0.6,IF(N24="Mayor",0.8,IF(N24="Catastrófico",1,))))))</f>
        <v/>
      </c>
      <c r="P24" s="261" t="str">
        <f t="shared" ref="P24" ca="1" si="36">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07">
        <v>1</v>
      </c>
      <c r="R24" s="108"/>
      <c r="S24" s="109" t="str">
        <f>IF(OR(T24="Preventivo",T24="Detectivo"),"Probabilidad",IF(T24="Correctivo","Impacto",""))</f>
        <v/>
      </c>
      <c r="T24" s="110"/>
      <c r="U24" s="110"/>
      <c r="V24" s="111" t="str">
        <f>IF(AND(T24="Preventivo",U24="Automático"),"50%",IF(AND(T24="Preventivo",U24="Manual"),"40%",IF(AND(T24="Detectivo",U24="Automático"),"40%",IF(AND(T24="Detectivo",U24="Manual"),"30%",IF(AND(T24="Correctivo",U24="Automático"),"35%",IF(AND(T24="Correctivo",U24="Manual"),"25%",""))))))</f>
        <v/>
      </c>
      <c r="W24" s="110"/>
      <c r="X24" s="110"/>
      <c r="Y24" s="110"/>
      <c r="Z24" s="112" t="str">
        <f>IFERROR(IF(S24="Probabilidad",(K24-(+K24*V24)),IF(S24="Impacto",K24,"")),"")</f>
        <v/>
      </c>
      <c r="AA24" s="113" t="str">
        <f>IFERROR(IF(Z24="","",IF(Z24&lt;=0.2,"Muy Baja",IF(Z24&lt;=0.4,"Baja",IF(Z24&lt;=0.6,"Media",IF(Z24&lt;=0.8,"Alta","Muy Alta"))))),"")</f>
        <v/>
      </c>
      <c r="AB24" s="114" t="str">
        <f>+Z24</f>
        <v/>
      </c>
      <c r="AC24" s="113" t="str">
        <f>IFERROR(IF(AD24="","",IF(AD24&lt;=0.2,"Leve",IF(AD24&lt;=0.4,"Menor",IF(AD24&lt;=0.6,"Moderado",IF(AD24&lt;=0.8,"Mayor","Catastrófico"))))),"")</f>
        <v/>
      </c>
      <c r="AD24" s="121" t="str">
        <f>IFERROR(IF(S24="Impacto",(O24-(+O24*V24)),IF(S24="Probabilidad",O24,"")),"")</f>
        <v/>
      </c>
      <c r="AE24" s="115"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20"/>
      <c r="B25" s="266"/>
      <c r="C25" s="266"/>
      <c r="D25" s="244"/>
      <c r="E25" s="150"/>
      <c r="F25" s="246"/>
      <c r="G25" s="151"/>
      <c r="H25" s="272"/>
      <c r="I25" s="275"/>
      <c r="J25" s="259"/>
      <c r="K25" s="256"/>
      <c r="L25" s="278"/>
      <c r="M25" s="256">
        <f ca="1">IF(NOT(ISERROR(MATCH(L25,_xlfn.ANCHORARRAY(F36),0))),K38&amp;"Por favor no seleccionar los criterios de impacto",L25)</f>
        <v>0</v>
      </c>
      <c r="N25" s="259"/>
      <c r="O25" s="256"/>
      <c r="P25" s="262"/>
      <c r="Q25" s="107">
        <v>2</v>
      </c>
      <c r="R25" s="108"/>
      <c r="S25" s="109" t="str">
        <f>IF(OR(T25="Preventivo",T25="Detectivo"),"Probabilidad",IF(T25="Correctivo","Impacto",""))</f>
        <v/>
      </c>
      <c r="T25" s="110"/>
      <c r="U25" s="110"/>
      <c r="V25" s="111" t="str">
        <f t="shared" ref="V25:V29" si="37">IF(AND(T25="Preventivo",U25="Automático"),"50%",IF(AND(T25="Preventivo",U25="Manual"),"40%",IF(AND(T25="Detectivo",U25="Automático"),"40%",IF(AND(T25="Detectivo",U25="Manual"),"30%",IF(AND(T25="Correctivo",U25="Automático"),"35%",IF(AND(T25="Correctivo",U25="Manual"),"25%",""))))))</f>
        <v/>
      </c>
      <c r="W25" s="110"/>
      <c r="X25" s="110"/>
      <c r="Y25" s="110"/>
      <c r="Z25" s="112" t="str">
        <f>IFERROR(IF(AND(S24="Probabilidad",S25="Probabilidad"),(AB24-(+AB24*V25)),IF(AND(S24="Impacto",S25="Probabilidad"),(AB23-(+AB23*V25)),IF(S25="Impacto",AB24,""))),"")</f>
        <v/>
      </c>
      <c r="AA25" s="113" t="str">
        <f t="shared" ref="AA25:AA29" si="38">IFERROR(IF(Z25="","",IF(Z25&lt;=0.2,"Muy Baja",IF(Z25&lt;=0.4,"Baja",IF(Z25&lt;=0.6,"Media",IF(Z25&lt;=0.8,"Alta","Muy Alta"))))),"")</f>
        <v/>
      </c>
      <c r="AB25" s="114" t="str">
        <f t="shared" ref="AB25:AB29" si="39">+Z25</f>
        <v/>
      </c>
      <c r="AC25" s="113" t="str">
        <f t="shared" ref="AC25:AC29" si="40">IFERROR(IF(AD25="","",IF(AD25&lt;=0.2,"Leve",IF(AD25&lt;=0.4,"Menor",IF(AD25&lt;=0.6,"Moderado",IF(AD25&lt;=0.8,"Mayor","Catastrófico"))))),"")</f>
        <v/>
      </c>
      <c r="AD25" s="121" t="str">
        <f>IFERROR(IF(AND(S24="Impacto",S25="Impacto"),(AD24-(+AD24*V25)),IF(AND(S24="Probabilidad",S25="Impacto"),(AD23-(+AD23*V25)),IF(S25="Probabilidad",AD24,""))),"")</f>
        <v/>
      </c>
      <c r="AE25" s="115" t="str">
        <f t="shared" ref="AE25:AE29" si="41">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20"/>
      <c r="B26" s="266"/>
      <c r="C26" s="266"/>
      <c r="D26" s="244"/>
      <c r="E26" s="150"/>
      <c r="F26" s="246"/>
      <c r="G26" s="151"/>
      <c r="H26" s="272"/>
      <c r="I26" s="275"/>
      <c r="J26" s="259"/>
      <c r="K26" s="256"/>
      <c r="L26" s="278"/>
      <c r="M26" s="256">
        <f ca="1">IF(NOT(ISERROR(MATCH(L26,_xlfn.ANCHORARRAY(F37),0))),K39&amp;"Por favor no seleccionar los criterios de impacto",L26)</f>
        <v>0</v>
      </c>
      <c r="N26" s="259"/>
      <c r="O26" s="256"/>
      <c r="P26" s="262"/>
      <c r="Q26" s="107">
        <v>3</v>
      </c>
      <c r="R26" s="120"/>
      <c r="S26" s="109" t="str">
        <f>IF(OR(T26="Preventivo",T26="Detectivo"),"Probabilidad",IF(T26="Correctivo","Impacto",""))</f>
        <v/>
      </c>
      <c r="T26" s="110"/>
      <c r="U26" s="110"/>
      <c r="V26" s="111" t="str">
        <f t="shared" si="37"/>
        <v/>
      </c>
      <c r="W26" s="110"/>
      <c r="X26" s="110"/>
      <c r="Y26" s="110"/>
      <c r="Z26" s="112" t="str">
        <f t="shared" ref="Z26:Z29" si="42">IFERROR(IF(AND(S25="Probabilidad",S26="Probabilidad"),(AB25-(+AB25*V26)),IF(AND(S25="Impacto",S26="Probabilidad"),(AB24-(+AB24*V26)),IF(S26="Impacto",AB25,""))),"")</f>
        <v/>
      </c>
      <c r="AA26" s="113" t="str">
        <f t="shared" si="38"/>
        <v/>
      </c>
      <c r="AB26" s="114" t="str">
        <f t="shared" si="39"/>
        <v/>
      </c>
      <c r="AC26" s="113" t="str">
        <f t="shared" si="40"/>
        <v/>
      </c>
      <c r="AD26" s="121" t="str">
        <f t="shared" ref="AD26:AD29" si="43">IFERROR(IF(AND(S25="Impacto",S26="Impacto"),(AD25-(+AD25*V26)),IF(AND(S25="Probabilidad",S26="Impacto"),(AD24-(+AD24*V26)),IF(S26="Probabilidad",AD25,""))),"")</f>
        <v/>
      </c>
      <c r="AE26" s="115" t="str">
        <f t="shared" si="41"/>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20"/>
      <c r="B27" s="266"/>
      <c r="C27" s="266"/>
      <c r="D27" s="244"/>
      <c r="E27" s="150"/>
      <c r="F27" s="246"/>
      <c r="G27" s="151"/>
      <c r="H27" s="272"/>
      <c r="I27" s="275"/>
      <c r="J27" s="259"/>
      <c r="K27" s="256"/>
      <c r="L27" s="278"/>
      <c r="M27" s="256">
        <f ca="1">IF(NOT(ISERROR(MATCH(L27,_xlfn.ANCHORARRAY(F38),0))),K40&amp;"Por favor no seleccionar los criterios de impacto",L27)</f>
        <v>0</v>
      </c>
      <c r="N27" s="259"/>
      <c r="O27" s="256"/>
      <c r="P27" s="262"/>
      <c r="Q27" s="107">
        <v>4</v>
      </c>
      <c r="R27" s="108"/>
      <c r="S27" s="109" t="str">
        <f t="shared" ref="S27:S29" si="44">IF(OR(T27="Preventivo",T27="Detectivo"),"Probabilidad",IF(T27="Correctivo","Impacto",""))</f>
        <v/>
      </c>
      <c r="T27" s="110"/>
      <c r="U27" s="110"/>
      <c r="V27" s="111" t="str">
        <f t="shared" si="37"/>
        <v/>
      </c>
      <c r="W27" s="110"/>
      <c r="X27" s="110"/>
      <c r="Y27" s="110"/>
      <c r="Z27" s="112" t="str">
        <f t="shared" si="42"/>
        <v/>
      </c>
      <c r="AA27" s="113" t="str">
        <f t="shared" si="38"/>
        <v/>
      </c>
      <c r="AB27" s="114" t="str">
        <f t="shared" si="39"/>
        <v/>
      </c>
      <c r="AC27" s="113" t="str">
        <f t="shared" si="40"/>
        <v/>
      </c>
      <c r="AD27" s="121" t="str">
        <f t="shared" si="43"/>
        <v/>
      </c>
      <c r="AE27" s="115" t="str">
        <f t="shared" si="41"/>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20"/>
      <c r="B28" s="266"/>
      <c r="C28" s="266"/>
      <c r="D28" s="244"/>
      <c r="E28" s="150"/>
      <c r="F28" s="246"/>
      <c r="G28" s="151"/>
      <c r="H28" s="272"/>
      <c r="I28" s="275"/>
      <c r="J28" s="259"/>
      <c r="K28" s="256"/>
      <c r="L28" s="278"/>
      <c r="M28" s="256">
        <f ca="1">IF(NOT(ISERROR(MATCH(L28,_xlfn.ANCHORARRAY(F39),0))),K41&amp;"Por favor no seleccionar los criterios de impacto",L28)</f>
        <v>0</v>
      </c>
      <c r="N28" s="259"/>
      <c r="O28" s="256"/>
      <c r="P28" s="262"/>
      <c r="Q28" s="107">
        <v>5</v>
      </c>
      <c r="R28" s="108"/>
      <c r="S28" s="109" t="str">
        <f t="shared" si="44"/>
        <v/>
      </c>
      <c r="T28" s="110"/>
      <c r="U28" s="110"/>
      <c r="V28" s="111" t="str">
        <f t="shared" si="37"/>
        <v/>
      </c>
      <c r="W28" s="110"/>
      <c r="X28" s="110"/>
      <c r="Y28" s="110"/>
      <c r="Z28" s="112" t="str">
        <f t="shared" si="42"/>
        <v/>
      </c>
      <c r="AA28" s="113" t="str">
        <f t="shared" si="38"/>
        <v/>
      </c>
      <c r="AB28" s="114" t="str">
        <f t="shared" si="39"/>
        <v/>
      </c>
      <c r="AC28" s="113" t="str">
        <f t="shared" si="40"/>
        <v/>
      </c>
      <c r="AD28" s="121" t="str">
        <f t="shared" si="43"/>
        <v/>
      </c>
      <c r="AE28" s="115" t="str">
        <f t="shared" si="41"/>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64"/>
      <c r="B29" s="267"/>
      <c r="C29" s="267"/>
      <c r="D29" s="245"/>
      <c r="E29" s="150"/>
      <c r="F29" s="246"/>
      <c r="G29" s="151"/>
      <c r="H29" s="273"/>
      <c r="I29" s="276"/>
      <c r="J29" s="260"/>
      <c r="K29" s="257"/>
      <c r="L29" s="279"/>
      <c r="M29" s="257">
        <f ca="1">IF(NOT(ISERROR(MATCH(L29,_xlfn.ANCHORARRAY(F40),0))),K42&amp;"Por favor no seleccionar los criterios de impacto",L29)</f>
        <v>0</v>
      </c>
      <c r="N29" s="260"/>
      <c r="O29" s="257"/>
      <c r="P29" s="263"/>
      <c r="Q29" s="107">
        <v>6</v>
      </c>
      <c r="R29" s="108"/>
      <c r="S29" s="109" t="str">
        <f t="shared" si="44"/>
        <v/>
      </c>
      <c r="T29" s="110"/>
      <c r="U29" s="110"/>
      <c r="V29" s="111" t="str">
        <f t="shared" si="37"/>
        <v/>
      </c>
      <c r="W29" s="110"/>
      <c r="X29" s="110"/>
      <c r="Y29" s="110"/>
      <c r="Z29" s="112" t="str">
        <f t="shared" si="42"/>
        <v/>
      </c>
      <c r="AA29" s="113" t="str">
        <f t="shared" si="38"/>
        <v/>
      </c>
      <c r="AB29" s="114" t="str">
        <f t="shared" si="39"/>
        <v/>
      </c>
      <c r="AC29" s="113" t="str">
        <f t="shared" si="40"/>
        <v/>
      </c>
      <c r="AD29" s="121" t="str">
        <f t="shared" si="43"/>
        <v/>
      </c>
      <c r="AE29" s="115" t="str">
        <f t="shared" si="41"/>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19">
        <v>5</v>
      </c>
      <c r="B30" s="265"/>
      <c r="C30" s="265"/>
      <c r="D30" s="243"/>
      <c r="E30" s="150"/>
      <c r="F30" s="246"/>
      <c r="G30" s="151"/>
      <c r="H30" s="271"/>
      <c r="I30" s="274"/>
      <c r="J30" s="258" t="str">
        <f t="shared" ref="J30" si="45">IF(I30&lt;=0,"",IF(I30&lt;=2,"Muy Baja",IF(I30&lt;=24,"Baja",IF(I30&lt;=500,"Media",IF(I30&lt;=5000,"Alta","Muy Alta")))))</f>
        <v/>
      </c>
      <c r="K30" s="255" t="str">
        <f t="shared" ref="K30" si="46">IF(J30="","",IF(J30="Muy Baja",0.2,IF(J30="Baja",0.4,IF(J30="Media",0.6,IF(J30="Alta",0.8,IF(J30="Muy Alta",1,))))))</f>
        <v/>
      </c>
      <c r="L30" s="277"/>
      <c r="M30" s="255">
        <f ca="1">IF(NOT(ISERROR(MATCH(L30,'Tabla Impacto'!$B$221:$B$223,0))),'Tabla Impacto'!$F$223&amp;"Por favor no seleccionar los criterios de impacto(Afectación Económica o presupuestal y Pérdida Reputacional)",L30)</f>
        <v>0</v>
      </c>
      <c r="N30" s="258" t="str">
        <f ca="1">IF(OR(M30='Tabla Impacto'!$C$11,M30='Tabla Impacto'!$D$11),"Leve",IF(OR(M30='Tabla Impacto'!$C$12,M30='Tabla Impacto'!$D$12),"Menor",IF(OR(M30='Tabla Impacto'!$C$13,M30='Tabla Impacto'!$D$13),"Moderado",IF(OR(M30='Tabla Impacto'!$C$14,M30='Tabla Impacto'!$D$14),"Mayor",IF(OR(M30='Tabla Impacto'!$C$15,M30='Tabla Impacto'!$D$15),"Catastrófico","")))))</f>
        <v/>
      </c>
      <c r="O30" s="255" t="str">
        <f t="shared" ref="O30" ca="1" si="47">IF(N30="","",IF(N30="Leve",0.2,IF(N30="Menor",0.4,IF(N30="Moderado",0.6,IF(N30="Mayor",0.8,IF(N30="Catastrófico",1,))))))</f>
        <v/>
      </c>
      <c r="P30" s="261" t="str">
        <f t="shared" ref="P30" ca="1" si="48">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07">
        <v>1</v>
      </c>
      <c r="R30" s="108"/>
      <c r="S30" s="109" t="s">
        <v>215</v>
      </c>
      <c r="T30" s="110"/>
      <c r="U30" s="110"/>
      <c r="V30" s="111" t="s">
        <v>215</v>
      </c>
      <c r="W30" s="110"/>
      <c r="X30" s="110"/>
      <c r="Y30" s="110"/>
      <c r="Z30" s="112" t="s">
        <v>215</v>
      </c>
      <c r="AA30" s="113" t="s">
        <v>215</v>
      </c>
      <c r="AB30" s="114" t="s">
        <v>215</v>
      </c>
      <c r="AC30" s="113" t="s">
        <v>215</v>
      </c>
      <c r="AD30" s="121" t="s">
        <v>215</v>
      </c>
      <c r="AE30" s="115" t="s">
        <v>215</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20"/>
      <c r="B31" s="266"/>
      <c r="C31" s="266"/>
      <c r="D31" s="244"/>
      <c r="E31" s="150"/>
      <c r="F31" s="246"/>
      <c r="G31" s="151"/>
      <c r="H31" s="272"/>
      <c r="I31" s="275"/>
      <c r="J31" s="259"/>
      <c r="K31" s="256"/>
      <c r="L31" s="278"/>
      <c r="M31" s="256">
        <f ca="1">IF(NOT(ISERROR(MATCH(L31,_xlfn.ANCHORARRAY(F42),0))),K44&amp;"Por favor no seleccionar los criterios de impacto",L31)</f>
        <v>0</v>
      </c>
      <c r="N31" s="259"/>
      <c r="O31" s="256"/>
      <c r="P31" s="262"/>
      <c r="Q31" s="107">
        <v>2</v>
      </c>
      <c r="R31" s="108"/>
      <c r="S31" s="109" t="s">
        <v>215</v>
      </c>
      <c r="T31" s="110"/>
      <c r="U31" s="110"/>
      <c r="V31" s="111" t="s">
        <v>215</v>
      </c>
      <c r="W31" s="110"/>
      <c r="X31" s="110"/>
      <c r="Y31" s="110"/>
      <c r="Z31" s="112" t="s">
        <v>215</v>
      </c>
      <c r="AA31" s="113" t="s">
        <v>215</v>
      </c>
      <c r="AB31" s="114" t="s">
        <v>215</v>
      </c>
      <c r="AC31" s="113" t="s">
        <v>215</v>
      </c>
      <c r="AD31" s="121" t="s">
        <v>215</v>
      </c>
      <c r="AE31" s="115" t="s">
        <v>215</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20"/>
      <c r="B32" s="266"/>
      <c r="C32" s="266"/>
      <c r="D32" s="244"/>
      <c r="E32" s="150"/>
      <c r="F32" s="246"/>
      <c r="G32" s="151"/>
      <c r="H32" s="272"/>
      <c r="I32" s="275"/>
      <c r="J32" s="259"/>
      <c r="K32" s="256"/>
      <c r="L32" s="278"/>
      <c r="M32" s="256">
        <f ca="1">IF(NOT(ISERROR(MATCH(L32,_xlfn.ANCHORARRAY(F43),0))),K45&amp;"Por favor no seleccionar los criterios de impacto",L32)</f>
        <v>0</v>
      </c>
      <c r="N32" s="259"/>
      <c r="O32" s="256"/>
      <c r="P32" s="262"/>
      <c r="Q32" s="107">
        <v>3</v>
      </c>
      <c r="R32" s="120"/>
      <c r="S32" s="109" t="s">
        <v>215</v>
      </c>
      <c r="T32" s="110"/>
      <c r="U32" s="110"/>
      <c r="V32" s="111" t="s">
        <v>215</v>
      </c>
      <c r="W32" s="110"/>
      <c r="X32" s="110"/>
      <c r="Y32" s="110"/>
      <c r="Z32" s="112" t="s">
        <v>215</v>
      </c>
      <c r="AA32" s="113" t="s">
        <v>215</v>
      </c>
      <c r="AB32" s="114" t="s">
        <v>215</v>
      </c>
      <c r="AC32" s="113" t="s">
        <v>215</v>
      </c>
      <c r="AD32" s="121" t="s">
        <v>215</v>
      </c>
      <c r="AE32" s="115" t="s">
        <v>215</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20"/>
      <c r="B33" s="266"/>
      <c r="C33" s="266"/>
      <c r="D33" s="244"/>
      <c r="E33" s="150"/>
      <c r="F33" s="246"/>
      <c r="G33" s="151"/>
      <c r="H33" s="272"/>
      <c r="I33" s="275"/>
      <c r="J33" s="259"/>
      <c r="K33" s="256"/>
      <c r="L33" s="278"/>
      <c r="M33" s="256">
        <f ca="1">IF(NOT(ISERROR(MATCH(L33,_xlfn.ANCHORARRAY(F44),0))),K46&amp;"Por favor no seleccionar los criterios de impacto",L33)</f>
        <v>0</v>
      </c>
      <c r="N33" s="259"/>
      <c r="O33" s="256"/>
      <c r="P33" s="262"/>
      <c r="Q33" s="107">
        <v>4</v>
      </c>
      <c r="R33" s="108"/>
      <c r="S33" s="109" t="s">
        <v>215</v>
      </c>
      <c r="T33" s="110"/>
      <c r="U33" s="110"/>
      <c r="V33" s="111" t="s">
        <v>215</v>
      </c>
      <c r="W33" s="110"/>
      <c r="X33" s="110"/>
      <c r="Y33" s="110"/>
      <c r="Z33" s="112" t="s">
        <v>215</v>
      </c>
      <c r="AA33" s="113" t="s">
        <v>215</v>
      </c>
      <c r="AB33" s="114" t="s">
        <v>215</v>
      </c>
      <c r="AC33" s="113" t="s">
        <v>215</v>
      </c>
      <c r="AD33" s="121" t="s">
        <v>215</v>
      </c>
      <c r="AE33" s="115" t="s">
        <v>215</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20"/>
      <c r="B34" s="266"/>
      <c r="C34" s="266"/>
      <c r="D34" s="244"/>
      <c r="E34" s="150"/>
      <c r="F34" s="246"/>
      <c r="G34" s="151"/>
      <c r="H34" s="272"/>
      <c r="I34" s="275"/>
      <c r="J34" s="259"/>
      <c r="K34" s="256"/>
      <c r="L34" s="278"/>
      <c r="M34" s="256">
        <f ca="1">IF(NOT(ISERROR(MATCH(L34,_xlfn.ANCHORARRAY(F45),0))),K47&amp;"Por favor no seleccionar los criterios de impacto",L34)</f>
        <v>0</v>
      </c>
      <c r="N34" s="259"/>
      <c r="O34" s="256"/>
      <c r="P34" s="262"/>
      <c r="Q34" s="107">
        <v>5</v>
      </c>
      <c r="R34" s="108"/>
      <c r="S34" s="109" t="s">
        <v>215</v>
      </c>
      <c r="T34" s="110"/>
      <c r="U34" s="110"/>
      <c r="V34" s="111" t="s">
        <v>215</v>
      </c>
      <c r="W34" s="110"/>
      <c r="X34" s="110"/>
      <c r="Y34" s="110"/>
      <c r="Z34" s="112" t="s">
        <v>215</v>
      </c>
      <c r="AA34" s="113" t="s">
        <v>215</v>
      </c>
      <c r="AB34" s="114" t="s">
        <v>215</v>
      </c>
      <c r="AC34" s="113" t="s">
        <v>215</v>
      </c>
      <c r="AD34" s="121" t="s">
        <v>215</v>
      </c>
      <c r="AE34" s="115" t="s">
        <v>215</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64"/>
      <c r="B35" s="267"/>
      <c r="C35" s="267"/>
      <c r="D35" s="245"/>
      <c r="E35" s="150"/>
      <c r="F35" s="246"/>
      <c r="G35" s="151"/>
      <c r="H35" s="273"/>
      <c r="I35" s="276"/>
      <c r="J35" s="260"/>
      <c r="K35" s="257"/>
      <c r="L35" s="279"/>
      <c r="M35" s="257">
        <f ca="1">IF(NOT(ISERROR(MATCH(L35,_xlfn.ANCHORARRAY(F46),0))),K48&amp;"Por favor no seleccionar los criterios de impacto",L35)</f>
        <v>0</v>
      </c>
      <c r="N35" s="260"/>
      <c r="O35" s="257"/>
      <c r="P35" s="263"/>
      <c r="Q35" s="107">
        <v>6</v>
      </c>
      <c r="R35" s="108"/>
      <c r="S35" s="109" t="s">
        <v>215</v>
      </c>
      <c r="T35" s="110"/>
      <c r="U35" s="110"/>
      <c r="V35" s="111" t="s">
        <v>215</v>
      </c>
      <c r="W35" s="110"/>
      <c r="X35" s="110"/>
      <c r="Y35" s="110"/>
      <c r="Z35" s="112" t="s">
        <v>215</v>
      </c>
      <c r="AA35" s="113" t="s">
        <v>215</v>
      </c>
      <c r="AB35" s="114" t="s">
        <v>215</v>
      </c>
      <c r="AC35" s="113" t="s">
        <v>215</v>
      </c>
      <c r="AD35" s="121" t="s">
        <v>215</v>
      </c>
      <c r="AE35" s="115" t="s">
        <v>215</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19">
        <v>6</v>
      </c>
      <c r="B36" s="265"/>
      <c r="C36" s="265"/>
      <c r="D36" s="243"/>
      <c r="E36" s="150"/>
      <c r="F36" s="246"/>
      <c r="G36" s="151"/>
      <c r="H36" s="271"/>
      <c r="I36" s="274"/>
      <c r="J36" s="258" t="str">
        <f t="shared" ref="J36" si="49">IF(I36&lt;=0,"",IF(I36&lt;=2,"Muy Baja",IF(I36&lt;=24,"Baja",IF(I36&lt;=500,"Media",IF(I36&lt;=5000,"Alta","Muy Alta")))))</f>
        <v/>
      </c>
      <c r="K36" s="255" t="str">
        <f t="shared" ref="K36" si="50">IF(J36="","",IF(J36="Muy Baja",0.2,IF(J36="Baja",0.4,IF(J36="Media",0.6,IF(J36="Alta",0.8,IF(J36="Muy Alta",1,))))))</f>
        <v/>
      </c>
      <c r="L36" s="277"/>
      <c r="M36" s="255">
        <f ca="1">IF(NOT(ISERROR(MATCH(L36,'Tabla Impacto'!$B$221:$B$223,0))),'Tabla Impacto'!$F$223&amp;"Por favor no seleccionar los criterios de impacto(Afectación Económica o presupuestal y Pérdida Reputacional)",L36)</f>
        <v>0</v>
      </c>
      <c r="N36" s="258" t="str">
        <f ca="1">IF(OR(M36='Tabla Impacto'!$C$11,M36='Tabla Impacto'!$D$11),"Leve",IF(OR(M36='Tabla Impacto'!$C$12,M36='Tabla Impacto'!$D$12),"Menor",IF(OR(M36='Tabla Impacto'!$C$13,M36='Tabla Impacto'!$D$13),"Moderado",IF(OR(M36='Tabla Impacto'!$C$14,M36='Tabla Impacto'!$D$14),"Mayor",IF(OR(M36='Tabla Impacto'!$C$15,M36='Tabla Impacto'!$D$15),"Catastrófico","")))))</f>
        <v/>
      </c>
      <c r="O36" s="255" t="str">
        <f t="shared" ref="O36" ca="1" si="51">IF(N36="","",IF(N36="Leve",0.2,IF(N36="Menor",0.4,IF(N36="Moderado",0.6,IF(N36="Mayor",0.8,IF(N36="Catastrófico",1,))))))</f>
        <v/>
      </c>
      <c r="P36" s="261" t="str">
        <f t="shared" ref="P36" ca="1" si="52">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07">
        <v>1</v>
      </c>
      <c r="R36" s="108"/>
      <c r="S36" s="109" t="s">
        <v>215</v>
      </c>
      <c r="T36" s="110"/>
      <c r="U36" s="110"/>
      <c r="V36" s="111" t="s">
        <v>215</v>
      </c>
      <c r="W36" s="110"/>
      <c r="X36" s="110"/>
      <c r="Y36" s="110"/>
      <c r="Z36" s="112" t="s">
        <v>215</v>
      </c>
      <c r="AA36" s="113" t="s">
        <v>215</v>
      </c>
      <c r="AB36" s="114" t="s">
        <v>215</v>
      </c>
      <c r="AC36" s="113" t="s">
        <v>215</v>
      </c>
      <c r="AD36" s="121" t="s">
        <v>215</v>
      </c>
      <c r="AE36" s="115" t="s">
        <v>215</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20"/>
      <c r="B37" s="266"/>
      <c r="C37" s="266"/>
      <c r="D37" s="244"/>
      <c r="E37" s="150"/>
      <c r="F37" s="246"/>
      <c r="G37" s="151"/>
      <c r="H37" s="272"/>
      <c r="I37" s="275"/>
      <c r="J37" s="259"/>
      <c r="K37" s="256"/>
      <c r="L37" s="278"/>
      <c r="M37" s="256">
        <f ca="1">IF(NOT(ISERROR(MATCH(L37,_xlfn.ANCHORARRAY(F48),0))),K50&amp;"Por favor no seleccionar los criterios de impacto",L37)</f>
        <v>0</v>
      </c>
      <c r="N37" s="259"/>
      <c r="O37" s="256"/>
      <c r="P37" s="262"/>
      <c r="Q37" s="107">
        <v>2</v>
      </c>
      <c r="R37" s="108"/>
      <c r="S37" s="109" t="s">
        <v>215</v>
      </c>
      <c r="T37" s="110"/>
      <c r="U37" s="110"/>
      <c r="V37" s="111" t="s">
        <v>215</v>
      </c>
      <c r="W37" s="110"/>
      <c r="X37" s="110"/>
      <c r="Y37" s="110"/>
      <c r="Z37" s="112" t="s">
        <v>215</v>
      </c>
      <c r="AA37" s="113" t="s">
        <v>215</v>
      </c>
      <c r="AB37" s="114" t="s">
        <v>215</v>
      </c>
      <c r="AC37" s="113" t="s">
        <v>215</v>
      </c>
      <c r="AD37" s="121" t="s">
        <v>215</v>
      </c>
      <c r="AE37" s="115" t="s">
        <v>215</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20"/>
      <c r="B38" s="266"/>
      <c r="C38" s="266"/>
      <c r="D38" s="244"/>
      <c r="E38" s="150"/>
      <c r="F38" s="246"/>
      <c r="G38" s="151"/>
      <c r="H38" s="272"/>
      <c r="I38" s="275"/>
      <c r="J38" s="259"/>
      <c r="K38" s="256"/>
      <c r="L38" s="278"/>
      <c r="M38" s="256">
        <f ca="1">IF(NOT(ISERROR(MATCH(L38,_xlfn.ANCHORARRAY(F49),0))),K51&amp;"Por favor no seleccionar los criterios de impacto",L38)</f>
        <v>0</v>
      </c>
      <c r="N38" s="259"/>
      <c r="O38" s="256"/>
      <c r="P38" s="262"/>
      <c r="Q38" s="107">
        <v>3</v>
      </c>
      <c r="R38" s="120"/>
      <c r="S38" s="109" t="s">
        <v>215</v>
      </c>
      <c r="T38" s="110"/>
      <c r="U38" s="110"/>
      <c r="V38" s="111" t="s">
        <v>215</v>
      </c>
      <c r="W38" s="110"/>
      <c r="X38" s="110"/>
      <c r="Y38" s="110"/>
      <c r="Z38" s="112" t="s">
        <v>215</v>
      </c>
      <c r="AA38" s="113" t="s">
        <v>215</v>
      </c>
      <c r="AB38" s="114" t="s">
        <v>215</v>
      </c>
      <c r="AC38" s="113" t="s">
        <v>215</v>
      </c>
      <c r="AD38" s="121" t="s">
        <v>215</v>
      </c>
      <c r="AE38" s="115" t="s">
        <v>215</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20"/>
      <c r="B39" s="266"/>
      <c r="C39" s="266"/>
      <c r="D39" s="244"/>
      <c r="E39" s="150"/>
      <c r="F39" s="246"/>
      <c r="G39" s="151"/>
      <c r="H39" s="272"/>
      <c r="I39" s="275"/>
      <c r="J39" s="259"/>
      <c r="K39" s="256"/>
      <c r="L39" s="278"/>
      <c r="M39" s="256">
        <f ca="1">IF(NOT(ISERROR(MATCH(L39,_xlfn.ANCHORARRAY(F50),0))),K52&amp;"Por favor no seleccionar los criterios de impacto",L39)</f>
        <v>0</v>
      </c>
      <c r="N39" s="259"/>
      <c r="O39" s="256"/>
      <c r="P39" s="262"/>
      <c r="Q39" s="107">
        <v>4</v>
      </c>
      <c r="R39" s="108"/>
      <c r="S39" s="109" t="s">
        <v>215</v>
      </c>
      <c r="T39" s="110"/>
      <c r="U39" s="110"/>
      <c r="V39" s="111" t="s">
        <v>215</v>
      </c>
      <c r="W39" s="110"/>
      <c r="X39" s="110"/>
      <c r="Y39" s="110"/>
      <c r="Z39" s="112" t="s">
        <v>215</v>
      </c>
      <c r="AA39" s="113" t="s">
        <v>215</v>
      </c>
      <c r="AB39" s="114" t="s">
        <v>215</v>
      </c>
      <c r="AC39" s="113" t="s">
        <v>215</v>
      </c>
      <c r="AD39" s="121" t="s">
        <v>215</v>
      </c>
      <c r="AE39" s="115" t="s">
        <v>215</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20"/>
      <c r="B40" s="266"/>
      <c r="C40" s="266"/>
      <c r="D40" s="244"/>
      <c r="E40" s="150"/>
      <c r="F40" s="246"/>
      <c r="G40" s="151"/>
      <c r="H40" s="272"/>
      <c r="I40" s="275"/>
      <c r="J40" s="259"/>
      <c r="K40" s="256"/>
      <c r="L40" s="278"/>
      <c r="M40" s="256">
        <f ca="1">IF(NOT(ISERROR(MATCH(L40,_xlfn.ANCHORARRAY(F51),0))),K53&amp;"Por favor no seleccionar los criterios de impacto",L40)</f>
        <v>0</v>
      </c>
      <c r="N40" s="259"/>
      <c r="O40" s="256"/>
      <c r="P40" s="262"/>
      <c r="Q40" s="107">
        <v>5</v>
      </c>
      <c r="R40" s="108"/>
      <c r="S40" s="109" t="s">
        <v>215</v>
      </c>
      <c r="T40" s="110"/>
      <c r="U40" s="110"/>
      <c r="V40" s="111" t="s">
        <v>215</v>
      </c>
      <c r="W40" s="110"/>
      <c r="X40" s="110"/>
      <c r="Y40" s="110"/>
      <c r="Z40" s="112" t="s">
        <v>215</v>
      </c>
      <c r="AA40" s="113" t="s">
        <v>215</v>
      </c>
      <c r="AB40" s="114" t="s">
        <v>215</v>
      </c>
      <c r="AC40" s="113" t="s">
        <v>215</v>
      </c>
      <c r="AD40" s="121" t="s">
        <v>215</v>
      </c>
      <c r="AE40" s="115" t="s">
        <v>215</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64"/>
      <c r="B41" s="267"/>
      <c r="C41" s="267"/>
      <c r="D41" s="245"/>
      <c r="E41" s="150"/>
      <c r="F41" s="246"/>
      <c r="G41" s="151"/>
      <c r="H41" s="273"/>
      <c r="I41" s="276"/>
      <c r="J41" s="260"/>
      <c r="K41" s="257"/>
      <c r="L41" s="279"/>
      <c r="M41" s="257">
        <f ca="1">IF(NOT(ISERROR(MATCH(L41,_xlfn.ANCHORARRAY(F52),0))),K54&amp;"Por favor no seleccionar los criterios de impacto",L41)</f>
        <v>0</v>
      </c>
      <c r="N41" s="260"/>
      <c r="O41" s="257"/>
      <c r="P41" s="263"/>
      <c r="Q41" s="107">
        <v>6</v>
      </c>
      <c r="R41" s="108"/>
      <c r="S41" s="109" t="s">
        <v>215</v>
      </c>
      <c r="T41" s="110"/>
      <c r="U41" s="110"/>
      <c r="V41" s="111" t="s">
        <v>215</v>
      </c>
      <c r="W41" s="110"/>
      <c r="X41" s="110"/>
      <c r="Y41" s="110"/>
      <c r="Z41" s="112" t="s">
        <v>215</v>
      </c>
      <c r="AA41" s="113" t="s">
        <v>215</v>
      </c>
      <c r="AB41" s="114" t="s">
        <v>215</v>
      </c>
      <c r="AC41" s="113" t="s">
        <v>215</v>
      </c>
      <c r="AD41" s="121" t="s">
        <v>215</v>
      </c>
      <c r="AE41" s="115" t="s">
        <v>215</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19">
        <v>7</v>
      </c>
      <c r="B42" s="265"/>
      <c r="C42" s="265"/>
      <c r="D42" s="265"/>
      <c r="E42" s="135"/>
      <c r="F42" s="281"/>
      <c r="G42" s="137"/>
      <c r="H42" s="265"/>
      <c r="I42" s="274"/>
      <c r="J42" s="258" t="str">
        <f t="shared" ref="J42" si="53">IF(I42&lt;=0,"",IF(I42&lt;=2,"Muy Baja",IF(I42&lt;=24,"Baja",IF(I42&lt;=500,"Media",IF(I42&lt;=5000,"Alta","Muy Alta")))))</f>
        <v/>
      </c>
      <c r="K42" s="255" t="str">
        <f t="shared" ref="K42" si="54">IF(J42="","",IF(J42="Muy Baja",0.2,IF(J42="Baja",0.4,IF(J42="Media",0.6,IF(J42="Alta",0.8,IF(J42="Muy Alta",1,))))))</f>
        <v/>
      </c>
      <c r="L42" s="277"/>
      <c r="M42" s="255">
        <f ca="1">IF(NOT(ISERROR(MATCH(L42,'Tabla Impacto'!$B$221:$B$223,0))),'Tabla Impacto'!$F$223&amp;"Por favor no seleccionar los criterios de impacto(Afectación Económica o presupuestal y Pérdida Reputacional)",L42)</f>
        <v>0</v>
      </c>
      <c r="N42" s="258" t="str">
        <f ca="1">IF(OR(M42='Tabla Impacto'!$C$11,M42='Tabla Impacto'!$D$11),"Leve",IF(OR(M42='Tabla Impacto'!$C$12,M42='Tabla Impacto'!$D$12),"Menor",IF(OR(M42='Tabla Impacto'!$C$13,M42='Tabla Impacto'!$D$13),"Moderado",IF(OR(M42='Tabla Impacto'!$C$14,M42='Tabla Impacto'!$D$14),"Mayor",IF(OR(M42='Tabla Impacto'!$C$15,M42='Tabla Impacto'!$D$15),"Catastrófico","")))))</f>
        <v/>
      </c>
      <c r="O42" s="255" t="str">
        <f t="shared" ref="O42" ca="1" si="55">IF(N42="","",IF(N42="Leve",0.2,IF(N42="Menor",0.4,IF(N42="Moderado",0.6,IF(N42="Mayor",0.8,IF(N42="Catastrófico",1,))))))</f>
        <v/>
      </c>
      <c r="P42" s="261" t="str">
        <f t="shared" ref="P42" ca="1" si="56">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07">
        <v>1</v>
      </c>
      <c r="R42" s="108"/>
      <c r="S42" s="109" t="s">
        <v>215</v>
      </c>
      <c r="T42" s="110"/>
      <c r="U42" s="110"/>
      <c r="V42" s="111" t="s">
        <v>215</v>
      </c>
      <c r="W42" s="110"/>
      <c r="X42" s="110"/>
      <c r="Y42" s="110"/>
      <c r="Z42" s="112" t="s">
        <v>215</v>
      </c>
      <c r="AA42" s="113" t="s">
        <v>215</v>
      </c>
      <c r="AB42" s="114" t="s">
        <v>215</v>
      </c>
      <c r="AC42" s="113" t="s">
        <v>215</v>
      </c>
      <c r="AD42" s="121" t="s">
        <v>215</v>
      </c>
      <c r="AE42" s="115" t="s">
        <v>215</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20"/>
      <c r="B43" s="266"/>
      <c r="C43" s="266"/>
      <c r="D43" s="266"/>
      <c r="E43" s="133"/>
      <c r="F43" s="281"/>
      <c r="G43" s="137"/>
      <c r="H43" s="266"/>
      <c r="I43" s="275"/>
      <c r="J43" s="259"/>
      <c r="K43" s="256"/>
      <c r="L43" s="278"/>
      <c r="M43" s="256">
        <f ca="1">IF(NOT(ISERROR(MATCH(L43,_xlfn.ANCHORARRAY(F54),0))),K56&amp;"Por favor no seleccionar los criterios de impacto",L43)</f>
        <v>0</v>
      </c>
      <c r="N43" s="259"/>
      <c r="O43" s="256"/>
      <c r="P43" s="262"/>
      <c r="Q43" s="107">
        <v>2</v>
      </c>
      <c r="R43" s="108"/>
      <c r="S43" s="109" t="s">
        <v>215</v>
      </c>
      <c r="T43" s="110"/>
      <c r="U43" s="110"/>
      <c r="V43" s="111" t="s">
        <v>215</v>
      </c>
      <c r="W43" s="110"/>
      <c r="X43" s="110"/>
      <c r="Y43" s="110"/>
      <c r="Z43" s="112" t="s">
        <v>215</v>
      </c>
      <c r="AA43" s="113" t="s">
        <v>215</v>
      </c>
      <c r="AB43" s="114" t="s">
        <v>215</v>
      </c>
      <c r="AC43" s="113" t="s">
        <v>215</v>
      </c>
      <c r="AD43" s="121" t="s">
        <v>215</v>
      </c>
      <c r="AE43" s="115" t="s">
        <v>215</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20"/>
      <c r="B44" s="266"/>
      <c r="C44" s="266"/>
      <c r="D44" s="266"/>
      <c r="E44" s="133"/>
      <c r="F44" s="281"/>
      <c r="G44" s="137"/>
      <c r="H44" s="266"/>
      <c r="I44" s="275"/>
      <c r="J44" s="259"/>
      <c r="K44" s="256"/>
      <c r="L44" s="278"/>
      <c r="M44" s="256">
        <f ca="1">IF(NOT(ISERROR(MATCH(L44,_xlfn.ANCHORARRAY(F55),0))),K57&amp;"Por favor no seleccionar los criterios de impacto",L44)</f>
        <v>0</v>
      </c>
      <c r="N44" s="259"/>
      <c r="O44" s="256"/>
      <c r="P44" s="262"/>
      <c r="Q44" s="107">
        <v>3</v>
      </c>
      <c r="R44" s="120"/>
      <c r="S44" s="109" t="s">
        <v>215</v>
      </c>
      <c r="T44" s="110"/>
      <c r="U44" s="110"/>
      <c r="V44" s="111" t="s">
        <v>215</v>
      </c>
      <c r="W44" s="110"/>
      <c r="X44" s="110"/>
      <c r="Y44" s="110"/>
      <c r="Z44" s="112" t="s">
        <v>215</v>
      </c>
      <c r="AA44" s="113" t="s">
        <v>215</v>
      </c>
      <c r="AB44" s="114" t="s">
        <v>215</v>
      </c>
      <c r="AC44" s="113" t="s">
        <v>215</v>
      </c>
      <c r="AD44" s="121" t="s">
        <v>215</v>
      </c>
      <c r="AE44" s="115" t="s">
        <v>215</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20"/>
      <c r="B45" s="266"/>
      <c r="C45" s="266"/>
      <c r="D45" s="266"/>
      <c r="E45" s="133"/>
      <c r="F45" s="281"/>
      <c r="G45" s="137"/>
      <c r="H45" s="266"/>
      <c r="I45" s="275"/>
      <c r="J45" s="259"/>
      <c r="K45" s="256"/>
      <c r="L45" s="278"/>
      <c r="M45" s="256">
        <f ca="1">IF(NOT(ISERROR(MATCH(L45,_xlfn.ANCHORARRAY(F56),0))),K58&amp;"Por favor no seleccionar los criterios de impacto",L45)</f>
        <v>0</v>
      </c>
      <c r="N45" s="259"/>
      <c r="O45" s="256"/>
      <c r="P45" s="262"/>
      <c r="Q45" s="107">
        <v>4</v>
      </c>
      <c r="R45" s="108"/>
      <c r="S45" s="109" t="s">
        <v>215</v>
      </c>
      <c r="T45" s="110"/>
      <c r="U45" s="110"/>
      <c r="V45" s="111" t="s">
        <v>215</v>
      </c>
      <c r="W45" s="110"/>
      <c r="X45" s="110"/>
      <c r="Y45" s="110"/>
      <c r="Z45" s="112" t="s">
        <v>215</v>
      </c>
      <c r="AA45" s="113" t="s">
        <v>215</v>
      </c>
      <c r="AB45" s="114" t="s">
        <v>215</v>
      </c>
      <c r="AC45" s="113" t="s">
        <v>215</v>
      </c>
      <c r="AD45" s="121" t="s">
        <v>215</v>
      </c>
      <c r="AE45" s="115" t="s">
        <v>215</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20"/>
      <c r="B46" s="266"/>
      <c r="C46" s="266"/>
      <c r="D46" s="266"/>
      <c r="E46" s="133"/>
      <c r="F46" s="281"/>
      <c r="G46" s="137"/>
      <c r="H46" s="266"/>
      <c r="I46" s="275"/>
      <c r="J46" s="259"/>
      <c r="K46" s="256"/>
      <c r="L46" s="278"/>
      <c r="M46" s="256">
        <f ca="1">IF(NOT(ISERROR(MATCH(L46,_xlfn.ANCHORARRAY(F57),0))),K59&amp;"Por favor no seleccionar los criterios de impacto",L46)</f>
        <v>0</v>
      </c>
      <c r="N46" s="259"/>
      <c r="O46" s="256"/>
      <c r="P46" s="262"/>
      <c r="Q46" s="107">
        <v>5</v>
      </c>
      <c r="R46" s="108"/>
      <c r="S46" s="109" t="s">
        <v>215</v>
      </c>
      <c r="T46" s="110"/>
      <c r="U46" s="110"/>
      <c r="V46" s="111" t="s">
        <v>215</v>
      </c>
      <c r="W46" s="110"/>
      <c r="X46" s="110"/>
      <c r="Y46" s="110"/>
      <c r="Z46" s="112" t="s">
        <v>215</v>
      </c>
      <c r="AA46" s="113" t="s">
        <v>215</v>
      </c>
      <c r="AB46" s="114" t="s">
        <v>215</v>
      </c>
      <c r="AC46" s="113" t="s">
        <v>215</v>
      </c>
      <c r="AD46" s="121" t="s">
        <v>215</v>
      </c>
      <c r="AE46" s="115" t="s">
        <v>215</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64"/>
      <c r="B47" s="267"/>
      <c r="C47" s="267"/>
      <c r="D47" s="267"/>
      <c r="E47" s="134"/>
      <c r="F47" s="282"/>
      <c r="G47" s="138"/>
      <c r="H47" s="267"/>
      <c r="I47" s="276"/>
      <c r="J47" s="260"/>
      <c r="K47" s="257"/>
      <c r="L47" s="279"/>
      <c r="M47" s="257">
        <f ca="1">IF(NOT(ISERROR(MATCH(L47,_xlfn.ANCHORARRAY(F58),0))),K60&amp;"Por favor no seleccionar los criterios de impacto",L47)</f>
        <v>0</v>
      </c>
      <c r="N47" s="260"/>
      <c r="O47" s="257"/>
      <c r="P47" s="263"/>
      <c r="Q47" s="107">
        <v>6</v>
      </c>
      <c r="R47" s="108"/>
      <c r="S47" s="109" t="s">
        <v>215</v>
      </c>
      <c r="T47" s="110"/>
      <c r="U47" s="110"/>
      <c r="V47" s="111" t="s">
        <v>215</v>
      </c>
      <c r="W47" s="110"/>
      <c r="X47" s="110"/>
      <c r="Y47" s="110"/>
      <c r="Z47" s="112" t="s">
        <v>215</v>
      </c>
      <c r="AA47" s="113" t="s">
        <v>215</v>
      </c>
      <c r="AB47" s="114" t="s">
        <v>215</v>
      </c>
      <c r="AC47" s="113" t="s">
        <v>215</v>
      </c>
      <c r="AD47" s="121" t="s">
        <v>215</v>
      </c>
      <c r="AE47" s="115" t="s">
        <v>215</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19">
        <v>8</v>
      </c>
      <c r="B48" s="265"/>
      <c r="C48" s="265"/>
      <c r="D48" s="265"/>
      <c r="E48" s="132"/>
      <c r="F48" s="280"/>
      <c r="G48" s="136"/>
      <c r="H48" s="265"/>
      <c r="I48" s="274"/>
      <c r="J48" s="258" t="str">
        <f t="shared" ref="J48" si="57">IF(I48&lt;=0,"",IF(I48&lt;=2,"Muy Baja",IF(I48&lt;=24,"Baja",IF(I48&lt;=500,"Media",IF(I48&lt;=5000,"Alta","Muy Alta")))))</f>
        <v/>
      </c>
      <c r="K48" s="255" t="str">
        <f t="shared" ref="K48" si="58">IF(J48="","",IF(J48="Muy Baja",0.2,IF(J48="Baja",0.4,IF(J48="Media",0.6,IF(J48="Alta",0.8,IF(J48="Muy Alta",1,))))))</f>
        <v/>
      </c>
      <c r="L48" s="277"/>
      <c r="M48" s="255">
        <f ca="1">IF(NOT(ISERROR(MATCH(L48,'Tabla Impacto'!$B$221:$B$223,0))),'Tabla Impacto'!$F$223&amp;"Por favor no seleccionar los criterios de impacto(Afectación Económica o presupuestal y Pérdida Reputacional)",L48)</f>
        <v>0</v>
      </c>
      <c r="N48" s="258" t="str">
        <f ca="1">IF(OR(M48='Tabla Impacto'!$C$11,M48='Tabla Impacto'!$D$11),"Leve",IF(OR(M48='Tabla Impacto'!$C$12,M48='Tabla Impacto'!$D$12),"Menor",IF(OR(M48='Tabla Impacto'!$C$13,M48='Tabla Impacto'!$D$13),"Moderado",IF(OR(M48='Tabla Impacto'!$C$14,M48='Tabla Impacto'!$D$14),"Mayor",IF(OR(M48='Tabla Impacto'!$C$15,M48='Tabla Impacto'!$D$15),"Catastrófico","")))))</f>
        <v/>
      </c>
      <c r="O48" s="255" t="str">
        <f t="shared" ref="O48" ca="1" si="59">IF(N48="","",IF(N48="Leve",0.2,IF(N48="Menor",0.4,IF(N48="Moderado",0.6,IF(N48="Mayor",0.8,IF(N48="Catastrófico",1,))))))</f>
        <v/>
      </c>
      <c r="P48" s="261" t="str">
        <f t="shared" ref="P48" ca="1" si="60">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07">
        <v>1</v>
      </c>
      <c r="R48" s="108"/>
      <c r="S48" s="109" t="str">
        <f>IF(OR(T48="Preventivo",T48="Detectivo"),"Probabilidad",IF(T48="Correctivo","Impacto",""))</f>
        <v/>
      </c>
      <c r="T48" s="110"/>
      <c r="U48" s="110"/>
      <c r="V48" s="111" t="str">
        <f>IF(AND(T48="Preventivo",U48="Automático"),"50%",IF(AND(T48="Preventivo",U48="Manual"),"40%",IF(AND(T48="Detectivo",U48="Automático"),"40%",IF(AND(T48="Detectivo",U48="Manual"),"30%",IF(AND(T48="Correctivo",U48="Automático"),"35%",IF(AND(T48="Correctivo",U48="Manual"),"25%",""))))))</f>
        <v/>
      </c>
      <c r="W48" s="110"/>
      <c r="X48" s="110"/>
      <c r="Y48" s="110"/>
      <c r="Z48" s="112" t="str">
        <f>IFERROR(IF(S48="Probabilidad",(K48-(+K48*V48)),IF(S48="Impacto",K48,"")),"")</f>
        <v/>
      </c>
      <c r="AA48" s="113" t="str">
        <f>IFERROR(IF(Z48="","",IF(Z48&lt;=0.2,"Muy Baja",IF(Z48&lt;=0.4,"Baja",IF(Z48&lt;=0.6,"Media",IF(Z48&lt;=0.8,"Alta","Muy Alta"))))),"")</f>
        <v/>
      </c>
      <c r="AB48" s="114" t="str">
        <f>+Z48</f>
        <v/>
      </c>
      <c r="AC48" s="113" t="str">
        <f>IFERROR(IF(AD48="","",IF(AD48&lt;=0.2,"Leve",IF(AD48&lt;=0.4,"Menor",IF(AD48&lt;=0.6,"Moderado",IF(AD48&lt;=0.8,"Mayor","Catastrófico"))))),"")</f>
        <v/>
      </c>
      <c r="AD48" s="121" t="str">
        <f>IFERROR(IF(S48="Impacto",(O48-(+O48*V48)),IF(S48="Probabilidad",O48,"")),"")</f>
        <v/>
      </c>
      <c r="AE48" s="115"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20"/>
      <c r="B49" s="266"/>
      <c r="C49" s="266"/>
      <c r="D49" s="266"/>
      <c r="E49" s="133"/>
      <c r="F49" s="281"/>
      <c r="G49" s="137"/>
      <c r="H49" s="266"/>
      <c r="I49" s="275"/>
      <c r="J49" s="259"/>
      <c r="K49" s="256"/>
      <c r="L49" s="278"/>
      <c r="M49" s="256">
        <f ca="1">IF(NOT(ISERROR(MATCH(L49,_xlfn.ANCHORARRAY(F60),0))),K62&amp;"Por favor no seleccionar los criterios de impacto",L49)</f>
        <v>0</v>
      </c>
      <c r="N49" s="259"/>
      <c r="O49" s="256"/>
      <c r="P49" s="262"/>
      <c r="Q49" s="107">
        <v>2</v>
      </c>
      <c r="R49" s="108"/>
      <c r="S49" s="109" t="str">
        <f>IF(OR(T49="Preventivo",T49="Detectivo"),"Probabilidad",IF(T49="Correctivo","Impacto",""))</f>
        <v/>
      </c>
      <c r="T49" s="110"/>
      <c r="U49" s="110"/>
      <c r="V49" s="111" t="str">
        <f t="shared" ref="V49:V53" si="61">IF(AND(T49="Preventivo",U49="Automático"),"50%",IF(AND(T49="Preventivo",U49="Manual"),"40%",IF(AND(T49="Detectivo",U49="Automático"),"40%",IF(AND(T49="Detectivo",U49="Manual"),"30%",IF(AND(T49="Correctivo",U49="Automático"),"35%",IF(AND(T49="Correctivo",U49="Manual"),"25%",""))))))</f>
        <v/>
      </c>
      <c r="W49" s="110"/>
      <c r="X49" s="110"/>
      <c r="Y49" s="110"/>
      <c r="Z49" s="112" t="str">
        <f>IFERROR(IF(AND(S48="Probabilidad",S49="Probabilidad"),(AB48-(+AB48*V49)),IF(S49="Probabilidad",(K48-(+K48*V49)),IF(S49="Impacto",AB48,""))),"")</f>
        <v/>
      </c>
      <c r="AA49" s="113" t="str">
        <f t="shared" ref="AA49:AA65" si="62">IFERROR(IF(Z49="","",IF(Z49&lt;=0.2,"Muy Baja",IF(Z49&lt;=0.4,"Baja",IF(Z49&lt;=0.6,"Media",IF(Z49&lt;=0.8,"Alta","Muy Alta"))))),"")</f>
        <v/>
      </c>
      <c r="AB49" s="114" t="str">
        <f t="shared" ref="AB49:AB53" si="63">+Z49</f>
        <v/>
      </c>
      <c r="AC49" s="113" t="str">
        <f t="shared" ref="AC49:AC65" si="64">IFERROR(IF(AD49="","",IF(AD49&lt;=0.2,"Leve",IF(AD49&lt;=0.4,"Menor",IF(AD49&lt;=0.6,"Moderado",IF(AD49&lt;=0.8,"Mayor","Catastrófico"))))),"")</f>
        <v/>
      </c>
      <c r="AD49" s="121" t="str">
        <f>IFERROR(IF(AND(S48="Impacto",S49="Impacto"),(AD48-(+AD48*V49)),IF(S49="Impacto",(O48-(+O48*V49)),IF(S49="Probabilidad",AD48,""))),"")</f>
        <v/>
      </c>
      <c r="AE49" s="115" t="str">
        <f t="shared" ref="AE49:AE50" si="65">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20"/>
      <c r="B50" s="266"/>
      <c r="C50" s="266"/>
      <c r="D50" s="266"/>
      <c r="E50" s="133"/>
      <c r="F50" s="281"/>
      <c r="G50" s="137"/>
      <c r="H50" s="266"/>
      <c r="I50" s="275"/>
      <c r="J50" s="259"/>
      <c r="K50" s="256"/>
      <c r="L50" s="278"/>
      <c r="M50" s="256">
        <f ca="1">IF(NOT(ISERROR(MATCH(L50,_xlfn.ANCHORARRAY(F61),0))),K63&amp;"Por favor no seleccionar los criterios de impacto",L50)</f>
        <v>0</v>
      </c>
      <c r="N50" s="259"/>
      <c r="O50" s="256"/>
      <c r="P50" s="262"/>
      <c r="Q50" s="107">
        <v>3</v>
      </c>
      <c r="R50" s="120"/>
      <c r="S50" s="109" t="str">
        <f>IF(OR(T50="Preventivo",T50="Detectivo"),"Probabilidad",IF(T50="Correctivo","Impacto",""))</f>
        <v/>
      </c>
      <c r="T50" s="110"/>
      <c r="U50" s="110"/>
      <c r="V50" s="111" t="str">
        <f t="shared" si="61"/>
        <v/>
      </c>
      <c r="W50" s="110"/>
      <c r="X50" s="110"/>
      <c r="Y50" s="110"/>
      <c r="Z50" s="112" t="str">
        <f>IFERROR(IF(AND(S49="Probabilidad",S50="Probabilidad"),(AB49-(+AB49*V50)),IF(AND(S49="Impacto",S50="Probabilidad"),(AB48-(+AB48*V50)),IF(S50="Impacto",AB49,""))),"")</f>
        <v/>
      </c>
      <c r="AA50" s="113" t="str">
        <f t="shared" si="62"/>
        <v/>
      </c>
      <c r="AB50" s="114" t="str">
        <f t="shared" si="63"/>
        <v/>
      </c>
      <c r="AC50" s="113" t="str">
        <f t="shared" si="64"/>
        <v/>
      </c>
      <c r="AD50" s="121" t="str">
        <f>IFERROR(IF(AND(S49="Impacto",S50="Impacto"),(AD49-(+AD49*V50)),IF(AND(S49="Probabilidad",S50="Impacto"),(AD48-(+AD48*V50)),IF(S50="Probabilidad",AD49,""))),"")</f>
        <v/>
      </c>
      <c r="AE50" s="115" t="str">
        <f t="shared" si="65"/>
        <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20"/>
      <c r="B51" s="266"/>
      <c r="C51" s="266"/>
      <c r="D51" s="266"/>
      <c r="E51" s="133"/>
      <c r="F51" s="281"/>
      <c r="G51" s="137"/>
      <c r="H51" s="266"/>
      <c r="I51" s="275"/>
      <c r="J51" s="259"/>
      <c r="K51" s="256"/>
      <c r="L51" s="278"/>
      <c r="M51" s="256">
        <f ca="1">IF(NOT(ISERROR(MATCH(L51,_xlfn.ANCHORARRAY(F62),0))),K64&amp;"Por favor no seleccionar los criterios de impacto",L51)</f>
        <v>0</v>
      </c>
      <c r="N51" s="259"/>
      <c r="O51" s="256"/>
      <c r="P51" s="262"/>
      <c r="Q51" s="107">
        <v>4</v>
      </c>
      <c r="R51" s="108"/>
      <c r="S51" s="109" t="str">
        <f t="shared" ref="S51:S53" si="66">IF(OR(T51="Preventivo",T51="Detectivo"),"Probabilidad",IF(T51="Correctivo","Impacto",""))</f>
        <v/>
      </c>
      <c r="T51" s="110"/>
      <c r="U51" s="110"/>
      <c r="V51" s="111" t="str">
        <f t="shared" si="61"/>
        <v/>
      </c>
      <c r="W51" s="110"/>
      <c r="X51" s="110"/>
      <c r="Y51" s="110"/>
      <c r="Z51" s="112" t="str">
        <f t="shared" ref="Z51:Z53" si="67">IFERROR(IF(AND(S50="Probabilidad",S51="Probabilidad"),(AB50-(+AB50*V51)),IF(AND(S50="Impacto",S51="Probabilidad"),(AB49-(+AB49*V51)),IF(S51="Impacto",AB50,""))),"")</f>
        <v/>
      </c>
      <c r="AA51" s="113" t="str">
        <f t="shared" si="62"/>
        <v/>
      </c>
      <c r="AB51" s="114" t="str">
        <f t="shared" si="63"/>
        <v/>
      </c>
      <c r="AC51" s="113" t="str">
        <f t="shared" si="64"/>
        <v/>
      </c>
      <c r="AD51" s="121" t="str">
        <f t="shared" ref="AD51:AD53" si="68">IFERROR(IF(AND(S50="Impacto",S51="Impacto"),(AD50-(+AD50*V51)),IF(AND(S50="Probabilidad",S51="Impacto"),(AD49-(+AD49*V51)),IF(S51="Probabilidad",AD50,""))),"")</f>
        <v/>
      </c>
      <c r="AE51" s="115"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20"/>
      <c r="B52" s="266"/>
      <c r="C52" s="266"/>
      <c r="D52" s="266"/>
      <c r="E52" s="133"/>
      <c r="F52" s="281"/>
      <c r="G52" s="137"/>
      <c r="H52" s="266"/>
      <c r="I52" s="275"/>
      <c r="J52" s="259"/>
      <c r="K52" s="256"/>
      <c r="L52" s="278"/>
      <c r="M52" s="256">
        <f ca="1">IF(NOT(ISERROR(MATCH(L52,_xlfn.ANCHORARRAY(F63),0))),K65&amp;"Por favor no seleccionar los criterios de impacto",L52)</f>
        <v>0</v>
      </c>
      <c r="N52" s="259"/>
      <c r="O52" s="256"/>
      <c r="P52" s="262"/>
      <c r="Q52" s="107">
        <v>5</v>
      </c>
      <c r="R52" s="108"/>
      <c r="S52" s="109" t="str">
        <f t="shared" si="66"/>
        <v/>
      </c>
      <c r="T52" s="110"/>
      <c r="U52" s="110"/>
      <c r="V52" s="111" t="str">
        <f t="shared" si="61"/>
        <v/>
      </c>
      <c r="W52" s="110"/>
      <c r="X52" s="110"/>
      <c r="Y52" s="110"/>
      <c r="Z52" s="112" t="str">
        <f t="shared" si="67"/>
        <v/>
      </c>
      <c r="AA52" s="113" t="str">
        <f t="shared" si="62"/>
        <v/>
      </c>
      <c r="AB52" s="114" t="str">
        <f t="shared" si="63"/>
        <v/>
      </c>
      <c r="AC52" s="113" t="str">
        <f t="shared" si="64"/>
        <v/>
      </c>
      <c r="AD52" s="121" t="str">
        <f t="shared" si="68"/>
        <v/>
      </c>
      <c r="AE52" s="115" t="str">
        <f t="shared" ref="AE52:AE53" si="69">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64"/>
      <c r="B53" s="267"/>
      <c r="C53" s="267"/>
      <c r="D53" s="267"/>
      <c r="E53" s="134"/>
      <c r="F53" s="282"/>
      <c r="G53" s="138"/>
      <c r="H53" s="267"/>
      <c r="I53" s="276"/>
      <c r="J53" s="260"/>
      <c r="K53" s="257"/>
      <c r="L53" s="279"/>
      <c r="M53" s="257">
        <f ca="1">IF(NOT(ISERROR(MATCH(L53,_xlfn.ANCHORARRAY(F64),0))),K66&amp;"Por favor no seleccionar los criterios de impacto",L53)</f>
        <v>0</v>
      </c>
      <c r="N53" s="260"/>
      <c r="O53" s="257"/>
      <c r="P53" s="263"/>
      <c r="Q53" s="107">
        <v>6</v>
      </c>
      <c r="R53" s="108"/>
      <c r="S53" s="109" t="str">
        <f t="shared" si="66"/>
        <v/>
      </c>
      <c r="T53" s="110"/>
      <c r="U53" s="110"/>
      <c r="V53" s="111" t="str">
        <f t="shared" si="61"/>
        <v/>
      </c>
      <c r="W53" s="110"/>
      <c r="X53" s="110"/>
      <c r="Y53" s="110"/>
      <c r="Z53" s="112" t="str">
        <f t="shared" si="67"/>
        <v/>
      </c>
      <c r="AA53" s="113" t="str">
        <f t="shared" si="62"/>
        <v/>
      </c>
      <c r="AB53" s="114" t="str">
        <f t="shared" si="63"/>
        <v/>
      </c>
      <c r="AC53" s="113" t="str">
        <f t="shared" si="64"/>
        <v/>
      </c>
      <c r="AD53" s="121" t="str">
        <f t="shared" si="68"/>
        <v/>
      </c>
      <c r="AE53" s="115" t="str">
        <f t="shared" si="69"/>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19">
        <v>9</v>
      </c>
      <c r="B54" s="265"/>
      <c r="C54" s="265"/>
      <c r="D54" s="265"/>
      <c r="E54" s="132"/>
      <c r="F54" s="280"/>
      <c r="G54" s="136"/>
      <c r="H54" s="265"/>
      <c r="I54" s="274"/>
      <c r="J54" s="258" t="str">
        <f t="shared" ref="J54" si="70">IF(I54&lt;=0,"",IF(I54&lt;=2,"Muy Baja",IF(I54&lt;=24,"Baja",IF(I54&lt;=500,"Media",IF(I54&lt;=5000,"Alta","Muy Alta")))))</f>
        <v/>
      </c>
      <c r="K54" s="255" t="str">
        <f t="shared" ref="K54" si="71">IF(J54="","",IF(J54="Muy Baja",0.2,IF(J54="Baja",0.4,IF(J54="Media",0.6,IF(J54="Alta",0.8,IF(J54="Muy Alta",1,))))))</f>
        <v/>
      </c>
      <c r="L54" s="277"/>
      <c r="M54" s="255">
        <f ca="1">IF(NOT(ISERROR(MATCH(L54,'Tabla Impacto'!$B$221:$B$223,0))),'Tabla Impacto'!$F$223&amp;"Por favor no seleccionar los criterios de impacto(Afectación Económica o presupuestal y Pérdida Reputacional)",L54)</f>
        <v>0</v>
      </c>
      <c r="N54" s="258" t="str">
        <f ca="1">IF(OR(M54='Tabla Impacto'!$C$11,M54='Tabla Impacto'!$D$11),"Leve",IF(OR(M54='Tabla Impacto'!$C$12,M54='Tabla Impacto'!$D$12),"Menor",IF(OR(M54='Tabla Impacto'!$C$13,M54='Tabla Impacto'!$D$13),"Moderado",IF(OR(M54='Tabla Impacto'!$C$14,M54='Tabla Impacto'!$D$14),"Mayor",IF(OR(M54='Tabla Impacto'!$C$15,M54='Tabla Impacto'!$D$15),"Catastrófico","")))))</f>
        <v/>
      </c>
      <c r="O54" s="255" t="str">
        <f t="shared" ref="O54" ca="1" si="72">IF(N54="","",IF(N54="Leve",0.2,IF(N54="Menor",0.4,IF(N54="Moderado",0.6,IF(N54="Mayor",0.8,IF(N54="Catastrófico",1,))))))</f>
        <v/>
      </c>
      <c r="P54" s="261" t="str">
        <f t="shared" ref="P54" ca="1" si="73">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07">
        <v>1</v>
      </c>
      <c r="R54" s="108"/>
      <c r="S54" s="109" t="str">
        <f>IF(OR(T54="Preventivo",T54="Detectivo"),"Probabilidad",IF(T54="Correctivo","Impacto",""))</f>
        <v/>
      </c>
      <c r="T54" s="110"/>
      <c r="U54" s="110"/>
      <c r="V54" s="111" t="str">
        <f>IF(AND(T54="Preventivo",U54="Automático"),"50%",IF(AND(T54="Preventivo",U54="Manual"),"40%",IF(AND(T54="Detectivo",U54="Automático"),"40%",IF(AND(T54="Detectivo",U54="Manual"),"30%",IF(AND(T54="Correctivo",U54="Automático"),"35%",IF(AND(T54="Correctivo",U54="Manual"),"25%",""))))))</f>
        <v/>
      </c>
      <c r="W54" s="110"/>
      <c r="X54" s="110"/>
      <c r="Y54" s="110"/>
      <c r="Z54" s="112" t="str">
        <f>IFERROR(IF(S54="Probabilidad",(K54-(+K54*V54)),IF(S54="Impacto",K54,"")),"")</f>
        <v/>
      </c>
      <c r="AA54" s="113" t="str">
        <f>IFERROR(IF(Z54="","",IF(Z54&lt;=0.2,"Muy Baja",IF(Z54&lt;=0.4,"Baja",IF(Z54&lt;=0.6,"Media",IF(Z54&lt;=0.8,"Alta","Muy Alta"))))),"")</f>
        <v/>
      </c>
      <c r="AB54" s="114" t="str">
        <f>+Z54</f>
        <v/>
      </c>
      <c r="AC54" s="113" t="str">
        <f>IFERROR(IF(AD54="","",IF(AD54&lt;=0.2,"Leve",IF(AD54&lt;=0.4,"Menor",IF(AD54&lt;=0.6,"Moderado",IF(AD54&lt;=0.8,"Mayor","Catastrófico"))))),"")</f>
        <v/>
      </c>
      <c r="AD54" s="121" t="str">
        <f>IFERROR(IF(S54="Impacto",(O54-(+O54*V54)),IF(S54="Probabilidad",O54,"")),"")</f>
        <v/>
      </c>
      <c r="AE54" s="115"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20"/>
      <c r="B55" s="266"/>
      <c r="C55" s="266"/>
      <c r="D55" s="266"/>
      <c r="E55" s="133"/>
      <c r="F55" s="281"/>
      <c r="G55" s="137"/>
      <c r="H55" s="266"/>
      <c r="I55" s="275"/>
      <c r="J55" s="259"/>
      <c r="K55" s="256"/>
      <c r="L55" s="278"/>
      <c r="M55" s="256">
        <f ca="1">IF(NOT(ISERROR(MATCH(L55,_xlfn.ANCHORARRAY(F66),0))),K68&amp;"Por favor no seleccionar los criterios de impacto",L55)</f>
        <v>0</v>
      </c>
      <c r="N55" s="259"/>
      <c r="O55" s="256"/>
      <c r="P55" s="262"/>
      <c r="Q55" s="107">
        <v>2</v>
      </c>
      <c r="R55" s="108"/>
      <c r="S55" s="109" t="str">
        <f>IF(OR(T55="Preventivo",T55="Detectivo"),"Probabilidad",IF(T55="Correctivo","Impacto",""))</f>
        <v/>
      </c>
      <c r="T55" s="110"/>
      <c r="U55" s="110"/>
      <c r="V55" s="111" t="str">
        <f t="shared" ref="V55:V59" si="74">IF(AND(T55="Preventivo",U55="Automático"),"50%",IF(AND(T55="Preventivo",U55="Manual"),"40%",IF(AND(T55="Detectivo",U55="Automático"),"40%",IF(AND(T55="Detectivo",U55="Manual"),"30%",IF(AND(T55="Correctivo",U55="Automático"),"35%",IF(AND(T55="Correctivo",U55="Manual"),"25%",""))))))</f>
        <v/>
      </c>
      <c r="W55" s="110"/>
      <c r="X55" s="110"/>
      <c r="Y55" s="110"/>
      <c r="Z55" s="112" t="str">
        <f>IFERROR(IF(AND(S54="Probabilidad",S55="Probabilidad"),(AB54-(+AB54*V55)),IF(S55="Probabilidad",(K54-(+K54*V55)),IF(S55="Impacto",AB54,""))),"")</f>
        <v/>
      </c>
      <c r="AA55" s="113" t="str">
        <f t="shared" si="62"/>
        <v/>
      </c>
      <c r="AB55" s="114" t="str">
        <f t="shared" ref="AB55:AB59" si="75">+Z55</f>
        <v/>
      </c>
      <c r="AC55" s="113" t="str">
        <f t="shared" si="64"/>
        <v/>
      </c>
      <c r="AD55" s="121" t="str">
        <f>IFERROR(IF(AND(S54="Impacto",S55="Impacto"),(AD54-(+AD54*V55)),IF(S55="Impacto",(O54-(+O54*V55)),IF(S55="Probabilidad",AD54,""))),"")</f>
        <v/>
      </c>
      <c r="AE55" s="115" t="str">
        <f t="shared" ref="AE55:AE56" si="76">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20"/>
      <c r="B56" s="266"/>
      <c r="C56" s="266"/>
      <c r="D56" s="266"/>
      <c r="E56" s="133"/>
      <c r="F56" s="281"/>
      <c r="G56" s="137"/>
      <c r="H56" s="266"/>
      <c r="I56" s="275"/>
      <c r="J56" s="259"/>
      <c r="K56" s="256"/>
      <c r="L56" s="278"/>
      <c r="M56" s="256">
        <f ca="1">IF(NOT(ISERROR(MATCH(L56,_xlfn.ANCHORARRAY(F67),0))),K69&amp;"Por favor no seleccionar los criterios de impacto",L56)</f>
        <v>0</v>
      </c>
      <c r="N56" s="259"/>
      <c r="O56" s="256"/>
      <c r="P56" s="262"/>
      <c r="Q56" s="107">
        <v>3</v>
      </c>
      <c r="R56" s="120"/>
      <c r="S56" s="109" t="str">
        <f>IF(OR(T56="Preventivo",T56="Detectivo"),"Probabilidad",IF(T56="Correctivo","Impacto",""))</f>
        <v/>
      </c>
      <c r="T56" s="110"/>
      <c r="U56" s="110"/>
      <c r="V56" s="111" t="str">
        <f t="shared" si="74"/>
        <v/>
      </c>
      <c r="W56" s="110"/>
      <c r="X56" s="110"/>
      <c r="Y56" s="110"/>
      <c r="Z56" s="112" t="str">
        <f>IFERROR(IF(AND(S55="Probabilidad",S56="Probabilidad"),(AB55-(+AB55*V56)),IF(AND(S55="Impacto",S56="Probabilidad"),(AB54-(+AB54*V56)),IF(S56="Impacto",AB55,""))),"")</f>
        <v/>
      </c>
      <c r="AA56" s="113" t="str">
        <f t="shared" si="62"/>
        <v/>
      </c>
      <c r="AB56" s="114" t="str">
        <f t="shared" si="75"/>
        <v/>
      </c>
      <c r="AC56" s="113" t="str">
        <f t="shared" si="64"/>
        <v/>
      </c>
      <c r="AD56" s="121" t="str">
        <f>IFERROR(IF(AND(S55="Impacto",S56="Impacto"),(AD55-(+AD55*V56)),IF(AND(S55="Probabilidad",S56="Impacto"),(AD54-(+AD54*V56)),IF(S56="Probabilidad",AD55,""))),"")</f>
        <v/>
      </c>
      <c r="AE56" s="115" t="str">
        <f t="shared" si="76"/>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20"/>
      <c r="B57" s="266"/>
      <c r="C57" s="266"/>
      <c r="D57" s="266"/>
      <c r="E57" s="133"/>
      <c r="F57" s="281"/>
      <c r="G57" s="137"/>
      <c r="H57" s="266"/>
      <c r="I57" s="275"/>
      <c r="J57" s="259"/>
      <c r="K57" s="256"/>
      <c r="L57" s="278"/>
      <c r="M57" s="256">
        <f ca="1">IF(NOT(ISERROR(MATCH(L57,_xlfn.ANCHORARRAY(F68),0))),K70&amp;"Por favor no seleccionar los criterios de impacto",L57)</f>
        <v>0</v>
      </c>
      <c r="N57" s="259"/>
      <c r="O57" s="256"/>
      <c r="P57" s="262"/>
      <c r="Q57" s="107">
        <v>4</v>
      </c>
      <c r="R57" s="108"/>
      <c r="S57" s="109" t="str">
        <f t="shared" ref="S57:S59" si="77">IF(OR(T57="Preventivo",T57="Detectivo"),"Probabilidad",IF(T57="Correctivo","Impacto",""))</f>
        <v/>
      </c>
      <c r="T57" s="110"/>
      <c r="U57" s="110"/>
      <c r="V57" s="111" t="str">
        <f t="shared" si="74"/>
        <v/>
      </c>
      <c r="W57" s="110"/>
      <c r="X57" s="110"/>
      <c r="Y57" s="110"/>
      <c r="Z57" s="112" t="str">
        <f t="shared" ref="Z57:Z59" si="78">IFERROR(IF(AND(S56="Probabilidad",S57="Probabilidad"),(AB56-(+AB56*V57)),IF(AND(S56="Impacto",S57="Probabilidad"),(AB55-(+AB55*V57)),IF(S57="Impacto",AB56,""))),"")</f>
        <v/>
      </c>
      <c r="AA57" s="113" t="str">
        <f t="shared" si="62"/>
        <v/>
      </c>
      <c r="AB57" s="114" t="str">
        <f t="shared" si="75"/>
        <v/>
      </c>
      <c r="AC57" s="113" t="str">
        <f t="shared" si="64"/>
        <v/>
      </c>
      <c r="AD57" s="121" t="str">
        <f t="shared" ref="AD57:AD59" si="79">IFERROR(IF(AND(S56="Impacto",S57="Impacto"),(AD56-(+AD56*V57)),IF(AND(S56="Probabilidad",S57="Impacto"),(AD55-(+AD55*V57)),IF(S57="Probabilidad",AD56,""))),"")</f>
        <v/>
      </c>
      <c r="AE57" s="115"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20"/>
      <c r="B58" s="266"/>
      <c r="C58" s="266"/>
      <c r="D58" s="266"/>
      <c r="E58" s="133"/>
      <c r="F58" s="281"/>
      <c r="G58" s="137"/>
      <c r="H58" s="266"/>
      <c r="I58" s="275"/>
      <c r="J58" s="259"/>
      <c r="K58" s="256"/>
      <c r="L58" s="278"/>
      <c r="M58" s="256">
        <f ca="1">IF(NOT(ISERROR(MATCH(L58,_xlfn.ANCHORARRAY(F69),0))),K71&amp;"Por favor no seleccionar los criterios de impacto",L58)</f>
        <v>0</v>
      </c>
      <c r="N58" s="259"/>
      <c r="O58" s="256"/>
      <c r="P58" s="262"/>
      <c r="Q58" s="107">
        <v>5</v>
      </c>
      <c r="R58" s="108"/>
      <c r="S58" s="109" t="str">
        <f t="shared" si="77"/>
        <v/>
      </c>
      <c r="T58" s="110"/>
      <c r="U58" s="110"/>
      <c r="V58" s="111" t="str">
        <f t="shared" si="74"/>
        <v/>
      </c>
      <c r="W58" s="110"/>
      <c r="X58" s="110"/>
      <c r="Y58" s="110"/>
      <c r="Z58" s="112" t="str">
        <f t="shared" si="78"/>
        <v/>
      </c>
      <c r="AA58" s="113" t="str">
        <f t="shared" si="62"/>
        <v/>
      </c>
      <c r="AB58" s="114" t="str">
        <f t="shared" si="75"/>
        <v/>
      </c>
      <c r="AC58" s="113" t="str">
        <f t="shared" si="64"/>
        <v/>
      </c>
      <c r="AD58" s="121" t="str">
        <f t="shared" si="79"/>
        <v/>
      </c>
      <c r="AE58" s="115" t="str">
        <f t="shared" ref="AE58:AE59" si="80">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64"/>
      <c r="B59" s="267"/>
      <c r="C59" s="267"/>
      <c r="D59" s="267"/>
      <c r="E59" s="134"/>
      <c r="F59" s="282"/>
      <c r="G59" s="138"/>
      <c r="H59" s="267"/>
      <c r="I59" s="276"/>
      <c r="J59" s="260"/>
      <c r="K59" s="257"/>
      <c r="L59" s="279"/>
      <c r="M59" s="257">
        <f ca="1">IF(NOT(ISERROR(MATCH(L59,_xlfn.ANCHORARRAY(F70),0))),K72&amp;"Por favor no seleccionar los criterios de impacto",L59)</f>
        <v>0</v>
      </c>
      <c r="N59" s="260"/>
      <c r="O59" s="257"/>
      <c r="P59" s="263"/>
      <c r="Q59" s="107">
        <v>6</v>
      </c>
      <c r="R59" s="108"/>
      <c r="S59" s="109" t="str">
        <f t="shared" si="77"/>
        <v/>
      </c>
      <c r="T59" s="110"/>
      <c r="U59" s="110"/>
      <c r="V59" s="111" t="str">
        <f t="shared" si="74"/>
        <v/>
      </c>
      <c r="W59" s="110"/>
      <c r="X59" s="110"/>
      <c r="Y59" s="110"/>
      <c r="Z59" s="112" t="str">
        <f t="shared" si="78"/>
        <v/>
      </c>
      <c r="AA59" s="113" t="str">
        <f t="shared" si="62"/>
        <v/>
      </c>
      <c r="AB59" s="114" t="str">
        <f t="shared" si="75"/>
        <v/>
      </c>
      <c r="AC59" s="113" t="str">
        <f t="shared" si="64"/>
        <v/>
      </c>
      <c r="AD59" s="121" t="str">
        <f t="shared" si="79"/>
        <v/>
      </c>
      <c r="AE59" s="115" t="str">
        <f t="shared" si="80"/>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3">
      <c r="A60" s="219">
        <v>10</v>
      </c>
      <c r="B60" s="265"/>
      <c r="C60" s="265"/>
      <c r="D60" s="265"/>
      <c r="E60" s="132"/>
      <c r="F60" s="280"/>
      <c r="G60" s="136"/>
      <c r="H60" s="265"/>
      <c r="I60" s="274"/>
      <c r="J60" s="258" t="str">
        <f t="shared" ref="J60" si="81">IF(I60&lt;=0,"",IF(I60&lt;=2,"Muy Baja",IF(I60&lt;=24,"Baja",IF(I60&lt;=500,"Media",IF(I60&lt;=5000,"Alta","Muy Alta")))))</f>
        <v/>
      </c>
      <c r="K60" s="255" t="str">
        <f t="shared" ref="K60" si="82">IF(J60="","",IF(J60="Muy Baja",0.2,IF(J60="Baja",0.4,IF(J60="Media",0.6,IF(J60="Alta",0.8,IF(J60="Muy Alta",1,))))))</f>
        <v/>
      </c>
      <c r="L60" s="277"/>
      <c r="M60" s="255">
        <f ca="1">IF(NOT(ISERROR(MATCH(L60,'Tabla Impacto'!$B$221:$B$223,0))),'Tabla Impacto'!$F$223&amp;"Por favor no seleccionar los criterios de impacto(Afectación Económica o presupuestal y Pérdida Reputacional)",L60)</f>
        <v>0</v>
      </c>
      <c r="N60" s="258" t="str">
        <f ca="1">IF(OR(M60='Tabla Impacto'!$C$11,M60='Tabla Impacto'!$D$11),"Leve",IF(OR(M60='Tabla Impacto'!$C$12,M60='Tabla Impacto'!$D$12),"Menor",IF(OR(M60='Tabla Impacto'!$C$13,M60='Tabla Impacto'!$D$13),"Moderado",IF(OR(M60='Tabla Impacto'!$C$14,M60='Tabla Impacto'!$D$14),"Mayor",IF(OR(M60='Tabla Impacto'!$C$15,M60='Tabla Impacto'!$D$15),"Catastrófico","")))))</f>
        <v/>
      </c>
      <c r="O60" s="255" t="str">
        <f t="shared" ref="O60" ca="1" si="83">IF(N60="","",IF(N60="Leve",0.2,IF(N60="Menor",0.4,IF(N60="Moderado",0.6,IF(N60="Mayor",0.8,IF(N60="Catastrófico",1,))))))</f>
        <v/>
      </c>
      <c r="P60" s="261" t="str">
        <f t="shared" ref="P60" ca="1" si="84">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07">
        <v>1</v>
      </c>
      <c r="R60" s="108"/>
      <c r="S60" s="109" t="str">
        <f>IF(OR(T60="Preventivo",T60="Detectivo"),"Probabilidad",IF(T60="Correctivo","Impacto",""))</f>
        <v/>
      </c>
      <c r="T60" s="110"/>
      <c r="U60" s="110"/>
      <c r="V60" s="111" t="str">
        <f>IF(AND(T60="Preventivo",U60="Automático"),"50%",IF(AND(T60="Preventivo",U60="Manual"),"40%",IF(AND(T60="Detectivo",U60="Automático"),"40%",IF(AND(T60="Detectivo",U60="Manual"),"30%",IF(AND(T60="Correctivo",U60="Automático"),"35%",IF(AND(T60="Correctivo",U60="Manual"),"25%",""))))))</f>
        <v/>
      </c>
      <c r="W60" s="110"/>
      <c r="X60" s="110"/>
      <c r="Y60" s="110"/>
      <c r="Z60" s="112" t="str">
        <f>IFERROR(IF(S60="Probabilidad",(K60-(+K60*V60)),IF(S60="Impacto",K60,"")),"")</f>
        <v/>
      </c>
      <c r="AA60" s="113" t="str">
        <f>IFERROR(IF(Z60="","",IF(Z60&lt;=0.2,"Muy Baja",IF(Z60&lt;=0.4,"Baja",IF(Z60&lt;=0.6,"Media",IF(Z60&lt;=0.8,"Alta","Muy Alta"))))),"")</f>
        <v/>
      </c>
      <c r="AB60" s="114" t="str">
        <f>+Z60</f>
        <v/>
      </c>
      <c r="AC60" s="113" t="str">
        <f>IFERROR(IF(AD60="","",IF(AD60&lt;=0.2,"Leve",IF(AD60&lt;=0.4,"Menor",IF(AD60&lt;=0.6,"Moderado",IF(AD60&lt;=0.8,"Mayor","Catastrófico"))))),"")</f>
        <v/>
      </c>
      <c r="AD60" s="121" t="str">
        <f>IFERROR(IF(S60="Impacto",(O60-(+O60*V60)),IF(S60="Probabilidad",O60,"")),"")</f>
        <v/>
      </c>
      <c r="AE60" s="115"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x14ac:dyDescent="0.3">
      <c r="A61" s="220"/>
      <c r="B61" s="266"/>
      <c r="C61" s="266"/>
      <c r="D61" s="266"/>
      <c r="E61" s="133"/>
      <c r="F61" s="281"/>
      <c r="G61" s="137"/>
      <c r="H61" s="266"/>
      <c r="I61" s="275"/>
      <c r="J61" s="259"/>
      <c r="K61" s="256"/>
      <c r="L61" s="278"/>
      <c r="M61" s="256">
        <f ca="1">IF(NOT(ISERROR(MATCH(L61,_xlfn.ANCHORARRAY(F72),0))),K74&amp;"Por favor no seleccionar los criterios de impacto",L61)</f>
        <v>0</v>
      </c>
      <c r="N61" s="259"/>
      <c r="O61" s="256"/>
      <c r="P61" s="262"/>
      <c r="Q61" s="107">
        <v>2</v>
      </c>
      <c r="R61" s="108"/>
      <c r="S61" s="109" t="str">
        <f>IF(OR(T61="Preventivo",T61="Detectivo"),"Probabilidad",IF(T61="Correctivo","Impacto",""))</f>
        <v/>
      </c>
      <c r="T61" s="110"/>
      <c r="U61" s="110"/>
      <c r="V61" s="111" t="str">
        <f t="shared" ref="V61:V65" si="85">IF(AND(T61="Preventivo",U61="Automático"),"50%",IF(AND(T61="Preventivo",U61="Manual"),"40%",IF(AND(T61="Detectivo",U61="Automático"),"40%",IF(AND(T61="Detectivo",U61="Manual"),"30%",IF(AND(T61="Correctivo",U61="Automático"),"35%",IF(AND(T61="Correctivo",U61="Manual"),"25%",""))))))</f>
        <v/>
      </c>
      <c r="W61" s="110"/>
      <c r="X61" s="110"/>
      <c r="Y61" s="110"/>
      <c r="Z61" s="112" t="str">
        <f>IFERROR(IF(AND(S60="Probabilidad",S61="Probabilidad"),(AB60-(+AB60*V61)),IF(S61="Probabilidad",(K60-(+K60*V61)),IF(S61="Impacto",AB60,""))),"")</f>
        <v/>
      </c>
      <c r="AA61" s="113" t="str">
        <f t="shared" si="62"/>
        <v/>
      </c>
      <c r="AB61" s="114" t="str">
        <f t="shared" ref="AB61:AB65" si="86">+Z61</f>
        <v/>
      </c>
      <c r="AC61" s="113" t="str">
        <f t="shared" si="64"/>
        <v/>
      </c>
      <c r="AD61" s="121" t="str">
        <f>IFERROR(IF(AND(S60="Impacto",S61="Impacto"),(AD60-(+AD60*V61)),IF(S61="Impacto",(O60-(+O60*V61)),IF(S61="Probabilidad",AD60,""))),"")</f>
        <v/>
      </c>
      <c r="AE61" s="115" t="str">
        <f t="shared" ref="AE61:AE62" si="87">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row>
    <row r="62" spans="1:70" ht="19.5" customHeight="1" x14ac:dyDescent="0.3">
      <c r="A62" s="220"/>
      <c r="B62" s="266"/>
      <c r="C62" s="266"/>
      <c r="D62" s="266"/>
      <c r="E62" s="133"/>
      <c r="F62" s="281"/>
      <c r="G62" s="137"/>
      <c r="H62" s="266"/>
      <c r="I62" s="275"/>
      <c r="J62" s="259"/>
      <c r="K62" s="256"/>
      <c r="L62" s="278"/>
      <c r="M62" s="256">
        <f ca="1">IF(NOT(ISERROR(MATCH(L62,_xlfn.ANCHORARRAY(F73),0))),K75&amp;"Por favor no seleccionar los criterios de impacto",L62)</f>
        <v>0</v>
      </c>
      <c r="N62" s="259"/>
      <c r="O62" s="256"/>
      <c r="P62" s="262"/>
      <c r="Q62" s="107">
        <v>3</v>
      </c>
      <c r="R62" s="120"/>
      <c r="S62" s="109" t="str">
        <f>IF(OR(T62="Preventivo",T62="Detectivo"),"Probabilidad",IF(T62="Correctivo","Impacto",""))</f>
        <v/>
      </c>
      <c r="T62" s="110"/>
      <c r="U62" s="110"/>
      <c r="V62" s="111" t="str">
        <f t="shared" si="85"/>
        <v/>
      </c>
      <c r="W62" s="110"/>
      <c r="X62" s="110"/>
      <c r="Y62" s="110"/>
      <c r="Z62" s="112" t="str">
        <f>IFERROR(IF(AND(S61="Probabilidad",S62="Probabilidad"),(AB61-(+AB61*V62)),IF(AND(S61="Impacto",S62="Probabilidad"),(AB60-(+AB60*V62)),IF(S62="Impacto",AB61,""))),"")</f>
        <v/>
      </c>
      <c r="AA62" s="113" t="str">
        <f t="shared" si="62"/>
        <v/>
      </c>
      <c r="AB62" s="114" t="str">
        <f t="shared" si="86"/>
        <v/>
      </c>
      <c r="AC62" s="113" t="str">
        <f t="shared" si="64"/>
        <v/>
      </c>
      <c r="AD62" s="121" t="str">
        <f>IFERROR(IF(AND(S61="Impacto",S62="Impacto"),(AD61-(+AD61*V62)),IF(AND(S61="Probabilidad",S62="Impacto"),(AD60-(+AD60*V62)),IF(S62="Probabilidad",AD61,""))),"")</f>
        <v/>
      </c>
      <c r="AE62" s="115" t="str">
        <f t="shared" si="87"/>
        <v/>
      </c>
      <c r="AF62" s="116"/>
      <c r="AG62" s="117"/>
      <c r="AH62" s="118"/>
      <c r="AI62" s="119"/>
      <c r="AJ62" s="119"/>
      <c r="AK62" s="117"/>
      <c r="AL62" s="118"/>
    </row>
    <row r="63" spans="1:70" ht="19.5" customHeight="1" x14ac:dyDescent="0.3">
      <c r="A63" s="220"/>
      <c r="B63" s="266"/>
      <c r="C63" s="266"/>
      <c r="D63" s="266"/>
      <c r="E63" s="133"/>
      <c r="F63" s="281"/>
      <c r="G63" s="137"/>
      <c r="H63" s="266"/>
      <c r="I63" s="275"/>
      <c r="J63" s="259"/>
      <c r="K63" s="256"/>
      <c r="L63" s="278"/>
      <c r="M63" s="256">
        <f ca="1">IF(NOT(ISERROR(MATCH(L63,_xlfn.ANCHORARRAY(F74),0))),K76&amp;"Por favor no seleccionar los criterios de impacto",L63)</f>
        <v>0</v>
      </c>
      <c r="N63" s="259"/>
      <c r="O63" s="256"/>
      <c r="P63" s="262"/>
      <c r="Q63" s="107">
        <v>4</v>
      </c>
      <c r="R63" s="108"/>
      <c r="S63" s="109" t="str">
        <f t="shared" ref="S63:S65" si="88">IF(OR(T63="Preventivo",T63="Detectivo"),"Probabilidad",IF(T63="Correctivo","Impacto",""))</f>
        <v/>
      </c>
      <c r="T63" s="110"/>
      <c r="U63" s="110"/>
      <c r="V63" s="111" t="str">
        <f t="shared" si="85"/>
        <v/>
      </c>
      <c r="W63" s="110"/>
      <c r="X63" s="110"/>
      <c r="Y63" s="110"/>
      <c r="Z63" s="112" t="str">
        <f t="shared" ref="Z63:Z65" si="89">IFERROR(IF(AND(S62="Probabilidad",S63="Probabilidad"),(AB62-(+AB62*V63)),IF(AND(S62="Impacto",S63="Probabilidad"),(AB61-(+AB61*V63)),IF(S63="Impacto",AB62,""))),"")</f>
        <v/>
      </c>
      <c r="AA63" s="113" t="str">
        <f t="shared" si="62"/>
        <v/>
      </c>
      <c r="AB63" s="114" t="str">
        <f t="shared" si="86"/>
        <v/>
      </c>
      <c r="AC63" s="113" t="str">
        <f t="shared" si="64"/>
        <v/>
      </c>
      <c r="AD63" s="121" t="str">
        <f t="shared" ref="AD63:AD65" si="90">IFERROR(IF(AND(S62="Impacto",S63="Impacto"),(AD62-(+AD62*V63)),IF(AND(S62="Probabilidad",S63="Impacto"),(AD61-(+AD61*V63)),IF(S63="Probabilidad",AD62,""))),"")</f>
        <v/>
      </c>
      <c r="AE63" s="115"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6"/>
      <c r="AG63" s="117"/>
      <c r="AH63" s="118"/>
      <c r="AI63" s="119"/>
      <c r="AJ63" s="119"/>
      <c r="AK63" s="117"/>
      <c r="AL63" s="118"/>
    </row>
    <row r="64" spans="1:70" ht="19.5" customHeight="1" x14ac:dyDescent="0.3">
      <c r="A64" s="220"/>
      <c r="B64" s="266"/>
      <c r="C64" s="266"/>
      <c r="D64" s="266"/>
      <c r="E64" s="133"/>
      <c r="F64" s="281"/>
      <c r="G64" s="137"/>
      <c r="H64" s="266"/>
      <c r="I64" s="275"/>
      <c r="J64" s="259"/>
      <c r="K64" s="256"/>
      <c r="L64" s="278"/>
      <c r="M64" s="256">
        <f ca="1">IF(NOT(ISERROR(MATCH(L64,_xlfn.ANCHORARRAY(F75),0))),K77&amp;"Por favor no seleccionar los criterios de impacto",L64)</f>
        <v>0</v>
      </c>
      <c r="N64" s="259"/>
      <c r="O64" s="256"/>
      <c r="P64" s="262"/>
      <c r="Q64" s="107">
        <v>5</v>
      </c>
      <c r="R64" s="108"/>
      <c r="S64" s="109" t="str">
        <f t="shared" si="88"/>
        <v/>
      </c>
      <c r="T64" s="110"/>
      <c r="U64" s="110"/>
      <c r="V64" s="111" t="str">
        <f t="shared" si="85"/>
        <v/>
      </c>
      <c r="W64" s="110"/>
      <c r="X64" s="110"/>
      <c r="Y64" s="110"/>
      <c r="Z64" s="112" t="str">
        <f t="shared" si="89"/>
        <v/>
      </c>
      <c r="AA64" s="113" t="str">
        <f t="shared" si="62"/>
        <v/>
      </c>
      <c r="AB64" s="114" t="str">
        <f t="shared" si="86"/>
        <v/>
      </c>
      <c r="AC64" s="113" t="str">
        <f t="shared" si="64"/>
        <v/>
      </c>
      <c r="AD64" s="121" t="str">
        <f t="shared" si="90"/>
        <v/>
      </c>
      <c r="AE64" s="115" t="str">
        <f t="shared" ref="AE64:AE65" si="91">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row>
    <row r="65" spans="1:38" ht="19.5" customHeight="1" x14ac:dyDescent="0.3">
      <c r="A65" s="264"/>
      <c r="B65" s="267"/>
      <c r="C65" s="267"/>
      <c r="D65" s="267"/>
      <c r="E65" s="134"/>
      <c r="F65" s="282"/>
      <c r="G65" s="138"/>
      <c r="H65" s="267"/>
      <c r="I65" s="276"/>
      <c r="J65" s="260"/>
      <c r="K65" s="257"/>
      <c r="L65" s="279"/>
      <c r="M65" s="257">
        <f ca="1">IF(NOT(ISERROR(MATCH(L65,_xlfn.ANCHORARRAY(F76),0))),K78&amp;"Por favor no seleccionar los criterios de impacto",L65)</f>
        <v>0</v>
      </c>
      <c r="N65" s="260"/>
      <c r="O65" s="257"/>
      <c r="P65" s="263"/>
      <c r="Q65" s="107">
        <v>6</v>
      </c>
      <c r="R65" s="108"/>
      <c r="S65" s="109" t="str">
        <f t="shared" si="88"/>
        <v/>
      </c>
      <c r="T65" s="110"/>
      <c r="U65" s="110"/>
      <c r="V65" s="111" t="str">
        <f t="shared" si="85"/>
        <v/>
      </c>
      <c r="W65" s="110"/>
      <c r="X65" s="110"/>
      <c r="Y65" s="110"/>
      <c r="Z65" s="112" t="str">
        <f t="shared" si="89"/>
        <v/>
      </c>
      <c r="AA65" s="113" t="str">
        <f t="shared" si="62"/>
        <v/>
      </c>
      <c r="AB65" s="114" t="str">
        <f t="shared" si="86"/>
        <v/>
      </c>
      <c r="AC65" s="113" t="str">
        <f t="shared" si="64"/>
        <v/>
      </c>
      <c r="AD65" s="121" t="str">
        <f t="shared" si="90"/>
        <v/>
      </c>
      <c r="AE65" s="115" t="str">
        <f t="shared" si="91"/>
        <v/>
      </c>
      <c r="AF65" s="116"/>
      <c r="AG65" s="117"/>
      <c r="AH65" s="118"/>
      <c r="AI65" s="119"/>
      <c r="AJ65" s="119"/>
      <c r="AK65" s="117"/>
      <c r="AL65" s="118"/>
    </row>
    <row r="66" spans="1:38" ht="49.5" customHeight="1" x14ac:dyDescent="0.3">
      <c r="A66" s="6"/>
      <c r="B66" s="283" t="s">
        <v>126</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5"/>
    </row>
    <row r="68" spans="1:38" x14ac:dyDescent="0.3">
      <c r="A68" s="1"/>
      <c r="B68" s="24" t="s">
        <v>138</v>
      </c>
      <c r="C68" s="1"/>
      <c r="D68" s="1"/>
      <c r="E68" s="1"/>
      <c r="H68" s="1"/>
    </row>
  </sheetData>
  <dataConsolidate/>
  <mergeCells count="191">
    <mergeCell ref="C6:AL6"/>
    <mergeCell ref="A1:AL2"/>
    <mergeCell ref="A7:I7"/>
    <mergeCell ref="J7:P7"/>
    <mergeCell ref="Q7:Y7"/>
    <mergeCell ref="Z7:AF7"/>
    <mergeCell ref="AG7:AL7"/>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O18:O23"/>
    <mergeCell ref="P18:P23"/>
    <mergeCell ref="A24:A29"/>
    <mergeCell ref="B24:B29"/>
    <mergeCell ref="C24:C29"/>
    <mergeCell ref="D24:D29"/>
    <mergeCell ref="F24:F29"/>
    <mergeCell ref="H24:H29"/>
    <mergeCell ref="I24:I29"/>
    <mergeCell ref="J24:J29"/>
    <mergeCell ref="K24:K29"/>
    <mergeCell ref="L24:L29"/>
    <mergeCell ref="M24:M29"/>
    <mergeCell ref="N24:N29"/>
    <mergeCell ref="O24:O29"/>
    <mergeCell ref="P24:P29"/>
    <mergeCell ref="L18:L23"/>
    <mergeCell ref="M18:M23"/>
    <mergeCell ref="N18:N23"/>
    <mergeCell ref="H14:H17"/>
    <mergeCell ref="I14:I17"/>
    <mergeCell ref="J14:J17"/>
    <mergeCell ref="K14:K17"/>
    <mergeCell ref="L14:L17"/>
    <mergeCell ref="A14:A17"/>
    <mergeCell ref="B14:B17"/>
    <mergeCell ref="C14:C17"/>
    <mergeCell ref="A18:A23"/>
    <mergeCell ref="B18:B23"/>
    <mergeCell ref="C18:C23"/>
    <mergeCell ref="D18:D23"/>
    <mergeCell ref="F18:F23"/>
    <mergeCell ref="H18:H23"/>
    <mergeCell ref="I18:I23"/>
    <mergeCell ref="J18:J23"/>
    <mergeCell ref="K18:K23"/>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B8:B9"/>
    <mergeCell ref="P8:P9"/>
    <mergeCell ref="L8:L9"/>
    <mergeCell ref="M8:M9"/>
    <mergeCell ref="S8:S9"/>
    <mergeCell ref="T8:Y8"/>
    <mergeCell ref="E8:E9"/>
    <mergeCell ref="D14:D17"/>
    <mergeCell ref="F14:F17"/>
    <mergeCell ref="M14:M17"/>
    <mergeCell ref="N14:N17"/>
    <mergeCell ref="O14:O17"/>
    <mergeCell ref="P14:P17"/>
    <mergeCell ref="P10:P13"/>
    <mergeCell ref="K10:K13"/>
    <mergeCell ref="L10:L13"/>
    <mergeCell ref="M10:M13"/>
    <mergeCell ref="N10:N13"/>
    <mergeCell ref="O10:O13"/>
    <mergeCell ref="G10:G13"/>
    <mergeCell ref="E10:E11"/>
    <mergeCell ref="AB8:AB9"/>
    <mergeCell ref="I8:I9"/>
    <mergeCell ref="J8:J9"/>
    <mergeCell ref="K8:K9"/>
    <mergeCell ref="N8:N9"/>
    <mergeCell ref="O8:O9"/>
    <mergeCell ref="F10:F11"/>
    <mergeCell ref="F12:F13"/>
    <mergeCell ref="E12:E13"/>
    <mergeCell ref="G14:G17"/>
    <mergeCell ref="E16:E17"/>
    <mergeCell ref="H10:H13"/>
    <mergeCell ref="I10:I13"/>
    <mergeCell ref="J10:J13"/>
    <mergeCell ref="A10:A13"/>
    <mergeCell ref="B10:B13"/>
    <mergeCell ref="C10:C13"/>
    <mergeCell ref="D10:D13"/>
  </mergeCells>
  <conditionalFormatting sqref="J10 J14 J18 J24 J30 J36 J42 J48 J54 J60 AA15:AA17">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 N14 N18 N24 N30 N36 N42 N48 N54 N60 AC15:AC17">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 AE15:AE17">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4 P18 P24 P30 P36 P42 P48 P54 P60">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18:AA23">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18:AC23">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18:AE23">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4:AA29">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4:AC29">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4:AE29">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30:AA35">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30:AC35">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30:AE35">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6:AA41">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6:AC41">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6:AE41">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42:AA47">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42:AC47">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42:AE47">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48:AA53">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48:AC53">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48:AE53">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4:AA59">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4:AC59">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4:AE59">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60:AA65">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60:AC65">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60:AE65">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5">
    <cfRule type="containsText" dxfId="44" priority="43" operator="containsText" text="❌">
      <formula>NOT(ISERROR(SEARCH("❌",M10)))</formula>
    </cfRule>
  </conditionalFormatting>
  <conditionalFormatting sqref="AA11:AA13">
    <cfRule type="cellIs" dxfId="43" priority="38" operator="equal">
      <formula>"Muy Alta"</formula>
    </cfRule>
    <cfRule type="cellIs" dxfId="42" priority="39" operator="equal">
      <formula>"Alta"</formula>
    </cfRule>
    <cfRule type="cellIs" dxfId="41" priority="40" operator="equal">
      <formula>"Media"</formula>
    </cfRule>
    <cfRule type="cellIs" dxfId="40" priority="41" operator="equal">
      <formula>"Baja"</formula>
    </cfRule>
    <cfRule type="cellIs" dxfId="39" priority="42" operator="equal">
      <formula>"Muy Baja"</formula>
    </cfRule>
  </conditionalFormatting>
  <conditionalFormatting sqref="AC11:AC13">
    <cfRule type="cellIs" dxfId="38" priority="33" operator="equal">
      <formula>"Catastrófico"</formula>
    </cfRule>
    <cfRule type="cellIs" dxfId="37" priority="34" operator="equal">
      <formula>"Mayor"</formula>
    </cfRule>
    <cfRule type="cellIs" dxfId="36" priority="35" operator="equal">
      <formula>"Moderado"</formula>
    </cfRule>
    <cfRule type="cellIs" dxfId="35" priority="36" operator="equal">
      <formula>"Menor"</formula>
    </cfRule>
    <cfRule type="cellIs" dxfId="34" priority="37" operator="equal">
      <formula>"Leve"</formula>
    </cfRule>
  </conditionalFormatting>
  <conditionalFormatting sqref="AE11:AE13">
    <cfRule type="cellIs" dxfId="33" priority="29" operator="equal">
      <formula>"Extremo"</formula>
    </cfRule>
    <cfRule type="cellIs" dxfId="32" priority="30" operator="equal">
      <formula>"Alto"</formula>
    </cfRule>
    <cfRule type="cellIs" dxfId="31" priority="31" operator="equal">
      <formula>"Moderado"</formula>
    </cfRule>
    <cfRule type="cellIs" dxfId="30" priority="32" operator="equal">
      <formula>"Bajo"</formula>
    </cfRule>
  </conditionalFormatting>
  <conditionalFormatting sqref="AA14">
    <cfRule type="cellIs" dxfId="29" priority="24" operator="equal">
      <formula>"Muy Alta"</formula>
    </cfRule>
    <cfRule type="cellIs" dxfId="28" priority="25" operator="equal">
      <formula>"Alta"</formula>
    </cfRule>
    <cfRule type="cellIs" dxfId="27" priority="26" operator="equal">
      <formula>"Media"</formula>
    </cfRule>
    <cfRule type="cellIs" dxfId="26" priority="27" operator="equal">
      <formula>"Baja"</formula>
    </cfRule>
    <cfRule type="cellIs" dxfId="25" priority="28" operator="equal">
      <formula>"Muy Baja"</formula>
    </cfRule>
  </conditionalFormatting>
  <conditionalFormatting sqref="AC14">
    <cfRule type="cellIs" dxfId="24" priority="19" operator="equal">
      <formula>"Catastrófico"</formula>
    </cfRule>
    <cfRule type="cellIs" dxfId="23" priority="20" operator="equal">
      <formula>"Mayor"</formula>
    </cfRule>
    <cfRule type="cellIs" dxfId="22" priority="21" operator="equal">
      <formula>"Moderado"</formula>
    </cfRule>
    <cfRule type="cellIs" dxfId="21" priority="22" operator="equal">
      <formula>"Menor"</formula>
    </cfRule>
    <cfRule type="cellIs" dxfId="20" priority="23" operator="equal">
      <formula>"Leve"</formula>
    </cfRule>
  </conditionalFormatting>
  <conditionalFormatting sqref="AE14">
    <cfRule type="cellIs" dxfId="19" priority="15" operator="equal">
      <formula>"Extremo"</formula>
    </cfRule>
    <cfRule type="cellIs" dxfId="18" priority="16" operator="equal">
      <formula>"Alto"</formula>
    </cfRule>
    <cfRule type="cellIs" dxfId="17" priority="17" operator="equal">
      <formula>"Moderado"</formula>
    </cfRule>
    <cfRule type="cellIs" dxfId="16" priority="18"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T10 T18:T65 T14:T16</xm:sqref>
        </x14:dataValidation>
        <x14:dataValidation type="list" allowBlank="1" showInputMessage="1" showErrorMessage="1" xr:uid="{00000000-0002-0000-0100-000001000000}">
          <x14:formula1>
            <xm:f>'Tabla Valoración controles'!$D$7:$D$8</xm:f>
          </x14:formula1>
          <xm:sqref>U10 U18:U65 U14:U16</xm:sqref>
        </x14:dataValidation>
        <x14:dataValidation type="list" allowBlank="1" showInputMessage="1" showErrorMessage="1" xr:uid="{00000000-0002-0000-0100-000002000000}">
          <x14:formula1>
            <xm:f>'Tabla Valoración controles'!$D$9:$D$10</xm:f>
          </x14:formula1>
          <xm:sqref>W10 W18:W65 W14:W16</xm:sqref>
        </x14:dataValidation>
        <x14:dataValidation type="list" allowBlank="1" showInputMessage="1" showErrorMessage="1" xr:uid="{00000000-0002-0000-0100-000003000000}">
          <x14:formula1>
            <xm:f>'Tabla Valoración controles'!$D$11:$D$12</xm:f>
          </x14:formula1>
          <xm:sqref>X10 X18:X65 X14:X16</xm:sqref>
        </x14:dataValidation>
        <x14:dataValidation type="list" allowBlank="1" showInputMessage="1" showErrorMessage="1" xr:uid="{00000000-0002-0000-0100-000004000000}">
          <x14:formula1>
            <xm:f>'Opciones Tratamiento'!$B$9:$B$10</xm:f>
          </x14:formula1>
          <xm:sqref>AL10:AL11 AL13:AL15 AL18:AL19 AL21:AL22 AL24:AL25 AL27:AL28 AL30:AL31 AL33:AL34 AL36:AL37 AL39:AL40 AL42:AL43 AL45:AL46 AL48:AL49 AL51:AL52 AL54:AL55 AL57:AL58 AL60:AL61 AL63:AL64</xm:sqref>
        </x14:dataValidation>
        <x14:dataValidation type="list" allowBlank="1" showInputMessage="1" showErrorMessage="1" xr:uid="{00000000-0002-0000-0100-000005000000}">
          <x14:formula1>
            <xm:f>'Tabla Valoración controles'!$D$13:$D$14</xm:f>
          </x14:formula1>
          <xm:sqref>Y10 Y18:Y65 Y14:Y16</xm:sqref>
        </x14:dataValidation>
        <x14:dataValidation type="list" allowBlank="1" showInputMessage="1" showErrorMessage="1" xr:uid="{00000000-0002-0000-0100-000008000000}">
          <x14:formula1>
            <xm:f>'Opciones Tratamiento'!$B$2:$B$5</xm:f>
          </x14:formula1>
          <xm:sqref>AF10 AF12:AF65</xm:sqref>
        </x14:dataValidation>
        <x14:dataValidation type="list" allowBlank="1" showInputMessage="1" showErrorMessage="1" xr:uid="{00000000-0002-0000-0100-00000F000000}">
          <x14:formula1>
            <xm:f>'C:\Users\HOME\Downloads\[Formato Matriz de Riesgos 2021 (1).xlsx]Tabla Valoración controles'!#REF!</xm:f>
          </x14:formula1>
          <xm:sqref>T11:U13 W11:Y13 T17:U17 W17:Y17</xm:sqref>
        </x14:dataValidation>
        <x14:dataValidation type="list" allowBlank="1" showInputMessage="1" showErrorMessage="1" xr:uid="{00000000-0002-0000-0100-000013000000}">
          <x14:formula1>
            <xm:f>'C:\Users\HOME\Downloads\[Formato Matriz de Riesgos 2021 (1).xlsx]Opciones Tratamiento'!#REF!</xm:f>
          </x14:formula1>
          <xm:sqref>AF11</xm:sqref>
        </x14:dataValidation>
        <x14:dataValidation type="list" allowBlank="1" showInputMessage="1" showErrorMessage="1" xr:uid="{73E78AAB-13CF-41E9-9208-06FB63FE18CA}">
          <x14:formula1>
            <xm:f>'C:\Users\HACIENDA123\Downloads\[Formato Matriz de Riesgos 2021.xlsx]Opciones Tratamiento'!#REF!</xm:f>
          </x14:formula1>
          <xm:sqref>B10:B13 H10:H13</xm:sqref>
        </x14:dataValidation>
        <x14:dataValidation type="list" allowBlank="1" showInputMessage="1" showErrorMessage="1" xr:uid="{00000000-0002-0000-0100-000006000000}">
          <x14:formula1>
            <xm:f>'Opciones Tratamiento'!$B$13:$B$19</xm:f>
          </x14:formula1>
          <xm:sqref>H14:H65</xm:sqref>
        </x14:dataValidation>
        <x14:dataValidation type="list" allowBlank="1" showInputMessage="1" showErrorMessage="1" xr:uid="{00000000-0002-0000-0100-000007000000}">
          <x14:formula1>
            <xm:f>'Opciones Tratamiento'!$E$2:$E$4</xm:f>
          </x14:formula1>
          <xm:sqref>B14:B65</xm:sqref>
        </x14:dataValidation>
        <x14:dataValidation type="list" allowBlank="1" showInputMessage="1" showErrorMessage="1" xr:uid="{00000000-0002-0000-0100-000009000000}">
          <x14:formula1>
            <xm:f>'Tabla Impacto'!$F$210:$F$221</xm:f>
          </x14:formula1>
          <xm:sqref>L10:L65</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AG10:AG65</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38" zoomScale="70" zoomScaleNormal="70" workbookViewId="0"/>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298" t="s">
        <v>150</v>
      </c>
      <c r="C2" s="298"/>
      <c r="D2" s="298"/>
      <c r="E2" s="298"/>
      <c r="F2" s="298"/>
      <c r="G2" s="298"/>
      <c r="H2" s="298"/>
      <c r="I2" s="298"/>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298"/>
      <c r="C3" s="298"/>
      <c r="D3" s="298"/>
      <c r="E3" s="298"/>
      <c r="F3" s="298"/>
      <c r="G3" s="298"/>
      <c r="H3" s="298"/>
      <c r="I3" s="298"/>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298"/>
      <c r="C4" s="298"/>
      <c r="D4" s="298"/>
      <c r="E4" s="298"/>
      <c r="F4" s="298"/>
      <c r="G4" s="298"/>
      <c r="H4" s="298"/>
      <c r="I4" s="298"/>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348" t="s">
        <v>4</v>
      </c>
      <c r="C6" s="348"/>
      <c r="D6" s="349"/>
      <c r="E6" s="337" t="s">
        <v>111</v>
      </c>
      <c r="F6" s="338"/>
      <c r="G6" s="338"/>
      <c r="H6" s="338"/>
      <c r="I6" s="339"/>
      <c r="J6" s="333" t="str">
        <f ca="1">IF(AND('Mapa final'!$J$10="Muy Alta",'Mapa final'!$N$10="Leve"),CONCATENATE("R",'Mapa final'!$A$10),"")</f>
        <v/>
      </c>
      <c r="K6" s="334"/>
      <c r="L6" s="334" t="str">
        <f ca="1">IF(AND('Mapa final'!$J$14="Muy Alta",'Mapa final'!$N$14="Leve"),CONCATENATE("R",'Mapa final'!$A$14),"")</f>
        <v/>
      </c>
      <c r="M6" s="334"/>
      <c r="N6" s="334" t="str">
        <f ca="1">IF(AND('Mapa final'!$J$18="Muy Alta",'Mapa final'!$N$18="Leve"),CONCATENATE("R",'Mapa final'!$A$18),"")</f>
        <v/>
      </c>
      <c r="O6" s="335"/>
      <c r="P6" s="333" t="str">
        <f ca="1">IF(AND('Mapa final'!$J$10="Muy Alta",'Mapa final'!$N$10="Menor"),CONCATENATE("R",'Mapa final'!$A$10),"")</f>
        <v/>
      </c>
      <c r="Q6" s="334"/>
      <c r="R6" s="334" t="str">
        <f ca="1">IF(AND('Mapa final'!$J$14="Muy Alta",'Mapa final'!$N$14="Menor"),CONCATENATE("R",'Mapa final'!$A$14),"")</f>
        <v/>
      </c>
      <c r="S6" s="334"/>
      <c r="T6" s="334" t="str">
        <f ca="1">IF(AND('Mapa final'!$J$18="Muy Alta",'Mapa final'!$N$18="Menor"),CONCATENATE("R",'Mapa final'!$A$18),"")</f>
        <v/>
      </c>
      <c r="U6" s="335"/>
      <c r="V6" s="333" t="str">
        <f ca="1">IF(AND('Mapa final'!$J$10="Muy Alta",'Mapa final'!$N$10="Moderado"),CONCATENATE("R",'Mapa final'!$A$10),"")</f>
        <v/>
      </c>
      <c r="W6" s="334"/>
      <c r="X6" s="334" t="str">
        <f ca="1">IF(AND('Mapa final'!$J$14="Muy Alta",'Mapa final'!$N$14="Moderado"),CONCATENATE("R",'Mapa final'!$A$14),"")</f>
        <v/>
      </c>
      <c r="Y6" s="334"/>
      <c r="Z6" s="334" t="str">
        <f ca="1">IF(AND('Mapa final'!$J$18="Muy Alta",'Mapa final'!$N$18="Moderado"),CONCATENATE("R",'Mapa final'!$A$18),"")</f>
        <v/>
      </c>
      <c r="AA6" s="335"/>
      <c r="AB6" s="333" t="str">
        <f ca="1">IF(AND('Mapa final'!$J$10="Muy Alta",'Mapa final'!$N$10="Mayor"),CONCATENATE("R",'Mapa final'!$A$10),"")</f>
        <v/>
      </c>
      <c r="AC6" s="334"/>
      <c r="AD6" s="334" t="str">
        <f ca="1">IF(AND('Mapa final'!$J$14="Muy Alta",'Mapa final'!$N$14="Mayor"),CONCATENATE("R",'Mapa final'!$A$14),"")</f>
        <v/>
      </c>
      <c r="AE6" s="334"/>
      <c r="AF6" s="334" t="str">
        <f ca="1">IF(AND('Mapa final'!$J$18="Muy Alta",'Mapa final'!$N$18="Mayor"),CONCATENATE("R",'Mapa final'!$A$18),"")</f>
        <v/>
      </c>
      <c r="AG6" s="335"/>
      <c r="AH6" s="323" t="str">
        <f ca="1">IF(AND('Mapa final'!$J$10="Muy Alta",'Mapa final'!$N$10="Catastrófico"),CONCATENATE("R",'Mapa final'!$A$10),"")</f>
        <v/>
      </c>
      <c r="AI6" s="324"/>
      <c r="AJ6" s="324" t="str">
        <f ca="1">IF(AND('Mapa final'!$J$14="Muy Alta",'Mapa final'!$N$14="Catastrófico"),CONCATENATE("R",'Mapa final'!$A$14),"")</f>
        <v/>
      </c>
      <c r="AK6" s="324"/>
      <c r="AL6" s="324" t="str">
        <f ca="1">IF(AND('Mapa final'!$J$18="Muy Alta",'Mapa final'!$N$18="Catastrófico"),CONCATENATE("R",'Mapa final'!$A$18),"")</f>
        <v/>
      </c>
      <c r="AM6" s="325"/>
      <c r="AO6" s="350" t="s">
        <v>78</v>
      </c>
      <c r="AP6" s="351"/>
      <c r="AQ6" s="351"/>
      <c r="AR6" s="351"/>
      <c r="AS6" s="351"/>
      <c r="AT6" s="352"/>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348"/>
      <c r="C7" s="348"/>
      <c r="D7" s="349"/>
      <c r="E7" s="340"/>
      <c r="F7" s="341"/>
      <c r="G7" s="341"/>
      <c r="H7" s="341"/>
      <c r="I7" s="342"/>
      <c r="J7" s="326"/>
      <c r="K7" s="327"/>
      <c r="L7" s="327"/>
      <c r="M7" s="327"/>
      <c r="N7" s="327"/>
      <c r="O7" s="329"/>
      <c r="P7" s="326"/>
      <c r="Q7" s="327"/>
      <c r="R7" s="327"/>
      <c r="S7" s="327"/>
      <c r="T7" s="327"/>
      <c r="U7" s="329"/>
      <c r="V7" s="326"/>
      <c r="W7" s="327"/>
      <c r="X7" s="327"/>
      <c r="Y7" s="327"/>
      <c r="Z7" s="327"/>
      <c r="AA7" s="329"/>
      <c r="AB7" s="326"/>
      <c r="AC7" s="327"/>
      <c r="AD7" s="327"/>
      <c r="AE7" s="327"/>
      <c r="AF7" s="327"/>
      <c r="AG7" s="329"/>
      <c r="AH7" s="317"/>
      <c r="AI7" s="318"/>
      <c r="AJ7" s="318"/>
      <c r="AK7" s="318"/>
      <c r="AL7" s="318"/>
      <c r="AM7" s="319"/>
      <c r="AN7" s="68"/>
      <c r="AO7" s="353"/>
      <c r="AP7" s="354"/>
      <c r="AQ7" s="354"/>
      <c r="AR7" s="354"/>
      <c r="AS7" s="354"/>
      <c r="AT7" s="355"/>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348"/>
      <c r="C8" s="348"/>
      <c r="D8" s="349"/>
      <c r="E8" s="340"/>
      <c r="F8" s="341"/>
      <c r="G8" s="341"/>
      <c r="H8" s="341"/>
      <c r="I8" s="342"/>
      <c r="J8" s="326" t="str">
        <f ca="1">IF(AND('Mapa final'!$J$24="Muy Alta",'Mapa final'!$N$24="Leve"),CONCATENATE("R",'Mapa final'!$A$24),"")</f>
        <v/>
      </c>
      <c r="K8" s="327"/>
      <c r="L8" s="328" t="str">
        <f ca="1">IF(AND('Mapa final'!$J$30="Muy Alta",'Mapa final'!$N$30="Leve"),CONCATENATE("R",'Mapa final'!$A$30),"")</f>
        <v/>
      </c>
      <c r="M8" s="328"/>
      <c r="N8" s="328" t="str">
        <f ca="1">IF(AND('Mapa final'!$J$36="Muy Alta",'Mapa final'!$N$36="Leve"),CONCATENATE("R",'Mapa final'!$A$36),"")</f>
        <v/>
      </c>
      <c r="O8" s="329"/>
      <c r="P8" s="326" t="str">
        <f ca="1">IF(AND('Mapa final'!$J$24="Muy Alta",'Mapa final'!$N$24="Menor"),CONCATENATE("R",'Mapa final'!$A$24),"")</f>
        <v/>
      </c>
      <c r="Q8" s="327"/>
      <c r="R8" s="328" t="str">
        <f ca="1">IF(AND('Mapa final'!$J$30="Muy Alta",'Mapa final'!$N$30="Menor"),CONCATENATE("R",'Mapa final'!$A$30),"")</f>
        <v/>
      </c>
      <c r="S8" s="328"/>
      <c r="T8" s="328" t="str">
        <f ca="1">IF(AND('Mapa final'!$J$36="Muy Alta",'Mapa final'!$N$36="Menor"),CONCATENATE("R",'Mapa final'!$A$36),"")</f>
        <v/>
      </c>
      <c r="U8" s="329"/>
      <c r="V8" s="326" t="str">
        <f ca="1">IF(AND('Mapa final'!$J$24="Muy Alta",'Mapa final'!$N$24="Moderado"),CONCATENATE("R",'Mapa final'!$A$24),"")</f>
        <v/>
      </c>
      <c r="W8" s="327"/>
      <c r="X8" s="328" t="str">
        <f ca="1">IF(AND('Mapa final'!$J$30="Muy Alta",'Mapa final'!$N$30="Moderado"),CONCATENATE("R",'Mapa final'!$A$30),"")</f>
        <v/>
      </c>
      <c r="Y8" s="328"/>
      <c r="Z8" s="328" t="str">
        <f ca="1">IF(AND('Mapa final'!$J$36="Muy Alta",'Mapa final'!$N$36="Moderado"),CONCATENATE("R",'Mapa final'!$A$36),"")</f>
        <v/>
      </c>
      <c r="AA8" s="329"/>
      <c r="AB8" s="326" t="str">
        <f ca="1">IF(AND('Mapa final'!$J$24="Muy Alta",'Mapa final'!$N$24="Mayor"),CONCATENATE("R",'Mapa final'!$A$24),"")</f>
        <v/>
      </c>
      <c r="AC8" s="327"/>
      <c r="AD8" s="328" t="str">
        <f ca="1">IF(AND('Mapa final'!$J$30="Muy Alta",'Mapa final'!$N$30="Mayor"),CONCATENATE("R",'Mapa final'!$A$30),"")</f>
        <v/>
      </c>
      <c r="AE8" s="328"/>
      <c r="AF8" s="328" t="str">
        <f ca="1">IF(AND('Mapa final'!$J$36="Muy Alta",'Mapa final'!$N$36="Mayor"),CONCATENATE("R",'Mapa final'!$A$36),"")</f>
        <v/>
      </c>
      <c r="AG8" s="329"/>
      <c r="AH8" s="317" t="str">
        <f ca="1">IF(AND('Mapa final'!$J$24="Muy Alta",'Mapa final'!$N$24="Catastrófico"),CONCATENATE("R",'Mapa final'!$A$24),"")</f>
        <v/>
      </c>
      <c r="AI8" s="318"/>
      <c r="AJ8" s="318" t="str">
        <f ca="1">IF(AND('Mapa final'!$J$30="Muy Alta",'Mapa final'!$N$30="Catastrófico"),CONCATENATE("R",'Mapa final'!$A$30),"")</f>
        <v/>
      </c>
      <c r="AK8" s="318"/>
      <c r="AL8" s="318" t="str">
        <f ca="1">IF(AND('Mapa final'!$J$36="Muy Alta",'Mapa final'!$N$36="Catastrófico"),CONCATENATE("R",'Mapa final'!$A$36),"")</f>
        <v/>
      </c>
      <c r="AM8" s="319"/>
      <c r="AN8" s="68"/>
      <c r="AO8" s="353"/>
      <c r="AP8" s="354"/>
      <c r="AQ8" s="354"/>
      <c r="AR8" s="354"/>
      <c r="AS8" s="354"/>
      <c r="AT8" s="355"/>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348"/>
      <c r="C9" s="348"/>
      <c r="D9" s="349"/>
      <c r="E9" s="340"/>
      <c r="F9" s="341"/>
      <c r="G9" s="341"/>
      <c r="H9" s="341"/>
      <c r="I9" s="342"/>
      <c r="J9" s="326"/>
      <c r="K9" s="327"/>
      <c r="L9" s="328"/>
      <c r="M9" s="328"/>
      <c r="N9" s="328"/>
      <c r="O9" s="329"/>
      <c r="P9" s="326"/>
      <c r="Q9" s="327"/>
      <c r="R9" s="328"/>
      <c r="S9" s="328"/>
      <c r="T9" s="328"/>
      <c r="U9" s="329"/>
      <c r="V9" s="326"/>
      <c r="W9" s="327"/>
      <c r="X9" s="328"/>
      <c r="Y9" s="328"/>
      <c r="Z9" s="328"/>
      <c r="AA9" s="329"/>
      <c r="AB9" s="326"/>
      <c r="AC9" s="327"/>
      <c r="AD9" s="328"/>
      <c r="AE9" s="328"/>
      <c r="AF9" s="328"/>
      <c r="AG9" s="329"/>
      <c r="AH9" s="317"/>
      <c r="AI9" s="318"/>
      <c r="AJ9" s="318"/>
      <c r="AK9" s="318"/>
      <c r="AL9" s="318"/>
      <c r="AM9" s="319"/>
      <c r="AN9" s="68"/>
      <c r="AO9" s="353"/>
      <c r="AP9" s="354"/>
      <c r="AQ9" s="354"/>
      <c r="AR9" s="354"/>
      <c r="AS9" s="354"/>
      <c r="AT9" s="355"/>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348"/>
      <c r="C10" s="348"/>
      <c r="D10" s="349"/>
      <c r="E10" s="340"/>
      <c r="F10" s="341"/>
      <c r="G10" s="341"/>
      <c r="H10" s="341"/>
      <c r="I10" s="342"/>
      <c r="J10" s="326" t="str">
        <f ca="1">IF(AND('Mapa final'!$J$42="Muy Alta",'Mapa final'!$N$42="Leve"),CONCATENATE("R",'Mapa final'!$A$42),"")</f>
        <v/>
      </c>
      <c r="K10" s="327"/>
      <c r="L10" s="328" t="str">
        <f ca="1">IF(AND('Mapa final'!$J$48="Muy Alta",'Mapa final'!$N$48="Leve"),CONCATENATE("R",'Mapa final'!$A$48),"")</f>
        <v/>
      </c>
      <c r="M10" s="328"/>
      <c r="N10" s="328" t="str">
        <f ca="1">IF(AND('Mapa final'!$J$54="Muy Alta",'Mapa final'!$N$54="Leve"),CONCATENATE("R",'Mapa final'!$A$54),"")</f>
        <v/>
      </c>
      <c r="O10" s="329"/>
      <c r="P10" s="326" t="str">
        <f ca="1">IF(AND('Mapa final'!$J$42="Muy Alta",'Mapa final'!$N$42="Menor"),CONCATENATE("R",'Mapa final'!$A$42),"")</f>
        <v/>
      </c>
      <c r="Q10" s="327"/>
      <c r="R10" s="328" t="str">
        <f ca="1">IF(AND('Mapa final'!$J$48="Muy Alta",'Mapa final'!$N$48="Menor"),CONCATENATE("R",'Mapa final'!$A$48),"")</f>
        <v/>
      </c>
      <c r="S10" s="328"/>
      <c r="T10" s="328" t="str">
        <f ca="1">IF(AND('Mapa final'!$J$54="Muy Alta",'Mapa final'!$N$54="Menor"),CONCATENATE("R",'Mapa final'!$A$54),"")</f>
        <v/>
      </c>
      <c r="U10" s="329"/>
      <c r="V10" s="326" t="str">
        <f ca="1">IF(AND('Mapa final'!$J$42="Muy Alta",'Mapa final'!$N$42="Moderado"),CONCATENATE("R",'Mapa final'!$A$42),"")</f>
        <v/>
      </c>
      <c r="W10" s="327"/>
      <c r="X10" s="328" t="str">
        <f ca="1">IF(AND('Mapa final'!$J$48="Muy Alta",'Mapa final'!$N$48="Moderado"),CONCATENATE("R",'Mapa final'!$A$48),"")</f>
        <v/>
      </c>
      <c r="Y10" s="328"/>
      <c r="Z10" s="328" t="str">
        <f ca="1">IF(AND('Mapa final'!$J$54="Muy Alta",'Mapa final'!$N$54="Moderado"),CONCATENATE("R",'Mapa final'!$A$54),"")</f>
        <v/>
      </c>
      <c r="AA10" s="329"/>
      <c r="AB10" s="326" t="str">
        <f ca="1">IF(AND('Mapa final'!$J$42="Muy Alta",'Mapa final'!$N$42="Mayor"),CONCATENATE("R",'Mapa final'!$A$42),"")</f>
        <v/>
      </c>
      <c r="AC10" s="327"/>
      <c r="AD10" s="328" t="str">
        <f ca="1">IF(AND('Mapa final'!$J$48="Muy Alta",'Mapa final'!$N$48="Mayor"),CONCATENATE("R",'Mapa final'!$A$48),"")</f>
        <v/>
      </c>
      <c r="AE10" s="328"/>
      <c r="AF10" s="328" t="str">
        <f ca="1">IF(AND('Mapa final'!$J$54="Muy Alta",'Mapa final'!$N$54="Mayor"),CONCATENATE("R",'Mapa final'!$A$54),"")</f>
        <v/>
      </c>
      <c r="AG10" s="329"/>
      <c r="AH10" s="317" t="str">
        <f ca="1">IF(AND('Mapa final'!$J$42="Muy Alta",'Mapa final'!$N$42="Catastrófico"),CONCATENATE("R",'Mapa final'!$A$42),"")</f>
        <v/>
      </c>
      <c r="AI10" s="318"/>
      <c r="AJ10" s="318" t="str">
        <f ca="1">IF(AND('Mapa final'!$J$48="Muy Alta",'Mapa final'!$N$48="Catastrófico"),CONCATENATE("R",'Mapa final'!$A$48),"")</f>
        <v/>
      </c>
      <c r="AK10" s="318"/>
      <c r="AL10" s="318" t="str">
        <f ca="1">IF(AND('Mapa final'!$J$54="Muy Alta",'Mapa final'!$N$54="Catastrófico"),CONCATENATE("R",'Mapa final'!$A$54),"")</f>
        <v/>
      </c>
      <c r="AM10" s="319"/>
      <c r="AN10" s="68"/>
      <c r="AO10" s="353"/>
      <c r="AP10" s="354"/>
      <c r="AQ10" s="354"/>
      <c r="AR10" s="354"/>
      <c r="AS10" s="354"/>
      <c r="AT10" s="355"/>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348"/>
      <c r="C11" s="348"/>
      <c r="D11" s="349"/>
      <c r="E11" s="340"/>
      <c r="F11" s="341"/>
      <c r="G11" s="341"/>
      <c r="H11" s="341"/>
      <c r="I11" s="342"/>
      <c r="J11" s="326"/>
      <c r="K11" s="327"/>
      <c r="L11" s="328"/>
      <c r="M11" s="328"/>
      <c r="N11" s="328"/>
      <c r="O11" s="329"/>
      <c r="P11" s="326"/>
      <c r="Q11" s="327"/>
      <c r="R11" s="328"/>
      <c r="S11" s="328"/>
      <c r="T11" s="328"/>
      <c r="U11" s="329"/>
      <c r="V11" s="326"/>
      <c r="W11" s="327"/>
      <c r="X11" s="328"/>
      <c r="Y11" s="328"/>
      <c r="Z11" s="328"/>
      <c r="AA11" s="329"/>
      <c r="AB11" s="326"/>
      <c r="AC11" s="327"/>
      <c r="AD11" s="328"/>
      <c r="AE11" s="328"/>
      <c r="AF11" s="328"/>
      <c r="AG11" s="329"/>
      <c r="AH11" s="317"/>
      <c r="AI11" s="318"/>
      <c r="AJ11" s="318"/>
      <c r="AK11" s="318"/>
      <c r="AL11" s="318"/>
      <c r="AM11" s="319"/>
      <c r="AN11" s="68"/>
      <c r="AO11" s="353"/>
      <c r="AP11" s="354"/>
      <c r="AQ11" s="354"/>
      <c r="AR11" s="354"/>
      <c r="AS11" s="354"/>
      <c r="AT11" s="355"/>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348"/>
      <c r="C12" s="348"/>
      <c r="D12" s="349"/>
      <c r="E12" s="340"/>
      <c r="F12" s="341"/>
      <c r="G12" s="341"/>
      <c r="H12" s="341"/>
      <c r="I12" s="342"/>
      <c r="J12" s="326" t="str">
        <f ca="1">IF(AND('Mapa final'!$J$60="Muy Alta",'Mapa final'!$N$60="Leve"),CONCATENATE("R",'Mapa final'!$A$60),"")</f>
        <v/>
      </c>
      <c r="K12" s="327"/>
      <c r="L12" s="328" t="str">
        <f>IF(AND('Mapa final'!$J$66="Muy Alta",'Mapa final'!$N$66="Leve"),CONCATENATE("R",'Mapa final'!$A$66),"")</f>
        <v/>
      </c>
      <c r="M12" s="328"/>
      <c r="N12" s="328" t="str">
        <f>IF(AND('Mapa final'!$J$72="Muy Alta",'Mapa final'!$N$72="Leve"),CONCATENATE("R",'Mapa final'!$A$72),"")</f>
        <v/>
      </c>
      <c r="O12" s="329"/>
      <c r="P12" s="326" t="str">
        <f ca="1">IF(AND('Mapa final'!$J$60="Muy Alta",'Mapa final'!$N$60="Menor"),CONCATENATE("R",'Mapa final'!$A$60),"")</f>
        <v/>
      </c>
      <c r="Q12" s="327"/>
      <c r="R12" s="328" t="str">
        <f>IF(AND('Mapa final'!$J$66="Muy Alta",'Mapa final'!$N$66="Menor"),CONCATENATE("R",'Mapa final'!$A$66),"")</f>
        <v/>
      </c>
      <c r="S12" s="328"/>
      <c r="T12" s="328" t="str">
        <f>IF(AND('Mapa final'!$J$72="Muy Alta",'Mapa final'!$N$72="Menor"),CONCATENATE("R",'Mapa final'!$A$72),"")</f>
        <v/>
      </c>
      <c r="U12" s="329"/>
      <c r="V12" s="326" t="str">
        <f ca="1">IF(AND('Mapa final'!$J$60="Muy Alta",'Mapa final'!$N$60="Moderado"),CONCATENATE("R",'Mapa final'!$A$60),"")</f>
        <v/>
      </c>
      <c r="W12" s="327"/>
      <c r="X12" s="328" t="str">
        <f>IF(AND('Mapa final'!$J$66="Muy Alta",'Mapa final'!$N$66="Moderado"),CONCATENATE("R",'Mapa final'!$A$66),"")</f>
        <v/>
      </c>
      <c r="Y12" s="328"/>
      <c r="Z12" s="328" t="str">
        <f>IF(AND('Mapa final'!$J$72="Muy Alta",'Mapa final'!$N$72="Moderado"),CONCATENATE("R",'Mapa final'!$A$72),"")</f>
        <v/>
      </c>
      <c r="AA12" s="329"/>
      <c r="AB12" s="326" t="str">
        <f ca="1">IF(AND('Mapa final'!$J$60="Muy Alta",'Mapa final'!$N$60="Mayor"),CONCATENATE("R",'Mapa final'!$A$60),"")</f>
        <v/>
      </c>
      <c r="AC12" s="327"/>
      <c r="AD12" s="328" t="str">
        <f>IF(AND('Mapa final'!$J$66="Muy Alta",'Mapa final'!$N$66="Mayor"),CONCATENATE("R",'Mapa final'!$A$66),"")</f>
        <v/>
      </c>
      <c r="AE12" s="328"/>
      <c r="AF12" s="328" t="str">
        <f>IF(AND('Mapa final'!$J$72="Muy Alta",'Mapa final'!$N$72="Mayor"),CONCATENATE("R",'Mapa final'!$A$72),"")</f>
        <v/>
      </c>
      <c r="AG12" s="329"/>
      <c r="AH12" s="317" t="str">
        <f ca="1">IF(AND('Mapa final'!$J$60="Muy Alta",'Mapa final'!$N$60="Catastrófico"),CONCATENATE("R",'Mapa final'!$A$60),"")</f>
        <v/>
      </c>
      <c r="AI12" s="318"/>
      <c r="AJ12" s="318" t="str">
        <f>IF(AND('Mapa final'!$J$66="Muy Alta",'Mapa final'!$N$66="Catastrófico"),CONCATENATE("R",'Mapa final'!$A$66),"")</f>
        <v/>
      </c>
      <c r="AK12" s="318"/>
      <c r="AL12" s="318" t="str">
        <f>IF(AND('Mapa final'!$J$72="Muy Alta",'Mapa final'!$N$72="Catastrófico"),CONCATENATE("R",'Mapa final'!$A$72),"")</f>
        <v/>
      </c>
      <c r="AM12" s="319"/>
      <c r="AN12" s="68"/>
      <c r="AO12" s="353"/>
      <c r="AP12" s="354"/>
      <c r="AQ12" s="354"/>
      <c r="AR12" s="354"/>
      <c r="AS12" s="354"/>
      <c r="AT12" s="355"/>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348"/>
      <c r="C13" s="348"/>
      <c r="D13" s="349"/>
      <c r="E13" s="343"/>
      <c r="F13" s="344"/>
      <c r="G13" s="344"/>
      <c r="H13" s="344"/>
      <c r="I13" s="345"/>
      <c r="J13" s="326"/>
      <c r="K13" s="327"/>
      <c r="L13" s="327"/>
      <c r="M13" s="327"/>
      <c r="N13" s="327"/>
      <c r="O13" s="329"/>
      <c r="P13" s="326"/>
      <c r="Q13" s="327"/>
      <c r="R13" s="327"/>
      <c r="S13" s="327"/>
      <c r="T13" s="327"/>
      <c r="U13" s="329"/>
      <c r="V13" s="326"/>
      <c r="W13" s="327"/>
      <c r="X13" s="327"/>
      <c r="Y13" s="327"/>
      <c r="Z13" s="327"/>
      <c r="AA13" s="329"/>
      <c r="AB13" s="326"/>
      <c r="AC13" s="327"/>
      <c r="AD13" s="327"/>
      <c r="AE13" s="327"/>
      <c r="AF13" s="327"/>
      <c r="AG13" s="329"/>
      <c r="AH13" s="320"/>
      <c r="AI13" s="321"/>
      <c r="AJ13" s="321"/>
      <c r="AK13" s="321"/>
      <c r="AL13" s="321"/>
      <c r="AM13" s="322"/>
      <c r="AN13" s="68"/>
      <c r="AO13" s="356"/>
      <c r="AP13" s="357"/>
      <c r="AQ13" s="357"/>
      <c r="AR13" s="357"/>
      <c r="AS13" s="357"/>
      <c r="AT13" s="35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348"/>
      <c r="C14" s="348"/>
      <c r="D14" s="349"/>
      <c r="E14" s="337" t="s">
        <v>110</v>
      </c>
      <c r="F14" s="338"/>
      <c r="G14" s="338"/>
      <c r="H14" s="338"/>
      <c r="I14" s="338"/>
      <c r="J14" s="314" t="str">
        <f ca="1">IF(AND('Mapa final'!$J$10="Alta",'Mapa final'!$N$10="Leve"),CONCATENATE("R",'Mapa final'!$A$10),"")</f>
        <v/>
      </c>
      <c r="K14" s="315"/>
      <c r="L14" s="315" t="str">
        <f ca="1">IF(AND('Mapa final'!$J$14="Alta",'Mapa final'!$N$14="Leve"),CONCATENATE("R",'Mapa final'!$A$14),"")</f>
        <v/>
      </c>
      <c r="M14" s="315"/>
      <c r="N14" s="315" t="str">
        <f ca="1">IF(AND('Mapa final'!$J$18="Alta",'Mapa final'!$N$18="Leve"),CONCATENATE("R",'Mapa final'!$A$18),"")</f>
        <v/>
      </c>
      <c r="O14" s="316"/>
      <c r="P14" s="314" t="str">
        <f ca="1">IF(AND('Mapa final'!$J$10="Alta",'Mapa final'!$N$10="Menor"),CONCATENATE("R",'Mapa final'!$A$10),"")</f>
        <v/>
      </c>
      <c r="Q14" s="315"/>
      <c r="R14" s="315" t="str">
        <f ca="1">IF(AND('Mapa final'!$J$14="Alta",'Mapa final'!$N$14="Menor"),CONCATENATE("R",'Mapa final'!$A$14),"")</f>
        <v/>
      </c>
      <c r="S14" s="315"/>
      <c r="T14" s="315" t="str">
        <f ca="1">IF(AND('Mapa final'!$J$18="Alta",'Mapa final'!$N$18="Menor"),CONCATENATE("R",'Mapa final'!$A$18),"")</f>
        <v/>
      </c>
      <c r="U14" s="316"/>
      <c r="V14" s="333" t="str">
        <f ca="1">IF(AND('Mapa final'!$J$10="Alta",'Mapa final'!$N$10="Moderado"),CONCATENATE("R",'Mapa final'!$A$10),"")</f>
        <v/>
      </c>
      <c r="W14" s="334"/>
      <c r="X14" s="334" t="str">
        <f ca="1">IF(AND('Mapa final'!$J$14="Alta",'Mapa final'!$N$14="Moderado"),CONCATENATE("R",'Mapa final'!$A$14),"")</f>
        <v/>
      </c>
      <c r="Y14" s="334"/>
      <c r="Z14" s="334" t="str">
        <f ca="1">IF(AND('Mapa final'!$J$18="Alta",'Mapa final'!$N$18="Moderado"),CONCATENATE("R",'Mapa final'!$A$18),"")</f>
        <v/>
      </c>
      <c r="AA14" s="335"/>
      <c r="AB14" s="333" t="str">
        <f ca="1">IF(AND('Mapa final'!$J$10="Alta",'Mapa final'!$N$10="Mayor"),CONCATENATE("R",'Mapa final'!$A$10),"")</f>
        <v/>
      </c>
      <c r="AC14" s="334"/>
      <c r="AD14" s="334" t="str">
        <f ca="1">IF(AND('Mapa final'!$J$14="Alta",'Mapa final'!$N$14="Mayor"),CONCATENATE("R",'Mapa final'!$A$14),"")</f>
        <v>R2</v>
      </c>
      <c r="AE14" s="334"/>
      <c r="AF14" s="334" t="str">
        <f ca="1">IF(AND('Mapa final'!$J$18="Alta",'Mapa final'!$N$18="Mayor"),CONCATENATE("R",'Mapa final'!$A$18),"")</f>
        <v/>
      </c>
      <c r="AG14" s="335"/>
      <c r="AH14" s="323" t="str">
        <f ca="1">IF(AND('Mapa final'!$J$10="Alta",'Mapa final'!$N$10="Catastrófico"),CONCATENATE("R",'Mapa final'!$A$10),"")</f>
        <v/>
      </c>
      <c r="AI14" s="324"/>
      <c r="AJ14" s="324" t="str">
        <f ca="1">IF(AND('Mapa final'!$J$14="Alta",'Mapa final'!$N$14="Catastrófico"),CONCATENATE("R",'Mapa final'!$A$14),"")</f>
        <v/>
      </c>
      <c r="AK14" s="324"/>
      <c r="AL14" s="324" t="str">
        <f ca="1">IF(AND('Mapa final'!$J$18="Alta",'Mapa final'!$N$18="Catastrófico"),CONCATENATE("R",'Mapa final'!$A$18),"")</f>
        <v/>
      </c>
      <c r="AM14" s="325"/>
      <c r="AN14" s="68"/>
      <c r="AO14" s="359" t="s">
        <v>79</v>
      </c>
      <c r="AP14" s="360"/>
      <c r="AQ14" s="360"/>
      <c r="AR14" s="360"/>
      <c r="AS14" s="360"/>
      <c r="AT14" s="361"/>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348"/>
      <c r="C15" s="348"/>
      <c r="D15" s="349"/>
      <c r="E15" s="340"/>
      <c r="F15" s="341"/>
      <c r="G15" s="341"/>
      <c r="H15" s="341"/>
      <c r="I15" s="346"/>
      <c r="J15" s="308"/>
      <c r="K15" s="309"/>
      <c r="L15" s="309"/>
      <c r="M15" s="309"/>
      <c r="N15" s="309"/>
      <c r="O15" s="310"/>
      <c r="P15" s="308"/>
      <c r="Q15" s="309"/>
      <c r="R15" s="309"/>
      <c r="S15" s="309"/>
      <c r="T15" s="309"/>
      <c r="U15" s="310"/>
      <c r="V15" s="326"/>
      <c r="W15" s="327"/>
      <c r="X15" s="327"/>
      <c r="Y15" s="327"/>
      <c r="Z15" s="327"/>
      <c r="AA15" s="329"/>
      <c r="AB15" s="326"/>
      <c r="AC15" s="327"/>
      <c r="AD15" s="327"/>
      <c r="AE15" s="327"/>
      <c r="AF15" s="327"/>
      <c r="AG15" s="329"/>
      <c r="AH15" s="317"/>
      <c r="AI15" s="318"/>
      <c r="AJ15" s="318"/>
      <c r="AK15" s="318"/>
      <c r="AL15" s="318"/>
      <c r="AM15" s="319"/>
      <c r="AN15" s="68"/>
      <c r="AO15" s="362"/>
      <c r="AP15" s="363"/>
      <c r="AQ15" s="363"/>
      <c r="AR15" s="363"/>
      <c r="AS15" s="363"/>
      <c r="AT15" s="364"/>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348"/>
      <c r="C16" s="348"/>
      <c r="D16" s="349"/>
      <c r="E16" s="340"/>
      <c r="F16" s="341"/>
      <c r="G16" s="341"/>
      <c r="H16" s="341"/>
      <c r="I16" s="346"/>
      <c r="J16" s="308" t="str">
        <f ca="1">IF(AND('Mapa final'!$J$24="Alta",'Mapa final'!$N$24="Leve"),CONCATENATE("R",'Mapa final'!$A$24),"")</f>
        <v/>
      </c>
      <c r="K16" s="309"/>
      <c r="L16" s="309" t="str">
        <f ca="1">IF(AND('Mapa final'!$J$30="Alta",'Mapa final'!$N$30="Leve"),CONCATENATE("R",'Mapa final'!$A$30),"")</f>
        <v/>
      </c>
      <c r="M16" s="309"/>
      <c r="N16" s="309" t="str">
        <f ca="1">IF(AND('Mapa final'!$J$36="Alta",'Mapa final'!$N$36="Leve"),CONCATENATE("R",'Mapa final'!$A$36),"")</f>
        <v/>
      </c>
      <c r="O16" s="310"/>
      <c r="P16" s="308" t="str">
        <f ca="1">IF(AND('Mapa final'!$J$24="Alta",'Mapa final'!$N$24="Menor"),CONCATENATE("R",'Mapa final'!$A$24),"")</f>
        <v/>
      </c>
      <c r="Q16" s="309"/>
      <c r="R16" s="309" t="str">
        <f ca="1">IF(AND('Mapa final'!$J$30="Alta",'Mapa final'!$N$30="Menor"),CONCATENATE("R",'Mapa final'!$A$30),"")</f>
        <v/>
      </c>
      <c r="S16" s="309"/>
      <c r="T16" s="309" t="str">
        <f ca="1">IF(AND('Mapa final'!$J$36="Alta",'Mapa final'!$N$36="Menor"),CONCATENATE("R",'Mapa final'!$A$36),"")</f>
        <v/>
      </c>
      <c r="U16" s="310"/>
      <c r="V16" s="326" t="str">
        <f ca="1">IF(AND('Mapa final'!$J$24="Alta",'Mapa final'!$N$24="Moderado"),CONCATENATE("R",'Mapa final'!$A$24),"")</f>
        <v/>
      </c>
      <c r="W16" s="327"/>
      <c r="X16" s="328" t="str">
        <f ca="1">IF(AND('Mapa final'!$J$30="Alta",'Mapa final'!$N$30="Moderado"),CONCATENATE("R",'Mapa final'!$A$30),"")</f>
        <v/>
      </c>
      <c r="Y16" s="328"/>
      <c r="Z16" s="328" t="str">
        <f ca="1">IF(AND('Mapa final'!$J$36="Alta",'Mapa final'!$N$36="Moderado"),CONCATENATE("R",'Mapa final'!$A$36),"")</f>
        <v/>
      </c>
      <c r="AA16" s="329"/>
      <c r="AB16" s="326" t="str">
        <f ca="1">IF(AND('Mapa final'!$J$24="Alta",'Mapa final'!$N$24="Mayor"),CONCATENATE("R",'Mapa final'!$A$24),"")</f>
        <v/>
      </c>
      <c r="AC16" s="327"/>
      <c r="AD16" s="328" t="str">
        <f ca="1">IF(AND('Mapa final'!$J$30="Alta",'Mapa final'!$N$30="Mayor"),CONCATENATE("R",'Mapa final'!$A$30),"")</f>
        <v/>
      </c>
      <c r="AE16" s="328"/>
      <c r="AF16" s="328" t="str">
        <f ca="1">IF(AND('Mapa final'!$J$36="Alta",'Mapa final'!$N$36="Mayor"),CONCATENATE("R",'Mapa final'!$A$36),"")</f>
        <v/>
      </c>
      <c r="AG16" s="329"/>
      <c r="AH16" s="317" t="str">
        <f ca="1">IF(AND('Mapa final'!$J$24="Alta",'Mapa final'!$N$24="Catastrófico"),CONCATENATE("R",'Mapa final'!$A$24),"")</f>
        <v/>
      </c>
      <c r="AI16" s="318"/>
      <c r="AJ16" s="318" t="str">
        <f ca="1">IF(AND('Mapa final'!$J$30="Alta",'Mapa final'!$N$30="Catastrófico"),CONCATENATE("R",'Mapa final'!$A$30),"")</f>
        <v/>
      </c>
      <c r="AK16" s="318"/>
      <c r="AL16" s="318" t="str">
        <f ca="1">IF(AND('Mapa final'!$J$36="Alta",'Mapa final'!$N$36="Catastrófico"),CONCATENATE("R",'Mapa final'!$A$36),"")</f>
        <v/>
      </c>
      <c r="AM16" s="319"/>
      <c r="AN16" s="68"/>
      <c r="AO16" s="362"/>
      <c r="AP16" s="363"/>
      <c r="AQ16" s="363"/>
      <c r="AR16" s="363"/>
      <c r="AS16" s="363"/>
      <c r="AT16" s="364"/>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348"/>
      <c r="C17" s="348"/>
      <c r="D17" s="349"/>
      <c r="E17" s="340"/>
      <c r="F17" s="341"/>
      <c r="G17" s="341"/>
      <c r="H17" s="341"/>
      <c r="I17" s="346"/>
      <c r="J17" s="308"/>
      <c r="K17" s="309"/>
      <c r="L17" s="309"/>
      <c r="M17" s="309"/>
      <c r="N17" s="309"/>
      <c r="O17" s="310"/>
      <c r="P17" s="308"/>
      <c r="Q17" s="309"/>
      <c r="R17" s="309"/>
      <c r="S17" s="309"/>
      <c r="T17" s="309"/>
      <c r="U17" s="310"/>
      <c r="V17" s="326"/>
      <c r="W17" s="327"/>
      <c r="X17" s="328"/>
      <c r="Y17" s="328"/>
      <c r="Z17" s="328"/>
      <c r="AA17" s="329"/>
      <c r="AB17" s="326"/>
      <c r="AC17" s="327"/>
      <c r="AD17" s="328"/>
      <c r="AE17" s="328"/>
      <c r="AF17" s="328"/>
      <c r="AG17" s="329"/>
      <c r="AH17" s="317"/>
      <c r="AI17" s="318"/>
      <c r="AJ17" s="318"/>
      <c r="AK17" s="318"/>
      <c r="AL17" s="318"/>
      <c r="AM17" s="319"/>
      <c r="AN17" s="68"/>
      <c r="AO17" s="362"/>
      <c r="AP17" s="363"/>
      <c r="AQ17" s="363"/>
      <c r="AR17" s="363"/>
      <c r="AS17" s="363"/>
      <c r="AT17" s="364"/>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348"/>
      <c r="C18" s="348"/>
      <c r="D18" s="349"/>
      <c r="E18" s="340"/>
      <c r="F18" s="341"/>
      <c r="G18" s="341"/>
      <c r="H18" s="341"/>
      <c r="I18" s="346"/>
      <c r="J18" s="308" t="str">
        <f ca="1">IF(AND('Mapa final'!$J$42="Alta",'Mapa final'!$N$42="Leve"),CONCATENATE("R",'Mapa final'!$A$42),"")</f>
        <v/>
      </c>
      <c r="K18" s="309"/>
      <c r="L18" s="309" t="str">
        <f ca="1">IF(AND('Mapa final'!$J$48="Alta",'Mapa final'!$N$48="Leve"),CONCATENATE("R",'Mapa final'!$A$48),"")</f>
        <v/>
      </c>
      <c r="M18" s="309"/>
      <c r="N18" s="309" t="str">
        <f ca="1">IF(AND('Mapa final'!$J$54="Alta",'Mapa final'!$N$54="Leve"),CONCATENATE("R",'Mapa final'!$A$54),"")</f>
        <v/>
      </c>
      <c r="O18" s="310"/>
      <c r="P18" s="308" t="str">
        <f ca="1">IF(AND('Mapa final'!$J$42="Alta",'Mapa final'!$N$42="Menor"),CONCATENATE("R",'Mapa final'!$A$42),"")</f>
        <v/>
      </c>
      <c r="Q18" s="309"/>
      <c r="R18" s="309" t="str">
        <f ca="1">IF(AND('Mapa final'!$J$48="Alta",'Mapa final'!$N$48="Menor"),CONCATENATE("R",'Mapa final'!$A$48),"")</f>
        <v/>
      </c>
      <c r="S18" s="309"/>
      <c r="T18" s="309" t="str">
        <f ca="1">IF(AND('Mapa final'!$J$54="Alta",'Mapa final'!$N$54="Menor"),CONCATENATE("R",'Mapa final'!$A$54),"")</f>
        <v/>
      </c>
      <c r="U18" s="310"/>
      <c r="V18" s="326" t="str">
        <f ca="1">IF(AND('Mapa final'!$J$42="Alta",'Mapa final'!$N$42="Moderado"),CONCATENATE("R",'Mapa final'!$A$42),"")</f>
        <v/>
      </c>
      <c r="W18" s="327"/>
      <c r="X18" s="328" t="str">
        <f ca="1">IF(AND('Mapa final'!$J$48="Alta",'Mapa final'!$N$48="Moderado"),CONCATENATE("R",'Mapa final'!$A$48),"")</f>
        <v/>
      </c>
      <c r="Y18" s="328"/>
      <c r="Z18" s="328" t="str">
        <f ca="1">IF(AND('Mapa final'!$J$54="Alta",'Mapa final'!$N$54="Moderado"),CONCATENATE("R",'Mapa final'!$A$54),"")</f>
        <v/>
      </c>
      <c r="AA18" s="329"/>
      <c r="AB18" s="326" t="str">
        <f ca="1">IF(AND('Mapa final'!$J$42="Alta",'Mapa final'!$N$42="Mayor"),CONCATENATE("R",'Mapa final'!$A$42),"")</f>
        <v/>
      </c>
      <c r="AC18" s="327"/>
      <c r="AD18" s="328" t="str">
        <f ca="1">IF(AND('Mapa final'!$J$48="Alta",'Mapa final'!$N$48="Mayor"),CONCATENATE("R",'Mapa final'!$A$48),"")</f>
        <v/>
      </c>
      <c r="AE18" s="328"/>
      <c r="AF18" s="328" t="str">
        <f ca="1">IF(AND('Mapa final'!$J$54="Alta",'Mapa final'!$N$54="Mayor"),CONCATENATE("R",'Mapa final'!$A$54),"")</f>
        <v/>
      </c>
      <c r="AG18" s="329"/>
      <c r="AH18" s="317" t="str">
        <f ca="1">IF(AND('Mapa final'!$J$42="Alta",'Mapa final'!$N$42="Catastrófico"),CONCATENATE("R",'Mapa final'!$A$42),"")</f>
        <v/>
      </c>
      <c r="AI18" s="318"/>
      <c r="AJ18" s="318" t="str">
        <f ca="1">IF(AND('Mapa final'!$J$48="Alta",'Mapa final'!$N$48="Catastrófico"),CONCATENATE("R",'Mapa final'!$A$48),"")</f>
        <v/>
      </c>
      <c r="AK18" s="318"/>
      <c r="AL18" s="318" t="str">
        <f ca="1">IF(AND('Mapa final'!$J$54="Alta",'Mapa final'!$N$54="Catastrófico"),CONCATENATE("R",'Mapa final'!$A$54),"")</f>
        <v/>
      </c>
      <c r="AM18" s="319"/>
      <c r="AN18" s="68"/>
      <c r="AO18" s="362"/>
      <c r="AP18" s="363"/>
      <c r="AQ18" s="363"/>
      <c r="AR18" s="363"/>
      <c r="AS18" s="363"/>
      <c r="AT18" s="364"/>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348"/>
      <c r="C19" s="348"/>
      <c r="D19" s="349"/>
      <c r="E19" s="340"/>
      <c r="F19" s="341"/>
      <c r="G19" s="341"/>
      <c r="H19" s="341"/>
      <c r="I19" s="346"/>
      <c r="J19" s="308"/>
      <c r="K19" s="309"/>
      <c r="L19" s="309"/>
      <c r="M19" s="309"/>
      <c r="N19" s="309"/>
      <c r="O19" s="310"/>
      <c r="P19" s="308"/>
      <c r="Q19" s="309"/>
      <c r="R19" s="309"/>
      <c r="S19" s="309"/>
      <c r="T19" s="309"/>
      <c r="U19" s="310"/>
      <c r="V19" s="326"/>
      <c r="W19" s="327"/>
      <c r="X19" s="328"/>
      <c r="Y19" s="328"/>
      <c r="Z19" s="328"/>
      <c r="AA19" s="329"/>
      <c r="AB19" s="326"/>
      <c r="AC19" s="327"/>
      <c r="AD19" s="328"/>
      <c r="AE19" s="328"/>
      <c r="AF19" s="328"/>
      <c r="AG19" s="329"/>
      <c r="AH19" s="317"/>
      <c r="AI19" s="318"/>
      <c r="AJ19" s="318"/>
      <c r="AK19" s="318"/>
      <c r="AL19" s="318"/>
      <c r="AM19" s="319"/>
      <c r="AN19" s="68"/>
      <c r="AO19" s="362"/>
      <c r="AP19" s="363"/>
      <c r="AQ19" s="363"/>
      <c r="AR19" s="363"/>
      <c r="AS19" s="363"/>
      <c r="AT19" s="364"/>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348"/>
      <c r="C20" s="348"/>
      <c r="D20" s="349"/>
      <c r="E20" s="340"/>
      <c r="F20" s="341"/>
      <c r="G20" s="341"/>
      <c r="H20" s="341"/>
      <c r="I20" s="346"/>
      <c r="J20" s="308" t="str">
        <f ca="1">IF(AND('Mapa final'!$J$60="Alta",'Mapa final'!$N$60="Leve"),CONCATENATE("R",'Mapa final'!$A$60),"")</f>
        <v/>
      </c>
      <c r="K20" s="309"/>
      <c r="L20" s="309" t="str">
        <f>IF(AND('Mapa final'!$J$66="Alta",'Mapa final'!$N$66="Leve"),CONCATENATE("R",'Mapa final'!$A$66),"")</f>
        <v/>
      </c>
      <c r="M20" s="309"/>
      <c r="N20" s="309" t="str">
        <f>IF(AND('Mapa final'!$J$72="Alta",'Mapa final'!$N$72="Leve"),CONCATENATE("R",'Mapa final'!$A$72),"")</f>
        <v/>
      </c>
      <c r="O20" s="310"/>
      <c r="P20" s="308" t="str">
        <f ca="1">IF(AND('Mapa final'!$J$60="Alta",'Mapa final'!$N$60="Menor"),CONCATENATE("R",'Mapa final'!$A$60),"")</f>
        <v/>
      </c>
      <c r="Q20" s="309"/>
      <c r="R20" s="309" t="str">
        <f>IF(AND('Mapa final'!$J$66="Alta",'Mapa final'!$N$66="Menor"),CONCATENATE("R",'Mapa final'!$A$66),"")</f>
        <v/>
      </c>
      <c r="S20" s="309"/>
      <c r="T20" s="309" t="str">
        <f>IF(AND('Mapa final'!$J$72="Alta",'Mapa final'!$N$72="Menor"),CONCATENATE("R",'Mapa final'!$A$72),"")</f>
        <v/>
      </c>
      <c r="U20" s="310"/>
      <c r="V20" s="326" t="str">
        <f ca="1">IF(AND('Mapa final'!$J$60="Alta",'Mapa final'!$N$60="Moderado"),CONCATENATE("R",'Mapa final'!$A$60),"")</f>
        <v/>
      </c>
      <c r="W20" s="327"/>
      <c r="X20" s="328" t="str">
        <f>IF(AND('Mapa final'!$J$66="Alta",'Mapa final'!$N$66="Moderado"),CONCATENATE("R",'Mapa final'!$A$66),"")</f>
        <v/>
      </c>
      <c r="Y20" s="328"/>
      <c r="Z20" s="328" t="str">
        <f>IF(AND('Mapa final'!$J$72="Alta",'Mapa final'!$N$72="Moderado"),CONCATENATE("R",'Mapa final'!$A$72),"")</f>
        <v/>
      </c>
      <c r="AA20" s="329"/>
      <c r="AB20" s="326" t="str">
        <f ca="1">IF(AND('Mapa final'!$J$60="Alta",'Mapa final'!$N$60="Mayor"),CONCATENATE("R",'Mapa final'!$A$60),"")</f>
        <v/>
      </c>
      <c r="AC20" s="327"/>
      <c r="AD20" s="328" t="str">
        <f>IF(AND('Mapa final'!$J$66="Alta",'Mapa final'!$N$66="Mayor"),CONCATENATE("R",'Mapa final'!$A$66),"")</f>
        <v/>
      </c>
      <c r="AE20" s="328"/>
      <c r="AF20" s="328" t="str">
        <f>IF(AND('Mapa final'!$J$72="Alta",'Mapa final'!$N$72="Mayor"),CONCATENATE("R",'Mapa final'!$A$72),"")</f>
        <v/>
      </c>
      <c r="AG20" s="329"/>
      <c r="AH20" s="317" t="str">
        <f ca="1">IF(AND('Mapa final'!$J$60="Alta",'Mapa final'!$N$60="Catastrófico"),CONCATENATE("R",'Mapa final'!$A$60),"")</f>
        <v/>
      </c>
      <c r="AI20" s="318"/>
      <c r="AJ20" s="318" t="str">
        <f>IF(AND('Mapa final'!$J$66="Alta",'Mapa final'!$N$66="Catastrófico"),CONCATENATE("R",'Mapa final'!$A$66),"")</f>
        <v/>
      </c>
      <c r="AK20" s="318"/>
      <c r="AL20" s="318" t="str">
        <f>IF(AND('Mapa final'!$J$72="Alta",'Mapa final'!$N$72="Catastrófico"),CONCATENATE("R",'Mapa final'!$A$72),"")</f>
        <v/>
      </c>
      <c r="AM20" s="319"/>
      <c r="AN20" s="68"/>
      <c r="AO20" s="362"/>
      <c r="AP20" s="363"/>
      <c r="AQ20" s="363"/>
      <c r="AR20" s="363"/>
      <c r="AS20" s="363"/>
      <c r="AT20" s="364"/>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348"/>
      <c r="C21" s="348"/>
      <c r="D21" s="349"/>
      <c r="E21" s="343"/>
      <c r="F21" s="344"/>
      <c r="G21" s="344"/>
      <c r="H21" s="344"/>
      <c r="I21" s="344"/>
      <c r="J21" s="311"/>
      <c r="K21" s="312"/>
      <c r="L21" s="312"/>
      <c r="M21" s="312"/>
      <c r="N21" s="312"/>
      <c r="O21" s="313"/>
      <c r="P21" s="311"/>
      <c r="Q21" s="312"/>
      <c r="R21" s="312"/>
      <c r="S21" s="312"/>
      <c r="T21" s="312"/>
      <c r="U21" s="313"/>
      <c r="V21" s="330"/>
      <c r="W21" s="331"/>
      <c r="X21" s="331"/>
      <c r="Y21" s="331"/>
      <c r="Z21" s="331"/>
      <c r="AA21" s="332"/>
      <c r="AB21" s="330"/>
      <c r="AC21" s="331"/>
      <c r="AD21" s="331"/>
      <c r="AE21" s="331"/>
      <c r="AF21" s="331"/>
      <c r="AG21" s="332"/>
      <c r="AH21" s="320"/>
      <c r="AI21" s="321"/>
      <c r="AJ21" s="321"/>
      <c r="AK21" s="321"/>
      <c r="AL21" s="321"/>
      <c r="AM21" s="322"/>
      <c r="AN21" s="68"/>
      <c r="AO21" s="365"/>
      <c r="AP21" s="366"/>
      <c r="AQ21" s="366"/>
      <c r="AR21" s="366"/>
      <c r="AS21" s="366"/>
      <c r="AT21" s="367"/>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348"/>
      <c r="C22" s="348"/>
      <c r="D22" s="349"/>
      <c r="E22" s="337" t="s">
        <v>112</v>
      </c>
      <c r="F22" s="338"/>
      <c r="G22" s="338"/>
      <c r="H22" s="338"/>
      <c r="I22" s="339"/>
      <c r="J22" s="314" t="str">
        <f ca="1">IF(AND('Mapa final'!$J$10="Media",'Mapa final'!$N$10="Leve"),CONCATENATE("R",'Mapa final'!$A$10),"")</f>
        <v/>
      </c>
      <c r="K22" s="315"/>
      <c r="L22" s="315" t="str">
        <f ca="1">IF(AND('Mapa final'!$J$14="Media",'Mapa final'!$N$14="Leve"),CONCATENATE("R",'Mapa final'!$A$14),"")</f>
        <v/>
      </c>
      <c r="M22" s="315"/>
      <c r="N22" s="315" t="str">
        <f ca="1">IF(AND('Mapa final'!$J$18="Media",'Mapa final'!$N$18="Leve"),CONCATENATE("R",'Mapa final'!$A$18),"")</f>
        <v/>
      </c>
      <c r="O22" s="316"/>
      <c r="P22" s="314" t="str">
        <f ca="1">IF(AND('Mapa final'!$J$10="Media",'Mapa final'!$N$10="Menor"),CONCATENATE("R",'Mapa final'!$A$10),"")</f>
        <v/>
      </c>
      <c r="Q22" s="315"/>
      <c r="R22" s="315" t="str">
        <f ca="1">IF(AND('Mapa final'!$J$14="Media",'Mapa final'!$N$14="Menor"),CONCATENATE("R",'Mapa final'!$A$14),"")</f>
        <v/>
      </c>
      <c r="S22" s="315"/>
      <c r="T22" s="315" t="str">
        <f ca="1">IF(AND('Mapa final'!$J$18="Media",'Mapa final'!$N$18="Menor"),CONCATENATE("R",'Mapa final'!$A$18),"")</f>
        <v/>
      </c>
      <c r="U22" s="316"/>
      <c r="V22" s="314" t="str">
        <f ca="1">IF(AND('Mapa final'!$J$10="Media",'Mapa final'!$N$10="Moderado"),CONCATENATE("R",'Mapa final'!$A$10),"")</f>
        <v/>
      </c>
      <c r="W22" s="315"/>
      <c r="X22" s="315" t="str">
        <f ca="1">IF(AND('Mapa final'!$J$14="Media",'Mapa final'!$N$14="Moderado"),CONCATENATE("R",'Mapa final'!$A$14),"")</f>
        <v/>
      </c>
      <c r="Y22" s="315"/>
      <c r="Z22" s="315" t="str">
        <f ca="1">IF(AND('Mapa final'!$J$18="Media",'Mapa final'!$N$18="Moderado"),CONCATENATE("R",'Mapa final'!$A$18),"")</f>
        <v/>
      </c>
      <c r="AA22" s="316"/>
      <c r="AB22" s="333" t="str">
        <f ca="1">IF(AND('Mapa final'!$J$10="Media",'Mapa final'!$N$10="Mayor"),CONCATENATE("R",'Mapa final'!$A$10),"")</f>
        <v>R1</v>
      </c>
      <c r="AC22" s="334"/>
      <c r="AD22" s="334" t="str">
        <f ca="1">IF(AND('Mapa final'!$J$14="Media",'Mapa final'!$N$14="Mayor"),CONCATENATE("R",'Mapa final'!$A$14),"")</f>
        <v/>
      </c>
      <c r="AE22" s="334"/>
      <c r="AF22" s="334" t="str">
        <f ca="1">IF(AND('Mapa final'!$J$18="Media",'Mapa final'!$N$18="Mayor"),CONCATENATE("R",'Mapa final'!$A$18),"")</f>
        <v/>
      </c>
      <c r="AG22" s="335"/>
      <c r="AH22" s="323" t="str">
        <f ca="1">IF(AND('Mapa final'!$J$10="Media",'Mapa final'!$N$10="Catastrófico"),CONCATENATE("R",'Mapa final'!$A$10),"")</f>
        <v/>
      </c>
      <c r="AI22" s="324"/>
      <c r="AJ22" s="324" t="str">
        <f ca="1">IF(AND('Mapa final'!$J$14="Media",'Mapa final'!$N$14="Catastrófico"),CONCATENATE("R",'Mapa final'!$A$14),"")</f>
        <v/>
      </c>
      <c r="AK22" s="324"/>
      <c r="AL22" s="324" t="str">
        <f ca="1">IF(AND('Mapa final'!$J$18="Media",'Mapa final'!$N$18="Catastrófico"),CONCATENATE("R",'Mapa final'!$A$18),"")</f>
        <v/>
      </c>
      <c r="AM22" s="325"/>
      <c r="AN22" s="68"/>
      <c r="AO22" s="368" t="s">
        <v>80</v>
      </c>
      <c r="AP22" s="369"/>
      <c r="AQ22" s="369"/>
      <c r="AR22" s="369"/>
      <c r="AS22" s="369"/>
      <c r="AT22" s="370"/>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348"/>
      <c r="C23" s="348"/>
      <c r="D23" s="349"/>
      <c r="E23" s="340"/>
      <c r="F23" s="341"/>
      <c r="G23" s="341"/>
      <c r="H23" s="341"/>
      <c r="I23" s="342"/>
      <c r="J23" s="308"/>
      <c r="K23" s="309"/>
      <c r="L23" s="309"/>
      <c r="M23" s="309"/>
      <c r="N23" s="309"/>
      <c r="O23" s="310"/>
      <c r="P23" s="308"/>
      <c r="Q23" s="309"/>
      <c r="R23" s="309"/>
      <c r="S23" s="309"/>
      <c r="T23" s="309"/>
      <c r="U23" s="310"/>
      <c r="V23" s="308"/>
      <c r="W23" s="309"/>
      <c r="X23" s="309"/>
      <c r="Y23" s="309"/>
      <c r="Z23" s="309"/>
      <c r="AA23" s="310"/>
      <c r="AB23" s="326"/>
      <c r="AC23" s="327"/>
      <c r="AD23" s="327"/>
      <c r="AE23" s="327"/>
      <c r="AF23" s="327"/>
      <c r="AG23" s="329"/>
      <c r="AH23" s="317"/>
      <c r="AI23" s="318"/>
      <c r="AJ23" s="318"/>
      <c r="AK23" s="318"/>
      <c r="AL23" s="318"/>
      <c r="AM23" s="319"/>
      <c r="AN23" s="68"/>
      <c r="AO23" s="371"/>
      <c r="AP23" s="372"/>
      <c r="AQ23" s="372"/>
      <c r="AR23" s="372"/>
      <c r="AS23" s="372"/>
      <c r="AT23" s="373"/>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348"/>
      <c r="C24" s="348"/>
      <c r="D24" s="349"/>
      <c r="E24" s="340"/>
      <c r="F24" s="341"/>
      <c r="G24" s="341"/>
      <c r="H24" s="341"/>
      <c r="I24" s="342"/>
      <c r="J24" s="308" t="str">
        <f ca="1">IF(AND('Mapa final'!$J$24="Media",'Mapa final'!$N$24="Leve"),CONCATENATE("R",'Mapa final'!$A$24),"")</f>
        <v/>
      </c>
      <c r="K24" s="309"/>
      <c r="L24" s="309" t="str">
        <f ca="1">IF(AND('Mapa final'!$J$30="Media",'Mapa final'!$N$30="Leve"),CONCATENATE("R",'Mapa final'!$A$30),"")</f>
        <v/>
      </c>
      <c r="M24" s="309"/>
      <c r="N24" s="309" t="str">
        <f ca="1">IF(AND('Mapa final'!$J$36="Media",'Mapa final'!$N$36="Leve"),CONCATENATE("R",'Mapa final'!$A$36),"")</f>
        <v/>
      </c>
      <c r="O24" s="310"/>
      <c r="P24" s="308" t="str">
        <f ca="1">IF(AND('Mapa final'!$J$24="Media",'Mapa final'!$N$24="Menor"),CONCATENATE("R",'Mapa final'!$A$24),"")</f>
        <v/>
      </c>
      <c r="Q24" s="309"/>
      <c r="R24" s="309" t="str">
        <f ca="1">IF(AND('Mapa final'!$J$30="Media",'Mapa final'!$N$30="Menor"),CONCATENATE("R",'Mapa final'!$A$30),"")</f>
        <v/>
      </c>
      <c r="S24" s="309"/>
      <c r="T24" s="309" t="str">
        <f ca="1">IF(AND('Mapa final'!$J$36="Media",'Mapa final'!$N$36="Menor"),CONCATENATE("R",'Mapa final'!$A$36),"")</f>
        <v/>
      </c>
      <c r="U24" s="310"/>
      <c r="V24" s="308" t="str">
        <f ca="1">IF(AND('Mapa final'!$J$24="Media",'Mapa final'!$N$24="Moderado"),CONCATENATE("R",'Mapa final'!$A$24),"")</f>
        <v/>
      </c>
      <c r="W24" s="309"/>
      <c r="X24" s="309" t="str">
        <f ca="1">IF(AND('Mapa final'!$J$30="Media",'Mapa final'!$N$30="Moderado"),CONCATENATE("R",'Mapa final'!$A$30),"")</f>
        <v/>
      </c>
      <c r="Y24" s="309"/>
      <c r="Z24" s="309" t="str">
        <f ca="1">IF(AND('Mapa final'!$J$36="Media",'Mapa final'!$N$36="Moderado"),CONCATENATE("R",'Mapa final'!$A$36),"")</f>
        <v/>
      </c>
      <c r="AA24" s="310"/>
      <c r="AB24" s="326" t="str">
        <f ca="1">IF(AND('Mapa final'!$J$24="Media",'Mapa final'!$N$24="Mayor"),CONCATENATE("R",'Mapa final'!$A$24),"")</f>
        <v/>
      </c>
      <c r="AC24" s="327"/>
      <c r="AD24" s="328" t="str">
        <f ca="1">IF(AND('Mapa final'!$J$30="Media",'Mapa final'!$N$30="Mayor"),CONCATENATE("R",'Mapa final'!$A$30),"")</f>
        <v/>
      </c>
      <c r="AE24" s="328"/>
      <c r="AF24" s="328" t="str">
        <f ca="1">IF(AND('Mapa final'!$J$36="Media",'Mapa final'!$N$36="Mayor"),CONCATENATE("R",'Mapa final'!$A$36),"")</f>
        <v/>
      </c>
      <c r="AG24" s="329"/>
      <c r="AH24" s="317" t="str">
        <f ca="1">IF(AND('Mapa final'!$J$24="Media",'Mapa final'!$N$24="Catastrófico"),CONCATENATE("R",'Mapa final'!$A$24),"")</f>
        <v/>
      </c>
      <c r="AI24" s="318"/>
      <c r="AJ24" s="318" t="str">
        <f ca="1">IF(AND('Mapa final'!$J$30="Media",'Mapa final'!$N$30="Catastrófico"),CONCATENATE("R",'Mapa final'!$A$30),"")</f>
        <v/>
      </c>
      <c r="AK24" s="318"/>
      <c r="AL24" s="318" t="str">
        <f ca="1">IF(AND('Mapa final'!$J$36="Media",'Mapa final'!$N$36="Catastrófico"),CONCATENATE("R",'Mapa final'!$A$36),"")</f>
        <v/>
      </c>
      <c r="AM24" s="319"/>
      <c r="AN24" s="68"/>
      <c r="AO24" s="371"/>
      <c r="AP24" s="372"/>
      <c r="AQ24" s="372"/>
      <c r="AR24" s="372"/>
      <c r="AS24" s="372"/>
      <c r="AT24" s="373"/>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348"/>
      <c r="C25" s="348"/>
      <c r="D25" s="349"/>
      <c r="E25" s="340"/>
      <c r="F25" s="341"/>
      <c r="G25" s="341"/>
      <c r="H25" s="341"/>
      <c r="I25" s="342"/>
      <c r="J25" s="308"/>
      <c r="K25" s="309"/>
      <c r="L25" s="309"/>
      <c r="M25" s="309"/>
      <c r="N25" s="309"/>
      <c r="O25" s="310"/>
      <c r="P25" s="308"/>
      <c r="Q25" s="309"/>
      <c r="R25" s="309"/>
      <c r="S25" s="309"/>
      <c r="T25" s="309"/>
      <c r="U25" s="310"/>
      <c r="V25" s="308"/>
      <c r="W25" s="309"/>
      <c r="X25" s="309"/>
      <c r="Y25" s="309"/>
      <c r="Z25" s="309"/>
      <c r="AA25" s="310"/>
      <c r="AB25" s="326"/>
      <c r="AC25" s="327"/>
      <c r="AD25" s="328"/>
      <c r="AE25" s="328"/>
      <c r="AF25" s="328"/>
      <c r="AG25" s="329"/>
      <c r="AH25" s="317"/>
      <c r="AI25" s="318"/>
      <c r="AJ25" s="318"/>
      <c r="AK25" s="318"/>
      <c r="AL25" s="318"/>
      <c r="AM25" s="319"/>
      <c r="AN25" s="68"/>
      <c r="AO25" s="371"/>
      <c r="AP25" s="372"/>
      <c r="AQ25" s="372"/>
      <c r="AR25" s="372"/>
      <c r="AS25" s="372"/>
      <c r="AT25" s="373"/>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348"/>
      <c r="C26" s="348"/>
      <c r="D26" s="349"/>
      <c r="E26" s="340"/>
      <c r="F26" s="341"/>
      <c r="G26" s="341"/>
      <c r="H26" s="341"/>
      <c r="I26" s="342"/>
      <c r="J26" s="308" t="str">
        <f ca="1">IF(AND('Mapa final'!$J$42="Media",'Mapa final'!$N$42="Leve"),CONCATENATE("R",'Mapa final'!$A$42),"")</f>
        <v/>
      </c>
      <c r="K26" s="309"/>
      <c r="L26" s="309" t="str">
        <f ca="1">IF(AND('Mapa final'!$J$48="Media",'Mapa final'!$N$48="Leve"),CONCATENATE("R",'Mapa final'!$A$48),"")</f>
        <v/>
      </c>
      <c r="M26" s="309"/>
      <c r="N26" s="309" t="str">
        <f ca="1">IF(AND('Mapa final'!$J$54="Media",'Mapa final'!$N$54="Leve"),CONCATENATE("R",'Mapa final'!$A$54),"")</f>
        <v/>
      </c>
      <c r="O26" s="310"/>
      <c r="P26" s="308" t="str">
        <f ca="1">IF(AND('Mapa final'!$J$42="Media",'Mapa final'!$N$42="Menor"),CONCATENATE("R",'Mapa final'!$A$42),"")</f>
        <v/>
      </c>
      <c r="Q26" s="309"/>
      <c r="R26" s="309" t="str">
        <f ca="1">IF(AND('Mapa final'!$J$48="Media",'Mapa final'!$N$48="Menor"),CONCATENATE("R",'Mapa final'!$A$48),"")</f>
        <v/>
      </c>
      <c r="S26" s="309"/>
      <c r="T26" s="309" t="str">
        <f ca="1">IF(AND('Mapa final'!$J$54="Media",'Mapa final'!$N$54="Menor"),CONCATENATE("R",'Mapa final'!$A$54),"")</f>
        <v/>
      </c>
      <c r="U26" s="310"/>
      <c r="V26" s="308" t="str">
        <f ca="1">IF(AND('Mapa final'!$J$42="Media",'Mapa final'!$N$42="Moderado"),CONCATENATE("R",'Mapa final'!$A$42),"")</f>
        <v/>
      </c>
      <c r="W26" s="309"/>
      <c r="X26" s="309" t="str">
        <f ca="1">IF(AND('Mapa final'!$J$48="Media",'Mapa final'!$N$48="Moderado"),CONCATENATE("R",'Mapa final'!$A$48),"")</f>
        <v/>
      </c>
      <c r="Y26" s="309"/>
      <c r="Z26" s="309" t="str">
        <f ca="1">IF(AND('Mapa final'!$J$54="Media",'Mapa final'!$N$54="Moderado"),CONCATENATE("R",'Mapa final'!$A$54),"")</f>
        <v/>
      </c>
      <c r="AA26" s="310"/>
      <c r="AB26" s="326" t="str">
        <f ca="1">IF(AND('Mapa final'!$J$42="Media",'Mapa final'!$N$42="Mayor"),CONCATENATE("R",'Mapa final'!$A$42),"")</f>
        <v/>
      </c>
      <c r="AC26" s="327"/>
      <c r="AD26" s="328" t="str">
        <f ca="1">IF(AND('Mapa final'!$J$48="Media",'Mapa final'!$N$48="Mayor"),CONCATENATE("R",'Mapa final'!$A$48),"")</f>
        <v/>
      </c>
      <c r="AE26" s="328"/>
      <c r="AF26" s="328" t="str">
        <f ca="1">IF(AND('Mapa final'!$J$54="Media",'Mapa final'!$N$54="Mayor"),CONCATENATE("R",'Mapa final'!$A$54),"")</f>
        <v/>
      </c>
      <c r="AG26" s="329"/>
      <c r="AH26" s="317" t="str">
        <f ca="1">IF(AND('Mapa final'!$J$42="Media",'Mapa final'!$N$42="Catastrófico"),CONCATENATE("R",'Mapa final'!$A$42),"")</f>
        <v/>
      </c>
      <c r="AI26" s="318"/>
      <c r="AJ26" s="318" t="str">
        <f ca="1">IF(AND('Mapa final'!$J$48="Media",'Mapa final'!$N$48="Catastrófico"),CONCATENATE("R",'Mapa final'!$A$48),"")</f>
        <v/>
      </c>
      <c r="AK26" s="318"/>
      <c r="AL26" s="318" t="str">
        <f ca="1">IF(AND('Mapa final'!$J$54="Media",'Mapa final'!$N$54="Catastrófico"),CONCATENATE("R",'Mapa final'!$A$54),"")</f>
        <v/>
      </c>
      <c r="AM26" s="319"/>
      <c r="AN26" s="68"/>
      <c r="AO26" s="371"/>
      <c r="AP26" s="372"/>
      <c r="AQ26" s="372"/>
      <c r="AR26" s="372"/>
      <c r="AS26" s="372"/>
      <c r="AT26" s="373"/>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348"/>
      <c r="C27" s="348"/>
      <c r="D27" s="349"/>
      <c r="E27" s="340"/>
      <c r="F27" s="341"/>
      <c r="G27" s="341"/>
      <c r="H27" s="341"/>
      <c r="I27" s="342"/>
      <c r="J27" s="308"/>
      <c r="K27" s="309"/>
      <c r="L27" s="309"/>
      <c r="M27" s="309"/>
      <c r="N27" s="309"/>
      <c r="O27" s="310"/>
      <c r="P27" s="308"/>
      <c r="Q27" s="309"/>
      <c r="R27" s="309"/>
      <c r="S27" s="309"/>
      <c r="T27" s="309"/>
      <c r="U27" s="310"/>
      <c r="V27" s="308"/>
      <c r="W27" s="309"/>
      <c r="X27" s="309"/>
      <c r="Y27" s="309"/>
      <c r="Z27" s="309"/>
      <c r="AA27" s="310"/>
      <c r="AB27" s="326"/>
      <c r="AC27" s="327"/>
      <c r="AD27" s="328"/>
      <c r="AE27" s="328"/>
      <c r="AF27" s="328"/>
      <c r="AG27" s="329"/>
      <c r="AH27" s="317"/>
      <c r="AI27" s="318"/>
      <c r="AJ27" s="318"/>
      <c r="AK27" s="318"/>
      <c r="AL27" s="318"/>
      <c r="AM27" s="319"/>
      <c r="AN27" s="68"/>
      <c r="AO27" s="371"/>
      <c r="AP27" s="372"/>
      <c r="AQ27" s="372"/>
      <c r="AR27" s="372"/>
      <c r="AS27" s="372"/>
      <c r="AT27" s="373"/>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348"/>
      <c r="C28" s="348"/>
      <c r="D28" s="349"/>
      <c r="E28" s="340"/>
      <c r="F28" s="341"/>
      <c r="G28" s="341"/>
      <c r="H28" s="341"/>
      <c r="I28" s="342"/>
      <c r="J28" s="308" t="str">
        <f ca="1">IF(AND('Mapa final'!$J$60="Media",'Mapa final'!$N$60="Leve"),CONCATENATE("R",'Mapa final'!$A$60),"")</f>
        <v/>
      </c>
      <c r="K28" s="309"/>
      <c r="L28" s="309" t="str">
        <f>IF(AND('Mapa final'!$J$66="Media",'Mapa final'!$N$66="Leve"),CONCATENATE("R",'Mapa final'!$A$66),"")</f>
        <v/>
      </c>
      <c r="M28" s="309"/>
      <c r="N28" s="309" t="str">
        <f>IF(AND('Mapa final'!$J$72="Media",'Mapa final'!$N$72="Leve"),CONCATENATE("R",'Mapa final'!$A$72),"")</f>
        <v/>
      </c>
      <c r="O28" s="310"/>
      <c r="P28" s="308" t="str">
        <f ca="1">IF(AND('Mapa final'!$J$60="Media",'Mapa final'!$N$60="Menor"),CONCATENATE("R",'Mapa final'!$A$60),"")</f>
        <v/>
      </c>
      <c r="Q28" s="309"/>
      <c r="R28" s="309" t="str">
        <f>IF(AND('Mapa final'!$J$66="Media",'Mapa final'!$N$66="Menor"),CONCATENATE("R",'Mapa final'!$A$66),"")</f>
        <v/>
      </c>
      <c r="S28" s="309"/>
      <c r="T28" s="309" t="str">
        <f>IF(AND('Mapa final'!$J$72="Media",'Mapa final'!$N$72="Menor"),CONCATENATE("R",'Mapa final'!$A$72),"")</f>
        <v/>
      </c>
      <c r="U28" s="310"/>
      <c r="V28" s="308" t="str">
        <f ca="1">IF(AND('Mapa final'!$J$60="Media",'Mapa final'!$N$60="Moderado"),CONCATENATE("R",'Mapa final'!$A$60),"")</f>
        <v/>
      </c>
      <c r="W28" s="309"/>
      <c r="X28" s="309" t="str">
        <f>IF(AND('Mapa final'!$J$66="Media",'Mapa final'!$N$66="Moderado"),CONCATENATE("R",'Mapa final'!$A$66),"")</f>
        <v/>
      </c>
      <c r="Y28" s="309"/>
      <c r="Z28" s="309" t="str">
        <f>IF(AND('Mapa final'!$J$72="Media",'Mapa final'!$N$72="Moderado"),CONCATENATE("R",'Mapa final'!$A$72),"")</f>
        <v/>
      </c>
      <c r="AA28" s="310"/>
      <c r="AB28" s="326" t="str">
        <f ca="1">IF(AND('Mapa final'!$J$60="Media",'Mapa final'!$N$60="Mayor"),CONCATENATE("R",'Mapa final'!$A$60),"")</f>
        <v/>
      </c>
      <c r="AC28" s="327"/>
      <c r="AD28" s="328" t="str">
        <f>IF(AND('Mapa final'!$J$66="Media",'Mapa final'!$N$66="Mayor"),CONCATENATE("R",'Mapa final'!$A$66),"")</f>
        <v/>
      </c>
      <c r="AE28" s="328"/>
      <c r="AF28" s="328" t="str">
        <f>IF(AND('Mapa final'!$J$72="Media",'Mapa final'!$N$72="Mayor"),CONCATENATE("R",'Mapa final'!$A$72),"")</f>
        <v/>
      </c>
      <c r="AG28" s="329"/>
      <c r="AH28" s="317" t="str">
        <f ca="1">IF(AND('Mapa final'!$J$60="Media",'Mapa final'!$N$60="Catastrófico"),CONCATENATE("R",'Mapa final'!$A$60),"")</f>
        <v/>
      </c>
      <c r="AI28" s="318"/>
      <c r="AJ28" s="318" t="str">
        <f>IF(AND('Mapa final'!$J$66="Media",'Mapa final'!$N$66="Catastrófico"),CONCATENATE("R",'Mapa final'!$A$66),"")</f>
        <v/>
      </c>
      <c r="AK28" s="318"/>
      <c r="AL28" s="318" t="str">
        <f>IF(AND('Mapa final'!$J$72="Media",'Mapa final'!$N$72="Catastrófico"),CONCATENATE("R",'Mapa final'!$A$72),"")</f>
        <v/>
      </c>
      <c r="AM28" s="319"/>
      <c r="AN28" s="68"/>
      <c r="AO28" s="371"/>
      <c r="AP28" s="372"/>
      <c r="AQ28" s="372"/>
      <c r="AR28" s="372"/>
      <c r="AS28" s="372"/>
      <c r="AT28" s="373"/>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348"/>
      <c r="C29" s="348"/>
      <c r="D29" s="349"/>
      <c r="E29" s="343"/>
      <c r="F29" s="344"/>
      <c r="G29" s="344"/>
      <c r="H29" s="344"/>
      <c r="I29" s="345"/>
      <c r="J29" s="308"/>
      <c r="K29" s="309"/>
      <c r="L29" s="309"/>
      <c r="M29" s="309"/>
      <c r="N29" s="309"/>
      <c r="O29" s="310"/>
      <c r="P29" s="311"/>
      <c r="Q29" s="312"/>
      <c r="R29" s="312"/>
      <c r="S29" s="312"/>
      <c r="T29" s="312"/>
      <c r="U29" s="313"/>
      <c r="V29" s="311"/>
      <c r="W29" s="312"/>
      <c r="X29" s="312"/>
      <c r="Y29" s="312"/>
      <c r="Z29" s="312"/>
      <c r="AA29" s="313"/>
      <c r="AB29" s="330"/>
      <c r="AC29" s="331"/>
      <c r="AD29" s="331"/>
      <c r="AE29" s="331"/>
      <c r="AF29" s="331"/>
      <c r="AG29" s="332"/>
      <c r="AH29" s="320"/>
      <c r="AI29" s="321"/>
      <c r="AJ29" s="321"/>
      <c r="AK29" s="321"/>
      <c r="AL29" s="321"/>
      <c r="AM29" s="322"/>
      <c r="AN29" s="68"/>
      <c r="AO29" s="374"/>
      <c r="AP29" s="375"/>
      <c r="AQ29" s="375"/>
      <c r="AR29" s="375"/>
      <c r="AS29" s="375"/>
      <c r="AT29" s="376"/>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348"/>
      <c r="C30" s="348"/>
      <c r="D30" s="349"/>
      <c r="E30" s="337" t="s">
        <v>109</v>
      </c>
      <c r="F30" s="338"/>
      <c r="G30" s="338"/>
      <c r="H30" s="338"/>
      <c r="I30" s="338"/>
      <c r="J30" s="305" t="str">
        <f ca="1">IF(AND('Mapa final'!$J$10="Baja",'Mapa final'!$N$10="Leve"),CONCATENATE("R",'Mapa final'!$A$10),"")</f>
        <v/>
      </c>
      <c r="K30" s="306"/>
      <c r="L30" s="306" t="str">
        <f ca="1">IF(AND('Mapa final'!$J$14="Baja",'Mapa final'!$N$14="Leve"),CONCATENATE("R",'Mapa final'!$A$14),"")</f>
        <v/>
      </c>
      <c r="M30" s="306"/>
      <c r="N30" s="306" t="str">
        <f ca="1">IF(AND('Mapa final'!$J$18="Baja",'Mapa final'!$N$18="Leve"),CONCATENATE("R",'Mapa final'!$A$18),"")</f>
        <v/>
      </c>
      <c r="O30" s="307"/>
      <c r="P30" s="315" t="str">
        <f ca="1">IF(AND('Mapa final'!$J$10="Baja",'Mapa final'!$N$10="Menor"),CONCATENATE("R",'Mapa final'!$A$10),"")</f>
        <v/>
      </c>
      <c r="Q30" s="315"/>
      <c r="R30" s="315" t="str">
        <f ca="1">IF(AND('Mapa final'!$J$14="Baja",'Mapa final'!$N$14="Menor"),CONCATENATE("R",'Mapa final'!$A$14),"")</f>
        <v/>
      </c>
      <c r="S30" s="315"/>
      <c r="T30" s="315" t="str">
        <f ca="1">IF(AND('Mapa final'!$J$18="Baja",'Mapa final'!$N$18="Menor"),CONCATENATE("R",'Mapa final'!$A$18),"")</f>
        <v/>
      </c>
      <c r="U30" s="316"/>
      <c r="V30" s="314" t="str">
        <f ca="1">IF(AND('Mapa final'!$J$10="Baja",'Mapa final'!$N$10="Moderado"),CONCATENATE("R",'Mapa final'!$A$10),"")</f>
        <v/>
      </c>
      <c r="W30" s="315"/>
      <c r="X30" s="315" t="str">
        <f ca="1">IF(AND('Mapa final'!$J$14="Baja",'Mapa final'!$N$14="Moderado"),CONCATENATE("R",'Mapa final'!$A$14),"")</f>
        <v/>
      </c>
      <c r="Y30" s="315"/>
      <c r="Z30" s="315" t="str">
        <f ca="1">IF(AND('Mapa final'!$J$18="Baja",'Mapa final'!$N$18="Moderado"),CONCATENATE("R",'Mapa final'!$A$18),"")</f>
        <v/>
      </c>
      <c r="AA30" s="316"/>
      <c r="AB30" s="333" t="str">
        <f ca="1">IF(AND('Mapa final'!$J$10="Baja",'Mapa final'!$N$10="Mayor"),CONCATENATE("R",'Mapa final'!$A$10),"")</f>
        <v/>
      </c>
      <c r="AC30" s="334"/>
      <c r="AD30" s="334" t="str">
        <f ca="1">IF(AND('Mapa final'!$J$14="Baja",'Mapa final'!$N$14="Mayor"),CONCATENATE("R",'Mapa final'!$A$14),"")</f>
        <v/>
      </c>
      <c r="AE30" s="334"/>
      <c r="AF30" s="334" t="str">
        <f ca="1">IF(AND('Mapa final'!$J$18="Baja",'Mapa final'!$N$18="Mayor"),CONCATENATE("R",'Mapa final'!$A$18),"")</f>
        <v/>
      </c>
      <c r="AG30" s="335"/>
      <c r="AH30" s="323" t="str">
        <f ca="1">IF(AND('Mapa final'!$J$10="Baja",'Mapa final'!$N$10="Catastrófico"),CONCATENATE("R",'Mapa final'!$A$10),"")</f>
        <v/>
      </c>
      <c r="AI30" s="324"/>
      <c r="AJ30" s="324" t="str">
        <f ca="1">IF(AND('Mapa final'!$J$14="Baja",'Mapa final'!$N$14="Catastrófico"),CONCATENATE("R",'Mapa final'!$A$14),"")</f>
        <v/>
      </c>
      <c r="AK30" s="324"/>
      <c r="AL30" s="324" t="str">
        <f ca="1">IF(AND('Mapa final'!$J$18="Baja",'Mapa final'!$N$18="Catastrófico"),CONCATENATE("R",'Mapa final'!$A$18),"")</f>
        <v/>
      </c>
      <c r="AM30" s="325"/>
      <c r="AN30" s="68"/>
      <c r="AO30" s="377" t="s">
        <v>81</v>
      </c>
      <c r="AP30" s="378"/>
      <c r="AQ30" s="378"/>
      <c r="AR30" s="378"/>
      <c r="AS30" s="378"/>
      <c r="AT30" s="379"/>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348"/>
      <c r="C31" s="348"/>
      <c r="D31" s="349"/>
      <c r="E31" s="340"/>
      <c r="F31" s="341"/>
      <c r="G31" s="341"/>
      <c r="H31" s="341"/>
      <c r="I31" s="346"/>
      <c r="J31" s="299"/>
      <c r="K31" s="300"/>
      <c r="L31" s="300"/>
      <c r="M31" s="300"/>
      <c r="N31" s="300"/>
      <c r="O31" s="301"/>
      <c r="P31" s="309"/>
      <c r="Q31" s="309"/>
      <c r="R31" s="309"/>
      <c r="S31" s="309"/>
      <c r="T31" s="309"/>
      <c r="U31" s="310"/>
      <c r="V31" s="308"/>
      <c r="W31" s="309"/>
      <c r="X31" s="309"/>
      <c r="Y31" s="309"/>
      <c r="Z31" s="309"/>
      <c r="AA31" s="310"/>
      <c r="AB31" s="326"/>
      <c r="AC31" s="327"/>
      <c r="AD31" s="327"/>
      <c r="AE31" s="327"/>
      <c r="AF31" s="327"/>
      <c r="AG31" s="329"/>
      <c r="AH31" s="317"/>
      <c r="AI31" s="318"/>
      <c r="AJ31" s="318"/>
      <c r="AK31" s="318"/>
      <c r="AL31" s="318"/>
      <c r="AM31" s="319"/>
      <c r="AN31" s="68"/>
      <c r="AO31" s="380"/>
      <c r="AP31" s="381"/>
      <c r="AQ31" s="381"/>
      <c r="AR31" s="381"/>
      <c r="AS31" s="381"/>
      <c r="AT31" s="382"/>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348"/>
      <c r="C32" s="348"/>
      <c r="D32" s="349"/>
      <c r="E32" s="340"/>
      <c r="F32" s="341"/>
      <c r="G32" s="341"/>
      <c r="H32" s="341"/>
      <c r="I32" s="346"/>
      <c r="J32" s="299" t="str">
        <f ca="1">IF(AND('Mapa final'!$J$24="Baja",'Mapa final'!$N$24="Leve"),CONCATENATE("R",'Mapa final'!$A$24),"")</f>
        <v/>
      </c>
      <c r="K32" s="300"/>
      <c r="L32" s="300" t="str">
        <f ca="1">IF(AND('Mapa final'!$J$30="Baja",'Mapa final'!$N$30="Leve"),CONCATENATE("R",'Mapa final'!$A$30),"")</f>
        <v/>
      </c>
      <c r="M32" s="300"/>
      <c r="N32" s="300" t="str">
        <f ca="1">IF(AND('Mapa final'!$J$36="Baja",'Mapa final'!$N$36="Leve"),CONCATENATE("R",'Mapa final'!$A$36),"")</f>
        <v/>
      </c>
      <c r="O32" s="301"/>
      <c r="P32" s="309" t="str">
        <f ca="1">IF(AND('Mapa final'!$J$24="Baja",'Mapa final'!$N$24="Menor"),CONCATENATE("R",'Mapa final'!$A$24),"")</f>
        <v/>
      </c>
      <c r="Q32" s="309"/>
      <c r="R32" s="309" t="str">
        <f ca="1">IF(AND('Mapa final'!$J$30="Baja",'Mapa final'!$N$30="Menor"),CONCATENATE("R",'Mapa final'!$A$30),"")</f>
        <v/>
      </c>
      <c r="S32" s="309"/>
      <c r="T32" s="309" t="str">
        <f ca="1">IF(AND('Mapa final'!$J$36="Baja",'Mapa final'!$N$36="Menor"),CONCATENATE("R",'Mapa final'!$A$36),"")</f>
        <v/>
      </c>
      <c r="U32" s="310"/>
      <c r="V32" s="308" t="str">
        <f ca="1">IF(AND('Mapa final'!$J$24="Baja",'Mapa final'!$N$24="Moderado"),CONCATENATE("R",'Mapa final'!$A$24),"")</f>
        <v/>
      </c>
      <c r="W32" s="309"/>
      <c r="X32" s="309" t="str">
        <f ca="1">IF(AND('Mapa final'!$J$30="Baja",'Mapa final'!$N$30="Moderado"),CONCATENATE("R",'Mapa final'!$A$30),"")</f>
        <v/>
      </c>
      <c r="Y32" s="309"/>
      <c r="Z32" s="309" t="str">
        <f ca="1">IF(AND('Mapa final'!$J$36="Baja",'Mapa final'!$N$36="Moderado"),CONCATENATE("R",'Mapa final'!$A$36),"")</f>
        <v/>
      </c>
      <c r="AA32" s="310"/>
      <c r="AB32" s="326" t="str">
        <f ca="1">IF(AND('Mapa final'!$J$24="Baja",'Mapa final'!$N$24="Mayor"),CONCATENATE("R",'Mapa final'!$A$24),"")</f>
        <v/>
      </c>
      <c r="AC32" s="327"/>
      <c r="AD32" s="328" t="str">
        <f ca="1">IF(AND('Mapa final'!$J$30="Baja",'Mapa final'!$N$30="Mayor"),CONCATENATE("R",'Mapa final'!$A$30),"")</f>
        <v/>
      </c>
      <c r="AE32" s="328"/>
      <c r="AF32" s="328" t="str">
        <f ca="1">IF(AND('Mapa final'!$J$36="Baja",'Mapa final'!$N$36="Mayor"),CONCATENATE("R",'Mapa final'!$A$36),"")</f>
        <v/>
      </c>
      <c r="AG32" s="329"/>
      <c r="AH32" s="317" t="str">
        <f ca="1">IF(AND('Mapa final'!$J$24="Baja",'Mapa final'!$N$24="Catastrófico"),CONCATENATE("R",'Mapa final'!$A$24),"")</f>
        <v/>
      </c>
      <c r="AI32" s="318"/>
      <c r="AJ32" s="318" t="str">
        <f ca="1">IF(AND('Mapa final'!$J$30="Baja",'Mapa final'!$N$30="Catastrófico"),CONCATENATE("R",'Mapa final'!$A$30),"")</f>
        <v/>
      </c>
      <c r="AK32" s="318"/>
      <c r="AL32" s="318" t="str">
        <f ca="1">IF(AND('Mapa final'!$J$36="Baja",'Mapa final'!$N$36="Catastrófico"),CONCATENATE("R",'Mapa final'!$A$36),"")</f>
        <v/>
      </c>
      <c r="AM32" s="319"/>
      <c r="AN32" s="68"/>
      <c r="AO32" s="380"/>
      <c r="AP32" s="381"/>
      <c r="AQ32" s="381"/>
      <c r="AR32" s="381"/>
      <c r="AS32" s="381"/>
      <c r="AT32" s="382"/>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348"/>
      <c r="C33" s="348"/>
      <c r="D33" s="349"/>
      <c r="E33" s="340"/>
      <c r="F33" s="341"/>
      <c r="G33" s="341"/>
      <c r="H33" s="341"/>
      <c r="I33" s="346"/>
      <c r="J33" s="299"/>
      <c r="K33" s="300"/>
      <c r="L33" s="300"/>
      <c r="M33" s="300"/>
      <c r="N33" s="300"/>
      <c r="O33" s="301"/>
      <c r="P33" s="309"/>
      <c r="Q33" s="309"/>
      <c r="R33" s="309"/>
      <c r="S33" s="309"/>
      <c r="T33" s="309"/>
      <c r="U33" s="310"/>
      <c r="V33" s="308"/>
      <c r="W33" s="309"/>
      <c r="X33" s="309"/>
      <c r="Y33" s="309"/>
      <c r="Z33" s="309"/>
      <c r="AA33" s="310"/>
      <c r="AB33" s="326"/>
      <c r="AC33" s="327"/>
      <c r="AD33" s="328"/>
      <c r="AE33" s="328"/>
      <c r="AF33" s="328"/>
      <c r="AG33" s="329"/>
      <c r="AH33" s="317"/>
      <c r="AI33" s="318"/>
      <c r="AJ33" s="318"/>
      <c r="AK33" s="318"/>
      <c r="AL33" s="318"/>
      <c r="AM33" s="319"/>
      <c r="AN33" s="68"/>
      <c r="AO33" s="380"/>
      <c r="AP33" s="381"/>
      <c r="AQ33" s="381"/>
      <c r="AR33" s="381"/>
      <c r="AS33" s="381"/>
      <c r="AT33" s="382"/>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348"/>
      <c r="C34" s="348"/>
      <c r="D34" s="349"/>
      <c r="E34" s="340"/>
      <c r="F34" s="341"/>
      <c r="G34" s="341"/>
      <c r="H34" s="341"/>
      <c r="I34" s="346"/>
      <c r="J34" s="299" t="str">
        <f ca="1">IF(AND('Mapa final'!$J$42="Baja",'Mapa final'!$N$42="Leve"),CONCATENATE("R",'Mapa final'!$A$42),"")</f>
        <v/>
      </c>
      <c r="K34" s="300"/>
      <c r="L34" s="300" t="str">
        <f ca="1">IF(AND('Mapa final'!$J$48="Baja",'Mapa final'!$N$48="Leve"),CONCATENATE("R",'Mapa final'!$A$48),"")</f>
        <v/>
      </c>
      <c r="M34" s="300"/>
      <c r="N34" s="300" t="str">
        <f ca="1">IF(AND('Mapa final'!$J$54="Baja",'Mapa final'!$N$54="Leve"),CONCATENATE("R",'Mapa final'!$A$54),"")</f>
        <v/>
      </c>
      <c r="O34" s="301"/>
      <c r="P34" s="309" t="str">
        <f ca="1">IF(AND('Mapa final'!$J$42="Baja",'Mapa final'!$N$42="Menor"),CONCATENATE("R",'Mapa final'!$A$42),"")</f>
        <v/>
      </c>
      <c r="Q34" s="309"/>
      <c r="R34" s="309" t="str">
        <f ca="1">IF(AND('Mapa final'!$J$48="Baja",'Mapa final'!$N$48="Menor"),CONCATENATE("R",'Mapa final'!$A$48),"")</f>
        <v/>
      </c>
      <c r="S34" s="309"/>
      <c r="T34" s="309" t="str">
        <f ca="1">IF(AND('Mapa final'!$J$54="Baja",'Mapa final'!$N$54="Menor"),CONCATENATE("R",'Mapa final'!$A$54),"")</f>
        <v/>
      </c>
      <c r="U34" s="310"/>
      <c r="V34" s="308" t="str">
        <f ca="1">IF(AND('Mapa final'!$J$42="Baja",'Mapa final'!$N$42="Moderado"),CONCATENATE("R",'Mapa final'!$A$42),"")</f>
        <v/>
      </c>
      <c r="W34" s="309"/>
      <c r="X34" s="309" t="str">
        <f ca="1">IF(AND('Mapa final'!$J$48="Baja",'Mapa final'!$N$48="Moderado"),CONCATENATE("R",'Mapa final'!$A$48),"")</f>
        <v/>
      </c>
      <c r="Y34" s="309"/>
      <c r="Z34" s="309" t="str">
        <f ca="1">IF(AND('Mapa final'!$J$54="Baja",'Mapa final'!$N$54="Moderado"),CONCATENATE("R",'Mapa final'!$A$54),"")</f>
        <v/>
      </c>
      <c r="AA34" s="310"/>
      <c r="AB34" s="326" t="str">
        <f ca="1">IF(AND('Mapa final'!$J$42="Baja",'Mapa final'!$N$42="Mayor"),CONCATENATE("R",'Mapa final'!$A$42),"")</f>
        <v/>
      </c>
      <c r="AC34" s="327"/>
      <c r="AD34" s="328" t="str">
        <f ca="1">IF(AND('Mapa final'!$J$48="Baja",'Mapa final'!$N$48="Mayor"),CONCATENATE("R",'Mapa final'!$A$48),"")</f>
        <v/>
      </c>
      <c r="AE34" s="328"/>
      <c r="AF34" s="328" t="str">
        <f ca="1">IF(AND('Mapa final'!$J$54="Baja",'Mapa final'!$N$54="Mayor"),CONCATENATE("R",'Mapa final'!$A$54),"")</f>
        <v/>
      </c>
      <c r="AG34" s="329"/>
      <c r="AH34" s="317" t="str">
        <f ca="1">IF(AND('Mapa final'!$J$42="Baja",'Mapa final'!$N$42="Catastrófico"),CONCATENATE("R",'Mapa final'!$A$42),"")</f>
        <v/>
      </c>
      <c r="AI34" s="318"/>
      <c r="AJ34" s="318" t="str">
        <f ca="1">IF(AND('Mapa final'!$J$48="Baja",'Mapa final'!$N$48="Catastrófico"),CONCATENATE("R",'Mapa final'!$A$48),"")</f>
        <v/>
      </c>
      <c r="AK34" s="318"/>
      <c r="AL34" s="318" t="str">
        <f ca="1">IF(AND('Mapa final'!$J$54="Baja",'Mapa final'!$N$54="Catastrófico"),CONCATENATE("R",'Mapa final'!$A$54),"")</f>
        <v/>
      </c>
      <c r="AM34" s="319"/>
      <c r="AN34" s="68"/>
      <c r="AO34" s="380"/>
      <c r="AP34" s="381"/>
      <c r="AQ34" s="381"/>
      <c r="AR34" s="381"/>
      <c r="AS34" s="381"/>
      <c r="AT34" s="382"/>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348"/>
      <c r="C35" s="348"/>
      <c r="D35" s="349"/>
      <c r="E35" s="340"/>
      <c r="F35" s="341"/>
      <c r="G35" s="341"/>
      <c r="H35" s="341"/>
      <c r="I35" s="346"/>
      <c r="J35" s="299"/>
      <c r="K35" s="300"/>
      <c r="L35" s="300"/>
      <c r="M35" s="300"/>
      <c r="N35" s="300"/>
      <c r="O35" s="301"/>
      <c r="P35" s="309"/>
      <c r="Q35" s="309"/>
      <c r="R35" s="309"/>
      <c r="S35" s="309"/>
      <c r="T35" s="309"/>
      <c r="U35" s="310"/>
      <c r="V35" s="308"/>
      <c r="W35" s="309"/>
      <c r="X35" s="309"/>
      <c r="Y35" s="309"/>
      <c r="Z35" s="309"/>
      <c r="AA35" s="310"/>
      <c r="AB35" s="326"/>
      <c r="AC35" s="327"/>
      <c r="AD35" s="328"/>
      <c r="AE35" s="328"/>
      <c r="AF35" s="328"/>
      <c r="AG35" s="329"/>
      <c r="AH35" s="317"/>
      <c r="AI35" s="318"/>
      <c r="AJ35" s="318"/>
      <c r="AK35" s="318"/>
      <c r="AL35" s="318"/>
      <c r="AM35" s="319"/>
      <c r="AN35" s="68"/>
      <c r="AO35" s="380"/>
      <c r="AP35" s="381"/>
      <c r="AQ35" s="381"/>
      <c r="AR35" s="381"/>
      <c r="AS35" s="381"/>
      <c r="AT35" s="382"/>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348"/>
      <c r="C36" s="348"/>
      <c r="D36" s="349"/>
      <c r="E36" s="340"/>
      <c r="F36" s="341"/>
      <c r="G36" s="341"/>
      <c r="H36" s="341"/>
      <c r="I36" s="346"/>
      <c r="J36" s="299" t="str">
        <f ca="1">IF(AND('Mapa final'!$J$60="Baja",'Mapa final'!$N$60="Leve"),CONCATENATE("R",'Mapa final'!$A$60),"")</f>
        <v/>
      </c>
      <c r="K36" s="300"/>
      <c r="L36" s="300" t="str">
        <f>IF(AND('Mapa final'!$J$66="Baja",'Mapa final'!$N$66="Leve"),CONCATENATE("R",'Mapa final'!$A$66),"")</f>
        <v/>
      </c>
      <c r="M36" s="300"/>
      <c r="N36" s="300" t="str">
        <f>IF(AND('Mapa final'!$J$72="Baja",'Mapa final'!$N$72="Leve"),CONCATENATE("R",'Mapa final'!$A$72),"")</f>
        <v/>
      </c>
      <c r="O36" s="301"/>
      <c r="P36" s="309" t="str">
        <f ca="1">IF(AND('Mapa final'!$J$60="Baja",'Mapa final'!$N$60="Menor"),CONCATENATE("R",'Mapa final'!$A$60),"")</f>
        <v/>
      </c>
      <c r="Q36" s="309"/>
      <c r="R36" s="309" t="str">
        <f>IF(AND('Mapa final'!$J$66="Baja",'Mapa final'!$N$66="Menor"),CONCATENATE("R",'Mapa final'!$A$66),"")</f>
        <v/>
      </c>
      <c r="S36" s="309"/>
      <c r="T36" s="309" t="str">
        <f>IF(AND('Mapa final'!$J$72="Baja",'Mapa final'!$N$72="Menor"),CONCATENATE("R",'Mapa final'!$A$72),"")</f>
        <v/>
      </c>
      <c r="U36" s="310"/>
      <c r="V36" s="308" t="str">
        <f ca="1">IF(AND('Mapa final'!$J$60="Baja",'Mapa final'!$N$60="Moderado"),CONCATENATE("R",'Mapa final'!$A$60),"")</f>
        <v/>
      </c>
      <c r="W36" s="309"/>
      <c r="X36" s="309" t="str">
        <f>IF(AND('Mapa final'!$J$66="Baja",'Mapa final'!$N$66="Moderado"),CONCATENATE("R",'Mapa final'!$A$66),"")</f>
        <v/>
      </c>
      <c r="Y36" s="309"/>
      <c r="Z36" s="309" t="str">
        <f>IF(AND('Mapa final'!$J$72="Baja",'Mapa final'!$N$72="Moderado"),CONCATENATE("R",'Mapa final'!$A$72),"")</f>
        <v/>
      </c>
      <c r="AA36" s="310"/>
      <c r="AB36" s="326" t="str">
        <f ca="1">IF(AND('Mapa final'!$J$60="Baja",'Mapa final'!$N$60="Mayor"),CONCATENATE("R",'Mapa final'!$A$60),"")</f>
        <v/>
      </c>
      <c r="AC36" s="327"/>
      <c r="AD36" s="328" t="str">
        <f>IF(AND('Mapa final'!$J$66="Baja",'Mapa final'!$N$66="Mayor"),CONCATENATE("R",'Mapa final'!$A$66),"")</f>
        <v/>
      </c>
      <c r="AE36" s="328"/>
      <c r="AF36" s="328" t="str">
        <f>IF(AND('Mapa final'!$J$72="Baja",'Mapa final'!$N$72="Mayor"),CONCATENATE("R",'Mapa final'!$A$72),"")</f>
        <v/>
      </c>
      <c r="AG36" s="329"/>
      <c r="AH36" s="317" t="str">
        <f ca="1">IF(AND('Mapa final'!$J$60="Baja",'Mapa final'!$N$60="Catastrófico"),CONCATENATE("R",'Mapa final'!$A$60),"")</f>
        <v/>
      </c>
      <c r="AI36" s="318"/>
      <c r="AJ36" s="318" t="str">
        <f>IF(AND('Mapa final'!$J$66="Baja",'Mapa final'!$N$66="Catastrófico"),CONCATENATE("R",'Mapa final'!$A$66),"")</f>
        <v/>
      </c>
      <c r="AK36" s="318"/>
      <c r="AL36" s="318" t="str">
        <f>IF(AND('Mapa final'!$J$72="Baja",'Mapa final'!$N$72="Catastrófico"),CONCATENATE("R",'Mapa final'!$A$72),"")</f>
        <v/>
      </c>
      <c r="AM36" s="319"/>
      <c r="AN36" s="68"/>
      <c r="AO36" s="380"/>
      <c r="AP36" s="381"/>
      <c r="AQ36" s="381"/>
      <c r="AR36" s="381"/>
      <c r="AS36" s="381"/>
      <c r="AT36" s="382"/>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348"/>
      <c r="C37" s="348"/>
      <c r="D37" s="349"/>
      <c r="E37" s="343"/>
      <c r="F37" s="344"/>
      <c r="G37" s="344"/>
      <c r="H37" s="344"/>
      <c r="I37" s="344"/>
      <c r="J37" s="302"/>
      <c r="K37" s="303"/>
      <c r="L37" s="303"/>
      <c r="M37" s="303"/>
      <c r="N37" s="303"/>
      <c r="O37" s="304"/>
      <c r="P37" s="312"/>
      <c r="Q37" s="312"/>
      <c r="R37" s="312"/>
      <c r="S37" s="312"/>
      <c r="T37" s="312"/>
      <c r="U37" s="313"/>
      <c r="V37" s="311"/>
      <c r="W37" s="312"/>
      <c r="X37" s="312"/>
      <c r="Y37" s="312"/>
      <c r="Z37" s="312"/>
      <c r="AA37" s="313"/>
      <c r="AB37" s="330"/>
      <c r="AC37" s="331"/>
      <c r="AD37" s="331"/>
      <c r="AE37" s="331"/>
      <c r="AF37" s="331"/>
      <c r="AG37" s="332"/>
      <c r="AH37" s="320"/>
      <c r="AI37" s="321"/>
      <c r="AJ37" s="321"/>
      <c r="AK37" s="321"/>
      <c r="AL37" s="321"/>
      <c r="AM37" s="322"/>
      <c r="AN37" s="68"/>
      <c r="AO37" s="383"/>
      <c r="AP37" s="384"/>
      <c r="AQ37" s="384"/>
      <c r="AR37" s="384"/>
      <c r="AS37" s="384"/>
      <c r="AT37" s="385"/>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348"/>
      <c r="C38" s="348"/>
      <c r="D38" s="349"/>
      <c r="E38" s="337" t="s">
        <v>108</v>
      </c>
      <c r="F38" s="338"/>
      <c r="G38" s="338"/>
      <c r="H38" s="338"/>
      <c r="I38" s="339"/>
      <c r="J38" s="305" t="str">
        <f ca="1">IF(AND('Mapa final'!$J$10="Muy Baja",'Mapa final'!$N$10="Leve"),CONCATENATE("R",'Mapa final'!$A$10),"")</f>
        <v/>
      </c>
      <c r="K38" s="306"/>
      <c r="L38" s="306" t="str">
        <f ca="1">IF(AND('Mapa final'!$J$14="Muy Baja",'Mapa final'!$N$14="Leve"),CONCATENATE("R",'Mapa final'!$A$14),"")</f>
        <v/>
      </c>
      <c r="M38" s="306"/>
      <c r="N38" s="306" t="str">
        <f ca="1">IF(AND('Mapa final'!$J$18="Muy Baja",'Mapa final'!$N$18="Leve"),CONCATENATE("R",'Mapa final'!$A$18),"")</f>
        <v/>
      </c>
      <c r="O38" s="307"/>
      <c r="P38" s="305" t="str">
        <f ca="1">IF(AND('Mapa final'!$J$10="Muy Baja",'Mapa final'!$N$10="Menor"),CONCATENATE("R",'Mapa final'!$A$10),"")</f>
        <v/>
      </c>
      <c r="Q38" s="306"/>
      <c r="R38" s="306" t="str">
        <f ca="1">IF(AND('Mapa final'!$J$14="Muy Baja",'Mapa final'!$N$14="Menor"),CONCATENATE("R",'Mapa final'!$A$14),"")</f>
        <v/>
      </c>
      <c r="S38" s="306"/>
      <c r="T38" s="306" t="str">
        <f ca="1">IF(AND('Mapa final'!$J$18="Muy Baja",'Mapa final'!$N$18="Menor"),CONCATENATE("R",'Mapa final'!$A$18),"")</f>
        <v/>
      </c>
      <c r="U38" s="307"/>
      <c r="V38" s="314" t="str">
        <f ca="1">IF(AND('Mapa final'!$J$10="Muy Baja",'Mapa final'!$N$10="Moderado"),CONCATENATE("R",'Mapa final'!$A$10),"")</f>
        <v/>
      </c>
      <c r="W38" s="315"/>
      <c r="X38" s="315" t="str">
        <f ca="1">IF(AND('Mapa final'!$J$14="Muy Baja",'Mapa final'!$N$14="Moderado"),CONCATENATE("R",'Mapa final'!$A$14),"")</f>
        <v/>
      </c>
      <c r="Y38" s="315"/>
      <c r="Z38" s="315" t="str">
        <f ca="1">IF(AND('Mapa final'!$J$18="Muy Baja",'Mapa final'!$N$18="Moderado"),CONCATENATE("R",'Mapa final'!$A$18),"")</f>
        <v/>
      </c>
      <c r="AA38" s="316"/>
      <c r="AB38" s="333" t="str">
        <f ca="1">IF(AND('Mapa final'!$J$10="Muy Baja",'Mapa final'!$N$10="Mayor"),CONCATENATE("R",'Mapa final'!$A$10),"")</f>
        <v/>
      </c>
      <c r="AC38" s="334"/>
      <c r="AD38" s="334" t="str">
        <f ca="1">IF(AND('Mapa final'!$J$14="Muy Baja",'Mapa final'!$N$14="Mayor"),CONCATENATE("R",'Mapa final'!$A$14),"")</f>
        <v/>
      </c>
      <c r="AE38" s="334"/>
      <c r="AF38" s="334" t="str">
        <f ca="1">IF(AND('Mapa final'!$J$18="Muy Baja",'Mapa final'!$N$18="Mayor"),CONCATENATE("R",'Mapa final'!$A$18),"")</f>
        <v/>
      </c>
      <c r="AG38" s="335"/>
      <c r="AH38" s="323" t="str">
        <f ca="1">IF(AND('Mapa final'!$J$10="Muy Baja",'Mapa final'!$N$10="Catastrófico"),CONCATENATE("R",'Mapa final'!$A$10),"")</f>
        <v/>
      </c>
      <c r="AI38" s="324"/>
      <c r="AJ38" s="324" t="str">
        <f ca="1">IF(AND('Mapa final'!$J$14="Muy Baja",'Mapa final'!$N$14="Catastrófico"),CONCATENATE("R",'Mapa final'!$A$14),"")</f>
        <v/>
      </c>
      <c r="AK38" s="324"/>
      <c r="AL38" s="324" t="str">
        <f ca="1">IF(AND('Mapa final'!$J$18="Muy Baja",'Mapa final'!$N$18="Catastrófico"),CONCATENATE("R",'Mapa final'!$A$18),"")</f>
        <v/>
      </c>
      <c r="AM38" s="325"/>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348"/>
      <c r="C39" s="348"/>
      <c r="D39" s="349"/>
      <c r="E39" s="340"/>
      <c r="F39" s="341"/>
      <c r="G39" s="341"/>
      <c r="H39" s="341"/>
      <c r="I39" s="342"/>
      <c r="J39" s="299"/>
      <c r="K39" s="300"/>
      <c r="L39" s="300"/>
      <c r="M39" s="300"/>
      <c r="N39" s="300"/>
      <c r="O39" s="301"/>
      <c r="P39" s="299"/>
      <c r="Q39" s="300"/>
      <c r="R39" s="300"/>
      <c r="S39" s="300"/>
      <c r="T39" s="300"/>
      <c r="U39" s="301"/>
      <c r="V39" s="308"/>
      <c r="W39" s="309"/>
      <c r="X39" s="309"/>
      <c r="Y39" s="309"/>
      <c r="Z39" s="309"/>
      <c r="AA39" s="310"/>
      <c r="AB39" s="326"/>
      <c r="AC39" s="327"/>
      <c r="AD39" s="327"/>
      <c r="AE39" s="327"/>
      <c r="AF39" s="327"/>
      <c r="AG39" s="329"/>
      <c r="AH39" s="317"/>
      <c r="AI39" s="318"/>
      <c r="AJ39" s="318"/>
      <c r="AK39" s="318"/>
      <c r="AL39" s="318"/>
      <c r="AM39" s="319"/>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348"/>
      <c r="C40" s="348"/>
      <c r="D40" s="349"/>
      <c r="E40" s="340"/>
      <c r="F40" s="341"/>
      <c r="G40" s="341"/>
      <c r="H40" s="341"/>
      <c r="I40" s="342"/>
      <c r="J40" s="299" t="str">
        <f ca="1">IF(AND('Mapa final'!$J$24="Muy Baja",'Mapa final'!$N$24="Leve"),CONCATENATE("R",'Mapa final'!$A$24),"")</f>
        <v/>
      </c>
      <c r="K40" s="300"/>
      <c r="L40" s="300" t="str">
        <f ca="1">IF(AND('Mapa final'!$J$30="Muy Baja",'Mapa final'!$N$30="Leve"),CONCATENATE("R",'Mapa final'!$A$30),"")</f>
        <v/>
      </c>
      <c r="M40" s="300"/>
      <c r="N40" s="300" t="str">
        <f ca="1">IF(AND('Mapa final'!$J$36="Muy Baja",'Mapa final'!$N$36="Leve"),CONCATENATE("R",'Mapa final'!$A$36),"")</f>
        <v/>
      </c>
      <c r="O40" s="301"/>
      <c r="P40" s="299" t="str">
        <f ca="1">IF(AND('Mapa final'!$J$24="Muy Baja",'Mapa final'!$N$24="Menor"),CONCATENATE("R",'Mapa final'!$A$24),"")</f>
        <v/>
      </c>
      <c r="Q40" s="300"/>
      <c r="R40" s="300" t="str">
        <f ca="1">IF(AND('Mapa final'!$J$30="Muy Baja",'Mapa final'!$N$30="Menor"),CONCATENATE("R",'Mapa final'!$A$30),"")</f>
        <v/>
      </c>
      <c r="S40" s="300"/>
      <c r="T40" s="300" t="str">
        <f ca="1">IF(AND('Mapa final'!$J$36="Muy Baja",'Mapa final'!$N$36="Menor"),CONCATENATE("R",'Mapa final'!$A$36),"")</f>
        <v/>
      </c>
      <c r="U40" s="301"/>
      <c r="V40" s="308" t="str">
        <f ca="1">IF(AND('Mapa final'!$J$24="Muy Baja",'Mapa final'!$N$24="Moderado"),CONCATENATE("R",'Mapa final'!$A$24),"")</f>
        <v/>
      </c>
      <c r="W40" s="309"/>
      <c r="X40" s="309" t="str">
        <f ca="1">IF(AND('Mapa final'!$J$30="Muy Baja",'Mapa final'!$N$30="Moderado"),CONCATENATE("R",'Mapa final'!$A$30),"")</f>
        <v/>
      </c>
      <c r="Y40" s="309"/>
      <c r="Z40" s="309" t="str">
        <f ca="1">IF(AND('Mapa final'!$J$36="Muy Baja",'Mapa final'!$N$36="Moderado"),CONCATENATE("R",'Mapa final'!$A$36),"")</f>
        <v/>
      </c>
      <c r="AA40" s="310"/>
      <c r="AB40" s="326" t="str">
        <f ca="1">IF(AND('Mapa final'!$J$24="Muy Baja",'Mapa final'!$N$24="Mayor"),CONCATENATE("R",'Mapa final'!$A$24),"")</f>
        <v/>
      </c>
      <c r="AC40" s="327"/>
      <c r="AD40" s="328" t="str">
        <f ca="1">IF(AND('Mapa final'!$J$30="Muy Baja",'Mapa final'!$N$30="Mayor"),CONCATENATE("R",'Mapa final'!$A$30),"")</f>
        <v/>
      </c>
      <c r="AE40" s="328"/>
      <c r="AF40" s="328" t="str">
        <f ca="1">IF(AND('Mapa final'!$J$36="Muy Baja",'Mapa final'!$N$36="Mayor"),CONCATENATE("R",'Mapa final'!$A$36),"")</f>
        <v/>
      </c>
      <c r="AG40" s="329"/>
      <c r="AH40" s="317" t="str">
        <f ca="1">IF(AND('Mapa final'!$J$24="Muy Baja",'Mapa final'!$N$24="Catastrófico"),CONCATENATE("R",'Mapa final'!$A$24),"")</f>
        <v/>
      </c>
      <c r="AI40" s="318"/>
      <c r="AJ40" s="318" t="str">
        <f ca="1">IF(AND('Mapa final'!$J$30="Muy Baja",'Mapa final'!$N$30="Catastrófico"),CONCATENATE("R",'Mapa final'!$A$30),"")</f>
        <v/>
      </c>
      <c r="AK40" s="318"/>
      <c r="AL40" s="318" t="str">
        <f ca="1">IF(AND('Mapa final'!$J$36="Muy Baja",'Mapa final'!$N$36="Catastrófico"),CONCATENATE("R",'Mapa final'!$A$36),"")</f>
        <v/>
      </c>
      <c r="AM40" s="319"/>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348"/>
      <c r="C41" s="348"/>
      <c r="D41" s="349"/>
      <c r="E41" s="340"/>
      <c r="F41" s="341"/>
      <c r="G41" s="341"/>
      <c r="H41" s="341"/>
      <c r="I41" s="342"/>
      <c r="J41" s="299"/>
      <c r="K41" s="300"/>
      <c r="L41" s="300"/>
      <c r="M41" s="300"/>
      <c r="N41" s="300"/>
      <c r="O41" s="301"/>
      <c r="P41" s="299"/>
      <c r="Q41" s="300"/>
      <c r="R41" s="300"/>
      <c r="S41" s="300"/>
      <c r="T41" s="300"/>
      <c r="U41" s="301"/>
      <c r="V41" s="308"/>
      <c r="W41" s="309"/>
      <c r="X41" s="309"/>
      <c r="Y41" s="309"/>
      <c r="Z41" s="309"/>
      <c r="AA41" s="310"/>
      <c r="AB41" s="326"/>
      <c r="AC41" s="327"/>
      <c r="AD41" s="328"/>
      <c r="AE41" s="328"/>
      <c r="AF41" s="328"/>
      <c r="AG41" s="329"/>
      <c r="AH41" s="317"/>
      <c r="AI41" s="318"/>
      <c r="AJ41" s="318"/>
      <c r="AK41" s="318"/>
      <c r="AL41" s="318"/>
      <c r="AM41" s="319"/>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348"/>
      <c r="C42" s="348"/>
      <c r="D42" s="349"/>
      <c r="E42" s="340"/>
      <c r="F42" s="341"/>
      <c r="G42" s="341"/>
      <c r="H42" s="341"/>
      <c r="I42" s="342"/>
      <c r="J42" s="299" t="str">
        <f ca="1">IF(AND('Mapa final'!$J$42="Muy Baja",'Mapa final'!$N$42="Leve"),CONCATENATE("R",'Mapa final'!$A$42),"")</f>
        <v/>
      </c>
      <c r="K42" s="300"/>
      <c r="L42" s="300" t="str">
        <f ca="1">IF(AND('Mapa final'!$J$48="Muy Baja",'Mapa final'!$N$48="Leve"),CONCATENATE("R",'Mapa final'!$A$48),"")</f>
        <v/>
      </c>
      <c r="M42" s="300"/>
      <c r="N42" s="300" t="str">
        <f ca="1">IF(AND('Mapa final'!$J$54="Muy Baja",'Mapa final'!$N$54="Leve"),CONCATENATE("R",'Mapa final'!$A$54),"")</f>
        <v/>
      </c>
      <c r="O42" s="301"/>
      <c r="P42" s="299" t="str">
        <f ca="1">IF(AND('Mapa final'!$J$42="Muy Baja",'Mapa final'!$N$42="Menor"),CONCATENATE("R",'Mapa final'!$A$42),"")</f>
        <v/>
      </c>
      <c r="Q42" s="300"/>
      <c r="R42" s="300" t="str">
        <f ca="1">IF(AND('Mapa final'!$J$48="Muy Baja",'Mapa final'!$N$48="Menor"),CONCATENATE("R",'Mapa final'!$A$48),"")</f>
        <v/>
      </c>
      <c r="S42" s="300"/>
      <c r="T42" s="300" t="str">
        <f ca="1">IF(AND('Mapa final'!$J$54="Muy Baja",'Mapa final'!$N$54="Menor"),CONCATENATE("R",'Mapa final'!$A$54),"")</f>
        <v/>
      </c>
      <c r="U42" s="301"/>
      <c r="V42" s="308" t="str">
        <f ca="1">IF(AND('Mapa final'!$J$42="Muy Baja",'Mapa final'!$N$42="Moderado"),CONCATENATE("R",'Mapa final'!$A$42),"")</f>
        <v/>
      </c>
      <c r="W42" s="309"/>
      <c r="X42" s="309" t="str">
        <f ca="1">IF(AND('Mapa final'!$J$48="Muy Baja",'Mapa final'!$N$48="Moderado"),CONCATENATE("R",'Mapa final'!$A$48),"")</f>
        <v/>
      </c>
      <c r="Y42" s="309"/>
      <c r="Z42" s="309" t="str">
        <f ca="1">IF(AND('Mapa final'!$J$54="Muy Baja",'Mapa final'!$N$54="Moderado"),CONCATENATE("R",'Mapa final'!$A$54),"")</f>
        <v/>
      </c>
      <c r="AA42" s="310"/>
      <c r="AB42" s="326" t="str">
        <f ca="1">IF(AND('Mapa final'!$J$42="Muy Baja",'Mapa final'!$N$42="Mayor"),CONCATENATE("R",'Mapa final'!$A$42),"")</f>
        <v/>
      </c>
      <c r="AC42" s="327"/>
      <c r="AD42" s="328" t="str">
        <f ca="1">IF(AND('Mapa final'!$J$48="Muy Baja",'Mapa final'!$N$48="Mayor"),CONCATENATE("R",'Mapa final'!$A$48),"")</f>
        <v/>
      </c>
      <c r="AE42" s="328"/>
      <c r="AF42" s="328" t="str">
        <f ca="1">IF(AND('Mapa final'!$J$54="Muy Baja",'Mapa final'!$N$54="Mayor"),CONCATENATE("R",'Mapa final'!$A$54),"")</f>
        <v/>
      </c>
      <c r="AG42" s="329"/>
      <c r="AH42" s="317" t="str">
        <f ca="1">IF(AND('Mapa final'!$J$42="Muy Baja",'Mapa final'!$N$42="Catastrófico"),CONCATENATE("R",'Mapa final'!$A$42),"")</f>
        <v/>
      </c>
      <c r="AI42" s="318"/>
      <c r="AJ42" s="318" t="str">
        <f ca="1">IF(AND('Mapa final'!$J$48="Muy Baja",'Mapa final'!$N$48="Catastrófico"),CONCATENATE("R",'Mapa final'!$A$48),"")</f>
        <v/>
      </c>
      <c r="AK42" s="318"/>
      <c r="AL42" s="318" t="str">
        <f ca="1">IF(AND('Mapa final'!$J$54="Muy Baja",'Mapa final'!$N$54="Catastrófico"),CONCATENATE("R",'Mapa final'!$A$54),"")</f>
        <v/>
      </c>
      <c r="AM42" s="319"/>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348"/>
      <c r="C43" s="348"/>
      <c r="D43" s="349"/>
      <c r="E43" s="340"/>
      <c r="F43" s="341"/>
      <c r="G43" s="341"/>
      <c r="H43" s="341"/>
      <c r="I43" s="342"/>
      <c r="J43" s="299"/>
      <c r="K43" s="300"/>
      <c r="L43" s="300"/>
      <c r="M43" s="300"/>
      <c r="N43" s="300"/>
      <c r="O43" s="301"/>
      <c r="P43" s="299"/>
      <c r="Q43" s="300"/>
      <c r="R43" s="300"/>
      <c r="S43" s="300"/>
      <c r="T43" s="300"/>
      <c r="U43" s="301"/>
      <c r="V43" s="308"/>
      <c r="W43" s="309"/>
      <c r="X43" s="309"/>
      <c r="Y43" s="309"/>
      <c r="Z43" s="309"/>
      <c r="AA43" s="310"/>
      <c r="AB43" s="326"/>
      <c r="AC43" s="327"/>
      <c r="AD43" s="328"/>
      <c r="AE43" s="328"/>
      <c r="AF43" s="328"/>
      <c r="AG43" s="329"/>
      <c r="AH43" s="317"/>
      <c r="AI43" s="318"/>
      <c r="AJ43" s="318"/>
      <c r="AK43" s="318"/>
      <c r="AL43" s="318"/>
      <c r="AM43" s="319"/>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348"/>
      <c r="C44" s="348"/>
      <c r="D44" s="349"/>
      <c r="E44" s="340"/>
      <c r="F44" s="341"/>
      <c r="G44" s="341"/>
      <c r="H44" s="341"/>
      <c r="I44" s="342"/>
      <c r="J44" s="299" t="str">
        <f ca="1">IF(AND('Mapa final'!$J$60="Muy Baja",'Mapa final'!$N$60="Leve"),CONCATENATE("R",'Mapa final'!$A$60),"")</f>
        <v/>
      </c>
      <c r="K44" s="300"/>
      <c r="L44" s="300" t="str">
        <f>IF(AND('Mapa final'!$J$66="Muy Baja",'Mapa final'!$N$66="Leve"),CONCATENATE("R",'Mapa final'!$A$66),"")</f>
        <v/>
      </c>
      <c r="M44" s="300"/>
      <c r="N44" s="300" t="str">
        <f>IF(AND('Mapa final'!$J$72="Muy Baja",'Mapa final'!$N$72="Leve"),CONCATENATE("R",'Mapa final'!$A$72),"")</f>
        <v/>
      </c>
      <c r="O44" s="301"/>
      <c r="P44" s="299" t="str">
        <f ca="1">IF(AND('Mapa final'!$J$60="Muy Baja",'Mapa final'!$N$60="Menor"),CONCATENATE("R",'Mapa final'!$A$60),"")</f>
        <v/>
      </c>
      <c r="Q44" s="300"/>
      <c r="R44" s="300" t="str">
        <f>IF(AND('Mapa final'!$J$66="Muy Baja",'Mapa final'!$N$66="Menor"),CONCATENATE("R",'Mapa final'!$A$66),"")</f>
        <v/>
      </c>
      <c r="S44" s="300"/>
      <c r="T44" s="300" t="str">
        <f>IF(AND('Mapa final'!$J$72="Muy Baja",'Mapa final'!$N$72="Menor"),CONCATENATE("R",'Mapa final'!$A$72),"")</f>
        <v/>
      </c>
      <c r="U44" s="301"/>
      <c r="V44" s="308" t="str">
        <f ca="1">IF(AND('Mapa final'!$J$60="Muy Baja",'Mapa final'!$N$60="Moderado"),CONCATENATE("R",'Mapa final'!$A$60),"")</f>
        <v/>
      </c>
      <c r="W44" s="309"/>
      <c r="X44" s="309" t="str">
        <f>IF(AND('Mapa final'!$J$66="Muy Baja",'Mapa final'!$N$66="Moderado"),CONCATENATE("R",'Mapa final'!$A$66),"")</f>
        <v/>
      </c>
      <c r="Y44" s="309"/>
      <c r="Z44" s="309" t="str">
        <f>IF(AND('Mapa final'!$J$72="Muy Baja",'Mapa final'!$N$72="Moderado"),CONCATENATE("R",'Mapa final'!$A$72),"")</f>
        <v/>
      </c>
      <c r="AA44" s="310"/>
      <c r="AB44" s="326" t="str">
        <f ca="1">IF(AND('Mapa final'!$J$60="Muy Baja",'Mapa final'!$N$60="Mayor"),CONCATENATE("R",'Mapa final'!$A$60),"")</f>
        <v/>
      </c>
      <c r="AC44" s="327"/>
      <c r="AD44" s="328" t="str">
        <f>IF(AND('Mapa final'!$J$66="Muy Baja",'Mapa final'!$N$66="Mayor"),CONCATENATE("R",'Mapa final'!$A$66),"")</f>
        <v/>
      </c>
      <c r="AE44" s="328"/>
      <c r="AF44" s="328" t="str">
        <f>IF(AND('Mapa final'!$J$72="Muy Baja",'Mapa final'!$N$72="Mayor"),CONCATENATE("R",'Mapa final'!$A$72),"")</f>
        <v/>
      </c>
      <c r="AG44" s="329"/>
      <c r="AH44" s="317" t="str">
        <f ca="1">IF(AND('Mapa final'!$J$60="Muy Baja",'Mapa final'!$N$60="Catastrófico"),CONCATENATE("R",'Mapa final'!$A$60),"")</f>
        <v/>
      </c>
      <c r="AI44" s="318"/>
      <c r="AJ44" s="318" t="str">
        <f>IF(AND('Mapa final'!$J$66="Muy Baja",'Mapa final'!$N$66="Catastrófico"),CONCATENATE("R",'Mapa final'!$A$66),"")</f>
        <v/>
      </c>
      <c r="AK44" s="318"/>
      <c r="AL44" s="318" t="str">
        <f>IF(AND('Mapa final'!$J$72="Muy Baja",'Mapa final'!$N$72="Catastrófico"),CONCATENATE("R",'Mapa final'!$A$72),"")</f>
        <v/>
      </c>
      <c r="AM44" s="319"/>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348"/>
      <c r="C45" s="348"/>
      <c r="D45" s="349"/>
      <c r="E45" s="343"/>
      <c r="F45" s="344"/>
      <c r="G45" s="344"/>
      <c r="H45" s="344"/>
      <c r="I45" s="345"/>
      <c r="J45" s="302"/>
      <c r="K45" s="303"/>
      <c r="L45" s="303"/>
      <c r="M45" s="303"/>
      <c r="N45" s="303"/>
      <c r="O45" s="304"/>
      <c r="P45" s="302"/>
      <c r="Q45" s="303"/>
      <c r="R45" s="303"/>
      <c r="S45" s="303"/>
      <c r="T45" s="303"/>
      <c r="U45" s="304"/>
      <c r="V45" s="311"/>
      <c r="W45" s="312"/>
      <c r="X45" s="312"/>
      <c r="Y45" s="312"/>
      <c r="Z45" s="312"/>
      <c r="AA45" s="313"/>
      <c r="AB45" s="330"/>
      <c r="AC45" s="331"/>
      <c r="AD45" s="331"/>
      <c r="AE45" s="331"/>
      <c r="AF45" s="331"/>
      <c r="AG45" s="332"/>
      <c r="AH45" s="320"/>
      <c r="AI45" s="321"/>
      <c r="AJ45" s="321"/>
      <c r="AK45" s="321"/>
      <c r="AL45" s="321"/>
      <c r="AM45" s="322"/>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37" t="s">
        <v>107</v>
      </c>
      <c r="K46" s="338"/>
      <c r="L46" s="338"/>
      <c r="M46" s="338"/>
      <c r="N46" s="338"/>
      <c r="O46" s="339"/>
      <c r="P46" s="337" t="s">
        <v>106</v>
      </c>
      <c r="Q46" s="338"/>
      <c r="R46" s="338"/>
      <c r="S46" s="338"/>
      <c r="T46" s="338"/>
      <c r="U46" s="339"/>
      <c r="V46" s="337" t="s">
        <v>105</v>
      </c>
      <c r="W46" s="338"/>
      <c r="X46" s="338"/>
      <c r="Y46" s="338"/>
      <c r="Z46" s="338"/>
      <c r="AA46" s="339"/>
      <c r="AB46" s="337" t="s">
        <v>104</v>
      </c>
      <c r="AC46" s="347"/>
      <c r="AD46" s="338"/>
      <c r="AE46" s="338"/>
      <c r="AF46" s="338"/>
      <c r="AG46" s="339"/>
      <c r="AH46" s="337" t="s">
        <v>103</v>
      </c>
      <c r="AI46" s="338"/>
      <c r="AJ46" s="338"/>
      <c r="AK46" s="338"/>
      <c r="AL46" s="338"/>
      <c r="AM46" s="339"/>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40"/>
      <c r="K47" s="341"/>
      <c r="L47" s="341"/>
      <c r="M47" s="341"/>
      <c r="N47" s="341"/>
      <c r="O47" s="342"/>
      <c r="P47" s="340"/>
      <c r="Q47" s="341"/>
      <c r="R47" s="341"/>
      <c r="S47" s="341"/>
      <c r="T47" s="341"/>
      <c r="U47" s="342"/>
      <c r="V47" s="340"/>
      <c r="W47" s="341"/>
      <c r="X47" s="341"/>
      <c r="Y47" s="341"/>
      <c r="Z47" s="341"/>
      <c r="AA47" s="342"/>
      <c r="AB47" s="340"/>
      <c r="AC47" s="341"/>
      <c r="AD47" s="341"/>
      <c r="AE47" s="341"/>
      <c r="AF47" s="341"/>
      <c r="AG47" s="342"/>
      <c r="AH47" s="340"/>
      <c r="AI47" s="341"/>
      <c r="AJ47" s="341"/>
      <c r="AK47" s="341"/>
      <c r="AL47" s="341"/>
      <c r="AM47" s="342"/>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40"/>
      <c r="K48" s="341"/>
      <c r="L48" s="341"/>
      <c r="M48" s="341"/>
      <c r="N48" s="341"/>
      <c r="O48" s="342"/>
      <c r="P48" s="340"/>
      <c r="Q48" s="341"/>
      <c r="R48" s="341"/>
      <c r="S48" s="341"/>
      <c r="T48" s="341"/>
      <c r="U48" s="342"/>
      <c r="V48" s="340"/>
      <c r="W48" s="341"/>
      <c r="X48" s="341"/>
      <c r="Y48" s="341"/>
      <c r="Z48" s="341"/>
      <c r="AA48" s="342"/>
      <c r="AB48" s="340"/>
      <c r="AC48" s="341"/>
      <c r="AD48" s="341"/>
      <c r="AE48" s="341"/>
      <c r="AF48" s="341"/>
      <c r="AG48" s="342"/>
      <c r="AH48" s="340"/>
      <c r="AI48" s="341"/>
      <c r="AJ48" s="341"/>
      <c r="AK48" s="341"/>
      <c r="AL48" s="341"/>
      <c r="AM48" s="342"/>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40"/>
      <c r="K49" s="341"/>
      <c r="L49" s="341"/>
      <c r="M49" s="341"/>
      <c r="N49" s="341"/>
      <c r="O49" s="342"/>
      <c r="P49" s="340"/>
      <c r="Q49" s="341"/>
      <c r="R49" s="341"/>
      <c r="S49" s="341"/>
      <c r="T49" s="341"/>
      <c r="U49" s="342"/>
      <c r="V49" s="340"/>
      <c r="W49" s="341"/>
      <c r="X49" s="341"/>
      <c r="Y49" s="341"/>
      <c r="Z49" s="341"/>
      <c r="AA49" s="342"/>
      <c r="AB49" s="340"/>
      <c r="AC49" s="341"/>
      <c r="AD49" s="341"/>
      <c r="AE49" s="341"/>
      <c r="AF49" s="341"/>
      <c r="AG49" s="342"/>
      <c r="AH49" s="340"/>
      <c r="AI49" s="341"/>
      <c r="AJ49" s="341"/>
      <c r="AK49" s="341"/>
      <c r="AL49" s="341"/>
      <c r="AM49" s="342"/>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40"/>
      <c r="K50" s="341"/>
      <c r="L50" s="341"/>
      <c r="M50" s="341"/>
      <c r="N50" s="341"/>
      <c r="O50" s="342"/>
      <c r="P50" s="340"/>
      <c r="Q50" s="341"/>
      <c r="R50" s="341"/>
      <c r="S50" s="341"/>
      <c r="T50" s="341"/>
      <c r="U50" s="342"/>
      <c r="V50" s="340"/>
      <c r="W50" s="341"/>
      <c r="X50" s="341"/>
      <c r="Y50" s="341"/>
      <c r="Z50" s="341"/>
      <c r="AA50" s="342"/>
      <c r="AB50" s="340"/>
      <c r="AC50" s="341"/>
      <c r="AD50" s="341"/>
      <c r="AE50" s="341"/>
      <c r="AF50" s="341"/>
      <c r="AG50" s="342"/>
      <c r="AH50" s="340"/>
      <c r="AI50" s="341"/>
      <c r="AJ50" s="341"/>
      <c r="AK50" s="341"/>
      <c r="AL50" s="341"/>
      <c r="AM50" s="342"/>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43"/>
      <c r="K51" s="344"/>
      <c r="L51" s="344"/>
      <c r="M51" s="344"/>
      <c r="N51" s="344"/>
      <c r="O51" s="345"/>
      <c r="P51" s="343"/>
      <c r="Q51" s="344"/>
      <c r="R51" s="344"/>
      <c r="S51" s="344"/>
      <c r="T51" s="344"/>
      <c r="U51" s="345"/>
      <c r="V51" s="343"/>
      <c r="W51" s="344"/>
      <c r="X51" s="344"/>
      <c r="Y51" s="344"/>
      <c r="Z51" s="344"/>
      <c r="AA51" s="345"/>
      <c r="AB51" s="343"/>
      <c r="AC51" s="344"/>
      <c r="AD51" s="344"/>
      <c r="AE51" s="344"/>
      <c r="AF51" s="344"/>
      <c r="AG51" s="345"/>
      <c r="AH51" s="343"/>
      <c r="AI51" s="344"/>
      <c r="AJ51" s="344"/>
      <c r="AK51" s="344"/>
      <c r="AL51" s="344"/>
      <c r="AM51" s="345"/>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16" t="s">
        <v>149</v>
      </c>
      <c r="C2" s="417"/>
      <c r="D2" s="417"/>
      <c r="E2" s="417"/>
      <c r="F2" s="417"/>
      <c r="G2" s="417"/>
      <c r="H2" s="417"/>
      <c r="I2" s="417"/>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17"/>
      <c r="C3" s="417"/>
      <c r="D3" s="417"/>
      <c r="E3" s="417"/>
      <c r="F3" s="417"/>
      <c r="G3" s="417"/>
      <c r="H3" s="417"/>
      <c r="I3" s="41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17"/>
      <c r="C4" s="417"/>
      <c r="D4" s="417"/>
      <c r="E4" s="417"/>
      <c r="F4" s="417"/>
      <c r="G4" s="417"/>
      <c r="H4" s="417"/>
      <c r="I4" s="417"/>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348" t="s">
        <v>4</v>
      </c>
      <c r="C6" s="348"/>
      <c r="D6" s="349"/>
      <c r="E6" s="386" t="s">
        <v>111</v>
      </c>
      <c r="F6" s="387"/>
      <c r="G6" s="387"/>
      <c r="H6" s="387"/>
      <c r="I6" s="388"/>
      <c r="J6" s="30" t="str">
        <f ca="1">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e">
        <f>IF(AND('Mapa final'!#REF!="Muy Alta",'Mapa final'!#REF!="Catastrófico"),CONCATENATE("R1C",'Mapa final'!#REF!),"")</f>
        <v>#REF!</v>
      </c>
      <c r="AM6" s="35" t="e">
        <f>IF(AND('Mapa final'!#REF!="Muy Alta",'Mapa final'!#REF!="Catastrófico"),CONCATENATE("R1C",'Mapa final'!#REF!),"")</f>
        <v>#REF!</v>
      </c>
      <c r="AN6" s="68"/>
      <c r="AO6" s="407" t="s">
        <v>78</v>
      </c>
      <c r="AP6" s="408"/>
      <c r="AQ6" s="408"/>
      <c r="AR6" s="408"/>
      <c r="AS6" s="408"/>
      <c r="AT6" s="409"/>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348"/>
      <c r="C7" s="348"/>
      <c r="D7" s="349"/>
      <c r="E7" s="389"/>
      <c r="F7" s="390"/>
      <c r="G7" s="390"/>
      <c r="H7" s="390"/>
      <c r="I7" s="391"/>
      <c r="J7" s="36" t="str">
        <f ca="1">IF(AND('Mapa final'!$AA$14="Muy Alta",'Mapa final'!$AC$14="Leve"),CONCATENATE("R2C",'Mapa final'!$Q$14),"")</f>
        <v/>
      </c>
      <c r="K7" s="37" t="str">
        <f ca="1">IF(AND('Mapa final'!$AA$15="Muy Alta",'Mapa final'!$AC$15="Leve"),CONCATENATE("R2C",'Mapa final'!$Q$15),"")</f>
        <v/>
      </c>
      <c r="L7" s="37" t="str">
        <f ca="1">IF(AND('Mapa final'!$AA$16="Muy Alta",'Mapa final'!$AC$16="Leve"),CONCATENATE("R2C",'Mapa final'!$Q$16),"")</f>
        <v/>
      </c>
      <c r="M7" s="37" t="e">
        <f>IF(AND('Mapa final'!#REF!="Muy Alta",'Mapa final'!#REF!="Leve"),CONCATENATE("R2C",'Mapa final'!#REF!),"")</f>
        <v>#REF!</v>
      </c>
      <c r="N7" s="37" t="e">
        <f>IF(AND('Mapa final'!#REF!="Muy Alta",'Mapa final'!#REF!="Leve"),CONCATENATE("R2C",'Mapa final'!#REF!),"")</f>
        <v>#REF!</v>
      </c>
      <c r="O7" s="38" t="str">
        <f>IF(AND('Mapa final'!$AA$17="Muy Alta",'Mapa final'!$AC$17="Leve"),CONCATENATE("R2C",'Mapa final'!$Q$17),"")</f>
        <v/>
      </c>
      <c r="P7" s="36" t="str">
        <f ca="1">IF(AND('Mapa final'!$AA$14="Muy Alta",'Mapa final'!$AC$14="Menor"),CONCATENATE("R2C",'Mapa final'!$Q$14),"")</f>
        <v/>
      </c>
      <c r="Q7" s="37" t="str">
        <f ca="1">IF(AND('Mapa final'!$AA$15="Muy Alta",'Mapa final'!$AC$15="Menor"),CONCATENATE("R2C",'Mapa final'!$Q$15),"")</f>
        <v/>
      </c>
      <c r="R7" s="37" t="str">
        <f ca="1">IF(AND('Mapa final'!$AA$16="Muy Alta",'Mapa final'!$AC$16="Menor"),CONCATENATE("R2C",'Mapa final'!$Q$16),"")</f>
        <v/>
      </c>
      <c r="S7" s="37" t="e">
        <f>IF(AND('Mapa final'!#REF!="Muy Alta",'Mapa final'!#REF!="Menor"),CONCATENATE("R2C",'Mapa final'!#REF!),"")</f>
        <v>#REF!</v>
      </c>
      <c r="T7" s="37" t="e">
        <f>IF(AND('Mapa final'!#REF!="Muy Alta",'Mapa final'!#REF!="Menor"),CONCATENATE("R2C",'Mapa final'!#REF!),"")</f>
        <v>#REF!</v>
      </c>
      <c r="U7" s="38" t="str">
        <f>IF(AND('Mapa final'!$AA$17="Muy Alta",'Mapa final'!$AC$17="Menor"),CONCATENATE("R2C",'Mapa final'!$Q$17),"")</f>
        <v/>
      </c>
      <c r="V7" s="36" t="str">
        <f ca="1">IF(AND('Mapa final'!$AA$14="Muy Alta",'Mapa final'!$AC$14="Moderado"),CONCATENATE("R2C",'Mapa final'!$Q$14),"")</f>
        <v/>
      </c>
      <c r="W7" s="37" t="str">
        <f ca="1">IF(AND('Mapa final'!$AA$15="Muy Alta",'Mapa final'!$AC$15="Moderado"),CONCATENATE("R2C",'Mapa final'!$Q$15),"")</f>
        <v/>
      </c>
      <c r="X7" s="37" t="str">
        <f ca="1">IF(AND('Mapa final'!$AA$16="Muy Alta",'Mapa final'!$AC$16="Moderado"),CONCATENATE("R2C",'Mapa final'!$Q$16),"")</f>
        <v/>
      </c>
      <c r="Y7" s="37" t="e">
        <f>IF(AND('Mapa final'!#REF!="Muy Alta",'Mapa final'!#REF!="Moderado"),CONCATENATE("R2C",'Mapa final'!#REF!),"")</f>
        <v>#REF!</v>
      </c>
      <c r="Z7" s="37" t="e">
        <f>IF(AND('Mapa final'!#REF!="Muy Alta",'Mapa final'!#REF!="Moderado"),CONCATENATE("R2C",'Mapa final'!#REF!),"")</f>
        <v>#REF!</v>
      </c>
      <c r="AA7" s="38" t="str">
        <f>IF(AND('Mapa final'!$AA$17="Muy Alta",'Mapa final'!$AC$17="Moderado"),CONCATENATE("R2C",'Mapa final'!$Q$17),"")</f>
        <v/>
      </c>
      <c r="AB7" s="36" t="str">
        <f ca="1">IF(AND('Mapa final'!$AA$14="Muy Alta",'Mapa final'!$AC$14="Mayor"),CONCATENATE("R2C",'Mapa final'!$Q$14),"")</f>
        <v/>
      </c>
      <c r="AC7" s="37" t="str">
        <f ca="1">IF(AND('Mapa final'!$AA$15="Muy Alta",'Mapa final'!$AC$15="Mayor"),CONCATENATE("R2C",'Mapa final'!$Q$15),"")</f>
        <v/>
      </c>
      <c r="AD7" s="37" t="str">
        <f ca="1">IF(AND('Mapa final'!$AA$16="Muy Alta",'Mapa final'!$AC$16="Mayor"),CONCATENATE("R2C",'Mapa final'!$Q$16),"")</f>
        <v/>
      </c>
      <c r="AE7" s="37" t="e">
        <f>IF(AND('Mapa final'!#REF!="Muy Alta",'Mapa final'!#REF!="Mayor"),CONCATENATE("R2C",'Mapa final'!#REF!),"")</f>
        <v>#REF!</v>
      </c>
      <c r="AF7" s="37" t="e">
        <f>IF(AND('Mapa final'!#REF!="Muy Alta",'Mapa final'!#REF!="Mayor"),CONCATENATE("R2C",'Mapa final'!#REF!),"")</f>
        <v>#REF!</v>
      </c>
      <c r="AG7" s="38" t="str">
        <f>IF(AND('Mapa final'!$AA$17="Muy Alta",'Mapa final'!$AC$17="Mayor"),CONCATENATE("R2C",'Mapa final'!$Q$17),"")</f>
        <v/>
      </c>
      <c r="AH7" s="39" t="str">
        <f ca="1">IF(AND('Mapa final'!$AA$14="Muy Alta",'Mapa final'!$AC$14="Catastrófico"),CONCATENATE("R2C",'Mapa final'!$Q$14),"")</f>
        <v/>
      </c>
      <c r="AI7" s="40" t="str">
        <f ca="1">IF(AND('Mapa final'!$AA$15="Muy Alta",'Mapa final'!$AC$15="Catastrófico"),CONCATENATE("R2C",'Mapa final'!$Q$15),"")</f>
        <v/>
      </c>
      <c r="AJ7" s="40" t="str">
        <f ca="1">IF(AND('Mapa final'!$AA$16="Muy Alta",'Mapa final'!$AC$16="Catastrófico"),CONCATENATE("R2C",'Mapa final'!$Q$16),"")</f>
        <v/>
      </c>
      <c r="AK7" s="40" t="e">
        <f>IF(AND('Mapa final'!#REF!="Muy Alta",'Mapa final'!#REF!="Catastrófico"),CONCATENATE("R2C",'Mapa final'!#REF!),"")</f>
        <v>#REF!</v>
      </c>
      <c r="AL7" s="40" t="e">
        <f>IF(AND('Mapa final'!#REF!="Muy Alta",'Mapa final'!#REF!="Catastrófico"),CONCATENATE("R2C",'Mapa final'!#REF!),"")</f>
        <v>#REF!</v>
      </c>
      <c r="AM7" s="41" t="str">
        <f>IF(AND('Mapa final'!$AA$17="Muy Alta",'Mapa final'!$AC$17="Catastrófico"),CONCATENATE("R2C",'Mapa final'!$Q$17),"")</f>
        <v/>
      </c>
      <c r="AN7" s="68"/>
      <c r="AO7" s="410"/>
      <c r="AP7" s="411"/>
      <c r="AQ7" s="411"/>
      <c r="AR7" s="411"/>
      <c r="AS7" s="411"/>
      <c r="AT7" s="412"/>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348"/>
      <c r="C8" s="348"/>
      <c r="D8" s="349"/>
      <c r="E8" s="389"/>
      <c r="F8" s="390"/>
      <c r="G8" s="390"/>
      <c r="H8" s="390"/>
      <c r="I8" s="391"/>
      <c r="J8" s="36" t="str">
        <f>IF(AND('Mapa final'!$AA$18="Muy Alta",'Mapa final'!$AC$18="Leve"),CONCATENATE("R3C",'Mapa final'!$Q$18),"")</f>
        <v/>
      </c>
      <c r="K8" s="37" t="str">
        <f>IF(AND('Mapa final'!$AA$19="Muy Alta",'Mapa final'!$AC$19="Leve"),CONCATENATE("R3C",'Mapa final'!$Q$19),"")</f>
        <v/>
      </c>
      <c r="L8" s="37" t="str">
        <f>IF(AND('Mapa final'!$AA$20="Muy Alta",'Mapa final'!$AC$20="Leve"),CONCATENATE("R3C",'Mapa final'!$Q$20),"")</f>
        <v/>
      </c>
      <c r="M8" s="37" t="str">
        <f>IF(AND('Mapa final'!$AA$21="Muy Alta",'Mapa final'!$AC$21="Leve"),CONCATENATE("R3C",'Mapa final'!$Q$21),"")</f>
        <v/>
      </c>
      <c r="N8" s="37" t="str">
        <f>IF(AND('Mapa final'!$AA$22="Muy Alta",'Mapa final'!$AC$22="Leve"),CONCATENATE("R3C",'Mapa final'!$Q$22),"")</f>
        <v/>
      </c>
      <c r="O8" s="38" t="str">
        <f>IF(AND('Mapa final'!$AA$23="Muy Alta",'Mapa final'!$AC$23="Leve"),CONCATENATE("R3C",'Mapa final'!$Q$23),"")</f>
        <v/>
      </c>
      <c r="P8" s="36" t="str">
        <f>IF(AND('Mapa final'!$AA$18="Muy Alta",'Mapa final'!$AC$18="Menor"),CONCATENATE("R3C",'Mapa final'!$Q$18),"")</f>
        <v/>
      </c>
      <c r="Q8" s="37" t="str">
        <f>IF(AND('Mapa final'!$AA$19="Muy Alta",'Mapa final'!$AC$19="Menor"),CONCATENATE("R3C",'Mapa final'!$Q$19),"")</f>
        <v/>
      </c>
      <c r="R8" s="37" t="str">
        <f>IF(AND('Mapa final'!$AA$20="Muy Alta",'Mapa final'!$AC$20="Menor"),CONCATENATE("R3C",'Mapa final'!$Q$20),"")</f>
        <v/>
      </c>
      <c r="S8" s="37" t="str">
        <f>IF(AND('Mapa final'!$AA$21="Muy Alta",'Mapa final'!$AC$21="Menor"),CONCATENATE("R3C",'Mapa final'!$Q$21),"")</f>
        <v/>
      </c>
      <c r="T8" s="37" t="str">
        <f>IF(AND('Mapa final'!$AA$22="Muy Alta",'Mapa final'!$AC$22="Menor"),CONCATENATE("R3C",'Mapa final'!$Q$22),"")</f>
        <v/>
      </c>
      <c r="U8" s="38" t="str">
        <f>IF(AND('Mapa final'!$AA$23="Muy Alta",'Mapa final'!$AC$23="Menor"),CONCATENATE("R3C",'Mapa final'!$Q$23),"")</f>
        <v/>
      </c>
      <c r="V8" s="36" t="str">
        <f>IF(AND('Mapa final'!$AA$18="Muy Alta",'Mapa final'!$AC$18="Moderado"),CONCATENATE("R3C",'Mapa final'!$Q$18),"")</f>
        <v/>
      </c>
      <c r="W8" s="37" t="str">
        <f>IF(AND('Mapa final'!$AA$19="Muy Alta",'Mapa final'!$AC$19="Moderado"),CONCATENATE("R3C",'Mapa final'!$Q$19),"")</f>
        <v/>
      </c>
      <c r="X8" s="37" t="str">
        <f>IF(AND('Mapa final'!$AA$20="Muy Alta",'Mapa final'!$AC$20="Moderado"),CONCATENATE("R3C",'Mapa final'!$Q$20),"")</f>
        <v/>
      </c>
      <c r="Y8" s="37" t="str">
        <f>IF(AND('Mapa final'!$AA$21="Muy Alta",'Mapa final'!$AC$21="Moderado"),CONCATENATE("R3C",'Mapa final'!$Q$21),"")</f>
        <v/>
      </c>
      <c r="Z8" s="37" t="str">
        <f>IF(AND('Mapa final'!$AA$22="Muy Alta",'Mapa final'!$AC$22="Moderado"),CONCATENATE("R3C",'Mapa final'!$Q$22),"")</f>
        <v/>
      </c>
      <c r="AA8" s="38" t="str">
        <f>IF(AND('Mapa final'!$AA$23="Muy Alta",'Mapa final'!$AC$23="Moderado"),CONCATENATE("R3C",'Mapa final'!$Q$23),"")</f>
        <v/>
      </c>
      <c r="AB8" s="36" t="str">
        <f>IF(AND('Mapa final'!$AA$18="Muy Alta",'Mapa final'!$AC$18="Mayor"),CONCATENATE("R3C",'Mapa final'!$Q$18),"")</f>
        <v/>
      </c>
      <c r="AC8" s="37" t="str">
        <f>IF(AND('Mapa final'!$AA$19="Muy Alta",'Mapa final'!$AC$19="Mayor"),CONCATENATE("R3C",'Mapa final'!$Q$19),"")</f>
        <v/>
      </c>
      <c r="AD8" s="37" t="str">
        <f>IF(AND('Mapa final'!$AA$20="Muy Alta",'Mapa final'!$AC$20="Mayor"),CONCATENATE("R3C",'Mapa final'!$Q$20),"")</f>
        <v/>
      </c>
      <c r="AE8" s="37" t="str">
        <f>IF(AND('Mapa final'!$AA$21="Muy Alta",'Mapa final'!$AC$21="Mayor"),CONCATENATE("R3C",'Mapa final'!$Q$21),"")</f>
        <v/>
      </c>
      <c r="AF8" s="37" t="str">
        <f>IF(AND('Mapa final'!$AA$22="Muy Alta",'Mapa final'!$AC$22="Mayor"),CONCATENATE("R3C",'Mapa final'!$Q$22),"")</f>
        <v/>
      </c>
      <c r="AG8" s="38" t="str">
        <f>IF(AND('Mapa final'!$AA$23="Muy Alta",'Mapa final'!$AC$23="Mayor"),CONCATENATE("R3C",'Mapa final'!$Q$23),"")</f>
        <v/>
      </c>
      <c r="AH8" s="39" t="str">
        <f>IF(AND('Mapa final'!$AA$18="Muy Alta",'Mapa final'!$AC$18="Catastrófico"),CONCATENATE("R3C",'Mapa final'!$Q$18),"")</f>
        <v/>
      </c>
      <c r="AI8" s="40" t="str">
        <f>IF(AND('Mapa final'!$AA$19="Muy Alta",'Mapa final'!$AC$19="Catastrófico"),CONCATENATE("R3C",'Mapa final'!$Q$19),"")</f>
        <v/>
      </c>
      <c r="AJ8" s="40" t="str">
        <f>IF(AND('Mapa final'!$AA$20="Muy Alta",'Mapa final'!$AC$20="Catastrófico"),CONCATENATE("R3C",'Mapa final'!$Q$20),"")</f>
        <v/>
      </c>
      <c r="AK8" s="40" t="str">
        <f>IF(AND('Mapa final'!$AA$21="Muy Alta",'Mapa final'!$AC$21="Catastrófico"),CONCATENATE("R3C",'Mapa final'!$Q$21),"")</f>
        <v/>
      </c>
      <c r="AL8" s="40" t="str">
        <f>IF(AND('Mapa final'!$AA$22="Muy Alta",'Mapa final'!$AC$22="Catastrófico"),CONCATENATE("R3C",'Mapa final'!$Q$22),"")</f>
        <v/>
      </c>
      <c r="AM8" s="41" t="str">
        <f>IF(AND('Mapa final'!$AA$23="Muy Alta",'Mapa final'!$AC$23="Catastrófico"),CONCATENATE("R3C",'Mapa final'!$Q$23),"")</f>
        <v/>
      </c>
      <c r="AN8" s="68"/>
      <c r="AO8" s="410"/>
      <c r="AP8" s="411"/>
      <c r="AQ8" s="411"/>
      <c r="AR8" s="411"/>
      <c r="AS8" s="411"/>
      <c r="AT8" s="412"/>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348"/>
      <c r="C9" s="348"/>
      <c r="D9" s="349"/>
      <c r="E9" s="389"/>
      <c r="F9" s="390"/>
      <c r="G9" s="390"/>
      <c r="H9" s="390"/>
      <c r="I9" s="391"/>
      <c r="J9" s="36" t="str">
        <f>IF(AND('Mapa final'!$AA$24="Muy Alta",'Mapa final'!$AC$24="Leve"),CONCATENATE("R4C",'Mapa final'!$Q$24),"")</f>
        <v/>
      </c>
      <c r="K9" s="37" t="str">
        <f>IF(AND('Mapa final'!$AA$25="Muy Alta",'Mapa final'!$AC$25="Leve"),CONCATENATE("R4C",'Mapa final'!$Q$25),"")</f>
        <v/>
      </c>
      <c r="L9" s="42" t="str">
        <f>IF(AND('Mapa final'!$AA$26="Muy Alta",'Mapa final'!$AC$26="Leve"),CONCATENATE("R4C",'Mapa final'!$Q$26),"")</f>
        <v/>
      </c>
      <c r="M9" s="42" t="str">
        <f>IF(AND('Mapa final'!$AA$27="Muy Alta",'Mapa final'!$AC$27="Leve"),CONCATENATE("R4C",'Mapa final'!$Q$27),"")</f>
        <v/>
      </c>
      <c r="N9" s="42" t="str">
        <f>IF(AND('Mapa final'!$AA$28="Muy Alta",'Mapa final'!$AC$28="Leve"),CONCATENATE("R4C",'Mapa final'!$Q$28),"")</f>
        <v/>
      </c>
      <c r="O9" s="38" t="str">
        <f>IF(AND('Mapa final'!$AA$29="Muy Alta",'Mapa final'!$AC$29="Leve"),CONCATENATE("R4C",'Mapa final'!$Q$29),"")</f>
        <v/>
      </c>
      <c r="P9" s="36" t="str">
        <f>IF(AND('Mapa final'!$AA$24="Muy Alta",'Mapa final'!$AC$24="Menor"),CONCATENATE("R4C",'Mapa final'!$Q$24),"")</f>
        <v/>
      </c>
      <c r="Q9" s="37" t="str">
        <f>IF(AND('Mapa final'!$AA$25="Muy Alta",'Mapa final'!$AC$25="Menor"),CONCATENATE("R4C",'Mapa final'!$Q$25),"")</f>
        <v/>
      </c>
      <c r="R9" s="42" t="str">
        <f>IF(AND('Mapa final'!$AA$26="Muy Alta",'Mapa final'!$AC$26="Menor"),CONCATENATE("R4C",'Mapa final'!$Q$26),"")</f>
        <v/>
      </c>
      <c r="S9" s="42" t="str">
        <f>IF(AND('Mapa final'!$AA$27="Muy Alta",'Mapa final'!$AC$27="Menor"),CONCATENATE("R4C",'Mapa final'!$Q$27),"")</f>
        <v/>
      </c>
      <c r="T9" s="42" t="str">
        <f>IF(AND('Mapa final'!$AA$28="Muy Alta",'Mapa final'!$AC$28="Menor"),CONCATENATE("R4C",'Mapa final'!$Q$28),"")</f>
        <v/>
      </c>
      <c r="U9" s="38" t="str">
        <f>IF(AND('Mapa final'!$AA$29="Muy Alta",'Mapa final'!$AC$29="Menor"),CONCATENATE("R4C",'Mapa final'!$Q$29),"")</f>
        <v/>
      </c>
      <c r="V9" s="36" t="str">
        <f>IF(AND('Mapa final'!$AA$24="Muy Alta",'Mapa final'!$AC$24="Moderado"),CONCATENATE("R4C",'Mapa final'!$Q$24),"")</f>
        <v/>
      </c>
      <c r="W9" s="37" t="str">
        <f>IF(AND('Mapa final'!$AA$25="Muy Alta",'Mapa final'!$AC$25="Moderado"),CONCATENATE("R4C",'Mapa final'!$Q$25),"")</f>
        <v/>
      </c>
      <c r="X9" s="42" t="str">
        <f>IF(AND('Mapa final'!$AA$26="Muy Alta",'Mapa final'!$AC$26="Moderado"),CONCATENATE("R4C",'Mapa final'!$Q$26),"")</f>
        <v/>
      </c>
      <c r="Y9" s="42" t="str">
        <f>IF(AND('Mapa final'!$AA$27="Muy Alta",'Mapa final'!$AC$27="Moderado"),CONCATENATE("R4C",'Mapa final'!$Q$27),"")</f>
        <v/>
      </c>
      <c r="Z9" s="42" t="str">
        <f>IF(AND('Mapa final'!$AA$28="Muy Alta",'Mapa final'!$AC$28="Moderado"),CONCATENATE("R4C",'Mapa final'!$Q$28),"")</f>
        <v/>
      </c>
      <c r="AA9" s="38" t="str">
        <f>IF(AND('Mapa final'!$AA$29="Muy Alta",'Mapa final'!$AC$29="Moderado"),CONCATENATE("R4C",'Mapa final'!$Q$29),"")</f>
        <v/>
      </c>
      <c r="AB9" s="36" t="str">
        <f>IF(AND('Mapa final'!$AA$24="Muy Alta",'Mapa final'!$AC$24="Mayor"),CONCATENATE("R4C",'Mapa final'!$Q$24),"")</f>
        <v/>
      </c>
      <c r="AC9" s="37" t="str">
        <f>IF(AND('Mapa final'!$AA$25="Muy Alta",'Mapa final'!$AC$25="Mayor"),CONCATENATE("R4C",'Mapa final'!$Q$25),"")</f>
        <v/>
      </c>
      <c r="AD9" s="42" t="str">
        <f>IF(AND('Mapa final'!$AA$26="Muy Alta",'Mapa final'!$AC$26="Mayor"),CONCATENATE("R4C",'Mapa final'!$Q$26),"")</f>
        <v/>
      </c>
      <c r="AE9" s="42" t="str">
        <f>IF(AND('Mapa final'!$AA$27="Muy Alta",'Mapa final'!$AC$27="Mayor"),CONCATENATE("R4C",'Mapa final'!$Q$27),"")</f>
        <v/>
      </c>
      <c r="AF9" s="42" t="str">
        <f>IF(AND('Mapa final'!$AA$28="Muy Alta",'Mapa final'!$AC$28="Mayor"),CONCATENATE("R4C",'Mapa final'!$Q$28),"")</f>
        <v/>
      </c>
      <c r="AG9" s="38" t="str">
        <f>IF(AND('Mapa final'!$AA$29="Muy Alta",'Mapa final'!$AC$29="Mayor"),CONCATENATE("R4C",'Mapa final'!$Q$29),"")</f>
        <v/>
      </c>
      <c r="AH9" s="39" t="str">
        <f>IF(AND('Mapa final'!$AA$24="Muy Alta",'Mapa final'!$AC$24="Catastrófico"),CONCATENATE("R4C",'Mapa final'!$Q$24),"")</f>
        <v/>
      </c>
      <c r="AI9" s="40" t="str">
        <f>IF(AND('Mapa final'!$AA$25="Muy Alta",'Mapa final'!$AC$25="Catastrófico"),CONCATENATE("R4C",'Mapa final'!$Q$25),"")</f>
        <v/>
      </c>
      <c r="AJ9" s="40" t="str">
        <f>IF(AND('Mapa final'!$AA$26="Muy Alta",'Mapa final'!$AC$26="Catastrófico"),CONCATENATE("R4C",'Mapa final'!$Q$26),"")</f>
        <v/>
      </c>
      <c r="AK9" s="40" t="str">
        <f>IF(AND('Mapa final'!$AA$27="Muy Alta",'Mapa final'!$AC$27="Catastrófico"),CONCATENATE("R4C",'Mapa final'!$Q$27),"")</f>
        <v/>
      </c>
      <c r="AL9" s="40" t="str">
        <f>IF(AND('Mapa final'!$AA$28="Muy Alta",'Mapa final'!$AC$28="Catastrófico"),CONCATENATE("R4C",'Mapa final'!$Q$28),"")</f>
        <v/>
      </c>
      <c r="AM9" s="41" t="str">
        <f>IF(AND('Mapa final'!$AA$29="Muy Alta",'Mapa final'!$AC$29="Catastrófico"),CONCATENATE("R4C",'Mapa final'!$Q$29),"")</f>
        <v/>
      </c>
      <c r="AN9" s="68"/>
      <c r="AO9" s="410"/>
      <c r="AP9" s="411"/>
      <c r="AQ9" s="411"/>
      <c r="AR9" s="411"/>
      <c r="AS9" s="411"/>
      <c r="AT9" s="412"/>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348"/>
      <c r="C10" s="348"/>
      <c r="D10" s="349"/>
      <c r="E10" s="389"/>
      <c r="F10" s="390"/>
      <c r="G10" s="390"/>
      <c r="H10" s="390"/>
      <c r="I10" s="391"/>
      <c r="J10" s="36" t="str">
        <f>IF(AND('Mapa final'!$AA$30="Muy Alta",'Mapa final'!$AC$30="Leve"),CONCATENATE("R5C",'Mapa final'!$Q$30),"")</f>
        <v/>
      </c>
      <c r="K10" s="37" t="str">
        <f>IF(AND('Mapa final'!$AA$31="Muy Alta",'Mapa final'!$AC$31="Leve"),CONCATENATE("R5C",'Mapa final'!$Q$31),"")</f>
        <v/>
      </c>
      <c r="L10" s="42" t="str">
        <f>IF(AND('Mapa final'!$AA$32="Muy Alta",'Mapa final'!$AC$32="Leve"),CONCATENATE("R5C",'Mapa final'!$Q$32),"")</f>
        <v/>
      </c>
      <c r="M10" s="42" t="str">
        <f>IF(AND('Mapa final'!$AA$33="Muy Alta",'Mapa final'!$AC$33="Leve"),CONCATENATE("R5C",'Mapa final'!$Q$33),"")</f>
        <v/>
      </c>
      <c r="N10" s="42" t="str">
        <f>IF(AND('Mapa final'!$AA$34="Muy Alta",'Mapa final'!$AC$34="Leve"),CONCATENATE("R5C",'Mapa final'!$Q$34),"")</f>
        <v/>
      </c>
      <c r="O10" s="38" t="str">
        <f>IF(AND('Mapa final'!$AA$35="Muy Alta",'Mapa final'!$AC$35="Leve"),CONCATENATE("R5C",'Mapa final'!$Q$35),"")</f>
        <v/>
      </c>
      <c r="P10" s="36" t="str">
        <f>IF(AND('Mapa final'!$AA$30="Muy Alta",'Mapa final'!$AC$30="Menor"),CONCATENATE("R5C",'Mapa final'!$Q$30),"")</f>
        <v/>
      </c>
      <c r="Q10" s="37" t="str">
        <f>IF(AND('Mapa final'!$AA$31="Muy Alta",'Mapa final'!$AC$31="Menor"),CONCATENATE("R5C",'Mapa final'!$Q$31),"")</f>
        <v/>
      </c>
      <c r="R10" s="42" t="str">
        <f>IF(AND('Mapa final'!$AA$32="Muy Alta",'Mapa final'!$AC$32="Menor"),CONCATENATE("R5C",'Mapa final'!$Q$32),"")</f>
        <v/>
      </c>
      <c r="S10" s="42" t="str">
        <f>IF(AND('Mapa final'!$AA$33="Muy Alta",'Mapa final'!$AC$33="Menor"),CONCATENATE("R5C",'Mapa final'!$Q$33),"")</f>
        <v/>
      </c>
      <c r="T10" s="42" t="str">
        <f>IF(AND('Mapa final'!$AA$34="Muy Alta",'Mapa final'!$AC$34="Menor"),CONCATENATE("R5C",'Mapa final'!$Q$34),"")</f>
        <v/>
      </c>
      <c r="U10" s="38" t="str">
        <f>IF(AND('Mapa final'!$AA$35="Muy Alta",'Mapa final'!$AC$35="Menor"),CONCATENATE("R5C",'Mapa final'!$Q$35),"")</f>
        <v/>
      </c>
      <c r="V10" s="36" t="str">
        <f>IF(AND('Mapa final'!$AA$30="Muy Alta",'Mapa final'!$AC$30="Moderado"),CONCATENATE("R5C",'Mapa final'!$Q$30),"")</f>
        <v/>
      </c>
      <c r="W10" s="37" t="str">
        <f>IF(AND('Mapa final'!$AA$31="Muy Alta",'Mapa final'!$AC$31="Moderado"),CONCATENATE("R5C",'Mapa final'!$Q$31),"")</f>
        <v/>
      </c>
      <c r="X10" s="42" t="str">
        <f>IF(AND('Mapa final'!$AA$32="Muy Alta",'Mapa final'!$AC$32="Moderado"),CONCATENATE("R5C",'Mapa final'!$Q$32),"")</f>
        <v/>
      </c>
      <c r="Y10" s="42" t="str">
        <f>IF(AND('Mapa final'!$AA$33="Muy Alta",'Mapa final'!$AC$33="Moderado"),CONCATENATE("R5C",'Mapa final'!$Q$33),"")</f>
        <v/>
      </c>
      <c r="Z10" s="42" t="str">
        <f>IF(AND('Mapa final'!$AA$34="Muy Alta",'Mapa final'!$AC$34="Moderado"),CONCATENATE("R5C",'Mapa final'!$Q$34),"")</f>
        <v/>
      </c>
      <c r="AA10" s="38" t="str">
        <f>IF(AND('Mapa final'!$AA$35="Muy Alta",'Mapa final'!$AC$35="Moderado"),CONCATENATE("R5C",'Mapa final'!$Q$35),"")</f>
        <v/>
      </c>
      <c r="AB10" s="36" t="str">
        <f>IF(AND('Mapa final'!$AA$30="Muy Alta",'Mapa final'!$AC$30="Mayor"),CONCATENATE("R5C",'Mapa final'!$Q$30),"")</f>
        <v/>
      </c>
      <c r="AC10" s="37" t="str">
        <f>IF(AND('Mapa final'!$AA$31="Muy Alta",'Mapa final'!$AC$31="Mayor"),CONCATENATE("R5C",'Mapa final'!$Q$31),"")</f>
        <v/>
      </c>
      <c r="AD10" s="42" t="str">
        <f>IF(AND('Mapa final'!$AA$32="Muy Alta",'Mapa final'!$AC$32="Mayor"),CONCATENATE("R5C",'Mapa final'!$Q$32),"")</f>
        <v/>
      </c>
      <c r="AE10" s="42" t="str">
        <f>IF(AND('Mapa final'!$AA$33="Muy Alta",'Mapa final'!$AC$33="Mayor"),CONCATENATE("R5C",'Mapa final'!$Q$33),"")</f>
        <v/>
      </c>
      <c r="AF10" s="42" t="str">
        <f>IF(AND('Mapa final'!$AA$34="Muy Alta",'Mapa final'!$AC$34="Mayor"),CONCATENATE("R5C",'Mapa final'!$Q$34),"")</f>
        <v/>
      </c>
      <c r="AG10" s="38" t="str">
        <f>IF(AND('Mapa final'!$AA$35="Muy Alta",'Mapa final'!$AC$35="Mayor"),CONCATENATE("R5C",'Mapa final'!$Q$35),"")</f>
        <v/>
      </c>
      <c r="AH10" s="39" t="str">
        <f>IF(AND('Mapa final'!$AA$30="Muy Alta",'Mapa final'!$AC$30="Catastrófico"),CONCATENATE("R5C",'Mapa final'!$Q$30),"")</f>
        <v/>
      </c>
      <c r="AI10" s="40" t="str">
        <f>IF(AND('Mapa final'!$AA$31="Muy Alta",'Mapa final'!$AC$31="Catastrófico"),CONCATENATE("R5C",'Mapa final'!$Q$31),"")</f>
        <v/>
      </c>
      <c r="AJ10" s="40" t="str">
        <f>IF(AND('Mapa final'!$AA$32="Muy Alta",'Mapa final'!$AC$32="Catastrófico"),CONCATENATE("R5C",'Mapa final'!$Q$32),"")</f>
        <v/>
      </c>
      <c r="AK10" s="40" t="str">
        <f>IF(AND('Mapa final'!$AA$33="Muy Alta",'Mapa final'!$AC$33="Catastrófico"),CONCATENATE("R5C",'Mapa final'!$Q$33),"")</f>
        <v/>
      </c>
      <c r="AL10" s="40" t="str">
        <f>IF(AND('Mapa final'!$AA$34="Muy Alta",'Mapa final'!$AC$34="Catastrófico"),CONCATENATE("R5C",'Mapa final'!$Q$34),"")</f>
        <v/>
      </c>
      <c r="AM10" s="41" t="str">
        <f>IF(AND('Mapa final'!$AA$35="Muy Alta",'Mapa final'!$AC$35="Catastrófico"),CONCATENATE("R5C",'Mapa final'!$Q$35),"")</f>
        <v/>
      </c>
      <c r="AN10" s="68"/>
      <c r="AO10" s="410"/>
      <c r="AP10" s="411"/>
      <c r="AQ10" s="411"/>
      <c r="AR10" s="411"/>
      <c r="AS10" s="411"/>
      <c r="AT10" s="412"/>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348"/>
      <c r="C11" s="348"/>
      <c r="D11" s="349"/>
      <c r="E11" s="389"/>
      <c r="F11" s="390"/>
      <c r="G11" s="390"/>
      <c r="H11" s="390"/>
      <c r="I11" s="391"/>
      <c r="J11" s="36" t="str">
        <f>IF(AND('Mapa final'!$AA$36="Muy Alta",'Mapa final'!$AC$36="Leve"),CONCATENATE("R6C",'Mapa final'!$Q$36),"")</f>
        <v/>
      </c>
      <c r="K11" s="37" t="str">
        <f>IF(AND('Mapa final'!$AA$37="Muy Alta",'Mapa final'!$AC$37="Leve"),CONCATENATE("R6C",'Mapa final'!$Q$37),"")</f>
        <v/>
      </c>
      <c r="L11" s="42" t="str">
        <f>IF(AND('Mapa final'!$AA$38="Muy Alta",'Mapa final'!$AC$38="Leve"),CONCATENATE("R6C",'Mapa final'!$Q$38),"")</f>
        <v/>
      </c>
      <c r="M11" s="42" t="str">
        <f>IF(AND('Mapa final'!$AA$39="Muy Alta",'Mapa final'!$AC$39="Leve"),CONCATENATE("R6C",'Mapa final'!$Q$39),"")</f>
        <v/>
      </c>
      <c r="N11" s="42" t="str">
        <f>IF(AND('Mapa final'!$AA$40="Muy Alta",'Mapa final'!$AC$40="Leve"),CONCATENATE("R6C",'Mapa final'!$Q$40),"")</f>
        <v/>
      </c>
      <c r="O11" s="38" t="str">
        <f>IF(AND('Mapa final'!$AA$41="Muy Alta",'Mapa final'!$AC$41="Leve"),CONCATENATE("R6C",'Mapa final'!$Q$41),"")</f>
        <v/>
      </c>
      <c r="P11" s="36" t="str">
        <f>IF(AND('Mapa final'!$AA$36="Muy Alta",'Mapa final'!$AC$36="Menor"),CONCATENATE("R6C",'Mapa final'!$Q$36),"")</f>
        <v/>
      </c>
      <c r="Q11" s="37" t="str">
        <f>IF(AND('Mapa final'!$AA$37="Muy Alta",'Mapa final'!$AC$37="Menor"),CONCATENATE("R6C",'Mapa final'!$Q$37),"")</f>
        <v/>
      </c>
      <c r="R11" s="42" t="str">
        <f>IF(AND('Mapa final'!$AA$38="Muy Alta",'Mapa final'!$AC$38="Menor"),CONCATENATE("R6C",'Mapa final'!$Q$38),"")</f>
        <v/>
      </c>
      <c r="S11" s="42" t="str">
        <f>IF(AND('Mapa final'!$AA$39="Muy Alta",'Mapa final'!$AC$39="Menor"),CONCATENATE("R6C",'Mapa final'!$Q$39),"")</f>
        <v/>
      </c>
      <c r="T11" s="42" t="str">
        <f>IF(AND('Mapa final'!$AA$40="Muy Alta",'Mapa final'!$AC$40="Menor"),CONCATENATE("R6C",'Mapa final'!$Q$40),"")</f>
        <v/>
      </c>
      <c r="U11" s="38" t="str">
        <f>IF(AND('Mapa final'!$AA$41="Muy Alta",'Mapa final'!$AC$41="Menor"),CONCATENATE("R6C",'Mapa final'!$Q$41),"")</f>
        <v/>
      </c>
      <c r="V11" s="36" t="str">
        <f>IF(AND('Mapa final'!$AA$36="Muy Alta",'Mapa final'!$AC$36="Moderado"),CONCATENATE("R6C",'Mapa final'!$Q$36),"")</f>
        <v/>
      </c>
      <c r="W11" s="37" t="str">
        <f>IF(AND('Mapa final'!$AA$37="Muy Alta",'Mapa final'!$AC$37="Moderado"),CONCATENATE("R6C",'Mapa final'!$Q$37),"")</f>
        <v/>
      </c>
      <c r="X11" s="42" t="str">
        <f>IF(AND('Mapa final'!$AA$38="Muy Alta",'Mapa final'!$AC$38="Moderado"),CONCATENATE("R6C",'Mapa final'!$Q$38),"")</f>
        <v/>
      </c>
      <c r="Y11" s="42" t="str">
        <f>IF(AND('Mapa final'!$AA$39="Muy Alta",'Mapa final'!$AC$39="Moderado"),CONCATENATE("R6C",'Mapa final'!$Q$39),"")</f>
        <v/>
      </c>
      <c r="Z11" s="42" t="str">
        <f>IF(AND('Mapa final'!$AA$40="Muy Alta",'Mapa final'!$AC$40="Moderado"),CONCATENATE("R6C",'Mapa final'!$Q$40),"")</f>
        <v/>
      </c>
      <c r="AA11" s="38" t="str">
        <f>IF(AND('Mapa final'!$AA$41="Muy Alta",'Mapa final'!$AC$41="Moderado"),CONCATENATE("R6C",'Mapa final'!$Q$41),"")</f>
        <v/>
      </c>
      <c r="AB11" s="36" t="str">
        <f>IF(AND('Mapa final'!$AA$36="Muy Alta",'Mapa final'!$AC$36="Mayor"),CONCATENATE("R6C",'Mapa final'!$Q$36),"")</f>
        <v/>
      </c>
      <c r="AC11" s="37" t="str">
        <f>IF(AND('Mapa final'!$AA$37="Muy Alta",'Mapa final'!$AC$37="Mayor"),CONCATENATE("R6C",'Mapa final'!$Q$37),"")</f>
        <v/>
      </c>
      <c r="AD11" s="42" t="str">
        <f>IF(AND('Mapa final'!$AA$38="Muy Alta",'Mapa final'!$AC$38="Mayor"),CONCATENATE("R6C",'Mapa final'!$Q$38),"")</f>
        <v/>
      </c>
      <c r="AE11" s="42" t="str">
        <f>IF(AND('Mapa final'!$AA$39="Muy Alta",'Mapa final'!$AC$39="Mayor"),CONCATENATE("R6C",'Mapa final'!$Q$39),"")</f>
        <v/>
      </c>
      <c r="AF11" s="42" t="str">
        <f>IF(AND('Mapa final'!$AA$40="Muy Alta",'Mapa final'!$AC$40="Mayor"),CONCATENATE("R6C",'Mapa final'!$Q$40),"")</f>
        <v/>
      </c>
      <c r="AG11" s="38" t="str">
        <f>IF(AND('Mapa final'!$AA$41="Muy Alta",'Mapa final'!$AC$41="Mayor"),CONCATENATE("R6C",'Mapa final'!$Q$41),"")</f>
        <v/>
      </c>
      <c r="AH11" s="39" t="str">
        <f>IF(AND('Mapa final'!$AA$36="Muy Alta",'Mapa final'!$AC$36="Catastrófico"),CONCATENATE("R6C",'Mapa final'!$Q$36),"")</f>
        <v/>
      </c>
      <c r="AI11" s="40" t="str">
        <f>IF(AND('Mapa final'!$AA$37="Muy Alta",'Mapa final'!$AC$37="Catastrófico"),CONCATENATE("R6C",'Mapa final'!$Q$37),"")</f>
        <v/>
      </c>
      <c r="AJ11" s="40" t="str">
        <f>IF(AND('Mapa final'!$AA$38="Muy Alta",'Mapa final'!$AC$38="Catastrófico"),CONCATENATE("R6C",'Mapa final'!$Q$38),"")</f>
        <v/>
      </c>
      <c r="AK11" s="40" t="str">
        <f>IF(AND('Mapa final'!$AA$39="Muy Alta",'Mapa final'!$AC$39="Catastrófico"),CONCATENATE("R6C",'Mapa final'!$Q$39),"")</f>
        <v/>
      </c>
      <c r="AL11" s="40" t="str">
        <f>IF(AND('Mapa final'!$AA$40="Muy Alta",'Mapa final'!$AC$40="Catastrófico"),CONCATENATE("R6C",'Mapa final'!$Q$40),"")</f>
        <v/>
      </c>
      <c r="AM11" s="41" t="str">
        <f>IF(AND('Mapa final'!$AA$41="Muy Alta",'Mapa final'!$AC$41="Catastrófico"),CONCATENATE("R6C",'Mapa final'!$Q$41),"")</f>
        <v/>
      </c>
      <c r="AN11" s="68"/>
      <c r="AO11" s="410"/>
      <c r="AP11" s="411"/>
      <c r="AQ11" s="411"/>
      <c r="AR11" s="411"/>
      <c r="AS11" s="411"/>
      <c r="AT11" s="412"/>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348"/>
      <c r="C12" s="348"/>
      <c r="D12" s="349"/>
      <c r="E12" s="389"/>
      <c r="F12" s="390"/>
      <c r="G12" s="390"/>
      <c r="H12" s="390"/>
      <c r="I12" s="391"/>
      <c r="J12" s="36" t="str">
        <f>IF(AND('Mapa final'!$AA$42="Muy Alta",'Mapa final'!$AC$42="Leve"),CONCATENATE("R7C",'Mapa final'!$Q$42),"")</f>
        <v/>
      </c>
      <c r="K12" s="37" t="str">
        <f>IF(AND('Mapa final'!$AA$43="Muy Alta",'Mapa final'!$AC$43="Leve"),CONCATENATE("R7C",'Mapa final'!$Q$43),"")</f>
        <v/>
      </c>
      <c r="L12" s="42" t="str">
        <f>IF(AND('Mapa final'!$AA$44="Muy Alta",'Mapa final'!$AC$44="Leve"),CONCATENATE("R7C",'Mapa final'!$Q$44),"")</f>
        <v/>
      </c>
      <c r="M12" s="42" t="str">
        <f>IF(AND('Mapa final'!$AA$45="Muy Alta",'Mapa final'!$AC$45="Leve"),CONCATENATE("R7C",'Mapa final'!$Q$45),"")</f>
        <v/>
      </c>
      <c r="N12" s="42" t="str">
        <f>IF(AND('Mapa final'!$AA$46="Muy Alta",'Mapa final'!$AC$46="Leve"),CONCATENATE("R7C",'Mapa final'!$Q$46),"")</f>
        <v/>
      </c>
      <c r="O12" s="38" t="str">
        <f>IF(AND('Mapa final'!$AA$47="Muy Alta",'Mapa final'!$AC$47="Leve"),CONCATENATE("R7C",'Mapa final'!$Q$47),"")</f>
        <v/>
      </c>
      <c r="P12" s="36" t="str">
        <f>IF(AND('Mapa final'!$AA$42="Muy Alta",'Mapa final'!$AC$42="Menor"),CONCATENATE("R7C",'Mapa final'!$Q$42),"")</f>
        <v/>
      </c>
      <c r="Q12" s="37" t="str">
        <f>IF(AND('Mapa final'!$AA$43="Muy Alta",'Mapa final'!$AC$43="Menor"),CONCATENATE("R7C",'Mapa final'!$Q$43),"")</f>
        <v/>
      </c>
      <c r="R12" s="42" t="str">
        <f>IF(AND('Mapa final'!$AA$44="Muy Alta",'Mapa final'!$AC$44="Menor"),CONCATENATE("R7C",'Mapa final'!$Q$44),"")</f>
        <v/>
      </c>
      <c r="S12" s="42" t="str">
        <f>IF(AND('Mapa final'!$AA$45="Muy Alta",'Mapa final'!$AC$45="Menor"),CONCATENATE("R7C",'Mapa final'!$Q$45),"")</f>
        <v/>
      </c>
      <c r="T12" s="42" t="str">
        <f>IF(AND('Mapa final'!$AA$46="Muy Alta",'Mapa final'!$AC$46="Menor"),CONCATENATE("R7C",'Mapa final'!$Q$46),"")</f>
        <v/>
      </c>
      <c r="U12" s="38" t="str">
        <f>IF(AND('Mapa final'!$AA$47="Muy Alta",'Mapa final'!$AC$47="Menor"),CONCATENATE("R7C",'Mapa final'!$Q$47),"")</f>
        <v/>
      </c>
      <c r="V12" s="36" t="str">
        <f>IF(AND('Mapa final'!$AA$42="Muy Alta",'Mapa final'!$AC$42="Moderado"),CONCATENATE("R7C",'Mapa final'!$Q$42),"")</f>
        <v/>
      </c>
      <c r="W12" s="37" t="str">
        <f>IF(AND('Mapa final'!$AA$43="Muy Alta",'Mapa final'!$AC$43="Moderado"),CONCATENATE("R7C",'Mapa final'!$Q$43),"")</f>
        <v/>
      </c>
      <c r="X12" s="42" t="str">
        <f>IF(AND('Mapa final'!$AA$44="Muy Alta",'Mapa final'!$AC$44="Moderado"),CONCATENATE("R7C",'Mapa final'!$Q$44),"")</f>
        <v/>
      </c>
      <c r="Y12" s="42" t="str">
        <f>IF(AND('Mapa final'!$AA$45="Muy Alta",'Mapa final'!$AC$45="Moderado"),CONCATENATE("R7C",'Mapa final'!$Q$45),"")</f>
        <v/>
      </c>
      <c r="Z12" s="42" t="str">
        <f>IF(AND('Mapa final'!$AA$46="Muy Alta",'Mapa final'!$AC$46="Moderado"),CONCATENATE("R7C",'Mapa final'!$Q$46),"")</f>
        <v/>
      </c>
      <c r="AA12" s="38" t="str">
        <f>IF(AND('Mapa final'!$AA$47="Muy Alta",'Mapa final'!$AC$47="Moderado"),CONCATENATE("R7C",'Mapa final'!$Q$47),"")</f>
        <v/>
      </c>
      <c r="AB12" s="36" t="str">
        <f>IF(AND('Mapa final'!$AA$42="Muy Alta",'Mapa final'!$AC$42="Mayor"),CONCATENATE("R7C",'Mapa final'!$Q$42),"")</f>
        <v/>
      </c>
      <c r="AC12" s="37" t="str">
        <f>IF(AND('Mapa final'!$AA$43="Muy Alta",'Mapa final'!$AC$43="Mayor"),CONCATENATE("R7C",'Mapa final'!$Q$43),"")</f>
        <v/>
      </c>
      <c r="AD12" s="42" t="str">
        <f>IF(AND('Mapa final'!$AA$44="Muy Alta",'Mapa final'!$AC$44="Mayor"),CONCATENATE("R7C",'Mapa final'!$Q$44),"")</f>
        <v/>
      </c>
      <c r="AE12" s="42" t="str">
        <f>IF(AND('Mapa final'!$AA$45="Muy Alta",'Mapa final'!$AC$45="Mayor"),CONCATENATE("R7C",'Mapa final'!$Q$45),"")</f>
        <v/>
      </c>
      <c r="AF12" s="42" t="str">
        <f>IF(AND('Mapa final'!$AA$46="Muy Alta",'Mapa final'!$AC$46="Mayor"),CONCATENATE("R7C",'Mapa final'!$Q$46),"")</f>
        <v/>
      </c>
      <c r="AG12" s="38" t="str">
        <f>IF(AND('Mapa final'!$AA$47="Muy Alta",'Mapa final'!$AC$47="Mayor"),CONCATENATE("R7C",'Mapa final'!$Q$47),"")</f>
        <v/>
      </c>
      <c r="AH12" s="39" t="str">
        <f>IF(AND('Mapa final'!$AA$42="Muy Alta",'Mapa final'!$AC$42="Catastrófico"),CONCATENATE("R7C",'Mapa final'!$Q$42),"")</f>
        <v/>
      </c>
      <c r="AI12" s="40" t="str">
        <f>IF(AND('Mapa final'!$AA$43="Muy Alta",'Mapa final'!$AC$43="Catastrófico"),CONCATENATE("R7C",'Mapa final'!$Q$43),"")</f>
        <v/>
      </c>
      <c r="AJ12" s="40" t="str">
        <f>IF(AND('Mapa final'!$AA$44="Muy Alta",'Mapa final'!$AC$44="Catastrófico"),CONCATENATE("R7C",'Mapa final'!$Q$44),"")</f>
        <v/>
      </c>
      <c r="AK12" s="40" t="str">
        <f>IF(AND('Mapa final'!$AA$45="Muy Alta",'Mapa final'!$AC$45="Catastrófico"),CONCATENATE("R7C",'Mapa final'!$Q$45),"")</f>
        <v/>
      </c>
      <c r="AL12" s="40" t="str">
        <f>IF(AND('Mapa final'!$AA$46="Muy Alta",'Mapa final'!$AC$46="Catastrófico"),CONCATENATE("R7C",'Mapa final'!$Q$46),"")</f>
        <v/>
      </c>
      <c r="AM12" s="41" t="str">
        <f>IF(AND('Mapa final'!$AA$47="Muy Alta",'Mapa final'!$AC$47="Catastrófico"),CONCATENATE("R7C",'Mapa final'!$Q$47),"")</f>
        <v/>
      </c>
      <c r="AN12" s="68"/>
      <c r="AO12" s="410"/>
      <c r="AP12" s="411"/>
      <c r="AQ12" s="411"/>
      <c r="AR12" s="411"/>
      <c r="AS12" s="411"/>
      <c r="AT12" s="412"/>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348"/>
      <c r="C13" s="348"/>
      <c r="D13" s="349"/>
      <c r="E13" s="389"/>
      <c r="F13" s="390"/>
      <c r="G13" s="390"/>
      <c r="H13" s="390"/>
      <c r="I13" s="391"/>
      <c r="J13" s="36" t="str">
        <f>IF(AND('Mapa final'!$AA$48="Muy Alta",'Mapa final'!$AC$48="Leve"),CONCATENATE("R8C",'Mapa final'!$Q$48),"")</f>
        <v/>
      </c>
      <c r="K13" s="37" t="str">
        <f>IF(AND('Mapa final'!$AA$49="Muy Alta",'Mapa final'!$AC$49="Leve"),CONCATENATE("R8C",'Mapa final'!$Q$49),"")</f>
        <v/>
      </c>
      <c r="L13" s="42" t="str">
        <f>IF(AND('Mapa final'!$AA$50="Muy Alta",'Mapa final'!$AC$50="Leve"),CONCATENATE("R8C",'Mapa final'!$Q$50),"")</f>
        <v/>
      </c>
      <c r="M13" s="42" t="str">
        <f>IF(AND('Mapa final'!$AA$51="Muy Alta",'Mapa final'!$AC$51="Leve"),CONCATENATE("R8C",'Mapa final'!$Q$51),"")</f>
        <v/>
      </c>
      <c r="N13" s="42" t="str">
        <f>IF(AND('Mapa final'!$AA$52="Muy Alta",'Mapa final'!$AC$52="Leve"),CONCATENATE("R8C",'Mapa final'!$Q$52),"")</f>
        <v/>
      </c>
      <c r="O13" s="38" t="str">
        <f>IF(AND('Mapa final'!$AA$53="Muy Alta",'Mapa final'!$AC$53="Leve"),CONCATENATE("R8C",'Mapa final'!$Q$53),"")</f>
        <v/>
      </c>
      <c r="P13" s="36" t="str">
        <f>IF(AND('Mapa final'!$AA$48="Muy Alta",'Mapa final'!$AC$48="Menor"),CONCATENATE("R8C",'Mapa final'!$Q$48),"")</f>
        <v/>
      </c>
      <c r="Q13" s="37" t="str">
        <f>IF(AND('Mapa final'!$AA$49="Muy Alta",'Mapa final'!$AC$49="Menor"),CONCATENATE("R8C",'Mapa final'!$Q$49),"")</f>
        <v/>
      </c>
      <c r="R13" s="42" t="str">
        <f>IF(AND('Mapa final'!$AA$50="Muy Alta",'Mapa final'!$AC$50="Menor"),CONCATENATE("R8C",'Mapa final'!$Q$50),"")</f>
        <v/>
      </c>
      <c r="S13" s="42" t="str">
        <f>IF(AND('Mapa final'!$AA$51="Muy Alta",'Mapa final'!$AC$51="Menor"),CONCATENATE("R8C",'Mapa final'!$Q$51),"")</f>
        <v/>
      </c>
      <c r="T13" s="42" t="str">
        <f>IF(AND('Mapa final'!$AA$52="Muy Alta",'Mapa final'!$AC$52="Menor"),CONCATENATE("R8C",'Mapa final'!$Q$52),"")</f>
        <v/>
      </c>
      <c r="U13" s="38" t="str">
        <f>IF(AND('Mapa final'!$AA$53="Muy Alta",'Mapa final'!$AC$53="Menor"),CONCATENATE("R8C",'Mapa final'!$Q$53),"")</f>
        <v/>
      </c>
      <c r="V13" s="36" t="str">
        <f>IF(AND('Mapa final'!$AA$48="Muy Alta",'Mapa final'!$AC$48="Moderado"),CONCATENATE("R8C",'Mapa final'!$Q$48),"")</f>
        <v/>
      </c>
      <c r="W13" s="37" t="str">
        <f>IF(AND('Mapa final'!$AA$49="Muy Alta",'Mapa final'!$AC$49="Moderado"),CONCATENATE("R8C",'Mapa final'!$Q$49),"")</f>
        <v/>
      </c>
      <c r="X13" s="42" t="str">
        <f>IF(AND('Mapa final'!$AA$50="Muy Alta",'Mapa final'!$AC$50="Moderado"),CONCATENATE("R8C",'Mapa final'!$Q$50),"")</f>
        <v/>
      </c>
      <c r="Y13" s="42" t="str">
        <f>IF(AND('Mapa final'!$AA$51="Muy Alta",'Mapa final'!$AC$51="Moderado"),CONCATENATE("R8C",'Mapa final'!$Q$51),"")</f>
        <v/>
      </c>
      <c r="Z13" s="42" t="str">
        <f>IF(AND('Mapa final'!$AA$52="Muy Alta",'Mapa final'!$AC$52="Moderado"),CONCATENATE("R8C",'Mapa final'!$Q$52),"")</f>
        <v/>
      </c>
      <c r="AA13" s="38" t="str">
        <f>IF(AND('Mapa final'!$AA$53="Muy Alta",'Mapa final'!$AC$53="Moderado"),CONCATENATE("R8C",'Mapa final'!$Q$53),"")</f>
        <v/>
      </c>
      <c r="AB13" s="36" t="str">
        <f>IF(AND('Mapa final'!$AA$48="Muy Alta",'Mapa final'!$AC$48="Mayor"),CONCATENATE("R8C",'Mapa final'!$Q$48),"")</f>
        <v/>
      </c>
      <c r="AC13" s="37" t="str">
        <f>IF(AND('Mapa final'!$AA$49="Muy Alta",'Mapa final'!$AC$49="Mayor"),CONCATENATE("R8C",'Mapa final'!$Q$49),"")</f>
        <v/>
      </c>
      <c r="AD13" s="42" t="str">
        <f>IF(AND('Mapa final'!$AA$50="Muy Alta",'Mapa final'!$AC$50="Mayor"),CONCATENATE("R8C",'Mapa final'!$Q$50),"")</f>
        <v/>
      </c>
      <c r="AE13" s="42" t="str">
        <f>IF(AND('Mapa final'!$AA$51="Muy Alta",'Mapa final'!$AC$51="Mayor"),CONCATENATE("R8C",'Mapa final'!$Q$51),"")</f>
        <v/>
      </c>
      <c r="AF13" s="42" t="str">
        <f>IF(AND('Mapa final'!$AA$52="Muy Alta",'Mapa final'!$AC$52="Mayor"),CONCATENATE("R8C",'Mapa final'!$Q$52),"")</f>
        <v/>
      </c>
      <c r="AG13" s="38" t="str">
        <f>IF(AND('Mapa final'!$AA$53="Muy Alta",'Mapa final'!$AC$53="Mayor"),CONCATENATE("R8C",'Mapa final'!$Q$53),"")</f>
        <v/>
      </c>
      <c r="AH13" s="39" t="str">
        <f>IF(AND('Mapa final'!$AA$48="Muy Alta",'Mapa final'!$AC$48="Catastrófico"),CONCATENATE("R8C",'Mapa final'!$Q$48),"")</f>
        <v/>
      </c>
      <c r="AI13" s="40" t="str">
        <f>IF(AND('Mapa final'!$AA$49="Muy Alta",'Mapa final'!$AC$49="Catastrófico"),CONCATENATE("R8C",'Mapa final'!$Q$49),"")</f>
        <v/>
      </c>
      <c r="AJ13" s="40" t="str">
        <f>IF(AND('Mapa final'!$AA$50="Muy Alta",'Mapa final'!$AC$50="Catastrófico"),CONCATENATE("R8C",'Mapa final'!$Q$50),"")</f>
        <v/>
      </c>
      <c r="AK13" s="40" t="str">
        <f>IF(AND('Mapa final'!$AA$51="Muy Alta",'Mapa final'!$AC$51="Catastrófico"),CONCATENATE("R8C",'Mapa final'!$Q$51),"")</f>
        <v/>
      </c>
      <c r="AL13" s="40" t="str">
        <f>IF(AND('Mapa final'!$AA$52="Muy Alta",'Mapa final'!$AC$52="Catastrófico"),CONCATENATE("R8C",'Mapa final'!$Q$52),"")</f>
        <v/>
      </c>
      <c r="AM13" s="41" t="str">
        <f>IF(AND('Mapa final'!$AA$53="Muy Alta",'Mapa final'!$AC$53="Catastrófico"),CONCATENATE("R8C",'Mapa final'!$Q$53),"")</f>
        <v/>
      </c>
      <c r="AN13" s="68"/>
      <c r="AO13" s="410"/>
      <c r="AP13" s="411"/>
      <c r="AQ13" s="411"/>
      <c r="AR13" s="411"/>
      <c r="AS13" s="411"/>
      <c r="AT13" s="412"/>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348"/>
      <c r="C14" s="348"/>
      <c r="D14" s="349"/>
      <c r="E14" s="389"/>
      <c r="F14" s="390"/>
      <c r="G14" s="390"/>
      <c r="H14" s="390"/>
      <c r="I14" s="391"/>
      <c r="J14" s="36" t="str">
        <f>IF(AND('Mapa final'!$AA$54="Muy Alta",'Mapa final'!$AC$54="Leve"),CONCATENATE("R9C",'Mapa final'!$Q$54),"")</f>
        <v/>
      </c>
      <c r="K14" s="37" t="str">
        <f>IF(AND('Mapa final'!$AA$55="Muy Alta",'Mapa final'!$AC$55="Leve"),CONCATENATE("R9C",'Mapa final'!$Q$55),"")</f>
        <v/>
      </c>
      <c r="L14" s="42" t="str">
        <f>IF(AND('Mapa final'!$AA$56="Muy Alta",'Mapa final'!$AC$56="Leve"),CONCATENATE("R9C",'Mapa final'!$Q$56),"")</f>
        <v/>
      </c>
      <c r="M14" s="42" t="str">
        <f>IF(AND('Mapa final'!$AA$57="Muy Alta",'Mapa final'!$AC$57="Leve"),CONCATENATE("R9C",'Mapa final'!$Q$57),"")</f>
        <v/>
      </c>
      <c r="N14" s="42" t="str">
        <f>IF(AND('Mapa final'!$AA$58="Muy Alta",'Mapa final'!$AC$58="Leve"),CONCATENATE("R9C",'Mapa final'!$Q$58),"")</f>
        <v/>
      </c>
      <c r="O14" s="38" t="str">
        <f>IF(AND('Mapa final'!$AA$59="Muy Alta",'Mapa final'!$AC$59="Leve"),CONCATENATE("R9C",'Mapa final'!$Q$59),"")</f>
        <v/>
      </c>
      <c r="P14" s="36" t="str">
        <f>IF(AND('Mapa final'!$AA$54="Muy Alta",'Mapa final'!$AC$54="Menor"),CONCATENATE("R9C",'Mapa final'!$Q$54),"")</f>
        <v/>
      </c>
      <c r="Q14" s="37" t="str">
        <f>IF(AND('Mapa final'!$AA$55="Muy Alta",'Mapa final'!$AC$55="Menor"),CONCATENATE("R9C",'Mapa final'!$Q$55),"")</f>
        <v/>
      </c>
      <c r="R14" s="42" t="str">
        <f>IF(AND('Mapa final'!$AA$56="Muy Alta",'Mapa final'!$AC$56="Menor"),CONCATENATE("R9C",'Mapa final'!$Q$56),"")</f>
        <v/>
      </c>
      <c r="S14" s="42" t="str">
        <f>IF(AND('Mapa final'!$AA$57="Muy Alta",'Mapa final'!$AC$57="Menor"),CONCATENATE("R9C",'Mapa final'!$Q$57),"")</f>
        <v/>
      </c>
      <c r="T14" s="42" t="str">
        <f>IF(AND('Mapa final'!$AA$58="Muy Alta",'Mapa final'!$AC$58="Menor"),CONCATENATE("R9C",'Mapa final'!$Q$58),"")</f>
        <v/>
      </c>
      <c r="U14" s="38" t="str">
        <f>IF(AND('Mapa final'!$AA$59="Muy Alta",'Mapa final'!$AC$59="Menor"),CONCATENATE("R9C",'Mapa final'!$Q$59),"")</f>
        <v/>
      </c>
      <c r="V14" s="36" t="str">
        <f>IF(AND('Mapa final'!$AA$54="Muy Alta",'Mapa final'!$AC$54="Moderado"),CONCATENATE("R9C",'Mapa final'!$Q$54),"")</f>
        <v/>
      </c>
      <c r="W14" s="37" t="str">
        <f>IF(AND('Mapa final'!$AA$55="Muy Alta",'Mapa final'!$AC$55="Moderado"),CONCATENATE("R9C",'Mapa final'!$Q$55),"")</f>
        <v/>
      </c>
      <c r="X14" s="42" t="str">
        <f>IF(AND('Mapa final'!$AA$56="Muy Alta",'Mapa final'!$AC$56="Moderado"),CONCATENATE("R9C",'Mapa final'!$Q$56),"")</f>
        <v/>
      </c>
      <c r="Y14" s="42" t="str">
        <f>IF(AND('Mapa final'!$AA$57="Muy Alta",'Mapa final'!$AC$57="Moderado"),CONCATENATE("R9C",'Mapa final'!$Q$57),"")</f>
        <v/>
      </c>
      <c r="Z14" s="42" t="str">
        <f>IF(AND('Mapa final'!$AA$58="Muy Alta",'Mapa final'!$AC$58="Moderado"),CONCATENATE("R9C",'Mapa final'!$Q$58),"")</f>
        <v/>
      </c>
      <c r="AA14" s="38" t="str">
        <f>IF(AND('Mapa final'!$AA$59="Muy Alta",'Mapa final'!$AC$59="Moderado"),CONCATENATE("R9C",'Mapa final'!$Q$59),"")</f>
        <v/>
      </c>
      <c r="AB14" s="36" t="str">
        <f>IF(AND('Mapa final'!$AA$54="Muy Alta",'Mapa final'!$AC$54="Mayor"),CONCATENATE("R9C",'Mapa final'!$Q$54),"")</f>
        <v/>
      </c>
      <c r="AC14" s="37" t="str">
        <f>IF(AND('Mapa final'!$AA$55="Muy Alta",'Mapa final'!$AC$55="Mayor"),CONCATENATE("R9C",'Mapa final'!$Q$55),"")</f>
        <v/>
      </c>
      <c r="AD14" s="42" t="str">
        <f>IF(AND('Mapa final'!$AA$56="Muy Alta",'Mapa final'!$AC$56="Mayor"),CONCATENATE("R9C",'Mapa final'!$Q$56),"")</f>
        <v/>
      </c>
      <c r="AE14" s="42" t="str">
        <f>IF(AND('Mapa final'!$AA$57="Muy Alta",'Mapa final'!$AC$57="Mayor"),CONCATENATE("R9C",'Mapa final'!$Q$57),"")</f>
        <v/>
      </c>
      <c r="AF14" s="42" t="str">
        <f>IF(AND('Mapa final'!$AA$58="Muy Alta",'Mapa final'!$AC$58="Mayor"),CONCATENATE("R9C",'Mapa final'!$Q$58),"")</f>
        <v/>
      </c>
      <c r="AG14" s="38" t="str">
        <f>IF(AND('Mapa final'!$AA$59="Muy Alta",'Mapa final'!$AC$59="Mayor"),CONCATENATE("R9C",'Mapa final'!$Q$59),"")</f>
        <v/>
      </c>
      <c r="AH14" s="39" t="str">
        <f>IF(AND('Mapa final'!$AA$54="Muy Alta",'Mapa final'!$AC$54="Catastrófico"),CONCATENATE("R9C",'Mapa final'!$Q$54),"")</f>
        <v/>
      </c>
      <c r="AI14" s="40" t="str">
        <f>IF(AND('Mapa final'!$AA$55="Muy Alta",'Mapa final'!$AC$55="Catastrófico"),CONCATENATE("R9C",'Mapa final'!$Q$55),"")</f>
        <v/>
      </c>
      <c r="AJ14" s="40" t="str">
        <f>IF(AND('Mapa final'!$AA$56="Muy Alta",'Mapa final'!$AC$56="Catastrófico"),CONCATENATE("R9C",'Mapa final'!$Q$56),"")</f>
        <v/>
      </c>
      <c r="AK14" s="40" t="str">
        <f>IF(AND('Mapa final'!$AA$57="Muy Alta",'Mapa final'!$AC$57="Catastrófico"),CONCATENATE("R9C",'Mapa final'!$Q$57),"")</f>
        <v/>
      </c>
      <c r="AL14" s="40" t="str">
        <f>IF(AND('Mapa final'!$AA$58="Muy Alta",'Mapa final'!$AC$58="Catastrófico"),CONCATENATE("R9C",'Mapa final'!$Q$58),"")</f>
        <v/>
      </c>
      <c r="AM14" s="41" t="str">
        <f>IF(AND('Mapa final'!$AA$59="Muy Alta",'Mapa final'!$AC$59="Catastrófico"),CONCATENATE("R9C",'Mapa final'!$Q$59),"")</f>
        <v/>
      </c>
      <c r="AN14" s="68"/>
      <c r="AO14" s="410"/>
      <c r="AP14" s="411"/>
      <c r="AQ14" s="411"/>
      <c r="AR14" s="411"/>
      <c r="AS14" s="411"/>
      <c r="AT14" s="412"/>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348"/>
      <c r="C15" s="348"/>
      <c r="D15" s="349"/>
      <c r="E15" s="392"/>
      <c r="F15" s="393"/>
      <c r="G15" s="393"/>
      <c r="H15" s="393"/>
      <c r="I15" s="394"/>
      <c r="J15" s="43" t="str">
        <f>IF(AND('Mapa final'!$AA$60="Muy Alta",'Mapa final'!$AC$60="Leve"),CONCATENATE("R10C",'Mapa final'!$Q$60),"")</f>
        <v/>
      </c>
      <c r="K15" s="44" t="str">
        <f>IF(AND('Mapa final'!$AA$61="Muy Alta",'Mapa final'!$AC$61="Leve"),CONCATENATE("R10C",'Mapa final'!$Q$61),"")</f>
        <v/>
      </c>
      <c r="L15" s="44" t="str">
        <f>IF(AND('Mapa final'!$AA$62="Muy Alta",'Mapa final'!$AC$62="Leve"),CONCATENATE("R10C",'Mapa final'!$Q$62),"")</f>
        <v/>
      </c>
      <c r="M15" s="44" t="str">
        <f>IF(AND('Mapa final'!$AA$63="Muy Alta",'Mapa final'!$AC$63="Leve"),CONCATENATE("R10C",'Mapa final'!$Q$63),"")</f>
        <v/>
      </c>
      <c r="N15" s="44" t="str">
        <f>IF(AND('Mapa final'!$AA$64="Muy Alta",'Mapa final'!$AC$64="Leve"),CONCATENATE("R10C",'Mapa final'!$Q$64),"")</f>
        <v/>
      </c>
      <c r="O15" s="45" t="str">
        <f>IF(AND('Mapa final'!$AA$65="Muy Alta",'Mapa final'!$AC$65="Leve"),CONCATENATE("R10C",'Mapa final'!$Q$65),"")</f>
        <v/>
      </c>
      <c r="P15" s="36" t="str">
        <f>IF(AND('Mapa final'!$AA$60="Muy Alta",'Mapa final'!$AC$60="Menor"),CONCATENATE("R10C",'Mapa final'!$Q$60),"")</f>
        <v/>
      </c>
      <c r="Q15" s="37" t="str">
        <f>IF(AND('Mapa final'!$AA$61="Muy Alta",'Mapa final'!$AC$61="Menor"),CONCATENATE("R10C",'Mapa final'!$Q$61),"")</f>
        <v/>
      </c>
      <c r="R15" s="37" t="str">
        <f>IF(AND('Mapa final'!$AA$62="Muy Alta",'Mapa final'!$AC$62="Menor"),CONCATENATE("R10C",'Mapa final'!$Q$62),"")</f>
        <v/>
      </c>
      <c r="S15" s="37" t="str">
        <f>IF(AND('Mapa final'!$AA$63="Muy Alta",'Mapa final'!$AC$63="Menor"),CONCATENATE("R10C",'Mapa final'!$Q$63),"")</f>
        <v/>
      </c>
      <c r="T15" s="37" t="str">
        <f>IF(AND('Mapa final'!$AA$64="Muy Alta",'Mapa final'!$AC$64="Menor"),CONCATENATE("R10C",'Mapa final'!$Q$64),"")</f>
        <v/>
      </c>
      <c r="U15" s="38" t="str">
        <f>IF(AND('Mapa final'!$AA$65="Muy Alta",'Mapa final'!$AC$65="Menor"),CONCATENATE("R10C",'Mapa final'!$Q$65),"")</f>
        <v/>
      </c>
      <c r="V15" s="43" t="str">
        <f>IF(AND('Mapa final'!$AA$60="Muy Alta",'Mapa final'!$AC$60="Moderado"),CONCATENATE("R10C",'Mapa final'!$Q$60),"")</f>
        <v/>
      </c>
      <c r="W15" s="44" t="str">
        <f>IF(AND('Mapa final'!$AA$61="Muy Alta",'Mapa final'!$AC$61="Moderado"),CONCATENATE("R10C",'Mapa final'!$Q$61),"")</f>
        <v/>
      </c>
      <c r="X15" s="44" t="str">
        <f>IF(AND('Mapa final'!$AA$62="Muy Alta",'Mapa final'!$AC$62="Moderado"),CONCATENATE("R10C",'Mapa final'!$Q$62),"")</f>
        <v/>
      </c>
      <c r="Y15" s="44" t="str">
        <f>IF(AND('Mapa final'!$AA$63="Muy Alta",'Mapa final'!$AC$63="Moderado"),CONCATENATE("R10C",'Mapa final'!$Q$63),"")</f>
        <v/>
      </c>
      <c r="Z15" s="44" t="str">
        <f>IF(AND('Mapa final'!$AA$64="Muy Alta",'Mapa final'!$AC$64="Moderado"),CONCATENATE("R10C",'Mapa final'!$Q$64),"")</f>
        <v/>
      </c>
      <c r="AA15" s="45" t="str">
        <f>IF(AND('Mapa final'!$AA$65="Muy Alta",'Mapa final'!$AC$65="Moderado"),CONCATENATE("R10C",'Mapa final'!$Q$65),"")</f>
        <v/>
      </c>
      <c r="AB15" s="36" t="str">
        <f>IF(AND('Mapa final'!$AA$60="Muy Alta",'Mapa final'!$AC$60="Mayor"),CONCATENATE("R10C",'Mapa final'!$Q$60),"")</f>
        <v/>
      </c>
      <c r="AC15" s="37" t="str">
        <f>IF(AND('Mapa final'!$AA$61="Muy Alta",'Mapa final'!$AC$61="Mayor"),CONCATENATE("R10C",'Mapa final'!$Q$61),"")</f>
        <v/>
      </c>
      <c r="AD15" s="37" t="str">
        <f>IF(AND('Mapa final'!$AA$62="Muy Alta",'Mapa final'!$AC$62="Mayor"),CONCATENATE("R10C",'Mapa final'!$Q$62),"")</f>
        <v/>
      </c>
      <c r="AE15" s="37" t="str">
        <f>IF(AND('Mapa final'!$AA$63="Muy Alta",'Mapa final'!$AC$63="Mayor"),CONCATENATE("R10C",'Mapa final'!$Q$63),"")</f>
        <v/>
      </c>
      <c r="AF15" s="37" t="str">
        <f>IF(AND('Mapa final'!$AA$64="Muy Alta",'Mapa final'!$AC$64="Mayor"),CONCATENATE("R10C",'Mapa final'!$Q$64),"")</f>
        <v/>
      </c>
      <c r="AG15" s="38" t="str">
        <f>IF(AND('Mapa final'!$AA$65="Muy Alta",'Mapa final'!$AC$65="Mayor"),CONCATENATE("R10C",'Mapa final'!$Q$65),"")</f>
        <v/>
      </c>
      <c r="AH15" s="46" t="str">
        <f>IF(AND('Mapa final'!$AA$60="Muy Alta",'Mapa final'!$AC$60="Catastrófico"),CONCATENATE("R10C",'Mapa final'!$Q$60),"")</f>
        <v/>
      </c>
      <c r="AI15" s="47" t="str">
        <f>IF(AND('Mapa final'!$AA$61="Muy Alta",'Mapa final'!$AC$61="Catastrófico"),CONCATENATE("R10C",'Mapa final'!$Q$61),"")</f>
        <v/>
      </c>
      <c r="AJ15" s="47" t="str">
        <f>IF(AND('Mapa final'!$AA$62="Muy Alta",'Mapa final'!$AC$62="Catastrófico"),CONCATENATE("R10C",'Mapa final'!$Q$62),"")</f>
        <v/>
      </c>
      <c r="AK15" s="47" t="str">
        <f>IF(AND('Mapa final'!$AA$63="Muy Alta",'Mapa final'!$AC$63="Catastrófico"),CONCATENATE("R10C",'Mapa final'!$Q$63),"")</f>
        <v/>
      </c>
      <c r="AL15" s="47" t="str">
        <f>IF(AND('Mapa final'!$AA$64="Muy Alta",'Mapa final'!$AC$64="Catastrófico"),CONCATENATE("R10C",'Mapa final'!$Q$64),"")</f>
        <v/>
      </c>
      <c r="AM15" s="48" t="str">
        <f>IF(AND('Mapa final'!$AA$65="Muy Alta",'Mapa final'!$AC$65="Catastrófico"),CONCATENATE("R10C",'Mapa final'!$Q$65),"")</f>
        <v/>
      </c>
      <c r="AN15" s="68"/>
      <c r="AO15" s="413"/>
      <c r="AP15" s="414"/>
      <c r="AQ15" s="414"/>
      <c r="AR15" s="414"/>
      <c r="AS15" s="414"/>
      <c r="AT15" s="415"/>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348"/>
      <c r="C16" s="348"/>
      <c r="D16" s="349"/>
      <c r="E16" s="386" t="s">
        <v>110</v>
      </c>
      <c r="F16" s="387"/>
      <c r="G16" s="387"/>
      <c r="H16" s="387"/>
      <c r="I16" s="387"/>
      <c r="J16" s="49" t="str">
        <f ca="1">IF(AND('Mapa final'!$AA$10="Alta",'Mapa final'!$AC$10="Leve"),CONCATENATE("R1C",'Mapa final'!$Q$10),"")</f>
        <v/>
      </c>
      <c r="K16" s="50" t="str">
        <f>IF(AND('Mapa final'!$AA$11="Alta",'Mapa final'!$AC$11="Leve"),CONCATENATE("R1C",'Mapa final'!$Q$11),"")</f>
        <v/>
      </c>
      <c r="L16" s="50" t="str">
        <f>IF(AND('Mapa final'!$AA$12="Alta",'Mapa final'!$AC$12="Leve"),CONCATENATE("R1C",'Mapa final'!$Q$12),"")</f>
        <v/>
      </c>
      <c r="M16" s="50" t="str">
        <f>IF(AND('Mapa final'!$AA$13="Alta",'Mapa final'!$AC$13="Leve"),CONCATENATE("R1C",'Mapa final'!$Q$13),"")</f>
        <v/>
      </c>
      <c r="N16" s="50" t="e">
        <f>IF(AND('Mapa final'!#REF!="Alta",'Mapa final'!#REF!="Leve"),CONCATENATE("R1C",'Mapa final'!#REF!),"")</f>
        <v>#REF!</v>
      </c>
      <c r="O16" s="51" t="e">
        <f>IF(AND('Mapa final'!#REF!="Alta",'Mapa final'!#REF!="Leve"),CONCATENATE("R1C",'Mapa final'!#REF!),"")</f>
        <v>#REF!</v>
      </c>
      <c r="P16" s="49" t="str">
        <f ca="1">IF(AND('Mapa final'!$AA$10="Alta",'Mapa final'!$AC$10="Menor"),CONCATENATE("R1C",'Mapa final'!$Q$10),"")</f>
        <v/>
      </c>
      <c r="Q16" s="50" t="str">
        <f>IF(AND('Mapa final'!$AA$11="Alta",'Mapa final'!$AC$11="Menor"),CONCATENATE("R1C",'Mapa final'!$Q$11),"")</f>
        <v/>
      </c>
      <c r="R16" s="50" t="str">
        <f>IF(AND('Mapa final'!$AA$12="Alta",'Mapa final'!$AC$12="Menor"),CONCATENATE("R1C",'Mapa final'!$Q$12),"")</f>
        <v/>
      </c>
      <c r="S16" s="50" t="str">
        <f>IF(AND('Mapa final'!$AA$13="Alta",'Mapa final'!$AC$13="Menor"),CONCATENATE("R1C",'Mapa final'!$Q$13),"")</f>
        <v/>
      </c>
      <c r="T16" s="50" t="e">
        <f>IF(AND('Mapa final'!#REF!="Alta",'Mapa final'!#REF!="Menor"),CONCATENATE("R1C",'Mapa final'!#REF!),"")</f>
        <v>#REF!</v>
      </c>
      <c r="U16" s="51" t="e">
        <f>IF(AND('Mapa final'!#REF!="Alta",'Mapa final'!#REF!="Menor"),CONCATENATE("R1C",'Mapa final'!#REF!),"")</f>
        <v>#REF!</v>
      </c>
      <c r="V16" s="30" t="str">
        <f ca="1">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e">
        <f>IF(AND('Mapa final'!#REF!="Alta",'Mapa final'!#REF!="Catastrófico"),CONCATENATE("R1C",'Mapa final'!#REF!),"")</f>
        <v>#REF!</v>
      </c>
      <c r="AM16" s="35" t="e">
        <f>IF(AND('Mapa final'!#REF!="Alta",'Mapa final'!#REF!="Catastrófico"),CONCATENATE("R1C",'Mapa final'!#REF!),"")</f>
        <v>#REF!</v>
      </c>
      <c r="AN16" s="68"/>
      <c r="AO16" s="396" t="s">
        <v>79</v>
      </c>
      <c r="AP16" s="397"/>
      <c r="AQ16" s="397"/>
      <c r="AR16" s="397"/>
      <c r="AS16" s="397"/>
      <c r="AT16" s="39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348"/>
      <c r="C17" s="348"/>
      <c r="D17" s="349"/>
      <c r="E17" s="405"/>
      <c r="F17" s="406"/>
      <c r="G17" s="406"/>
      <c r="H17" s="406"/>
      <c r="I17" s="406"/>
      <c r="J17" s="52" t="str">
        <f ca="1">IF(AND('Mapa final'!$AA$14="Alta",'Mapa final'!$AC$14="Leve"),CONCATENATE("R2C",'Mapa final'!$Q$14),"")</f>
        <v/>
      </c>
      <c r="K17" s="53" t="str">
        <f ca="1">IF(AND('Mapa final'!$AA$15="Alta",'Mapa final'!$AC$15="Leve"),CONCATENATE("R2C",'Mapa final'!$Q$15),"")</f>
        <v/>
      </c>
      <c r="L17" s="53" t="str">
        <f ca="1">IF(AND('Mapa final'!$AA$16="Alta",'Mapa final'!$AC$16="Leve"),CONCATENATE("R2C",'Mapa final'!$Q$16),"")</f>
        <v/>
      </c>
      <c r="M17" s="53" t="e">
        <f>IF(AND('Mapa final'!#REF!="Alta",'Mapa final'!#REF!="Leve"),CONCATENATE("R2C",'Mapa final'!#REF!),"")</f>
        <v>#REF!</v>
      </c>
      <c r="N17" s="53" t="e">
        <f>IF(AND('Mapa final'!#REF!="Alta",'Mapa final'!#REF!="Leve"),CONCATENATE("R2C",'Mapa final'!#REF!),"")</f>
        <v>#REF!</v>
      </c>
      <c r="O17" s="54" t="str">
        <f>IF(AND('Mapa final'!$AA$17="Alta",'Mapa final'!$AC$17="Leve"),CONCATENATE("R2C",'Mapa final'!$Q$17),"")</f>
        <v/>
      </c>
      <c r="P17" s="52" t="str">
        <f ca="1">IF(AND('Mapa final'!$AA$14="Alta",'Mapa final'!$AC$14="Menor"),CONCATENATE("R2C",'Mapa final'!$Q$14),"")</f>
        <v/>
      </c>
      <c r="Q17" s="53" t="str">
        <f ca="1">IF(AND('Mapa final'!$AA$15="Alta",'Mapa final'!$AC$15="Menor"),CONCATENATE("R2C",'Mapa final'!$Q$15),"")</f>
        <v/>
      </c>
      <c r="R17" s="53" t="str">
        <f ca="1">IF(AND('Mapa final'!$AA$16="Alta",'Mapa final'!$AC$16="Menor"),CONCATENATE("R2C",'Mapa final'!$Q$16),"")</f>
        <v/>
      </c>
      <c r="S17" s="53" t="e">
        <f>IF(AND('Mapa final'!#REF!="Alta",'Mapa final'!#REF!="Menor"),CONCATENATE("R2C",'Mapa final'!#REF!),"")</f>
        <v>#REF!</v>
      </c>
      <c r="T17" s="53" t="e">
        <f>IF(AND('Mapa final'!#REF!="Alta",'Mapa final'!#REF!="Menor"),CONCATENATE("R2C",'Mapa final'!#REF!),"")</f>
        <v>#REF!</v>
      </c>
      <c r="U17" s="54" t="str">
        <f>IF(AND('Mapa final'!$AA$17="Alta",'Mapa final'!$AC$17="Menor"),CONCATENATE("R2C",'Mapa final'!$Q$17),"")</f>
        <v/>
      </c>
      <c r="V17" s="36" t="str">
        <f ca="1">IF(AND('Mapa final'!$AA$14="Alta",'Mapa final'!$AC$14="Moderado"),CONCATENATE("R2C",'Mapa final'!$Q$14),"")</f>
        <v/>
      </c>
      <c r="W17" s="37" t="str">
        <f ca="1">IF(AND('Mapa final'!$AA$15="Alta",'Mapa final'!$AC$15="Moderado"),CONCATENATE("R2C",'Mapa final'!$Q$15),"")</f>
        <v/>
      </c>
      <c r="X17" s="37" t="str">
        <f ca="1">IF(AND('Mapa final'!$AA$16="Alta",'Mapa final'!$AC$16="Moderado"),CONCATENATE("R2C",'Mapa final'!$Q$16),"")</f>
        <v/>
      </c>
      <c r="Y17" s="37" t="e">
        <f>IF(AND('Mapa final'!#REF!="Alta",'Mapa final'!#REF!="Moderado"),CONCATENATE("R2C",'Mapa final'!#REF!),"")</f>
        <v>#REF!</v>
      </c>
      <c r="Z17" s="37" t="e">
        <f>IF(AND('Mapa final'!#REF!="Alta",'Mapa final'!#REF!="Moderado"),CONCATENATE("R2C",'Mapa final'!#REF!),"")</f>
        <v>#REF!</v>
      </c>
      <c r="AA17" s="38" t="str">
        <f>IF(AND('Mapa final'!$AA$17="Alta",'Mapa final'!$AC$17="Moderado"),CONCATENATE("R2C",'Mapa final'!$Q$17),"")</f>
        <v/>
      </c>
      <c r="AB17" s="36" t="str">
        <f ca="1">IF(AND('Mapa final'!$AA$14="Alta",'Mapa final'!$AC$14="Mayor"),CONCATENATE("R2C",'Mapa final'!$Q$14),"")</f>
        <v/>
      </c>
      <c r="AC17" s="37" t="str">
        <f ca="1">IF(AND('Mapa final'!$AA$15="Alta",'Mapa final'!$AC$15="Mayor"),CONCATENATE("R2C",'Mapa final'!$Q$15),"")</f>
        <v/>
      </c>
      <c r="AD17" s="37" t="str">
        <f ca="1">IF(AND('Mapa final'!$AA$16="Alta",'Mapa final'!$AC$16="Mayor"),CONCATENATE("R2C",'Mapa final'!$Q$16),"")</f>
        <v/>
      </c>
      <c r="AE17" s="37" t="e">
        <f>IF(AND('Mapa final'!#REF!="Alta",'Mapa final'!#REF!="Mayor"),CONCATENATE("R2C",'Mapa final'!#REF!),"")</f>
        <v>#REF!</v>
      </c>
      <c r="AF17" s="37" t="e">
        <f>IF(AND('Mapa final'!#REF!="Alta",'Mapa final'!#REF!="Mayor"),CONCATENATE("R2C",'Mapa final'!#REF!),"")</f>
        <v>#REF!</v>
      </c>
      <c r="AG17" s="38" t="str">
        <f>IF(AND('Mapa final'!$AA$17="Alta",'Mapa final'!$AC$17="Mayor"),CONCATENATE("R2C",'Mapa final'!$Q$17),"")</f>
        <v/>
      </c>
      <c r="AH17" s="39" t="str">
        <f ca="1">IF(AND('Mapa final'!$AA$14="Alta",'Mapa final'!$AC$14="Catastrófico"),CONCATENATE("R2C",'Mapa final'!$Q$14),"")</f>
        <v/>
      </c>
      <c r="AI17" s="40" t="str">
        <f ca="1">IF(AND('Mapa final'!$AA$15="Alta",'Mapa final'!$AC$15="Catastrófico"),CONCATENATE("R2C",'Mapa final'!$Q$15),"")</f>
        <v/>
      </c>
      <c r="AJ17" s="40" t="str">
        <f ca="1">IF(AND('Mapa final'!$AA$16="Alta",'Mapa final'!$AC$16="Catastrófico"),CONCATENATE("R2C",'Mapa final'!$Q$16),"")</f>
        <v/>
      </c>
      <c r="AK17" s="40" t="e">
        <f>IF(AND('Mapa final'!#REF!="Alta",'Mapa final'!#REF!="Catastrófico"),CONCATENATE("R2C",'Mapa final'!#REF!),"")</f>
        <v>#REF!</v>
      </c>
      <c r="AL17" s="40" t="e">
        <f>IF(AND('Mapa final'!#REF!="Alta",'Mapa final'!#REF!="Catastrófico"),CONCATENATE("R2C",'Mapa final'!#REF!),"")</f>
        <v>#REF!</v>
      </c>
      <c r="AM17" s="41" t="str">
        <f>IF(AND('Mapa final'!$AA$17="Alta",'Mapa final'!$AC$17="Catastrófico"),CONCATENATE("R2C",'Mapa final'!$Q$17),"")</f>
        <v/>
      </c>
      <c r="AN17" s="68"/>
      <c r="AO17" s="399"/>
      <c r="AP17" s="400"/>
      <c r="AQ17" s="400"/>
      <c r="AR17" s="400"/>
      <c r="AS17" s="400"/>
      <c r="AT17" s="401"/>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348"/>
      <c r="C18" s="348"/>
      <c r="D18" s="349"/>
      <c r="E18" s="389"/>
      <c r="F18" s="390"/>
      <c r="G18" s="390"/>
      <c r="H18" s="390"/>
      <c r="I18" s="406"/>
      <c r="J18" s="52" t="str">
        <f>IF(AND('Mapa final'!$AA$18="Alta",'Mapa final'!$AC$18="Leve"),CONCATENATE("R3C",'Mapa final'!$Q$18),"")</f>
        <v/>
      </c>
      <c r="K18" s="53" t="str">
        <f>IF(AND('Mapa final'!$AA$19="Alta",'Mapa final'!$AC$19="Leve"),CONCATENATE("R3C",'Mapa final'!$Q$19),"")</f>
        <v/>
      </c>
      <c r="L18" s="53" t="str">
        <f>IF(AND('Mapa final'!$AA$20="Alta",'Mapa final'!$AC$20="Leve"),CONCATENATE("R3C",'Mapa final'!$Q$20),"")</f>
        <v/>
      </c>
      <c r="M18" s="53" t="str">
        <f>IF(AND('Mapa final'!$AA$21="Alta",'Mapa final'!$AC$21="Leve"),CONCATENATE("R3C",'Mapa final'!$Q$21),"")</f>
        <v/>
      </c>
      <c r="N18" s="53" t="str">
        <f>IF(AND('Mapa final'!$AA$22="Alta",'Mapa final'!$AC$22="Leve"),CONCATENATE("R3C",'Mapa final'!$Q$22),"")</f>
        <v/>
      </c>
      <c r="O18" s="54" t="str">
        <f>IF(AND('Mapa final'!$AA$23="Alta",'Mapa final'!$AC$23="Leve"),CONCATENATE("R3C",'Mapa final'!$Q$23),"")</f>
        <v/>
      </c>
      <c r="P18" s="52" t="str">
        <f>IF(AND('Mapa final'!$AA$18="Alta",'Mapa final'!$AC$18="Menor"),CONCATENATE("R3C",'Mapa final'!$Q$18),"")</f>
        <v/>
      </c>
      <c r="Q18" s="53" t="str">
        <f>IF(AND('Mapa final'!$AA$19="Alta",'Mapa final'!$AC$19="Menor"),CONCATENATE("R3C",'Mapa final'!$Q$19),"")</f>
        <v/>
      </c>
      <c r="R18" s="53" t="str">
        <f>IF(AND('Mapa final'!$AA$20="Alta",'Mapa final'!$AC$20="Menor"),CONCATENATE("R3C",'Mapa final'!$Q$20),"")</f>
        <v/>
      </c>
      <c r="S18" s="53" t="str">
        <f>IF(AND('Mapa final'!$AA$21="Alta",'Mapa final'!$AC$21="Menor"),CONCATENATE("R3C",'Mapa final'!$Q$21),"")</f>
        <v/>
      </c>
      <c r="T18" s="53" t="str">
        <f>IF(AND('Mapa final'!$AA$22="Alta",'Mapa final'!$AC$22="Menor"),CONCATENATE("R3C",'Mapa final'!$Q$22),"")</f>
        <v/>
      </c>
      <c r="U18" s="54" t="str">
        <f>IF(AND('Mapa final'!$AA$23="Alta",'Mapa final'!$AC$23="Menor"),CONCATENATE("R3C",'Mapa final'!$Q$23),"")</f>
        <v/>
      </c>
      <c r="V18" s="36" t="str">
        <f>IF(AND('Mapa final'!$AA$18="Alta",'Mapa final'!$AC$18="Moderado"),CONCATENATE("R3C",'Mapa final'!$Q$18),"")</f>
        <v/>
      </c>
      <c r="W18" s="37" t="str">
        <f>IF(AND('Mapa final'!$AA$19="Alta",'Mapa final'!$AC$19="Moderado"),CONCATENATE("R3C",'Mapa final'!$Q$19),"")</f>
        <v/>
      </c>
      <c r="X18" s="37" t="str">
        <f>IF(AND('Mapa final'!$AA$20="Alta",'Mapa final'!$AC$20="Moderado"),CONCATENATE("R3C",'Mapa final'!$Q$20),"")</f>
        <v/>
      </c>
      <c r="Y18" s="37" t="str">
        <f>IF(AND('Mapa final'!$AA$21="Alta",'Mapa final'!$AC$21="Moderado"),CONCATENATE("R3C",'Mapa final'!$Q$21),"")</f>
        <v/>
      </c>
      <c r="Z18" s="37" t="str">
        <f>IF(AND('Mapa final'!$AA$22="Alta",'Mapa final'!$AC$22="Moderado"),CONCATENATE("R3C",'Mapa final'!$Q$22),"")</f>
        <v/>
      </c>
      <c r="AA18" s="38" t="str">
        <f>IF(AND('Mapa final'!$AA$23="Alta",'Mapa final'!$AC$23="Moderado"),CONCATENATE("R3C",'Mapa final'!$Q$23),"")</f>
        <v/>
      </c>
      <c r="AB18" s="36" t="str">
        <f>IF(AND('Mapa final'!$AA$18="Alta",'Mapa final'!$AC$18="Mayor"),CONCATENATE("R3C",'Mapa final'!$Q$18),"")</f>
        <v/>
      </c>
      <c r="AC18" s="37" t="str">
        <f>IF(AND('Mapa final'!$AA$19="Alta",'Mapa final'!$AC$19="Mayor"),CONCATENATE("R3C",'Mapa final'!$Q$19),"")</f>
        <v/>
      </c>
      <c r="AD18" s="37" t="str">
        <f>IF(AND('Mapa final'!$AA$20="Alta",'Mapa final'!$AC$20="Mayor"),CONCATENATE("R3C",'Mapa final'!$Q$20),"")</f>
        <v/>
      </c>
      <c r="AE18" s="37" t="str">
        <f>IF(AND('Mapa final'!$AA$21="Alta",'Mapa final'!$AC$21="Mayor"),CONCATENATE("R3C",'Mapa final'!$Q$21),"")</f>
        <v/>
      </c>
      <c r="AF18" s="37" t="str">
        <f>IF(AND('Mapa final'!$AA$22="Alta",'Mapa final'!$AC$22="Mayor"),CONCATENATE("R3C",'Mapa final'!$Q$22),"")</f>
        <v/>
      </c>
      <c r="AG18" s="38" t="str">
        <f>IF(AND('Mapa final'!$AA$23="Alta",'Mapa final'!$AC$23="Mayor"),CONCATENATE("R3C",'Mapa final'!$Q$23),"")</f>
        <v/>
      </c>
      <c r="AH18" s="39" t="str">
        <f>IF(AND('Mapa final'!$AA$18="Alta",'Mapa final'!$AC$18="Catastrófico"),CONCATENATE("R3C",'Mapa final'!$Q$18),"")</f>
        <v/>
      </c>
      <c r="AI18" s="40" t="str">
        <f>IF(AND('Mapa final'!$AA$19="Alta",'Mapa final'!$AC$19="Catastrófico"),CONCATENATE("R3C",'Mapa final'!$Q$19),"")</f>
        <v/>
      </c>
      <c r="AJ18" s="40" t="str">
        <f>IF(AND('Mapa final'!$AA$20="Alta",'Mapa final'!$AC$20="Catastrófico"),CONCATENATE("R3C",'Mapa final'!$Q$20),"")</f>
        <v/>
      </c>
      <c r="AK18" s="40" t="str">
        <f>IF(AND('Mapa final'!$AA$21="Alta",'Mapa final'!$AC$21="Catastrófico"),CONCATENATE("R3C",'Mapa final'!$Q$21),"")</f>
        <v/>
      </c>
      <c r="AL18" s="40" t="str">
        <f>IF(AND('Mapa final'!$AA$22="Alta",'Mapa final'!$AC$22="Catastrófico"),CONCATENATE("R3C",'Mapa final'!$Q$22),"")</f>
        <v/>
      </c>
      <c r="AM18" s="41" t="str">
        <f>IF(AND('Mapa final'!$AA$23="Alta",'Mapa final'!$AC$23="Catastrófico"),CONCATENATE("R3C",'Mapa final'!$Q$23),"")</f>
        <v/>
      </c>
      <c r="AN18" s="68"/>
      <c r="AO18" s="399"/>
      <c r="AP18" s="400"/>
      <c r="AQ18" s="400"/>
      <c r="AR18" s="400"/>
      <c r="AS18" s="400"/>
      <c r="AT18" s="401"/>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348"/>
      <c r="C19" s="348"/>
      <c r="D19" s="349"/>
      <c r="E19" s="389"/>
      <c r="F19" s="390"/>
      <c r="G19" s="390"/>
      <c r="H19" s="390"/>
      <c r="I19" s="406"/>
      <c r="J19" s="52" t="str">
        <f>IF(AND('Mapa final'!$AA$24="Alta",'Mapa final'!$AC$24="Leve"),CONCATENATE("R4C",'Mapa final'!$Q$24),"")</f>
        <v/>
      </c>
      <c r="K19" s="53" t="str">
        <f>IF(AND('Mapa final'!$AA$25="Alta",'Mapa final'!$AC$25="Leve"),CONCATENATE("R4C",'Mapa final'!$Q$25),"")</f>
        <v/>
      </c>
      <c r="L19" s="53" t="str">
        <f>IF(AND('Mapa final'!$AA$26="Alta",'Mapa final'!$AC$26="Leve"),CONCATENATE("R4C",'Mapa final'!$Q$26),"")</f>
        <v/>
      </c>
      <c r="M19" s="53" t="str">
        <f>IF(AND('Mapa final'!$AA$27="Alta",'Mapa final'!$AC$27="Leve"),CONCATENATE("R4C",'Mapa final'!$Q$27),"")</f>
        <v/>
      </c>
      <c r="N19" s="53" t="str">
        <f>IF(AND('Mapa final'!$AA$28="Alta",'Mapa final'!$AC$28="Leve"),CONCATENATE("R4C",'Mapa final'!$Q$28),"")</f>
        <v/>
      </c>
      <c r="O19" s="54" t="str">
        <f>IF(AND('Mapa final'!$AA$29="Alta",'Mapa final'!$AC$29="Leve"),CONCATENATE("R4C",'Mapa final'!$Q$29),"")</f>
        <v/>
      </c>
      <c r="P19" s="52" t="str">
        <f>IF(AND('Mapa final'!$AA$24="Alta",'Mapa final'!$AC$24="Menor"),CONCATENATE("R4C",'Mapa final'!$Q$24),"")</f>
        <v/>
      </c>
      <c r="Q19" s="53" t="str">
        <f>IF(AND('Mapa final'!$AA$25="Alta",'Mapa final'!$AC$25="Menor"),CONCATENATE("R4C",'Mapa final'!$Q$25),"")</f>
        <v/>
      </c>
      <c r="R19" s="53" t="str">
        <f>IF(AND('Mapa final'!$AA$26="Alta",'Mapa final'!$AC$26="Menor"),CONCATENATE("R4C",'Mapa final'!$Q$26),"")</f>
        <v/>
      </c>
      <c r="S19" s="53" t="str">
        <f>IF(AND('Mapa final'!$AA$27="Alta",'Mapa final'!$AC$27="Menor"),CONCATENATE("R4C",'Mapa final'!$Q$27),"")</f>
        <v/>
      </c>
      <c r="T19" s="53" t="str">
        <f>IF(AND('Mapa final'!$AA$28="Alta",'Mapa final'!$AC$28="Menor"),CONCATENATE("R4C",'Mapa final'!$Q$28),"")</f>
        <v/>
      </c>
      <c r="U19" s="54" t="str">
        <f>IF(AND('Mapa final'!$AA$29="Alta",'Mapa final'!$AC$29="Menor"),CONCATENATE("R4C",'Mapa final'!$Q$29),"")</f>
        <v/>
      </c>
      <c r="V19" s="36" t="str">
        <f>IF(AND('Mapa final'!$AA$24="Alta",'Mapa final'!$AC$24="Moderado"),CONCATENATE("R4C",'Mapa final'!$Q$24),"")</f>
        <v/>
      </c>
      <c r="W19" s="37" t="str">
        <f>IF(AND('Mapa final'!$AA$25="Alta",'Mapa final'!$AC$25="Moderado"),CONCATENATE("R4C",'Mapa final'!$Q$25),"")</f>
        <v/>
      </c>
      <c r="X19" s="42" t="str">
        <f>IF(AND('Mapa final'!$AA$26="Alta",'Mapa final'!$AC$26="Moderado"),CONCATENATE("R4C",'Mapa final'!$Q$26),"")</f>
        <v/>
      </c>
      <c r="Y19" s="42" t="str">
        <f>IF(AND('Mapa final'!$AA$27="Alta",'Mapa final'!$AC$27="Moderado"),CONCATENATE("R4C",'Mapa final'!$Q$27),"")</f>
        <v/>
      </c>
      <c r="Z19" s="42" t="str">
        <f>IF(AND('Mapa final'!$AA$28="Alta",'Mapa final'!$AC$28="Moderado"),CONCATENATE("R4C",'Mapa final'!$Q$28),"")</f>
        <v/>
      </c>
      <c r="AA19" s="38" t="str">
        <f>IF(AND('Mapa final'!$AA$29="Alta",'Mapa final'!$AC$29="Moderado"),CONCATENATE("R4C",'Mapa final'!$Q$29),"")</f>
        <v/>
      </c>
      <c r="AB19" s="36" t="str">
        <f>IF(AND('Mapa final'!$AA$24="Alta",'Mapa final'!$AC$24="Mayor"),CONCATENATE("R4C",'Mapa final'!$Q$24),"")</f>
        <v/>
      </c>
      <c r="AC19" s="37" t="str">
        <f>IF(AND('Mapa final'!$AA$25="Alta",'Mapa final'!$AC$25="Mayor"),CONCATENATE("R4C",'Mapa final'!$Q$25),"")</f>
        <v/>
      </c>
      <c r="AD19" s="42" t="str">
        <f>IF(AND('Mapa final'!$AA$26="Alta",'Mapa final'!$AC$26="Mayor"),CONCATENATE("R4C",'Mapa final'!$Q$26),"")</f>
        <v/>
      </c>
      <c r="AE19" s="42" t="str">
        <f>IF(AND('Mapa final'!$AA$27="Alta",'Mapa final'!$AC$27="Mayor"),CONCATENATE("R4C",'Mapa final'!$Q$27),"")</f>
        <v/>
      </c>
      <c r="AF19" s="42" t="str">
        <f>IF(AND('Mapa final'!$AA$28="Alta",'Mapa final'!$AC$28="Mayor"),CONCATENATE("R4C",'Mapa final'!$Q$28),"")</f>
        <v/>
      </c>
      <c r="AG19" s="38" t="str">
        <f>IF(AND('Mapa final'!$AA$29="Alta",'Mapa final'!$AC$29="Mayor"),CONCATENATE("R4C",'Mapa final'!$Q$29),"")</f>
        <v/>
      </c>
      <c r="AH19" s="39" t="str">
        <f>IF(AND('Mapa final'!$AA$24="Alta",'Mapa final'!$AC$24="Catastrófico"),CONCATENATE("R4C",'Mapa final'!$Q$24),"")</f>
        <v/>
      </c>
      <c r="AI19" s="40" t="str">
        <f>IF(AND('Mapa final'!$AA$25="Alta",'Mapa final'!$AC$25="Catastrófico"),CONCATENATE("R4C",'Mapa final'!$Q$25),"")</f>
        <v/>
      </c>
      <c r="AJ19" s="40" t="str">
        <f>IF(AND('Mapa final'!$AA$26="Alta",'Mapa final'!$AC$26="Catastrófico"),CONCATENATE("R4C",'Mapa final'!$Q$26),"")</f>
        <v/>
      </c>
      <c r="AK19" s="40" t="str">
        <f>IF(AND('Mapa final'!$AA$27="Alta",'Mapa final'!$AC$27="Catastrófico"),CONCATENATE("R4C",'Mapa final'!$Q$27),"")</f>
        <v/>
      </c>
      <c r="AL19" s="40" t="str">
        <f>IF(AND('Mapa final'!$AA$28="Alta",'Mapa final'!$AC$28="Catastrófico"),CONCATENATE("R4C",'Mapa final'!$Q$28),"")</f>
        <v/>
      </c>
      <c r="AM19" s="41" t="str">
        <f>IF(AND('Mapa final'!$AA$29="Alta",'Mapa final'!$AC$29="Catastrófico"),CONCATENATE("R4C",'Mapa final'!$Q$29),"")</f>
        <v/>
      </c>
      <c r="AN19" s="68"/>
      <c r="AO19" s="399"/>
      <c r="AP19" s="400"/>
      <c r="AQ19" s="400"/>
      <c r="AR19" s="400"/>
      <c r="AS19" s="400"/>
      <c r="AT19" s="401"/>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348"/>
      <c r="C20" s="348"/>
      <c r="D20" s="349"/>
      <c r="E20" s="389"/>
      <c r="F20" s="390"/>
      <c r="G20" s="390"/>
      <c r="H20" s="390"/>
      <c r="I20" s="406"/>
      <c r="J20" s="52" t="str">
        <f>IF(AND('Mapa final'!$AA$30="Alta",'Mapa final'!$AC$30="Leve"),CONCATENATE("R5C",'Mapa final'!$Q$30),"")</f>
        <v/>
      </c>
      <c r="K20" s="53" t="str">
        <f>IF(AND('Mapa final'!$AA$31="Alta",'Mapa final'!$AC$31="Leve"),CONCATENATE("R5C",'Mapa final'!$Q$31),"")</f>
        <v/>
      </c>
      <c r="L20" s="53" t="str">
        <f>IF(AND('Mapa final'!$AA$32="Alta",'Mapa final'!$AC$32="Leve"),CONCATENATE("R5C",'Mapa final'!$Q$32),"")</f>
        <v/>
      </c>
      <c r="M20" s="53" t="str">
        <f>IF(AND('Mapa final'!$AA$33="Alta",'Mapa final'!$AC$33="Leve"),CONCATENATE("R5C",'Mapa final'!$Q$33),"")</f>
        <v/>
      </c>
      <c r="N20" s="53" t="str">
        <f>IF(AND('Mapa final'!$AA$34="Alta",'Mapa final'!$AC$34="Leve"),CONCATENATE("R5C",'Mapa final'!$Q$34),"")</f>
        <v/>
      </c>
      <c r="O20" s="54" t="str">
        <f>IF(AND('Mapa final'!$AA$35="Alta",'Mapa final'!$AC$35="Leve"),CONCATENATE("R5C",'Mapa final'!$Q$35),"")</f>
        <v/>
      </c>
      <c r="P20" s="52" t="str">
        <f>IF(AND('Mapa final'!$AA$30="Alta",'Mapa final'!$AC$30="Menor"),CONCATENATE("R5C",'Mapa final'!$Q$30),"")</f>
        <v/>
      </c>
      <c r="Q20" s="53" t="str">
        <f>IF(AND('Mapa final'!$AA$31="Alta",'Mapa final'!$AC$31="Menor"),CONCATENATE("R5C",'Mapa final'!$Q$31),"")</f>
        <v/>
      </c>
      <c r="R20" s="53" t="str">
        <f>IF(AND('Mapa final'!$AA$32="Alta",'Mapa final'!$AC$32="Menor"),CONCATENATE("R5C",'Mapa final'!$Q$32),"")</f>
        <v/>
      </c>
      <c r="S20" s="53" t="str">
        <f>IF(AND('Mapa final'!$AA$33="Alta",'Mapa final'!$AC$33="Menor"),CONCATENATE("R5C",'Mapa final'!$Q$33),"")</f>
        <v/>
      </c>
      <c r="T20" s="53" t="str">
        <f>IF(AND('Mapa final'!$AA$34="Alta",'Mapa final'!$AC$34="Menor"),CONCATENATE("R5C",'Mapa final'!$Q$34),"")</f>
        <v/>
      </c>
      <c r="U20" s="54" t="str">
        <f>IF(AND('Mapa final'!$AA$35="Alta",'Mapa final'!$AC$35="Menor"),CONCATENATE("R5C",'Mapa final'!$Q$35),"")</f>
        <v/>
      </c>
      <c r="V20" s="36" t="str">
        <f>IF(AND('Mapa final'!$AA$30="Alta",'Mapa final'!$AC$30="Moderado"),CONCATENATE("R5C",'Mapa final'!$Q$30),"")</f>
        <v/>
      </c>
      <c r="W20" s="37" t="str">
        <f>IF(AND('Mapa final'!$AA$31="Alta",'Mapa final'!$AC$31="Moderado"),CONCATENATE("R5C",'Mapa final'!$Q$31),"")</f>
        <v/>
      </c>
      <c r="X20" s="42" t="str">
        <f>IF(AND('Mapa final'!$AA$32="Alta",'Mapa final'!$AC$32="Moderado"),CONCATENATE("R5C",'Mapa final'!$Q$32),"")</f>
        <v/>
      </c>
      <c r="Y20" s="42" t="str">
        <f>IF(AND('Mapa final'!$AA$33="Alta",'Mapa final'!$AC$33="Moderado"),CONCATENATE("R5C",'Mapa final'!$Q$33),"")</f>
        <v/>
      </c>
      <c r="Z20" s="42" t="str">
        <f>IF(AND('Mapa final'!$AA$34="Alta",'Mapa final'!$AC$34="Moderado"),CONCATENATE("R5C",'Mapa final'!$Q$34),"")</f>
        <v/>
      </c>
      <c r="AA20" s="38" t="str">
        <f>IF(AND('Mapa final'!$AA$35="Alta",'Mapa final'!$AC$35="Moderado"),CONCATENATE("R5C",'Mapa final'!$Q$35),"")</f>
        <v/>
      </c>
      <c r="AB20" s="36" t="str">
        <f>IF(AND('Mapa final'!$AA$30="Alta",'Mapa final'!$AC$30="Mayor"),CONCATENATE("R5C",'Mapa final'!$Q$30),"")</f>
        <v/>
      </c>
      <c r="AC20" s="37" t="str">
        <f>IF(AND('Mapa final'!$AA$31="Alta",'Mapa final'!$AC$31="Mayor"),CONCATENATE("R5C",'Mapa final'!$Q$31),"")</f>
        <v/>
      </c>
      <c r="AD20" s="42" t="str">
        <f>IF(AND('Mapa final'!$AA$32="Alta",'Mapa final'!$AC$32="Mayor"),CONCATENATE("R5C",'Mapa final'!$Q$32),"")</f>
        <v/>
      </c>
      <c r="AE20" s="42" t="str">
        <f>IF(AND('Mapa final'!$AA$33="Alta",'Mapa final'!$AC$33="Mayor"),CONCATENATE("R5C",'Mapa final'!$Q$33),"")</f>
        <v/>
      </c>
      <c r="AF20" s="42" t="str">
        <f>IF(AND('Mapa final'!$AA$34="Alta",'Mapa final'!$AC$34="Mayor"),CONCATENATE("R5C",'Mapa final'!$Q$34),"")</f>
        <v/>
      </c>
      <c r="AG20" s="38" t="str">
        <f>IF(AND('Mapa final'!$AA$35="Alta",'Mapa final'!$AC$35="Mayor"),CONCATENATE("R5C",'Mapa final'!$Q$35),"")</f>
        <v/>
      </c>
      <c r="AH20" s="39" t="str">
        <f>IF(AND('Mapa final'!$AA$30="Alta",'Mapa final'!$AC$30="Catastrófico"),CONCATENATE("R5C",'Mapa final'!$Q$30),"")</f>
        <v/>
      </c>
      <c r="AI20" s="40" t="str">
        <f>IF(AND('Mapa final'!$AA$31="Alta",'Mapa final'!$AC$31="Catastrófico"),CONCATENATE("R5C",'Mapa final'!$Q$31),"")</f>
        <v/>
      </c>
      <c r="AJ20" s="40" t="str">
        <f>IF(AND('Mapa final'!$AA$32="Alta",'Mapa final'!$AC$32="Catastrófico"),CONCATENATE("R5C",'Mapa final'!$Q$32),"")</f>
        <v/>
      </c>
      <c r="AK20" s="40" t="str">
        <f>IF(AND('Mapa final'!$AA$33="Alta",'Mapa final'!$AC$33="Catastrófico"),CONCATENATE("R5C",'Mapa final'!$Q$33),"")</f>
        <v/>
      </c>
      <c r="AL20" s="40" t="str">
        <f>IF(AND('Mapa final'!$AA$34="Alta",'Mapa final'!$AC$34="Catastrófico"),CONCATENATE("R5C",'Mapa final'!$Q$34),"")</f>
        <v/>
      </c>
      <c r="AM20" s="41" t="str">
        <f>IF(AND('Mapa final'!$AA$35="Alta",'Mapa final'!$AC$35="Catastrófico"),CONCATENATE("R5C",'Mapa final'!$Q$35),"")</f>
        <v/>
      </c>
      <c r="AN20" s="68"/>
      <c r="AO20" s="399"/>
      <c r="AP20" s="400"/>
      <c r="AQ20" s="400"/>
      <c r="AR20" s="400"/>
      <c r="AS20" s="400"/>
      <c r="AT20" s="401"/>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348"/>
      <c r="C21" s="348"/>
      <c r="D21" s="349"/>
      <c r="E21" s="389"/>
      <c r="F21" s="390"/>
      <c r="G21" s="390"/>
      <c r="H21" s="390"/>
      <c r="I21" s="406"/>
      <c r="J21" s="52" t="str">
        <f>IF(AND('Mapa final'!$AA$36="Alta",'Mapa final'!$AC$36="Leve"),CONCATENATE("R6C",'Mapa final'!$Q$36),"")</f>
        <v/>
      </c>
      <c r="K21" s="53" t="str">
        <f>IF(AND('Mapa final'!$AA$37="Alta",'Mapa final'!$AC$37="Leve"),CONCATENATE("R6C",'Mapa final'!$Q$37),"")</f>
        <v/>
      </c>
      <c r="L21" s="53" t="str">
        <f>IF(AND('Mapa final'!$AA$38="Alta",'Mapa final'!$AC$38="Leve"),CONCATENATE("R6C",'Mapa final'!$Q$38),"")</f>
        <v/>
      </c>
      <c r="M21" s="53" t="str">
        <f>IF(AND('Mapa final'!$AA$39="Alta",'Mapa final'!$AC$39="Leve"),CONCATENATE("R6C",'Mapa final'!$Q$39),"")</f>
        <v/>
      </c>
      <c r="N21" s="53" t="str">
        <f>IF(AND('Mapa final'!$AA$40="Alta",'Mapa final'!$AC$40="Leve"),CONCATENATE("R6C",'Mapa final'!$Q$40),"")</f>
        <v/>
      </c>
      <c r="O21" s="54" t="str">
        <f>IF(AND('Mapa final'!$AA$41="Alta",'Mapa final'!$AC$41="Leve"),CONCATENATE("R6C",'Mapa final'!$Q$41),"")</f>
        <v/>
      </c>
      <c r="P21" s="52" t="str">
        <f>IF(AND('Mapa final'!$AA$36="Alta",'Mapa final'!$AC$36="Menor"),CONCATENATE("R6C",'Mapa final'!$Q$36),"")</f>
        <v/>
      </c>
      <c r="Q21" s="53" t="str">
        <f>IF(AND('Mapa final'!$AA$37="Alta",'Mapa final'!$AC$37="Menor"),CONCATENATE("R6C",'Mapa final'!$Q$37),"")</f>
        <v/>
      </c>
      <c r="R21" s="53" t="str">
        <f>IF(AND('Mapa final'!$AA$38="Alta",'Mapa final'!$AC$38="Menor"),CONCATENATE("R6C",'Mapa final'!$Q$38),"")</f>
        <v/>
      </c>
      <c r="S21" s="53" t="str">
        <f>IF(AND('Mapa final'!$AA$39="Alta",'Mapa final'!$AC$39="Menor"),CONCATENATE("R6C",'Mapa final'!$Q$39),"")</f>
        <v/>
      </c>
      <c r="T21" s="53" t="str">
        <f>IF(AND('Mapa final'!$AA$40="Alta",'Mapa final'!$AC$40="Menor"),CONCATENATE("R6C",'Mapa final'!$Q$40),"")</f>
        <v/>
      </c>
      <c r="U21" s="54" t="str">
        <f>IF(AND('Mapa final'!$AA$41="Alta",'Mapa final'!$AC$41="Menor"),CONCATENATE("R6C",'Mapa final'!$Q$41),"")</f>
        <v/>
      </c>
      <c r="V21" s="36" t="str">
        <f>IF(AND('Mapa final'!$AA$36="Alta",'Mapa final'!$AC$36="Moderado"),CONCATENATE("R6C",'Mapa final'!$Q$36),"")</f>
        <v/>
      </c>
      <c r="W21" s="37" t="str">
        <f>IF(AND('Mapa final'!$AA$37="Alta",'Mapa final'!$AC$37="Moderado"),CONCATENATE("R6C",'Mapa final'!$Q$37),"")</f>
        <v/>
      </c>
      <c r="X21" s="42" t="str">
        <f>IF(AND('Mapa final'!$AA$38="Alta",'Mapa final'!$AC$38="Moderado"),CONCATENATE("R6C",'Mapa final'!$Q$38),"")</f>
        <v/>
      </c>
      <c r="Y21" s="42" t="str">
        <f>IF(AND('Mapa final'!$AA$39="Alta",'Mapa final'!$AC$39="Moderado"),CONCATENATE("R6C",'Mapa final'!$Q$39),"")</f>
        <v/>
      </c>
      <c r="Z21" s="42" t="str">
        <f>IF(AND('Mapa final'!$AA$40="Alta",'Mapa final'!$AC$40="Moderado"),CONCATENATE("R6C",'Mapa final'!$Q$40),"")</f>
        <v/>
      </c>
      <c r="AA21" s="38" t="str">
        <f>IF(AND('Mapa final'!$AA$41="Alta",'Mapa final'!$AC$41="Moderado"),CONCATENATE("R6C",'Mapa final'!$Q$41),"")</f>
        <v/>
      </c>
      <c r="AB21" s="36" t="str">
        <f>IF(AND('Mapa final'!$AA$36="Alta",'Mapa final'!$AC$36="Mayor"),CONCATENATE("R6C",'Mapa final'!$Q$36),"")</f>
        <v/>
      </c>
      <c r="AC21" s="37" t="str">
        <f>IF(AND('Mapa final'!$AA$37="Alta",'Mapa final'!$AC$37="Mayor"),CONCATENATE("R6C",'Mapa final'!$Q$37),"")</f>
        <v/>
      </c>
      <c r="AD21" s="42" t="str">
        <f>IF(AND('Mapa final'!$AA$38="Alta",'Mapa final'!$AC$38="Mayor"),CONCATENATE("R6C",'Mapa final'!$Q$38),"")</f>
        <v/>
      </c>
      <c r="AE21" s="42" t="str">
        <f>IF(AND('Mapa final'!$AA$39="Alta",'Mapa final'!$AC$39="Mayor"),CONCATENATE("R6C",'Mapa final'!$Q$39),"")</f>
        <v/>
      </c>
      <c r="AF21" s="42" t="str">
        <f>IF(AND('Mapa final'!$AA$40="Alta",'Mapa final'!$AC$40="Mayor"),CONCATENATE("R6C",'Mapa final'!$Q$40),"")</f>
        <v/>
      </c>
      <c r="AG21" s="38" t="str">
        <f>IF(AND('Mapa final'!$AA$41="Alta",'Mapa final'!$AC$41="Mayor"),CONCATENATE("R6C",'Mapa final'!$Q$41),"")</f>
        <v/>
      </c>
      <c r="AH21" s="39" t="str">
        <f>IF(AND('Mapa final'!$AA$36="Alta",'Mapa final'!$AC$36="Catastrófico"),CONCATENATE("R6C",'Mapa final'!$Q$36),"")</f>
        <v/>
      </c>
      <c r="AI21" s="40" t="str">
        <f>IF(AND('Mapa final'!$AA$37="Alta",'Mapa final'!$AC$37="Catastrófico"),CONCATENATE("R6C",'Mapa final'!$Q$37),"")</f>
        <v/>
      </c>
      <c r="AJ21" s="40" t="str">
        <f>IF(AND('Mapa final'!$AA$38="Alta",'Mapa final'!$AC$38="Catastrófico"),CONCATENATE("R6C",'Mapa final'!$Q$38),"")</f>
        <v/>
      </c>
      <c r="AK21" s="40" t="str">
        <f>IF(AND('Mapa final'!$AA$39="Alta",'Mapa final'!$AC$39="Catastrófico"),CONCATENATE("R6C",'Mapa final'!$Q$39),"")</f>
        <v/>
      </c>
      <c r="AL21" s="40" t="str">
        <f>IF(AND('Mapa final'!$AA$40="Alta",'Mapa final'!$AC$40="Catastrófico"),CONCATENATE("R6C",'Mapa final'!$Q$40),"")</f>
        <v/>
      </c>
      <c r="AM21" s="41" t="str">
        <f>IF(AND('Mapa final'!$AA$41="Alta",'Mapa final'!$AC$41="Catastrófico"),CONCATENATE("R6C",'Mapa final'!$Q$41),"")</f>
        <v/>
      </c>
      <c r="AN21" s="68"/>
      <c r="AO21" s="399"/>
      <c r="AP21" s="400"/>
      <c r="AQ21" s="400"/>
      <c r="AR21" s="400"/>
      <c r="AS21" s="400"/>
      <c r="AT21" s="401"/>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348"/>
      <c r="C22" s="348"/>
      <c r="D22" s="349"/>
      <c r="E22" s="389"/>
      <c r="F22" s="390"/>
      <c r="G22" s="390"/>
      <c r="H22" s="390"/>
      <c r="I22" s="406"/>
      <c r="J22" s="52" t="str">
        <f>IF(AND('Mapa final'!$AA$42="Alta",'Mapa final'!$AC$42="Leve"),CONCATENATE("R7C",'Mapa final'!$Q$42),"")</f>
        <v/>
      </c>
      <c r="K22" s="53" t="str">
        <f>IF(AND('Mapa final'!$AA$43="Alta",'Mapa final'!$AC$43="Leve"),CONCATENATE("R7C",'Mapa final'!$Q$43),"")</f>
        <v/>
      </c>
      <c r="L22" s="53" t="str">
        <f>IF(AND('Mapa final'!$AA$44="Alta",'Mapa final'!$AC$44="Leve"),CONCATENATE("R7C",'Mapa final'!$Q$44),"")</f>
        <v/>
      </c>
      <c r="M22" s="53" t="str">
        <f>IF(AND('Mapa final'!$AA$45="Alta",'Mapa final'!$AC$45="Leve"),CONCATENATE("R7C",'Mapa final'!$Q$45),"")</f>
        <v/>
      </c>
      <c r="N22" s="53" t="str">
        <f>IF(AND('Mapa final'!$AA$46="Alta",'Mapa final'!$AC$46="Leve"),CONCATENATE("R7C",'Mapa final'!$Q$46),"")</f>
        <v/>
      </c>
      <c r="O22" s="54" t="str">
        <f>IF(AND('Mapa final'!$AA$47="Alta",'Mapa final'!$AC$47="Leve"),CONCATENATE("R7C",'Mapa final'!$Q$47),"")</f>
        <v/>
      </c>
      <c r="P22" s="52" t="str">
        <f>IF(AND('Mapa final'!$AA$42="Alta",'Mapa final'!$AC$42="Menor"),CONCATENATE("R7C",'Mapa final'!$Q$42),"")</f>
        <v/>
      </c>
      <c r="Q22" s="53" t="str">
        <f>IF(AND('Mapa final'!$AA$43="Alta",'Mapa final'!$AC$43="Menor"),CONCATENATE("R7C",'Mapa final'!$Q$43),"")</f>
        <v/>
      </c>
      <c r="R22" s="53" t="str">
        <f>IF(AND('Mapa final'!$AA$44="Alta",'Mapa final'!$AC$44="Menor"),CONCATENATE("R7C",'Mapa final'!$Q$44),"")</f>
        <v/>
      </c>
      <c r="S22" s="53" t="str">
        <f>IF(AND('Mapa final'!$AA$45="Alta",'Mapa final'!$AC$45="Menor"),CONCATENATE("R7C",'Mapa final'!$Q$45),"")</f>
        <v/>
      </c>
      <c r="T22" s="53" t="str">
        <f>IF(AND('Mapa final'!$AA$46="Alta",'Mapa final'!$AC$46="Menor"),CONCATENATE("R7C",'Mapa final'!$Q$46),"")</f>
        <v/>
      </c>
      <c r="U22" s="54" t="str">
        <f>IF(AND('Mapa final'!$AA$47="Alta",'Mapa final'!$AC$47="Menor"),CONCATENATE("R7C",'Mapa final'!$Q$47),"")</f>
        <v/>
      </c>
      <c r="V22" s="36" t="str">
        <f>IF(AND('Mapa final'!$AA$42="Alta",'Mapa final'!$AC$42="Moderado"),CONCATENATE("R7C",'Mapa final'!$Q$42),"")</f>
        <v/>
      </c>
      <c r="W22" s="37" t="str">
        <f>IF(AND('Mapa final'!$AA$43="Alta",'Mapa final'!$AC$43="Moderado"),CONCATENATE("R7C",'Mapa final'!$Q$43),"")</f>
        <v/>
      </c>
      <c r="X22" s="42" t="str">
        <f>IF(AND('Mapa final'!$AA$44="Alta",'Mapa final'!$AC$44="Moderado"),CONCATENATE("R7C",'Mapa final'!$Q$44),"")</f>
        <v/>
      </c>
      <c r="Y22" s="42" t="str">
        <f>IF(AND('Mapa final'!$AA$45="Alta",'Mapa final'!$AC$45="Moderado"),CONCATENATE("R7C",'Mapa final'!$Q$45),"")</f>
        <v/>
      </c>
      <c r="Z22" s="42" t="str">
        <f>IF(AND('Mapa final'!$AA$46="Alta",'Mapa final'!$AC$46="Moderado"),CONCATENATE("R7C",'Mapa final'!$Q$46),"")</f>
        <v/>
      </c>
      <c r="AA22" s="38" t="str">
        <f>IF(AND('Mapa final'!$AA$47="Alta",'Mapa final'!$AC$47="Moderado"),CONCATENATE("R7C",'Mapa final'!$Q$47),"")</f>
        <v/>
      </c>
      <c r="AB22" s="36" t="str">
        <f>IF(AND('Mapa final'!$AA$42="Alta",'Mapa final'!$AC$42="Mayor"),CONCATENATE("R7C",'Mapa final'!$Q$42),"")</f>
        <v/>
      </c>
      <c r="AC22" s="37" t="str">
        <f>IF(AND('Mapa final'!$AA$43="Alta",'Mapa final'!$AC$43="Mayor"),CONCATENATE("R7C",'Mapa final'!$Q$43),"")</f>
        <v/>
      </c>
      <c r="AD22" s="42" t="str">
        <f>IF(AND('Mapa final'!$AA$44="Alta",'Mapa final'!$AC$44="Mayor"),CONCATENATE("R7C",'Mapa final'!$Q$44),"")</f>
        <v/>
      </c>
      <c r="AE22" s="42" t="str">
        <f>IF(AND('Mapa final'!$AA$45="Alta",'Mapa final'!$AC$45="Mayor"),CONCATENATE("R7C",'Mapa final'!$Q$45),"")</f>
        <v/>
      </c>
      <c r="AF22" s="42" t="str">
        <f>IF(AND('Mapa final'!$AA$46="Alta",'Mapa final'!$AC$46="Mayor"),CONCATENATE("R7C",'Mapa final'!$Q$46),"")</f>
        <v/>
      </c>
      <c r="AG22" s="38" t="str">
        <f>IF(AND('Mapa final'!$AA$47="Alta",'Mapa final'!$AC$47="Mayor"),CONCATENATE("R7C",'Mapa final'!$Q$47),"")</f>
        <v/>
      </c>
      <c r="AH22" s="39" t="str">
        <f>IF(AND('Mapa final'!$AA$42="Alta",'Mapa final'!$AC$42="Catastrófico"),CONCATENATE("R7C",'Mapa final'!$Q$42),"")</f>
        <v/>
      </c>
      <c r="AI22" s="40" t="str">
        <f>IF(AND('Mapa final'!$AA$43="Alta",'Mapa final'!$AC$43="Catastrófico"),CONCATENATE("R7C",'Mapa final'!$Q$43),"")</f>
        <v/>
      </c>
      <c r="AJ22" s="40" t="str">
        <f>IF(AND('Mapa final'!$AA$44="Alta",'Mapa final'!$AC$44="Catastrófico"),CONCATENATE("R7C",'Mapa final'!$Q$44),"")</f>
        <v/>
      </c>
      <c r="AK22" s="40" t="str">
        <f>IF(AND('Mapa final'!$AA$45="Alta",'Mapa final'!$AC$45="Catastrófico"),CONCATENATE("R7C",'Mapa final'!$Q$45),"")</f>
        <v/>
      </c>
      <c r="AL22" s="40" t="str">
        <f>IF(AND('Mapa final'!$AA$46="Alta",'Mapa final'!$AC$46="Catastrófico"),CONCATENATE("R7C",'Mapa final'!$Q$46),"")</f>
        <v/>
      </c>
      <c r="AM22" s="41" t="str">
        <f>IF(AND('Mapa final'!$AA$47="Alta",'Mapa final'!$AC$47="Catastrófico"),CONCATENATE("R7C",'Mapa final'!$Q$47),"")</f>
        <v/>
      </c>
      <c r="AN22" s="68"/>
      <c r="AO22" s="399"/>
      <c r="AP22" s="400"/>
      <c r="AQ22" s="400"/>
      <c r="AR22" s="400"/>
      <c r="AS22" s="400"/>
      <c r="AT22" s="401"/>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348"/>
      <c r="C23" s="348"/>
      <c r="D23" s="349"/>
      <c r="E23" s="389"/>
      <c r="F23" s="390"/>
      <c r="G23" s="390"/>
      <c r="H23" s="390"/>
      <c r="I23" s="406"/>
      <c r="J23" s="52" t="str">
        <f>IF(AND('Mapa final'!$AA$48="Alta",'Mapa final'!$AC$48="Leve"),CONCATENATE("R8C",'Mapa final'!$Q$48),"")</f>
        <v/>
      </c>
      <c r="K23" s="53" t="str">
        <f>IF(AND('Mapa final'!$AA$49="Alta",'Mapa final'!$AC$49="Leve"),CONCATENATE("R8C",'Mapa final'!$Q$49),"")</f>
        <v/>
      </c>
      <c r="L23" s="53" t="str">
        <f>IF(AND('Mapa final'!$AA$50="Alta",'Mapa final'!$AC$50="Leve"),CONCATENATE("R8C",'Mapa final'!$Q$50),"")</f>
        <v/>
      </c>
      <c r="M23" s="53" t="str">
        <f>IF(AND('Mapa final'!$AA$51="Alta",'Mapa final'!$AC$51="Leve"),CONCATENATE("R8C",'Mapa final'!$Q$51),"")</f>
        <v/>
      </c>
      <c r="N23" s="53" t="str">
        <f>IF(AND('Mapa final'!$AA$52="Alta",'Mapa final'!$AC$52="Leve"),CONCATENATE("R8C",'Mapa final'!$Q$52),"")</f>
        <v/>
      </c>
      <c r="O23" s="54" t="str">
        <f>IF(AND('Mapa final'!$AA$53="Alta",'Mapa final'!$AC$53="Leve"),CONCATENATE("R8C",'Mapa final'!$Q$53),"")</f>
        <v/>
      </c>
      <c r="P23" s="52" t="str">
        <f>IF(AND('Mapa final'!$AA$48="Alta",'Mapa final'!$AC$48="Menor"),CONCATENATE("R8C",'Mapa final'!$Q$48),"")</f>
        <v/>
      </c>
      <c r="Q23" s="53" t="str">
        <f>IF(AND('Mapa final'!$AA$49="Alta",'Mapa final'!$AC$49="Menor"),CONCATENATE("R8C",'Mapa final'!$Q$49),"")</f>
        <v/>
      </c>
      <c r="R23" s="53" t="str">
        <f>IF(AND('Mapa final'!$AA$50="Alta",'Mapa final'!$AC$50="Menor"),CONCATENATE("R8C",'Mapa final'!$Q$50),"")</f>
        <v/>
      </c>
      <c r="S23" s="53" t="str">
        <f>IF(AND('Mapa final'!$AA$51="Alta",'Mapa final'!$AC$51="Menor"),CONCATENATE("R8C",'Mapa final'!$Q$51),"")</f>
        <v/>
      </c>
      <c r="T23" s="53" t="str">
        <f>IF(AND('Mapa final'!$AA$52="Alta",'Mapa final'!$AC$52="Menor"),CONCATENATE("R8C",'Mapa final'!$Q$52),"")</f>
        <v/>
      </c>
      <c r="U23" s="54" t="str">
        <f>IF(AND('Mapa final'!$AA$53="Alta",'Mapa final'!$AC$53="Menor"),CONCATENATE("R8C",'Mapa final'!$Q$53),"")</f>
        <v/>
      </c>
      <c r="V23" s="36" t="str">
        <f>IF(AND('Mapa final'!$AA$48="Alta",'Mapa final'!$AC$48="Moderado"),CONCATENATE("R8C",'Mapa final'!$Q$48),"")</f>
        <v/>
      </c>
      <c r="W23" s="37" t="str">
        <f>IF(AND('Mapa final'!$AA$49="Alta",'Mapa final'!$AC$49="Moderado"),CONCATENATE("R8C",'Mapa final'!$Q$49),"")</f>
        <v/>
      </c>
      <c r="X23" s="42" t="str">
        <f>IF(AND('Mapa final'!$AA$50="Alta",'Mapa final'!$AC$50="Moderado"),CONCATENATE("R8C",'Mapa final'!$Q$50),"")</f>
        <v/>
      </c>
      <c r="Y23" s="42" t="str">
        <f>IF(AND('Mapa final'!$AA$51="Alta",'Mapa final'!$AC$51="Moderado"),CONCATENATE("R8C",'Mapa final'!$Q$51),"")</f>
        <v/>
      </c>
      <c r="Z23" s="42" t="str">
        <f>IF(AND('Mapa final'!$AA$52="Alta",'Mapa final'!$AC$52="Moderado"),CONCATENATE("R8C",'Mapa final'!$Q$52),"")</f>
        <v/>
      </c>
      <c r="AA23" s="38" t="str">
        <f>IF(AND('Mapa final'!$AA$53="Alta",'Mapa final'!$AC$53="Moderado"),CONCATENATE("R8C",'Mapa final'!$Q$53),"")</f>
        <v/>
      </c>
      <c r="AB23" s="36" t="str">
        <f>IF(AND('Mapa final'!$AA$48="Alta",'Mapa final'!$AC$48="Mayor"),CONCATENATE("R8C",'Mapa final'!$Q$48),"")</f>
        <v/>
      </c>
      <c r="AC23" s="37" t="str">
        <f>IF(AND('Mapa final'!$AA$49="Alta",'Mapa final'!$AC$49="Mayor"),CONCATENATE("R8C",'Mapa final'!$Q$49),"")</f>
        <v/>
      </c>
      <c r="AD23" s="42" t="str">
        <f>IF(AND('Mapa final'!$AA$50="Alta",'Mapa final'!$AC$50="Mayor"),CONCATENATE("R8C",'Mapa final'!$Q$50),"")</f>
        <v/>
      </c>
      <c r="AE23" s="42" t="str">
        <f>IF(AND('Mapa final'!$AA$51="Alta",'Mapa final'!$AC$51="Mayor"),CONCATENATE("R8C",'Mapa final'!$Q$51),"")</f>
        <v/>
      </c>
      <c r="AF23" s="42" t="str">
        <f>IF(AND('Mapa final'!$AA$52="Alta",'Mapa final'!$AC$52="Mayor"),CONCATENATE("R8C",'Mapa final'!$Q$52),"")</f>
        <v/>
      </c>
      <c r="AG23" s="38" t="str">
        <f>IF(AND('Mapa final'!$AA$53="Alta",'Mapa final'!$AC$53="Mayor"),CONCATENATE("R8C",'Mapa final'!$Q$53),"")</f>
        <v/>
      </c>
      <c r="AH23" s="39" t="str">
        <f>IF(AND('Mapa final'!$AA$48="Alta",'Mapa final'!$AC$48="Catastrófico"),CONCATENATE("R8C",'Mapa final'!$Q$48),"")</f>
        <v/>
      </c>
      <c r="AI23" s="40" t="str">
        <f>IF(AND('Mapa final'!$AA$49="Alta",'Mapa final'!$AC$49="Catastrófico"),CONCATENATE("R8C",'Mapa final'!$Q$49),"")</f>
        <v/>
      </c>
      <c r="AJ23" s="40" t="str">
        <f>IF(AND('Mapa final'!$AA$50="Alta",'Mapa final'!$AC$50="Catastrófico"),CONCATENATE("R8C",'Mapa final'!$Q$50),"")</f>
        <v/>
      </c>
      <c r="AK23" s="40" t="str">
        <f>IF(AND('Mapa final'!$AA$51="Alta",'Mapa final'!$AC$51="Catastrófico"),CONCATENATE("R8C",'Mapa final'!$Q$51),"")</f>
        <v/>
      </c>
      <c r="AL23" s="40" t="str">
        <f>IF(AND('Mapa final'!$AA$52="Alta",'Mapa final'!$AC$52="Catastrófico"),CONCATENATE("R8C",'Mapa final'!$Q$52),"")</f>
        <v/>
      </c>
      <c r="AM23" s="41" t="str">
        <f>IF(AND('Mapa final'!$AA$53="Alta",'Mapa final'!$AC$53="Catastrófico"),CONCATENATE("R8C",'Mapa final'!$Q$53),"")</f>
        <v/>
      </c>
      <c r="AN23" s="68"/>
      <c r="AO23" s="399"/>
      <c r="AP23" s="400"/>
      <c r="AQ23" s="400"/>
      <c r="AR23" s="400"/>
      <c r="AS23" s="400"/>
      <c r="AT23" s="401"/>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348"/>
      <c r="C24" s="348"/>
      <c r="D24" s="349"/>
      <c r="E24" s="389"/>
      <c r="F24" s="390"/>
      <c r="G24" s="390"/>
      <c r="H24" s="390"/>
      <c r="I24" s="406"/>
      <c r="J24" s="52" t="str">
        <f>IF(AND('Mapa final'!$AA$54="Alta",'Mapa final'!$AC$54="Leve"),CONCATENATE("R9C",'Mapa final'!$Q$54),"")</f>
        <v/>
      </c>
      <c r="K24" s="53" t="str">
        <f>IF(AND('Mapa final'!$AA$55="Alta",'Mapa final'!$AC$55="Leve"),CONCATENATE("R9C",'Mapa final'!$Q$55),"")</f>
        <v/>
      </c>
      <c r="L24" s="53" t="str">
        <f>IF(AND('Mapa final'!$AA$56="Alta",'Mapa final'!$AC$56="Leve"),CONCATENATE("R9C",'Mapa final'!$Q$56),"")</f>
        <v/>
      </c>
      <c r="M24" s="53" t="str">
        <f>IF(AND('Mapa final'!$AA$57="Alta",'Mapa final'!$AC$57="Leve"),CONCATENATE("R9C",'Mapa final'!$Q$57),"")</f>
        <v/>
      </c>
      <c r="N24" s="53" t="str">
        <f>IF(AND('Mapa final'!$AA$58="Alta",'Mapa final'!$AC$58="Leve"),CONCATENATE("R9C",'Mapa final'!$Q$58),"")</f>
        <v/>
      </c>
      <c r="O24" s="54" t="str">
        <f>IF(AND('Mapa final'!$AA$59="Alta",'Mapa final'!$AC$59="Leve"),CONCATENATE("R9C",'Mapa final'!$Q$59),"")</f>
        <v/>
      </c>
      <c r="P24" s="52" t="str">
        <f>IF(AND('Mapa final'!$AA$54="Alta",'Mapa final'!$AC$54="Menor"),CONCATENATE("R9C",'Mapa final'!$Q$54),"")</f>
        <v/>
      </c>
      <c r="Q24" s="53" t="str">
        <f>IF(AND('Mapa final'!$AA$55="Alta",'Mapa final'!$AC$55="Menor"),CONCATENATE("R9C",'Mapa final'!$Q$55),"")</f>
        <v/>
      </c>
      <c r="R24" s="53" t="str">
        <f>IF(AND('Mapa final'!$AA$56="Alta",'Mapa final'!$AC$56="Menor"),CONCATENATE("R9C",'Mapa final'!$Q$56),"")</f>
        <v/>
      </c>
      <c r="S24" s="53" t="str">
        <f>IF(AND('Mapa final'!$AA$57="Alta",'Mapa final'!$AC$57="Menor"),CONCATENATE("R9C",'Mapa final'!$Q$57),"")</f>
        <v/>
      </c>
      <c r="T24" s="53" t="str">
        <f>IF(AND('Mapa final'!$AA$58="Alta",'Mapa final'!$AC$58="Menor"),CONCATENATE("R9C",'Mapa final'!$Q$58),"")</f>
        <v/>
      </c>
      <c r="U24" s="54" t="str">
        <f>IF(AND('Mapa final'!$AA$59="Alta",'Mapa final'!$AC$59="Menor"),CONCATENATE("R9C",'Mapa final'!$Q$59),"")</f>
        <v/>
      </c>
      <c r="V24" s="36" t="str">
        <f>IF(AND('Mapa final'!$AA$54="Alta",'Mapa final'!$AC$54="Moderado"),CONCATENATE("R9C",'Mapa final'!$Q$54),"")</f>
        <v/>
      </c>
      <c r="W24" s="37" t="str">
        <f>IF(AND('Mapa final'!$AA$55="Alta",'Mapa final'!$AC$55="Moderado"),CONCATENATE("R9C",'Mapa final'!$Q$55),"")</f>
        <v/>
      </c>
      <c r="X24" s="42" t="str">
        <f>IF(AND('Mapa final'!$AA$56="Alta",'Mapa final'!$AC$56="Moderado"),CONCATENATE("R9C",'Mapa final'!$Q$56),"")</f>
        <v/>
      </c>
      <c r="Y24" s="42" t="str">
        <f>IF(AND('Mapa final'!$AA$57="Alta",'Mapa final'!$AC$57="Moderado"),CONCATENATE("R9C",'Mapa final'!$Q$57),"")</f>
        <v/>
      </c>
      <c r="Z24" s="42" t="str">
        <f>IF(AND('Mapa final'!$AA$58="Alta",'Mapa final'!$AC$58="Moderado"),CONCATENATE("R9C",'Mapa final'!$Q$58),"")</f>
        <v/>
      </c>
      <c r="AA24" s="38" t="str">
        <f>IF(AND('Mapa final'!$AA$59="Alta",'Mapa final'!$AC$59="Moderado"),CONCATENATE("R9C",'Mapa final'!$Q$59),"")</f>
        <v/>
      </c>
      <c r="AB24" s="36" t="str">
        <f>IF(AND('Mapa final'!$AA$54="Alta",'Mapa final'!$AC$54="Mayor"),CONCATENATE("R9C",'Mapa final'!$Q$54),"")</f>
        <v/>
      </c>
      <c r="AC24" s="37" t="str">
        <f>IF(AND('Mapa final'!$AA$55="Alta",'Mapa final'!$AC$55="Mayor"),CONCATENATE("R9C",'Mapa final'!$Q$55),"")</f>
        <v/>
      </c>
      <c r="AD24" s="42" t="str">
        <f>IF(AND('Mapa final'!$AA$56="Alta",'Mapa final'!$AC$56="Mayor"),CONCATENATE("R9C",'Mapa final'!$Q$56),"")</f>
        <v/>
      </c>
      <c r="AE24" s="42" t="str">
        <f>IF(AND('Mapa final'!$AA$57="Alta",'Mapa final'!$AC$57="Mayor"),CONCATENATE("R9C",'Mapa final'!$Q$57),"")</f>
        <v/>
      </c>
      <c r="AF24" s="42" t="str">
        <f>IF(AND('Mapa final'!$AA$58="Alta",'Mapa final'!$AC$58="Mayor"),CONCATENATE("R9C",'Mapa final'!$Q$58),"")</f>
        <v/>
      </c>
      <c r="AG24" s="38" t="str">
        <f>IF(AND('Mapa final'!$AA$59="Alta",'Mapa final'!$AC$59="Mayor"),CONCATENATE("R9C",'Mapa final'!$Q$59),"")</f>
        <v/>
      </c>
      <c r="AH24" s="39" t="str">
        <f>IF(AND('Mapa final'!$AA$54="Alta",'Mapa final'!$AC$54="Catastrófico"),CONCATENATE("R9C",'Mapa final'!$Q$54),"")</f>
        <v/>
      </c>
      <c r="AI24" s="40" t="str">
        <f>IF(AND('Mapa final'!$AA$55="Alta",'Mapa final'!$AC$55="Catastrófico"),CONCATENATE("R9C",'Mapa final'!$Q$55),"")</f>
        <v/>
      </c>
      <c r="AJ24" s="40" t="str">
        <f>IF(AND('Mapa final'!$AA$56="Alta",'Mapa final'!$AC$56="Catastrófico"),CONCATENATE("R9C",'Mapa final'!$Q$56),"")</f>
        <v/>
      </c>
      <c r="AK24" s="40" t="str">
        <f>IF(AND('Mapa final'!$AA$57="Alta",'Mapa final'!$AC$57="Catastrófico"),CONCATENATE("R9C",'Mapa final'!$Q$57),"")</f>
        <v/>
      </c>
      <c r="AL24" s="40" t="str">
        <f>IF(AND('Mapa final'!$AA$58="Alta",'Mapa final'!$AC$58="Catastrófico"),CONCATENATE("R9C",'Mapa final'!$Q$58),"")</f>
        <v/>
      </c>
      <c r="AM24" s="41" t="str">
        <f>IF(AND('Mapa final'!$AA$59="Alta",'Mapa final'!$AC$59="Catastrófico"),CONCATENATE("R9C",'Mapa final'!$Q$59),"")</f>
        <v/>
      </c>
      <c r="AN24" s="68"/>
      <c r="AO24" s="399"/>
      <c r="AP24" s="400"/>
      <c r="AQ24" s="400"/>
      <c r="AR24" s="400"/>
      <c r="AS24" s="400"/>
      <c r="AT24" s="401"/>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348"/>
      <c r="C25" s="348"/>
      <c r="D25" s="349"/>
      <c r="E25" s="392"/>
      <c r="F25" s="393"/>
      <c r="G25" s="393"/>
      <c r="H25" s="393"/>
      <c r="I25" s="393"/>
      <c r="J25" s="55" t="str">
        <f>IF(AND('Mapa final'!$AA$60="Alta",'Mapa final'!$AC$60="Leve"),CONCATENATE("R10C",'Mapa final'!$Q$60),"")</f>
        <v/>
      </c>
      <c r="K25" s="56" t="str">
        <f>IF(AND('Mapa final'!$AA$61="Alta",'Mapa final'!$AC$61="Leve"),CONCATENATE("R10C",'Mapa final'!$Q$61),"")</f>
        <v/>
      </c>
      <c r="L25" s="56" t="str">
        <f>IF(AND('Mapa final'!$AA$62="Alta",'Mapa final'!$AC$62="Leve"),CONCATENATE("R10C",'Mapa final'!$Q$62),"")</f>
        <v/>
      </c>
      <c r="M25" s="56" t="str">
        <f>IF(AND('Mapa final'!$AA$63="Alta",'Mapa final'!$AC$63="Leve"),CONCATENATE("R10C",'Mapa final'!$Q$63),"")</f>
        <v/>
      </c>
      <c r="N25" s="56" t="str">
        <f>IF(AND('Mapa final'!$AA$64="Alta",'Mapa final'!$AC$64="Leve"),CONCATENATE("R10C",'Mapa final'!$Q$64),"")</f>
        <v/>
      </c>
      <c r="O25" s="57" t="str">
        <f>IF(AND('Mapa final'!$AA$65="Alta",'Mapa final'!$AC$65="Leve"),CONCATENATE("R10C",'Mapa final'!$Q$65),"")</f>
        <v/>
      </c>
      <c r="P25" s="55" t="str">
        <f>IF(AND('Mapa final'!$AA$60="Alta",'Mapa final'!$AC$60="Menor"),CONCATENATE("R10C",'Mapa final'!$Q$60),"")</f>
        <v/>
      </c>
      <c r="Q25" s="56" t="str">
        <f>IF(AND('Mapa final'!$AA$61="Alta",'Mapa final'!$AC$61="Menor"),CONCATENATE("R10C",'Mapa final'!$Q$61),"")</f>
        <v/>
      </c>
      <c r="R25" s="56" t="str">
        <f>IF(AND('Mapa final'!$AA$62="Alta",'Mapa final'!$AC$62="Menor"),CONCATENATE("R10C",'Mapa final'!$Q$62),"")</f>
        <v/>
      </c>
      <c r="S25" s="56" t="str">
        <f>IF(AND('Mapa final'!$AA$63="Alta",'Mapa final'!$AC$63="Menor"),CONCATENATE("R10C",'Mapa final'!$Q$63),"")</f>
        <v/>
      </c>
      <c r="T25" s="56" t="str">
        <f>IF(AND('Mapa final'!$AA$64="Alta",'Mapa final'!$AC$64="Menor"),CONCATENATE("R10C",'Mapa final'!$Q$64),"")</f>
        <v/>
      </c>
      <c r="U25" s="57" t="str">
        <f>IF(AND('Mapa final'!$AA$65="Alta",'Mapa final'!$AC$65="Menor"),CONCATENATE("R10C",'Mapa final'!$Q$65),"")</f>
        <v/>
      </c>
      <c r="V25" s="43" t="str">
        <f>IF(AND('Mapa final'!$AA$60="Alta",'Mapa final'!$AC$60="Moderado"),CONCATENATE("R10C",'Mapa final'!$Q$60),"")</f>
        <v/>
      </c>
      <c r="W25" s="44" t="str">
        <f>IF(AND('Mapa final'!$AA$61="Alta",'Mapa final'!$AC$61="Moderado"),CONCATENATE("R10C",'Mapa final'!$Q$61),"")</f>
        <v/>
      </c>
      <c r="X25" s="44" t="str">
        <f>IF(AND('Mapa final'!$AA$62="Alta",'Mapa final'!$AC$62="Moderado"),CONCATENATE("R10C",'Mapa final'!$Q$62),"")</f>
        <v/>
      </c>
      <c r="Y25" s="44" t="str">
        <f>IF(AND('Mapa final'!$AA$63="Alta",'Mapa final'!$AC$63="Moderado"),CONCATENATE("R10C",'Mapa final'!$Q$63),"")</f>
        <v/>
      </c>
      <c r="Z25" s="44" t="str">
        <f>IF(AND('Mapa final'!$AA$64="Alta",'Mapa final'!$AC$64="Moderado"),CONCATENATE("R10C",'Mapa final'!$Q$64),"")</f>
        <v/>
      </c>
      <c r="AA25" s="45" t="str">
        <f>IF(AND('Mapa final'!$AA$65="Alta",'Mapa final'!$AC$65="Moderado"),CONCATENATE("R10C",'Mapa final'!$Q$65),"")</f>
        <v/>
      </c>
      <c r="AB25" s="43" t="str">
        <f>IF(AND('Mapa final'!$AA$60="Alta",'Mapa final'!$AC$60="Mayor"),CONCATENATE("R10C",'Mapa final'!$Q$60),"")</f>
        <v/>
      </c>
      <c r="AC25" s="44" t="str">
        <f>IF(AND('Mapa final'!$AA$61="Alta",'Mapa final'!$AC$61="Mayor"),CONCATENATE("R10C",'Mapa final'!$Q$61),"")</f>
        <v/>
      </c>
      <c r="AD25" s="44" t="str">
        <f>IF(AND('Mapa final'!$AA$62="Alta",'Mapa final'!$AC$62="Mayor"),CONCATENATE("R10C",'Mapa final'!$Q$62),"")</f>
        <v/>
      </c>
      <c r="AE25" s="44" t="str">
        <f>IF(AND('Mapa final'!$AA$63="Alta",'Mapa final'!$AC$63="Mayor"),CONCATENATE("R10C",'Mapa final'!$Q$63),"")</f>
        <v/>
      </c>
      <c r="AF25" s="44" t="str">
        <f>IF(AND('Mapa final'!$AA$64="Alta",'Mapa final'!$AC$64="Mayor"),CONCATENATE("R10C",'Mapa final'!$Q$64),"")</f>
        <v/>
      </c>
      <c r="AG25" s="45" t="str">
        <f>IF(AND('Mapa final'!$AA$65="Alta",'Mapa final'!$AC$65="Mayor"),CONCATENATE("R10C",'Mapa final'!$Q$65),"")</f>
        <v/>
      </c>
      <c r="AH25" s="46" t="str">
        <f>IF(AND('Mapa final'!$AA$60="Alta",'Mapa final'!$AC$60="Catastrófico"),CONCATENATE("R10C",'Mapa final'!$Q$60),"")</f>
        <v/>
      </c>
      <c r="AI25" s="47" t="str">
        <f>IF(AND('Mapa final'!$AA$61="Alta",'Mapa final'!$AC$61="Catastrófico"),CONCATENATE("R10C",'Mapa final'!$Q$61),"")</f>
        <v/>
      </c>
      <c r="AJ25" s="47" t="str">
        <f>IF(AND('Mapa final'!$AA$62="Alta",'Mapa final'!$AC$62="Catastrófico"),CONCATENATE("R10C",'Mapa final'!$Q$62),"")</f>
        <v/>
      </c>
      <c r="AK25" s="47" t="str">
        <f>IF(AND('Mapa final'!$AA$63="Alta",'Mapa final'!$AC$63="Catastrófico"),CONCATENATE("R10C",'Mapa final'!$Q$63),"")</f>
        <v/>
      </c>
      <c r="AL25" s="47" t="str">
        <f>IF(AND('Mapa final'!$AA$64="Alta",'Mapa final'!$AC$64="Catastrófico"),CONCATENATE("R10C",'Mapa final'!$Q$64),"")</f>
        <v/>
      </c>
      <c r="AM25" s="48" t="str">
        <f>IF(AND('Mapa final'!$AA$65="Alta",'Mapa final'!$AC$65="Catastrófico"),CONCATENATE("R10C",'Mapa final'!$Q$65),"")</f>
        <v/>
      </c>
      <c r="AN25" s="68"/>
      <c r="AO25" s="402"/>
      <c r="AP25" s="403"/>
      <c r="AQ25" s="403"/>
      <c r="AR25" s="403"/>
      <c r="AS25" s="403"/>
      <c r="AT25" s="404"/>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348"/>
      <c r="C26" s="348"/>
      <c r="D26" s="349"/>
      <c r="E26" s="386" t="s">
        <v>112</v>
      </c>
      <c r="F26" s="387"/>
      <c r="G26" s="387"/>
      <c r="H26" s="387"/>
      <c r="I26" s="388"/>
      <c r="J26" s="49" t="str">
        <f ca="1">IF(AND('Mapa final'!$AA$10="Media",'Mapa final'!$AC$10="Leve"),CONCATENATE("R1C",'Mapa final'!$Q$10),"")</f>
        <v/>
      </c>
      <c r="K26" s="50" t="str">
        <f>IF(AND('Mapa final'!$AA$11="Media",'Mapa final'!$AC$11="Leve"),CONCATENATE("R1C",'Mapa final'!$Q$11),"")</f>
        <v/>
      </c>
      <c r="L26" s="50" t="str">
        <f>IF(AND('Mapa final'!$AA$12="Media",'Mapa final'!$AC$12="Leve"),CONCATENATE("R1C",'Mapa final'!$Q$12),"")</f>
        <v/>
      </c>
      <c r="M26" s="50" t="str">
        <f>IF(AND('Mapa final'!$AA$13="Media",'Mapa final'!$AC$13="Leve"),CONCATENATE("R1C",'Mapa final'!$Q$13),"")</f>
        <v/>
      </c>
      <c r="N26" s="50" t="e">
        <f>IF(AND('Mapa final'!#REF!="Media",'Mapa final'!#REF!="Leve"),CONCATENATE("R1C",'Mapa final'!#REF!),"")</f>
        <v>#REF!</v>
      </c>
      <c r="O26" s="51" t="e">
        <f>IF(AND('Mapa final'!#REF!="Media",'Mapa final'!#REF!="Leve"),CONCATENATE("R1C",'Mapa final'!#REF!),"")</f>
        <v>#REF!</v>
      </c>
      <c r="P26" s="49" t="str">
        <f ca="1">IF(AND('Mapa final'!$AA$10="Media",'Mapa final'!$AC$10="Menor"),CONCATENATE("R1C",'Mapa final'!$Q$10),"")</f>
        <v/>
      </c>
      <c r="Q26" s="50" t="str">
        <f>IF(AND('Mapa final'!$AA$11="Media",'Mapa final'!$AC$11="Menor"),CONCATENATE("R1C",'Mapa final'!$Q$11),"")</f>
        <v/>
      </c>
      <c r="R26" s="50" t="str">
        <f>IF(AND('Mapa final'!$AA$12="Media",'Mapa final'!$AC$12="Menor"),CONCATENATE("R1C",'Mapa final'!$Q$12),"")</f>
        <v/>
      </c>
      <c r="S26" s="50" t="str">
        <f>IF(AND('Mapa final'!$AA$13="Media",'Mapa final'!$AC$13="Menor"),CONCATENATE("R1C",'Mapa final'!$Q$13),"")</f>
        <v/>
      </c>
      <c r="T26" s="50" t="e">
        <f>IF(AND('Mapa final'!#REF!="Media",'Mapa final'!#REF!="Menor"),CONCATENATE("R1C",'Mapa final'!#REF!),"")</f>
        <v>#REF!</v>
      </c>
      <c r="U26" s="51" t="e">
        <f>IF(AND('Mapa final'!#REF!="Media",'Mapa final'!#REF!="Menor"),CONCATENATE("R1C",'Mapa final'!#REF!),"")</f>
        <v>#REF!</v>
      </c>
      <c r="V26" s="49" t="str">
        <f ca="1">IF(AND('Mapa final'!$AA$10="Media",'Mapa final'!$AC$10="Moderado"),CONCATENATE("R1C",'Mapa final'!$Q$10),"")</f>
        <v/>
      </c>
      <c r="W26" s="50" t="str">
        <f>IF(AND('Mapa final'!$AA$11="Media",'Mapa final'!$AC$11="Moderado"),CONCATENATE("R1C",'Mapa final'!$Q$11),"")</f>
        <v/>
      </c>
      <c r="X26" s="50" t="str">
        <f>IF(AND('Mapa final'!$AA$12="Media",'Mapa final'!$AC$12="Moderado"),CONCATENATE("R1C",'Mapa final'!$Q$12),"")</f>
        <v/>
      </c>
      <c r="Y26" s="50" t="str">
        <f>IF(AND('Mapa final'!$AA$13="Media",'Mapa final'!$AC$13="Moderado"),CONCATENATE("R1C",'Mapa final'!$Q$13),"")</f>
        <v/>
      </c>
      <c r="Z26" s="50" t="e">
        <f>IF(AND('Mapa final'!#REF!="Media",'Mapa final'!#REF!="Moderado"),CONCATENATE("R1C",'Mapa final'!#REF!),"")</f>
        <v>#REF!</v>
      </c>
      <c r="AA26" s="51" t="e">
        <f>IF(AND('Mapa final'!#REF!="Media",'Mapa final'!#REF!="Moderado"),CONCATENATE("R1C",'Mapa final'!#REF!),"")</f>
        <v>#REF!</v>
      </c>
      <c r="AB26" s="30" t="str">
        <f ca="1">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e">
        <f>IF(AND('Mapa final'!#REF!="Media",'Mapa final'!#REF!="Catastrófico"),CONCATENATE("R1C",'Mapa final'!#REF!),"")</f>
        <v>#REF!</v>
      </c>
      <c r="AM26" s="35" t="e">
        <f>IF(AND('Mapa final'!#REF!="Media",'Mapa final'!#REF!="Catastrófico"),CONCATENATE("R1C",'Mapa final'!#REF!),"")</f>
        <v>#REF!</v>
      </c>
      <c r="AN26" s="68"/>
      <c r="AO26" s="427" t="s">
        <v>80</v>
      </c>
      <c r="AP26" s="428"/>
      <c r="AQ26" s="428"/>
      <c r="AR26" s="428"/>
      <c r="AS26" s="428"/>
      <c r="AT26" s="429"/>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348"/>
      <c r="C27" s="348"/>
      <c r="D27" s="349"/>
      <c r="E27" s="405"/>
      <c r="F27" s="406"/>
      <c r="G27" s="406"/>
      <c r="H27" s="406"/>
      <c r="I27" s="391"/>
      <c r="J27" s="52" t="str">
        <f ca="1">IF(AND('Mapa final'!$AA$14="Media",'Mapa final'!$AC$14="Leve"),CONCATENATE("R2C",'Mapa final'!$Q$14),"")</f>
        <v/>
      </c>
      <c r="K27" s="53" t="str">
        <f ca="1">IF(AND('Mapa final'!$AA$15="Media",'Mapa final'!$AC$15="Leve"),CONCATENATE("R2C",'Mapa final'!$Q$15),"")</f>
        <v/>
      </c>
      <c r="L27" s="53" t="str">
        <f ca="1">IF(AND('Mapa final'!$AA$16="Media",'Mapa final'!$AC$16="Leve"),CONCATENATE("R2C",'Mapa final'!$Q$16),"")</f>
        <v/>
      </c>
      <c r="M27" s="53" t="e">
        <f>IF(AND('Mapa final'!#REF!="Media",'Mapa final'!#REF!="Leve"),CONCATENATE("R2C",'Mapa final'!#REF!),"")</f>
        <v>#REF!</v>
      </c>
      <c r="N27" s="53" t="e">
        <f>IF(AND('Mapa final'!#REF!="Media",'Mapa final'!#REF!="Leve"),CONCATENATE("R2C",'Mapa final'!#REF!),"")</f>
        <v>#REF!</v>
      </c>
      <c r="O27" s="54" t="str">
        <f>IF(AND('Mapa final'!$AA$17="Media",'Mapa final'!$AC$17="Leve"),CONCATENATE("R2C",'Mapa final'!$Q$17),"")</f>
        <v/>
      </c>
      <c r="P27" s="52" t="str">
        <f ca="1">IF(AND('Mapa final'!$AA$14="Media",'Mapa final'!$AC$14="Menor"),CONCATENATE("R2C",'Mapa final'!$Q$14),"")</f>
        <v/>
      </c>
      <c r="Q27" s="53" t="str">
        <f ca="1">IF(AND('Mapa final'!$AA$15="Media",'Mapa final'!$AC$15="Menor"),CONCATENATE("R2C",'Mapa final'!$Q$15),"")</f>
        <v/>
      </c>
      <c r="R27" s="53" t="str">
        <f ca="1">IF(AND('Mapa final'!$AA$16="Media",'Mapa final'!$AC$16="Menor"),CONCATENATE("R2C",'Mapa final'!$Q$16),"")</f>
        <v/>
      </c>
      <c r="S27" s="53" t="e">
        <f>IF(AND('Mapa final'!#REF!="Media",'Mapa final'!#REF!="Menor"),CONCATENATE("R2C",'Mapa final'!#REF!),"")</f>
        <v>#REF!</v>
      </c>
      <c r="T27" s="53" t="e">
        <f>IF(AND('Mapa final'!#REF!="Media",'Mapa final'!#REF!="Menor"),CONCATENATE("R2C",'Mapa final'!#REF!),"")</f>
        <v>#REF!</v>
      </c>
      <c r="U27" s="54" t="str">
        <f>IF(AND('Mapa final'!$AA$17="Media",'Mapa final'!$AC$17="Menor"),CONCATENATE("R2C",'Mapa final'!$Q$17),"")</f>
        <v/>
      </c>
      <c r="V27" s="52" t="str">
        <f ca="1">IF(AND('Mapa final'!$AA$14="Media",'Mapa final'!$AC$14="Moderado"),CONCATENATE("R2C",'Mapa final'!$Q$14),"")</f>
        <v/>
      </c>
      <c r="W27" s="53" t="str">
        <f ca="1">IF(AND('Mapa final'!$AA$15="Media",'Mapa final'!$AC$15="Moderado"),CONCATENATE("R2C",'Mapa final'!$Q$15),"")</f>
        <v/>
      </c>
      <c r="X27" s="53" t="str">
        <f ca="1">IF(AND('Mapa final'!$AA$16="Media",'Mapa final'!$AC$16="Moderado"),CONCATENATE("R2C",'Mapa final'!$Q$16),"")</f>
        <v/>
      </c>
      <c r="Y27" s="53" t="e">
        <f>IF(AND('Mapa final'!#REF!="Media",'Mapa final'!#REF!="Moderado"),CONCATENATE("R2C",'Mapa final'!#REF!),"")</f>
        <v>#REF!</v>
      </c>
      <c r="Z27" s="53" t="e">
        <f>IF(AND('Mapa final'!#REF!="Media",'Mapa final'!#REF!="Moderado"),CONCATENATE("R2C",'Mapa final'!#REF!),"")</f>
        <v>#REF!</v>
      </c>
      <c r="AA27" s="54" t="str">
        <f>IF(AND('Mapa final'!$AA$17="Media",'Mapa final'!$AC$17="Moderado"),CONCATENATE("R2C",'Mapa final'!$Q$17),"")</f>
        <v/>
      </c>
      <c r="AB27" s="36" t="str">
        <f ca="1">IF(AND('Mapa final'!$AA$14="Media",'Mapa final'!$AC$14="Mayor"),CONCATENATE("R2C",'Mapa final'!$Q$14),"")</f>
        <v>R2C1</v>
      </c>
      <c r="AC27" s="37" t="str">
        <f ca="1">IF(AND('Mapa final'!$AA$15="Media",'Mapa final'!$AC$15="Mayor"),CONCATENATE("R2C",'Mapa final'!$Q$15),"")</f>
        <v/>
      </c>
      <c r="AD27" s="37" t="str">
        <f ca="1">IF(AND('Mapa final'!$AA$16="Media",'Mapa final'!$AC$16="Mayor"),CONCATENATE("R2C",'Mapa final'!$Q$16),"")</f>
        <v/>
      </c>
      <c r="AE27" s="37" t="e">
        <f>IF(AND('Mapa final'!#REF!="Media",'Mapa final'!#REF!="Mayor"),CONCATENATE("R2C",'Mapa final'!#REF!),"")</f>
        <v>#REF!</v>
      </c>
      <c r="AF27" s="37" t="e">
        <f>IF(AND('Mapa final'!#REF!="Media",'Mapa final'!#REF!="Mayor"),CONCATENATE("R2C",'Mapa final'!#REF!),"")</f>
        <v>#REF!</v>
      </c>
      <c r="AG27" s="38" t="str">
        <f>IF(AND('Mapa final'!$AA$17="Media",'Mapa final'!$AC$17="Mayor"),CONCATENATE("R2C",'Mapa final'!$Q$17),"")</f>
        <v/>
      </c>
      <c r="AH27" s="39" t="str">
        <f ca="1">IF(AND('Mapa final'!$AA$14="Media",'Mapa final'!$AC$14="Catastrófico"),CONCATENATE("R2C",'Mapa final'!$Q$14),"")</f>
        <v/>
      </c>
      <c r="AI27" s="40" t="str">
        <f ca="1">IF(AND('Mapa final'!$AA$15="Media",'Mapa final'!$AC$15="Catastrófico"),CONCATENATE("R2C",'Mapa final'!$Q$15),"")</f>
        <v/>
      </c>
      <c r="AJ27" s="40" t="str">
        <f ca="1">IF(AND('Mapa final'!$AA$16="Media",'Mapa final'!$AC$16="Catastrófico"),CONCATENATE("R2C",'Mapa final'!$Q$16),"")</f>
        <v/>
      </c>
      <c r="AK27" s="40" t="e">
        <f>IF(AND('Mapa final'!#REF!="Media",'Mapa final'!#REF!="Catastrófico"),CONCATENATE("R2C",'Mapa final'!#REF!),"")</f>
        <v>#REF!</v>
      </c>
      <c r="AL27" s="40" t="e">
        <f>IF(AND('Mapa final'!#REF!="Media",'Mapa final'!#REF!="Catastrófico"),CONCATENATE("R2C",'Mapa final'!#REF!),"")</f>
        <v>#REF!</v>
      </c>
      <c r="AM27" s="41" t="str">
        <f>IF(AND('Mapa final'!$AA$17="Media",'Mapa final'!$AC$17="Catastrófico"),CONCATENATE("R2C",'Mapa final'!$Q$17),"")</f>
        <v/>
      </c>
      <c r="AN27" s="68"/>
      <c r="AO27" s="430"/>
      <c r="AP27" s="431"/>
      <c r="AQ27" s="431"/>
      <c r="AR27" s="431"/>
      <c r="AS27" s="431"/>
      <c r="AT27" s="432"/>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348"/>
      <c r="C28" s="348"/>
      <c r="D28" s="349"/>
      <c r="E28" s="389"/>
      <c r="F28" s="390"/>
      <c r="G28" s="390"/>
      <c r="H28" s="390"/>
      <c r="I28" s="391"/>
      <c r="J28" s="52" t="str">
        <f>IF(AND('Mapa final'!$AA$18="Media",'Mapa final'!$AC$18="Leve"),CONCATENATE("R3C",'Mapa final'!$Q$18),"")</f>
        <v/>
      </c>
      <c r="K28" s="53" t="str">
        <f>IF(AND('Mapa final'!$AA$19="Media",'Mapa final'!$AC$19="Leve"),CONCATENATE("R3C",'Mapa final'!$Q$19),"")</f>
        <v/>
      </c>
      <c r="L28" s="53" t="str">
        <f>IF(AND('Mapa final'!$AA$20="Media",'Mapa final'!$AC$20="Leve"),CONCATENATE("R3C",'Mapa final'!$Q$20),"")</f>
        <v/>
      </c>
      <c r="M28" s="53" t="str">
        <f>IF(AND('Mapa final'!$AA$21="Media",'Mapa final'!$AC$21="Leve"),CONCATENATE("R3C",'Mapa final'!$Q$21),"")</f>
        <v/>
      </c>
      <c r="N28" s="53" t="str">
        <f>IF(AND('Mapa final'!$AA$22="Media",'Mapa final'!$AC$22="Leve"),CONCATENATE("R3C",'Mapa final'!$Q$22),"")</f>
        <v/>
      </c>
      <c r="O28" s="54" t="str">
        <f>IF(AND('Mapa final'!$AA$23="Media",'Mapa final'!$AC$23="Leve"),CONCATENATE("R3C",'Mapa final'!$Q$23),"")</f>
        <v/>
      </c>
      <c r="P28" s="52" t="str">
        <f>IF(AND('Mapa final'!$AA$18="Media",'Mapa final'!$AC$18="Menor"),CONCATENATE("R3C",'Mapa final'!$Q$18),"")</f>
        <v/>
      </c>
      <c r="Q28" s="53" t="str">
        <f>IF(AND('Mapa final'!$AA$19="Media",'Mapa final'!$AC$19="Menor"),CONCATENATE("R3C",'Mapa final'!$Q$19),"")</f>
        <v/>
      </c>
      <c r="R28" s="53" t="str">
        <f>IF(AND('Mapa final'!$AA$20="Media",'Mapa final'!$AC$20="Menor"),CONCATENATE("R3C",'Mapa final'!$Q$20),"")</f>
        <v/>
      </c>
      <c r="S28" s="53" t="str">
        <f>IF(AND('Mapa final'!$AA$21="Media",'Mapa final'!$AC$21="Menor"),CONCATENATE("R3C",'Mapa final'!$Q$21),"")</f>
        <v/>
      </c>
      <c r="T28" s="53" t="str">
        <f>IF(AND('Mapa final'!$AA$22="Media",'Mapa final'!$AC$22="Menor"),CONCATENATE("R3C",'Mapa final'!$Q$22),"")</f>
        <v/>
      </c>
      <c r="U28" s="54" t="str">
        <f>IF(AND('Mapa final'!$AA$23="Media",'Mapa final'!$AC$23="Menor"),CONCATENATE("R3C",'Mapa final'!$Q$23),"")</f>
        <v/>
      </c>
      <c r="V28" s="52" t="str">
        <f>IF(AND('Mapa final'!$AA$18="Media",'Mapa final'!$AC$18="Moderado"),CONCATENATE("R3C",'Mapa final'!$Q$18),"")</f>
        <v/>
      </c>
      <c r="W28" s="53" t="str">
        <f>IF(AND('Mapa final'!$AA$19="Media",'Mapa final'!$AC$19="Moderado"),CONCATENATE("R3C",'Mapa final'!$Q$19),"")</f>
        <v/>
      </c>
      <c r="X28" s="53" t="str">
        <f>IF(AND('Mapa final'!$AA$20="Media",'Mapa final'!$AC$20="Moderado"),CONCATENATE("R3C",'Mapa final'!$Q$20),"")</f>
        <v/>
      </c>
      <c r="Y28" s="53" t="str">
        <f>IF(AND('Mapa final'!$AA$21="Media",'Mapa final'!$AC$21="Moderado"),CONCATENATE("R3C",'Mapa final'!$Q$21),"")</f>
        <v/>
      </c>
      <c r="Z28" s="53" t="str">
        <f>IF(AND('Mapa final'!$AA$22="Media",'Mapa final'!$AC$22="Moderado"),CONCATENATE("R3C",'Mapa final'!$Q$22),"")</f>
        <v/>
      </c>
      <c r="AA28" s="54" t="str">
        <f>IF(AND('Mapa final'!$AA$23="Media",'Mapa final'!$AC$23="Moderado"),CONCATENATE("R3C",'Mapa final'!$Q$23),"")</f>
        <v/>
      </c>
      <c r="AB28" s="36" t="str">
        <f>IF(AND('Mapa final'!$AA$18="Media",'Mapa final'!$AC$18="Mayor"),CONCATENATE("R3C",'Mapa final'!$Q$18),"")</f>
        <v/>
      </c>
      <c r="AC28" s="37" t="str">
        <f>IF(AND('Mapa final'!$AA$19="Media",'Mapa final'!$AC$19="Mayor"),CONCATENATE("R3C",'Mapa final'!$Q$19),"")</f>
        <v/>
      </c>
      <c r="AD28" s="37" t="str">
        <f>IF(AND('Mapa final'!$AA$20="Media",'Mapa final'!$AC$20="Mayor"),CONCATENATE("R3C",'Mapa final'!$Q$20),"")</f>
        <v/>
      </c>
      <c r="AE28" s="37" t="str">
        <f>IF(AND('Mapa final'!$AA$21="Media",'Mapa final'!$AC$21="Mayor"),CONCATENATE("R3C",'Mapa final'!$Q$21),"")</f>
        <v/>
      </c>
      <c r="AF28" s="37" t="str">
        <f>IF(AND('Mapa final'!$AA$22="Media",'Mapa final'!$AC$22="Mayor"),CONCATENATE("R3C",'Mapa final'!$Q$22),"")</f>
        <v/>
      </c>
      <c r="AG28" s="38" t="str">
        <f>IF(AND('Mapa final'!$AA$23="Media",'Mapa final'!$AC$23="Mayor"),CONCATENATE("R3C",'Mapa final'!$Q$23),"")</f>
        <v/>
      </c>
      <c r="AH28" s="39" t="str">
        <f>IF(AND('Mapa final'!$AA$18="Media",'Mapa final'!$AC$18="Catastrófico"),CONCATENATE("R3C",'Mapa final'!$Q$18),"")</f>
        <v/>
      </c>
      <c r="AI28" s="40" t="str">
        <f>IF(AND('Mapa final'!$AA$19="Media",'Mapa final'!$AC$19="Catastrófico"),CONCATENATE("R3C",'Mapa final'!$Q$19),"")</f>
        <v/>
      </c>
      <c r="AJ28" s="40" t="str">
        <f>IF(AND('Mapa final'!$AA$20="Media",'Mapa final'!$AC$20="Catastrófico"),CONCATENATE("R3C",'Mapa final'!$Q$20),"")</f>
        <v/>
      </c>
      <c r="AK28" s="40" t="str">
        <f>IF(AND('Mapa final'!$AA$21="Media",'Mapa final'!$AC$21="Catastrófico"),CONCATENATE("R3C",'Mapa final'!$Q$21),"")</f>
        <v/>
      </c>
      <c r="AL28" s="40" t="str">
        <f>IF(AND('Mapa final'!$AA$22="Media",'Mapa final'!$AC$22="Catastrófico"),CONCATENATE("R3C",'Mapa final'!$Q$22),"")</f>
        <v/>
      </c>
      <c r="AM28" s="41" t="str">
        <f>IF(AND('Mapa final'!$AA$23="Media",'Mapa final'!$AC$23="Catastrófico"),CONCATENATE("R3C",'Mapa final'!$Q$23),"")</f>
        <v/>
      </c>
      <c r="AN28" s="68"/>
      <c r="AO28" s="430"/>
      <c r="AP28" s="431"/>
      <c r="AQ28" s="431"/>
      <c r="AR28" s="431"/>
      <c r="AS28" s="431"/>
      <c r="AT28" s="432"/>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348"/>
      <c r="C29" s="348"/>
      <c r="D29" s="349"/>
      <c r="E29" s="389"/>
      <c r="F29" s="390"/>
      <c r="G29" s="390"/>
      <c r="H29" s="390"/>
      <c r="I29" s="391"/>
      <c r="J29" s="52" t="str">
        <f>IF(AND('Mapa final'!$AA$24="Media",'Mapa final'!$AC$24="Leve"),CONCATENATE("R4C",'Mapa final'!$Q$24),"")</f>
        <v/>
      </c>
      <c r="K29" s="53" t="str">
        <f>IF(AND('Mapa final'!$AA$25="Media",'Mapa final'!$AC$25="Leve"),CONCATENATE("R4C",'Mapa final'!$Q$25),"")</f>
        <v/>
      </c>
      <c r="L29" s="53" t="str">
        <f>IF(AND('Mapa final'!$AA$26="Media",'Mapa final'!$AC$26="Leve"),CONCATENATE("R4C",'Mapa final'!$Q$26),"")</f>
        <v/>
      </c>
      <c r="M29" s="53" t="str">
        <f>IF(AND('Mapa final'!$AA$27="Media",'Mapa final'!$AC$27="Leve"),CONCATENATE("R4C",'Mapa final'!$Q$27),"")</f>
        <v/>
      </c>
      <c r="N29" s="53" t="str">
        <f>IF(AND('Mapa final'!$AA$28="Media",'Mapa final'!$AC$28="Leve"),CONCATENATE("R4C",'Mapa final'!$Q$28),"")</f>
        <v/>
      </c>
      <c r="O29" s="54" t="str">
        <f>IF(AND('Mapa final'!$AA$29="Media",'Mapa final'!$AC$29="Leve"),CONCATENATE("R4C",'Mapa final'!$Q$29),"")</f>
        <v/>
      </c>
      <c r="P29" s="52" t="str">
        <f>IF(AND('Mapa final'!$AA$24="Media",'Mapa final'!$AC$24="Menor"),CONCATENATE("R4C",'Mapa final'!$Q$24),"")</f>
        <v/>
      </c>
      <c r="Q29" s="53" t="str">
        <f>IF(AND('Mapa final'!$AA$25="Media",'Mapa final'!$AC$25="Menor"),CONCATENATE("R4C",'Mapa final'!$Q$25),"")</f>
        <v/>
      </c>
      <c r="R29" s="53" t="str">
        <f>IF(AND('Mapa final'!$AA$26="Media",'Mapa final'!$AC$26="Menor"),CONCATENATE("R4C",'Mapa final'!$Q$26),"")</f>
        <v/>
      </c>
      <c r="S29" s="53" t="str">
        <f>IF(AND('Mapa final'!$AA$27="Media",'Mapa final'!$AC$27="Menor"),CONCATENATE("R4C",'Mapa final'!$Q$27),"")</f>
        <v/>
      </c>
      <c r="T29" s="53" t="str">
        <f>IF(AND('Mapa final'!$AA$28="Media",'Mapa final'!$AC$28="Menor"),CONCATENATE("R4C",'Mapa final'!$Q$28),"")</f>
        <v/>
      </c>
      <c r="U29" s="54" t="str">
        <f>IF(AND('Mapa final'!$AA$29="Media",'Mapa final'!$AC$29="Menor"),CONCATENATE("R4C",'Mapa final'!$Q$29),"")</f>
        <v/>
      </c>
      <c r="V29" s="52" t="str">
        <f>IF(AND('Mapa final'!$AA$24="Media",'Mapa final'!$AC$24="Moderado"),CONCATENATE("R4C",'Mapa final'!$Q$24),"")</f>
        <v/>
      </c>
      <c r="W29" s="53" t="str">
        <f>IF(AND('Mapa final'!$AA$25="Media",'Mapa final'!$AC$25="Moderado"),CONCATENATE("R4C",'Mapa final'!$Q$25),"")</f>
        <v/>
      </c>
      <c r="X29" s="53" t="str">
        <f>IF(AND('Mapa final'!$AA$26="Media",'Mapa final'!$AC$26="Moderado"),CONCATENATE("R4C",'Mapa final'!$Q$26),"")</f>
        <v/>
      </c>
      <c r="Y29" s="53" t="str">
        <f>IF(AND('Mapa final'!$AA$27="Media",'Mapa final'!$AC$27="Moderado"),CONCATENATE("R4C",'Mapa final'!$Q$27),"")</f>
        <v/>
      </c>
      <c r="Z29" s="53" t="str">
        <f>IF(AND('Mapa final'!$AA$28="Media",'Mapa final'!$AC$28="Moderado"),CONCATENATE("R4C",'Mapa final'!$Q$28),"")</f>
        <v/>
      </c>
      <c r="AA29" s="54" t="str">
        <f>IF(AND('Mapa final'!$AA$29="Media",'Mapa final'!$AC$29="Moderado"),CONCATENATE("R4C",'Mapa final'!$Q$29),"")</f>
        <v/>
      </c>
      <c r="AB29" s="36" t="str">
        <f>IF(AND('Mapa final'!$AA$24="Media",'Mapa final'!$AC$24="Mayor"),CONCATENATE("R4C",'Mapa final'!$Q$24),"")</f>
        <v/>
      </c>
      <c r="AC29" s="37" t="str">
        <f>IF(AND('Mapa final'!$AA$25="Media",'Mapa final'!$AC$25="Mayor"),CONCATENATE("R4C",'Mapa final'!$Q$25),"")</f>
        <v/>
      </c>
      <c r="AD29" s="42" t="str">
        <f>IF(AND('Mapa final'!$AA$26="Media",'Mapa final'!$AC$26="Mayor"),CONCATENATE("R4C",'Mapa final'!$Q$26),"")</f>
        <v/>
      </c>
      <c r="AE29" s="42" t="str">
        <f>IF(AND('Mapa final'!$AA$27="Media",'Mapa final'!$AC$27="Mayor"),CONCATENATE("R4C",'Mapa final'!$Q$27),"")</f>
        <v/>
      </c>
      <c r="AF29" s="42" t="str">
        <f>IF(AND('Mapa final'!$AA$28="Media",'Mapa final'!$AC$28="Mayor"),CONCATENATE("R4C",'Mapa final'!$Q$28),"")</f>
        <v/>
      </c>
      <c r="AG29" s="38" t="str">
        <f>IF(AND('Mapa final'!$AA$29="Media",'Mapa final'!$AC$29="Mayor"),CONCATENATE("R4C",'Mapa final'!$Q$29),"")</f>
        <v/>
      </c>
      <c r="AH29" s="39" t="str">
        <f>IF(AND('Mapa final'!$AA$24="Media",'Mapa final'!$AC$24="Catastrófico"),CONCATENATE("R4C",'Mapa final'!$Q$24),"")</f>
        <v/>
      </c>
      <c r="AI29" s="40" t="str">
        <f>IF(AND('Mapa final'!$AA$25="Media",'Mapa final'!$AC$25="Catastrófico"),CONCATENATE("R4C",'Mapa final'!$Q$25),"")</f>
        <v/>
      </c>
      <c r="AJ29" s="40" t="str">
        <f>IF(AND('Mapa final'!$AA$26="Media",'Mapa final'!$AC$26="Catastrófico"),CONCATENATE("R4C",'Mapa final'!$Q$26),"")</f>
        <v/>
      </c>
      <c r="AK29" s="40" t="str">
        <f>IF(AND('Mapa final'!$AA$27="Media",'Mapa final'!$AC$27="Catastrófico"),CONCATENATE("R4C",'Mapa final'!$Q$27),"")</f>
        <v/>
      </c>
      <c r="AL29" s="40" t="str">
        <f>IF(AND('Mapa final'!$AA$28="Media",'Mapa final'!$AC$28="Catastrófico"),CONCATENATE("R4C",'Mapa final'!$Q$28),"")</f>
        <v/>
      </c>
      <c r="AM29" s="41" t="str">
        <f>IF(AND('Mapa final'!$AA$29="Media",'Mapa final'!$AC$29="Catastrófico"),CONCATENATE("R4C",'Mapa final'!$Q$29),"")</f>
        <v/>
      </c>
      <c r="AN29" s="68"/>
      <c r="AO29" s="430"/>
      <c r="AP29" s="431"/>
      <c r="AQ29" s="431"/>
      <c r="AR29" s="431"/>
      <c r="AS29" s="431"/>
      <c r="AT29" s="432"/>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348"/>
      <c r="C30" s="348"/>
      <c r="D30" s="349"/>
      <c r="E30" s="389"/>
      <c r="F30" s="390"/>
      <c r="G30" s="390"/>
      <c r="H30" s="390"/>
      <c r="I30" s="391"/>
      <c r="J30" s="52" t="str">
        <f>IF(AND('Mapa final'!$AA$30="Media",'Mapa final'!$AC$30="Leve"),CONCATENATE("R5C",'Mapa final'!$Q$30),"")</f>
        <v/>
      </c>
      <c r="K30" s="53" t="str">
        <f>IF(AND('Mapa final'!$AA$31="Media",'Mapa final'!$AC$31="Leve"),CONCATENATE("R5C",'Mapa final'!$Q$31),"")</f>
        <v/>
      </c>
      <c r="L30" s="53" t="str">
        <f>IF(AND('Mapa final'!$AA$32="Media",'Mapa final'!$AC$32="Leve"),CONCATENATE("R5C",'Mapa final'!$Q$32),"")</f>
        <v/>
      </c>
      <c r="M30" s="53" t="str">
        <f>IF(AND('Mapa final'!$AA$33="Media",'Mapa final'!$AC$33="Leve"),CONCATENATE("R5C",'Mapa final'!$Q$33),"")</f>
        <v/>
      </c>
      <c r="N30" s="53" t="str">
        <f>IF(AND('Mapa final'!$AA$34="Media",'Mapa final'!$AC$34="Leve"),CONCATENATE("R5C",'Mapa final'!$Q$34),"")</f>
        <v/>
      </c>
      <c r="O30" s="54" t="str">
        <f>IF(AND('Mapa final'!$AA$35="Media",'Mapa final'!$AC$35="Leve"),CONCATENATE("R5C",'Mapa final'!$Q$35),"")</f>
        <v/>
      </c>
      <c r="P30" s="52" t="str">
        <f>IF(AND('Mapa final'!$AA$30="Media",'Mapa final'!$AC$30="Menor"),CONCATENATE("R5C",'Mapa final'!$Q$30),"")</f>
        <v/>
      </c>
      <c r="Q30" s="53" t="str">
        <f>IF(AND('Mapa final'!$AA$31="Media",'Mapa final'!$AC$31="Menor"),CONCATENATE("R5C",'Mapa final'!$Q$31),"")</f>
        <v/>
      </c>
      <c r="R30" s="53" t="str">
        <f>IF(AND('Mapa final'!$AA$32="Media",'Mapa final'!$AC$32="Menor"),CONCATENATE("R5C",'Mapa final'!$Q$32),"")</f>
        <v/>
      </c>
      <c r="S30" s="53" t="str">
        <f>IF(AND('Mapa final'!$AA$33="Media",'Mapa final'!$AC$33="Menor"),CONCATENATE("R5C",'Mapa final'!$Q$33),"")</f>
        <v/>
      </c>
      <c r="T30" s="53" t="str">
        <f>IF(AND('Mapa final'!$AA$34="Media",'Mapa final'!$AC$34="Menor"),CONCATENATE("R5C",'Mapa final'!$Q$34),"")</f>
        <v/>
      </c>
      <c r="U30" s="54" t="str">
        <f>IF(AND('Mapa final'!$AA$35="Media",'Mapa final'!$AC$35="Menor"),CONCATENATE("R5C",'Mapa final'!$Q$35),"")</f>
        <v/>
      </c>
      <c r="V30" s="52" t="str">
        <f>IF(AND('Mapa final'!$AA$30="Media",'Mapa final'!$AC$30="Moderado"),CONCATENATE("R5C",'Mapa final'!$Q$30),"")</f>
        <v/>
      </c>
      <c r="W30" s="53" t="str">
        <f>IF(AND('Mapa final'!$AA$31="Media",'Mapa final'!$AC$31="Moderado"),CONCATENATE("R5C",'Mapa final'!$Q$31),"")</f>
        <v/>
      </c>
      <c r="X30" s="53" t="str">
        <f>IF(AND('Mapa final'!$AA$32="Media",'Mapa final'!$AC$32="Moderado"),CONCATENATE("R5C",'Mapa final'!$Q$32),"")</f>
        <v/>
      </c>
      <c r="Y30" s="53" t="str">
        <f>IF(AND('Mapa final'!$AA$33="Media",'Mapa final'!$AC$33="Moderado"),CONCATENATE("R5C",'Mapa final'!$Q$33),"")</f>
        <v/>
      </c>
      <c r="Z30" s="53" t="str">
        <f>IF(AND('Mapa final'!$AA$34="Media",'Mapa final'!$AC$34="Moderado"),CONCATENATE("R5C",'Mapa final'!$Q$34),"")</f>
        <v/>
      </c>
      <c r="AA30" s="54" t="str">
        <f>IF(AND('Mapa final'!$AA$35="Media",'Mapa final'!$AC$35="Moderado"),CONCATENATE("R5C",'Mapa final'!$Q$35),"")</f>
        <v/>
      </c>
      <c r="AB30" s="36" t="str">
        <f>IF(AND('Mapa final'!$AA$30="Media",'Mapa final'!$AC$30="Mayor"),CONCATENATE("R5C",'Mapa final'!$Q$30),"")</f>
        <v/>
      </c>
      <c r="AC30" s="37" t="str">
        <f>IF(AND('Mapa final'!$AA$31="Media",'Mapa final'!$AC$31="Mayor"),CONCATENATE("R5C",'Mapa final'!$Q$31),"")</f>
        <v/>
      </c>
      <c r="AD30" s="42" t="str">
        <f>IF(AND('Mapa final'!$AA$32="Media",'Mapa final'!$AC$32="Mayor"),CONCATENATE("R5C",'Mapa final'!$Q$32),"")</f>
        <v/>
      </c>
      <c r="AE30" s="42" t="str">
        <f>IF(AND('Mapa final'!$AA$33="Media",'Mapa final'!$AC$33="Mayor"),CONCATENATE("R5C",'Mapa final'!$Q$33),"")</f>
        <v/>
      </c>
      <c r="AF30" s="42" t="str">
        <f>IF(AND('Mapa final'!$AA$34="Media",'Mapa final'!$AC$34="Mayor"),CONCATENATE("R5C",'Mapa final'!$Q$34),"")</f>
        <v/>
      </c>
      <c r="AG30" s="38" t="str">
        <f>IF(AND('Mapa final'!$AA$35="Media",'Mapa final'!$AC$35="Mayor"),CONCATENATE("R5C",'Mapa final'!$Q$35),"")</f>
        <v/>
      </c>
      <c r="AH30" s="39" t="str">
        <f>IF(AND('Mapa final'!$AA$30="Media",'Mapa final'!$AC$30="Catastrófico"),CONCATENATE("R5C",'Mapa final'!$Q$30),"")</f>
        <v/>
      </c>
      <c r="AI30" s="40" t="str">
        <f>IF(AND('Mapa final'!$AA$31="Media",'Mapa final'!$AC$31="Catastrófico"),CONCATENATE("R5C",'Mapa final'!$Q$31),"")</f>
        <v/>
      </c>
      <c r="AJ30" s="40" t="str">
        <f>IF(AND('Mapa final'!$AA$32="Media",'Mapa final'!$AC$32="Catastrófico"),CONCATENATE("R5C",'Mapa final'!$Q$32),"")</f>
        <v/>
      </c>
      <c r="AK30" s="40" t="str">
        <f>IF(AND('Mapa final'!$AA$33="Media",'Mapa final'!$AC$33="Catastrófico"),CONCATENATE("R5C",'Mapa final'!$Q$33),"")</f>
        <v/>
      </c>
      <c r="AL30" s="40" t="str">
        <f>IF(AND('Mapa final'!$AA$34="Media",'Mapa final'!$AC$34="Catastrófico"),CONCATENATE("R5C",'Mapa final'!$Q$34),"")</f>
        <v/>
      </c>
      <c r="AM30" s="41" t="str">
        <f>IF(AND('Mapa final'!$AA$35="Media",'Mapa final'!$AC$35="Catastrófico"),CONCATENATE("R5C",'Mapa final'!$Q$35),"")</f>
        <v/>
      </c>
      <c r="AN30" s="68"/>
      <c r="AO30" s="430"/>
      <c r="AP30" s="431"/>
      <c r="AQ30" s="431"/>
      <c r="AR30" s="431"/>
      <c r="AS30" s="431"/>
      <c r="AT30" s="432"/>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348"/>
      <c r="C31" s="348"/>
      <c r="D31" s="349"/>
      <c r="E31" s="389"/>
      <c r="F31" s="390"/>
      <c r="G31" s="390"/>
      <c r="H31" s="390"/>
      <c r="I31" s="391"/>
      <c r="J31" s="52" t="str">
        <f>IF(AND('Mapa final'!$AA$36="Media",'Mapa final'!$AC$36="Leve"),CONCATENATE("R6C",'Mapa final'!$Q$36),"")</f>
        <v/>
      </c>
      <c r="K31" s="53" t="str">
        <f>IF(AND('Mapa final'!$AA$37="Media",'Mapa final'!$AC$37="Leve"),CONCATENATE("R6C",'Mapa final'!$Q$37),"")</f>
        <v/>
      </c>
      <c r="L31" s="53" t="str">
        <f>IF(AND('Mapa final'!$AA$38="Media",'Mapa final'!$AC$38="Leve"),CONCATENATE("R6C",'Mapa final'!$Q$38),"")</f>
        <v/>
      </c>
      <c r="M31" s="53" t="str">
        <f>IF(AND('Mapa final'!$AA$39="Media",'Mapa final'!$AC$39="Leve"),CONCATENATE("R6C",'Mapa final'!$Q$39),"")</f>
        <v/>
      </c>
      <c r="N31" s="53" t="str">
        <f>IF(AND('Mapa final'!$AA$40="Media",'Mapa final'!$AC$40="Leve"),CONCATENATE("R6C",'Mapa final'!$Q$40),"")</f>
        <v/>
      </c>
      <c r="O31" s="54" t="str">
        <f>IF(AND('Mapa final'!$AA$41="Media",'Mapa final'!$AC$41="Leve"),CONCATENATE("R6C",'Mapa final'!$Q$41),"")</f>
        <v/>
      </c>
      <c r="P31" s="52" t="str">
        <f>IF(AND('Mapa final'!$AA$36="Media",'Mapa final'!$AC$36="Menor"),CONCATENATE("R6C",'Mapa final'!$Q$36),"")</f>
        <v/>
      </c>
      <c r="Q31" s="53" t="str">
        <f>IF(AND('Mapa final'!$AA$37="Media",'Mapa final'!$AC$37="Menor"),CONCATENATE("R6C",'Mapa final'!$Q$37),"")</f>
        <v/>
      </c>
      <c r="R31" s="53" t="str">
        <f>IF(AND('Mapa final'!$AA$38="Media",'Mapa final'!$AC$38="Menor"),CONCATENATE("R6C",'Mapa final'!$Q$38),"")</f>
        <v/>
      </c>
      <c r="S31" s="53" t="str">
        <f>IF(AND('Mapa final'!$AA$39="Media",'Mapa final'!$AC$39="Menor"),CONCATENATE("R6C",'Mapa final'!$Q$39),"")</f>
        <v/>
      </c>
      <c r="T31" s="53" t="str">
        <f>IF(AND('Mapa final'!$AA$40="Media",'Mapa final'!$AC$40="Menor"),CONCATENATE("R6C",'Mapa final'!$Q$40),"")</f>
        <v/>
      </c>
      <c r="U31" s="54" t="str">
        <f>IF(AND('Mapa final'!$AA$41="Media",'Mapa final'!$AC$41="Menor"),CONCATENATE("R6C",'Mapa final'!$Q$41),"")</f>
        <v/>
      </c>
      <c r="V31" s="52" t="str">
        <f>IF(AND('Mapa final'!$AA$36="Media",'Mapa final'!$AC$36="Moderado"),CONCATENATE("R6C",'Mapa final'!$Q$36),"")</f>
        <v/>
      </c>
      <c r="W31" s="53" t="str">
        <f>IF(AND('Mapa final'!$AA$37="Media",'Mapa final'!$AC$37="Moderado"),CONCATENATE("R6C",'Mapa final'!$Q$37),"")</f>
        <v/>
      </c>
      <c r="X31" s="53" t="str">
        <f>IF(AND('Mapa final'!$AA$38="Media",'Mapa final'!$AC$38="Moderado"),CONCATENATE("R6C",'Mapa final'!$Q$38),"")</f>
        <v/>
      </c>
      <c r="Y31" s="53" t="str">
        <f>IF(AND('Mapa final'!$AA$39="Media",'Mapa final'!$AC$39="Moderado"),CONCATENATE("R6C",'Mapa final'!$Q$39),"")</f>
        <v/>
      </c>
      <c r="Z31" s="53" t="str">
        <f>IF(AND('Mapa final'!$AA$40="Media",'Mapa final'!$AC$40="Moderado"),CONCATENATE("R6C",'Mapa final'!$Q$40),"")</f>
        <v/>
      </c>
      <c r="AA31" s="54" t="str">
        <f>IF(AND('Mapa final'!$AA$41="Media",'Mapa final'!$AC$41="Moderado"),CONCATENATE("R6C",'Mapa final'!$Q$41),"")</f>
        <v/>
      </c>
      <c r="AB31" s="36" t="str">
        <f>IF(AND('Mapa final'!$AA$36="Media",'Mapa final'!$AC$36="Mayor"),CONCATENATE("R6C",'Mapa final'!$Q$36),"")</f>
        <v/>
      </c>
      <c r="AC31" s="37" t="str">
        <f>IF(AND('Mapa final'!$AA$37="Media",'Mapa final'!$AC$37="Mayor"),CONCATENATE("R6C",'Mapa final'!$Q$37),"")</f>
        <v/>
      </c>
      <c r="AD31" s="42" t="str">
        <f>IF(AND('Mapa final'!$AA$38="Media",'Mapa final'!$AC$38="Mayor"),CONCATENATE("R6C",'Mapa final'!$Q$38),"")</f>
        <v/>
      </c>
      <c r="AE31" s="42" t="str">
        <f>IF(AND('Mapa final'!$AA$39="Media",'Mapa final'!$AC$39="Mayor"),CONCATENATE("R6C",'Mapa final'!$Q$39),"")</f>
        <v/>
      </c>
      <c r="AF31" s="42" t="str">
        <f>IF(AND('Mapa final'!$AA$40="Media",'Mapa final'!$AC$40="Mayor"),CONCATENATE("R6C",'Mapa final'!$Q$40),"")</f>
        <v/>
      </c>
      <c r="AG31" s="38" t="str">
        <f>IF(AND('Mapa final'!$AA$41="Media",'Mapa final'!$AC$41="Mayor"),CONCATENATE("R6C",'Mapa final'!$Q$41),"")</f>
        <v/>
      </c>
      <c r="AH31" s="39" t="str">
        <f>IF(AND('Mapa final'!$AA$36="Media",'Mapa final'!$AC$36="Catastrófico"),CONCATENATE("R6C",'Mapa final'!$Q$36),"")</f>
        <v/>
      </c>
      <c r="AI31" s="40" t="str">
        <f>IF(AND('Mapa final'!$AA$37="Media",'Mapa final'!$AC$37="Catastrófico"),CONCATENATE("R6C",'Mapa final'!$Q$37),"")</f>
        <v/>
      </c>
      <c r="AJ31" s="40" t="str">
        <f>IF(AND('Mapa final'!$AA$38="Media",'Mapa final'!$AC$38="Catastrófico"),CONCATENATE("R6C",'Mapa final'!$Q$38),"")</f>
        <v/>
      </c>
      <c r="AK31" s="40" t="str">
        <f>IF(AND('Mapa final'!$AA$39="Media",'Mapa final'!$AC$39="Catastrófico"),CONCATENATE("R6C",'Mapa final'!$Q$39),"")</f>
        <v/>
      </c>
      <c r="AL31" s="40" t="str">
        <f>IF(AND('Mapa final'!$AA$40="Media",'Mapa final'!$AC$40="Catastrófico"),CONCATENATE("R6C",'Mapa final'!$Q$40),"")</f>
        <v/>
      </c>
      <c r="AM31" s="41" t="str">
        <f>IF(AND('Mapa final'!$AA$41="Media",'Mapa final'!$AC$41="Catastrófico"),CONCATENATE("R6C",'Mapa final'!$Q$41),"")</f>
        <v/>
      </c>
      <c r="AN31" s="68"/>
      <c r="AO31" s="430"/>
      <c r="AP31" s="431"/>
      <c r="AQ31" s="431"/>
      <c r="AR31" s="431"/>
      <c r="AS31" s="431"/>
      <c r="AT31" s="432"/>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348"/>
      <c r="C32" s="348"/>
      <c r="D32" s="349"/>
      <c r="E32" s="389"/>
      <c r="F32" s="390"/>
      <c r="G32" s="390"/>
      <c r="H32" s="390"/>
      <c r="I32" s="391"/>
      <c r="J32" s="52" t="str">
        <f>IF(AND('Mapa final'!$AA$42="Media",'Mapa final'!$AC$42="Leve"),CONCATENATE("R7C",'Mapa final'!$Q$42),"")</f>
        <v/>
      </c>
      <c r="K32" s="53" t="str">
        <f>IF(AND('Mapa final'!$AA$43="Media",'Mapa final'!$AC$43="Leve"),CONCATENATE("R7C",'Mapa final'!$Q$43),"")</f>
        <v/>
      </c>
      <c r="L32" s="53" t="str">
        <f>IF(AND('Mapa final'!$AA$44="Media",'Mapa final'!$AC$44="Leve"),CONCATENATE("R7C",'Mapa final'!$Q$44),"")</f>
        <v/>
      </c>
      <c r="M32" s="53" t="str">
        <f>IF(AND('Mapa final'!$AA$45="Media",'Mapa final'!$AC$45="Leve"),CONCATENATE("R7C",'Mapa final'!$Q$45),"")</f>
        <v/>
      </c>
      <c r="N32" s="53" t="str">
        <f>IF(AND('Mapa final'!$AA$46="Media",'Mapa final'!$AC$46="Leve"),CONCATENATE("R7C",'Mapa final'!$Q$46),"")</f>
        <v/>
      </c>
      <c r="O32" s="54" t="str">
        <f>IF(AND('Mapa final'!$AA$47="Media",'Mapa final'!$AC$47="Leve"),CONCATENATE("R7C",'Mapa final'!$Q$47),"")</f>
        <v/>
      </c>
      <c r="P32" s="52" t="str">
        <f>IF(AND('Mapa final'!$AA$42="Media",'Mapa final'!$AC$42="Menor"),CONCATENATE("R7C",'Mapa final'!$Q$42),"")</f>
        <v/>
      </c>
      <c r="Q32" s="53" t="str">
        <f>IF(AND('Mapa final'!$AA$43="Media",'Mapa final'!$AC$43="Menor"),CONCATENATE("R7C",'Mapa final'!$Q$43),"")</f>
        <v/>
      </c>
      <c r="R32" s="53" t="str">
        <f>IF(AND('Mapa final'!$AA$44="Media",'Mapa final'!$AC$44="Menor"),CONCATENATE("R7C",'Mapa final'!$Q$44),"")</f>
        <v/>
      </c>
      <c r="S32" s="53" t="str">
        <f>IF(AND('Mapa final'!$AA$45="Media",'Mapa final'!$AC$45="Menor"),CONCATENATE("R7C",'Mapa final'!$Q$45),"")</f>
        <v/>
      </c>
      <c r="T32" s="53" t="str">
        <f>IF(AND('Mapa final'!$AA$46="Media",'Mapa final'!$AC$46="Menor"),CONCATENATE("R7C",'Mapa final'!$Q$46),"")</f>
        <v/>
      </c>
      <c r="U32" s="54" t="str">
        <f>IF(AND('Mapa final'!$AA$47="Media",'Mapa final'!$AC$47="Menor"),CONCATENATE("R7C",'Mapa final'!$Q$47),"")</f>
        <v/>
      </c>
      <c r="V32" s="52" t="str">
        <f>IF(AND('Mapa final'!$AA$42="Media",'Mapa final'!$AC$42="Moderado"),CONCATENATE("R7C",'Mapa final'!$Q$42),"")</f>
        <v/>
      </c>
      <c r="W32" s="53" t="str">
        <f>IF(AND('Mapa final'!$AA$43="Media",'Mapa final'!$AC$43="Moderado"),CONCATENATE("R7C",'Mapa final'!$Q$43),"")</f>
        <v/>
      </c>
      <c r="X32" s="53" t="str">
        <f>IF(AND('Mapa final'!$AA$44="Media",'Mapa final'!$AC$44="Moderado"),CONCATENATE("R7C",'Mapa final'!$Q$44),"")</f>
        <v/>
      </c>
      <c r="Y32" s="53" t="str">
        <f>IF(AND('Mapa final'!$AA$45="Media",'Mapa final'!$AC$45="Moderado"),CONCATENATE("R7C",'Mapa final'!$Q$45),"")</f>
        <v/>
      </c>
      <c r="Z32" s="53" t="str">
        <f>IF(AND('Mapa final'!$AA$46="Media",'Mapa final'!$AC$46="Moderado"),CONCATENATE("R7C",'Mapa final'!$Q$46),"")</f>
        <v/>
      </c>
      <c r="AA32" s="54" t="str">
        <f>IF(AND('Mapa final'!$AA$47="Media",'Mapa final'!$AC$47="Moderado"),CONCATENATE("R7C",'Mapa final'!$Q$47),"")</f>
        <v/>
      </c>
      <c r="AB32" s="36" t="str">
        <f>IF(AND('Mapa final'!$AA$42="Media",'Mapa final'!$AC$42="Mayor"),CONCATENATE("R7C",'Mapa final'!$Q$42),"")</f>
        <v/>
      </c>
      <c r="AC32" s="37" t="str">
        <f>IF(AND('Mapa final'!$AA$43="Media",'Mapa final'!$AC$43="Mayor"),CONCATENATE("R7C",'Mapa final'!$Q$43),"")</f>
        <v/>
      </c>
      <c r="AD32" s="42" t="str">
        <f>IF(AND('Mapa final'!$AA$44="Media",'Mapa final'!$AC$44="Mayor"),CONCATENATE("R7C",'Mapa final'!$Q$44),"")</f>
        <v/>
      </c>
      <c r="AE32" s="42" t="str">
        <f>IF(AND('Mapa final'!$AA$45="Media",'Mapa final'!$AC$45="Mayor"),CONCATENATE("R7C",'Mapa final'!$Q$45),"")</f>
        <v/>
      </c>
      <c r="AF32" s="42" t="str">
        <f>IF(AND('Mapa final'!$AA$46="Media",'Mapa final'!$AC$46="Mayor"),CONCATENATE("R7C",'Mapa final'!$Q$46),"")</f>
        <v/>
      </c>
      <c r="AG32" s="38" t="str">
        <f>IF(AND('Mapa final'!$AA$47="Media",'Mapa final'!$AC$47="Mayor"),CONCATENATE("R7C",'Mapa final'!$Q$47),"")</f>
        <v/>
      </c>
      <c r="AH32" s="39" t="str">
        <f>IF(AND('Mapa final'!$AA$42="Media",'Mapa final'!$AC$42="Catastrófico"),CONCATENATE("R7C",'Mapa final'!$Q$42),"")</f>
        <v/>
      </c>
      <c r="AI32" s="40" t="str">
        <f>IF(AND('Mapa final'!$AA$43="Media",'Mapa final'!$AC$43="Catastrófico"),CONCATENATE("R7C",'Mapa final'!$Q$43),"")</f>
        <v/>
      </c>
      <c r="AJ32" s="40" t="str">
        <f>IF(AND('Mapa final'!$AA$44="Media",'Mapa final'!$AC$44="Catastrófico"),CONCATENATE("R7C",'Mapa final'!$Q$44),"")</f>
        <v/>
      </c>
      <c r="AK32" s="40" t="str">
        <f>IF(AND('Mapa final'!$AA$45="Media",'Mapa final'!$AC$45="Catastrófico"),CONCATENATE("R7C",'Mapa final'!$Q$45),"")</f>
        <v/>
      </c>
      <c r="AL32" s="40" t="str">
        <f>IF(AND('Mapa final'!$AA$46="Media",'Mapa final'!$AC$46="Catastrófico"),CONCATENATE("R7C",'Mapa final'!$Q$46),"")</f>
        <v/>
      </c>
      <c r="AM32" s="41" t="str">
        <f>IF(AND('Mapa final'!$AA$47="Media",'Mapa final'!$AC$47="Catastrófico"),CONCATENATE("R7C",'Mapa final'!$Q$47),"")</f>
        <v/>
      </c>
      <c r="AN32" s="68"/>
      <c r="AO32" s="430"/>
      <c r="AP32" s="431"/>
      <c r="AQ32" s="431"/>
      <c r="AR32" s="431"/>
      <c r="AS32" s="431"/>
      <c r="AT32" s="432"/>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348"/>
      <c r="C33" s="348"/>
      <c r="D33" s="349"/>
      <c r="E33" s="389"/>
      <c r="F33" s="390"/>
      <c r="G33" s="390"/>
      <c r="H33" s="390"/>
      <c r="I33" s="391"/>
      <c r="J33" s="52" t="str">
        <f>IF(AND('Mapa final'!$AA$48="Media",'Mapa final'!$AC$48="Leve"),CONCATENATE("R8C",'Mapa final'!$Q$48),"")</f>
        <v/>
      </c>
      <c r="K33" s="53" t="str">
        <f>IF(AND('Mapa final'!$AA$49="Media",'Mapa final'!$AC$49="Leve"),CONCATENATE("R8C",'Mapa final'!$Q$49),"")</f>
        <v/>
      </c>
      <c r="L33" s="53" t="str">
        <f>IF(AND('Mapa final'!$AA$50="Media",'Mapa final'!$AC$50="Leve"),CONCATENATE("R8C",'Mapa final'!$Q$50),"")</f>
        <v/>
      </c>
      <c r="M33" s="53" t="str">
        <f>IF(AND('Mapa final'!$AA$51="Media",'Mapa final'!$AC$51="Leve"),CONCATENATE("R8C",'Mapa final'!$Q$51),"")</f>
        <v/>
      </c>
      <c r="N33" s="53" t="str">
        <f>IF(AND('Mapa final'!$AA$52="Media",'Mapa final'!$AC$52="Leve"),CONCATENATE("R8C",'Mapa final'!$Q$52),"")</f>
        <v/>
      </c>
      <c r="O33" s="54" t="str">
        <f>IF(AND('Mapa final'!$AA$53="Media",'Mapa final'!$AC$53="Leve"),CONCATENATE("R8C",'Mapa final'!$Q$53),"")</f>
        <v/>
      </c>
      <c r="P33" s="52" t="str">
        <f>IF(AND('Mapa final'!$AA$48="Media",'Mapa final'!$AC$48="Menor"),CONCATENATE("R8C",'Mapa final'!$Q$48),"")</f>
        <v/>
      </c>
      <c r="Q33" s="53" t="str">
        <f>IF(AND('Mapa final'!$AA$49="Media",'Mapa final'!$AC$49="Menor"),CONCATENATE("R8C",'Mapa final'!$Q$49),"")</f>
        <v/>
      </c>
      <c r="R33" s="53" t="str">
        <f>IF(AND('Mapa final'!$AA$50="Media",'Mapa final'!$AC$50="Menor"),CONCATENATE("R8C",'Mapa final'!$Q$50),"")</f>
        <v/>
      </c>
      <c r="S33" s="53" t="str">
        <f>IF(AND('Mapa final'!$AA$51="Media",'Mapa final'!$AC$51="Menor"),CONCATENATE("R8C",'Mapa final'!$Q$51),"")</f>
        <v/>
      </c>
      <c r="T33" s="53" t="str">
        <f>IF(AND('Mapa final'!$AA$52="Media",'Mapa final'!$AC$52="Menor"),CONCATENATE("R8C",'Mapa final'!$Q$52),"")</f>
        <v/>
      </c>
      <c r="U33" s="54" t="str">
        <f>IF(AND('Mapa final'!$AA$53="Media",'Mapa final'!$AC$53="Menor"),CONCATENATE("R8C",'Mapa final'!$Q$53),"")</f>
        <v/>
      </c>
      <c r="V33" s="52" t="str">
        <f>IF(AND('Mapa final'!$AA$48="Media",'Mapa final'!$AC$48="Moderado"),CONCATENATE("R8C",'Mapa final'!$Q$48),"")</f>
        <v/>
      </c>
      <c r="W33" s="53" t="str">
        <f>IF(AND('Mapa final'!$AA$49="Media",'Mapa final'!$AC$49="Moderado"),CONCATENATE("R8C",'Mapa final'!$Q$49),"")</f>
        <v/>
      </c>
      <c r="X33" s="53" t="str">
        <f>IF(AND('Mapa final'!$AA$50="Media",'Mapa final'!$AC$50="Moderado"),CONCATENATE("R8C",'Mapa final'!$Q$50),"")</f>
        <v/>
      </c>
      <c r="Y33" s="53" t="str">
        <f>IF(AND('Mapa final'!$AA$51="Media",'Mapa final'!$AC$51="Moderado"),CONCATENATE("R8C",'Mapa final'!$Q$51),"")</f>
        <v/>
      </c>
      <c r="Z33" s="53" t="str">
        <f>IF(AND('Mapa final'!$AA$52="Media",'Mapa final'!$AC$52="Moderado"),CONCATENATE("R8C",'Mapa final'!$Q$52),"")</f>
        <v/>
      </c>
      <c r="AA33" s="54" t="str">
        <f>IF(AND('Mapa final'!$AA$53="Media",'Mapa final'!$AC$53="Moderado"),CONCATENATE("R8C",'Mapa final'!$Q$53),"")</f>
        <v/>
      </c>
      <c r="AB33" s="36" t="str">
        <f>IF(AND('Mapa final'!$AA$48="Media",'Mapa final'!$AC$48="Mayor"),CONCATENATE("R8C",'Mapa final'!$Q$48),"")</f>
        <v/>
      </c>
      <c r="AC33" s="37" t="str">
        <f>IF(AND('Mapa final'!$AA$49="Media",'Mapa final'!$AC$49="Mayor"),CONCATENATE("R8C",'Mapa final'!$Q$49),"")</f>
        <v/>
      </c>
      <c r="AD33" s="42" t="str">
        <f>IF(AND('Mapa final'!$AA$50="Media",'Mapa final'!$AC$50="Mayor"),CONCATENATE("R8C",'Mapa final'!$Q$50),"")</f>
        <v/>
      </c>
      <c r="AE33" s="42" t="str">
        <f>IF(AND('Mapa final'!$AA$51="Media",'Mapa final'!$AC$51="Mayor"),CONCATENATE("R8C",'Mapa final'!$Q$51),"")</f>
        <v/>
      </c>
      <c r="AF33" s="42" t="str">
        <f>IF(AND('Mapa final'!$AA$52="Media",'Mapa final'!$AC$52="Mayor"),CONCATENATE("R8C",'Mapa final'!$Q$52),"")</f>
        <v/>
      </c>
      <c r="AG33" s="38" t="str">
        <f>IF(AND('Mapa final'!$AA$53="Media",'Mapa final'!$AC$53="Mayor"),CONCATENATE("R8C",'Mapa final'!$Q$53),"")</f>
        <v/>
      </c>
      <c r="AH33" s="39" t="str">
        <f>IF(AND('Mapa final'!$AA$48="Media",'Mapa final'!$AC$48="Catastrófico"),CONCATENATE("R8C",'Mapa final'!$Q$48),"")</f>
        <v/>
      </c>
      <c r="AI33" s="40" t="str">
        <f>IF(AND('Mapa final'!$AA$49="Media",'Mapa final'!$AC$49="Catastrófico"),CONCATENATE("R8C",'Mapa final'!$Q$49),"")</f>
        <v/>
      </c>
      <c r="AJ33" s="40" t="str">
        <f>IF(AND('Mapa final'!$AA$50="Media",'Mapa final'!$AC$50="Catastrófico"),CONCATENATE("R8C",'Mapa final'!$Q$50),"")</f>
        <v/>
      </c>
      <c r="AK33" s="40" t="str">
        <f>IF(AND('Mapa final'!$AA$51="Media",'Mapa final'!$AC$51="Catastrófico"),CONCATENATE("R8C",'Mapa final'!$Q$51),"")</f>
        <v/>
      </c>
      <c r="AL33" s="40" t="str">
        <f>IF(AND('Mapa final'!$AA$52="Media",'Mapa final'!$AC$52="Catastrófico"),CONCATENATE("R8C",'Mapa final'!$Q$52),"")</f>
        <v/>
      </c>
      <c r="AM33" s="41" t="str">
        <f>IF(AND('Mapa final'!$AA$53="Media",'Mapa final'!$AC$53="Catastrófico"),CONCATENATE("R8C",'Mapa final'!$Q$53),"")</f>
        <v/>
      </c>
      <c r="AN33" s="68"/>
      <c r="AO33" s="430"/>
      <c r="AP33" s="431"/>
      <c r="AQ33" s="431"/>
      <c r="AR33" s="431"/>
      <c r="AS33" s="431"/>
      <c r="AT33" s="432"/>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348"/>
      <c r="C34" s="348"/>
      <c r="D34" s="349"/>
      <c r="E34" s="389"/>
      <c r="F34" s="390"/>
      <c r="G34" s="390"/>
      <c r="H34" s="390"/>
      <c r="I34" s="391"/>
      <c r="J34" s="52" t="str">
        <f>IF(AND('Mapa final'!$AA$54="Media",'Mapa final'!$AC$54="Leve"),CONCATENATE("R9C",'Mapa final'!$Q$54),"")</f>
        <v/>
      </c>
      <c r="K34" s="53" t="str">
        <f>IF(AND('Mapa final'!$AA$55="Media",'Mapa final'!$AC$55="Leve"),CONCATENATE("R9C",'Mapa final'!$Q$55),"")</f>
        <v/>
      </c>
      <c r="L34" s="53" t="str">
        <f>IF(AND('Mapa final'!$AA$56="Media",'Mapa final'!$AC$56="Leve"),CONCATENATE("R9C",'Mapa final'!$Q$56),"")</f>
        <v/>
      </c>
      <c r="M34" s="53" t="str">
        <f>IF(AND('Mapa final'!$AA$57="Media",'Mapa final'!$AC$57="Leve"),CONCATENATE("R9C",'Mapa final'!$Q$57),"")</f>
        <v/>
      </c>
      <c r="N34" s="53" t="str">
        <f>IF(AND('Mapa final'!$AA$58="Media",'Mapa final'!$AC$58="Leve"),CONCATENATE("R9C",'Mapa final'!$Q$58),"")</f>
        <v/>
      </c>
      <c r="O34" s="54" t="str">
        <f>IF(AND('Mapa final'!$AA$59="Media",'Mapa final'!$AC$59="Leve"),CONCATENATE("R9C",'Mapa final'!$Q$59),"")</f>
        <v/>
      </c>
      <c r="P34" s="52" t="str">
        <f>IF(AND('Mapa final'!$AA$54="Media",'Mapa final'!$AC$54="Menor"),CONCATENATE("R9C",'Mapa final'!$Q$54),"")</f>
        <v/>
      </c>
      <c r="Q34" s="53" t="str">
        <f>IF(AND('Mapa final'!$AA$55="Media",'Mapa final'!$AC$55="Menor"),CONCATENATE("R9C",'Mapa final'!$Q$55),"")</f>
        <v/>
      </c>
      <c r="R34" s="53" t="str">
        <f>IF(AND('Mapa final'!$AA$56="Media",'Mapa final'!$AC$56="Menor"),CONCATENATE("R9C",'Mapa final'!$Q$56),"")</f>
        <v/>
      </c>
      <c r="S34" s="53" t="str">
        <f>IF(AND('Mapa final'!$AA$57="Media",'Mapa final'!$AC$57="Menor"),CONCATENATE("R9C",'Mapa final'!$Q$57),"")</f>
        <v/>
      </c>
      <c r="T34" s="53" t="str">
        <f>IF(AND('Mapa final'!$AA$58="Media",'Mapa final'!$AC$58="Menor"),CONCATENATE("R9C",'Mapa final'!$Q$58),"")</f>
        <v/>
      </c>
      <c r="U34" s="54" t="str">
        <f>IF(AND('Mapa final'!$AA$59="Media",'Mapa final'!$AC$59="Menor"),CONCATENATE("R9C",'Mapa final'!$Q$59),"")</f>
        <v/>
      </c>
      <c r="V34" s="52" t="str">
        <f>IF(AND('Mapa final'!$AA$54="Media",'Mapa final'!$AC$54="Moderado"),CONCATENATE("R9C",'Mapa final'!$Q$54),"")</f>
        <v/>
      </c>
      <c r="W34" s="53" t="str">
        <f>IF(AND('Mapa final'!$AA$55="Media",'Mapa final'!$AC$55="Moderado"),CONCATENATE("R9C",'Mapa final'!$Q$55),"")</f>
        <v/>
      </c>
      <c r="X34" s="53" t="str">
        <f>IF(AND('Mapa final'!$AA$56="Media",'Mapa final'!$AC$56="Moderado"),CONCATENATE("R9C",'Mapa final'!$Q$56),"")</f>
        <v/>
      </c>
      <c r="Y34" s="53" t="str">
        <f>IF(AND('Mapa final'!$AA$57="Media",'Mapa final'!$AC$57="Moderado"),CONCATENATE("R9C",'Mapa final'!$Q$57),"")</f>
        <v/>
      </c>
      <c r="Z34" s="53" t="str">
        <f>IF(AND('Mapa final'!$AA$58="Media",'Mapa final'!$AC$58="Moderado"),CONCATENATE("R9C",'Mapa final'!$Q$58),"")</f>
        <v/>
      </c>
      <c r="AA34" s="54" t="str">
        <f>IF(AND('Mapa final'!$AA$59="Media",'Mapa final'!$AC$59="Moderado"),CONCATENATE("R9C",'Mapa final'!$Q$59),"")</f>
        <v/>
      </c>
      <c r="AB34" s="36" t="str">
        <f>IF(AND('Mapa final'!$AA$54="Media",'Mapa final'!$AC$54="Mayor"),CONCATENATE("R9C",'Mapa final'!$Q$54),"")</f>
        <v/>
      </c>
      <c r="AC34" s="37" t="str">
        <f>IF(AND('Mapa final'!$AA$55="Media",'Mapa final'!$AC$55="Mayor"),CONCATENATE("R9C",'Mapa final'!$Q$55),"")</f>
        <v/>
      </c>
      <c r="AD34" s="42" t="str">
        <f>IF(AND('Mapa final'!$AA$56="Media",'Mapa final'!$AC$56="Mayor"),CONCATENATE("R9C",'Mapa final'!$Q$56),"")</f>
        <v/>
      </c>
      <c r="AE34" s="42" t="str">
        <f>IF(AND('Mapa final'!$AA$57="Media",'Mapa final'!$AC$57="Mayor"),CONCATENATE("R9C",'Mapa final'!$Q$57),"")</f>
        <v/>
      </c>
      <c r="AF34" s="42" t="str">
        <f>IF(AND('Mapa final'!$AA$58="Media",'Mapa final'!$AC$58="Mayor"),CONCATENATE("R9C",'Mapa final'!$Q$58),"")</f>
        <v/>
      </c>
      <c r="AG34" s="38" t="str">
        <f>IF(AND('Mapa final'!$AA$59="Media",'Mapa final'!$AC$59="Mayor"),CONCATENATE("R9C",'Mapa final'!$Q$59),"")</f>
        <v/>
      </c>
      <c r="AH34" s="39" t="str">
        <f>IF(AND('Mapa final'!$AA$54="Media",'Mapa final'!$AC$54="Catastrófico"),CONCATENATE("R9C",'Mapa final'!$Q$54),"")</f>
        <v/>
      </c>
      <c r="AI34" s="40" t="str">
        <f>IF(AND('Mapa final'!$AA$55="Media",'Mapa final'!$AC$55="Catastrófico"),CONCATENATE("R9C",'Mapa final'!$Q$55),"")</f>
        <v/>
      </c>
      <c r="AJ34" s="40" t="str">
        <f>IF(AND('Mapa final'!$AA$56="Media",'Mapa final'!$AC$56="Catastrófico"),CONCATENATE("R9C",'Mapa final'!$Q$56),"")</f>
        <v/>
      </c>
      <c r="AK34" s="40" t="str">
        <f>IF(AND('Mapa final'!$AA$57="Media",'Mapa final'!$AC$57="Catastrófico"),CONCATENATE("R9C",'Mapa final'!$Q$57),"")</f>
        <v/>
      </c>
      <c r="AL34" s="40" t="str">
        <f>IF(AND('Mapa final'!$AA$58="Media",'Mapa final'!$AC$58="Catastrófico"),CONCATENATE("R9C",'Mapa final'!$Q$58),"")</f>
        <v/>
      </c>
      <c r="AM34" s="41" t="str">
        <f>IF(AND('Mapa final'!$AA$59="Media",'Mapa final'!$AC$59="Catastrófico"),CONCATENATE("R9C",'Mapa final'!$Q$59),"")</f>
        <v/>
      </c>
      <c r="AN34" s="68"/>
      <c r="AO34" s="430"/>
      <c r="AP34" s="431"/>
      <c r="AQ34" s="431"/>
      <c r="AR34" s="431"/>
      <c r="AS34" s="431"/>
      <c r="AT34" s="432"/>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348"/>
      <c r="C35" s="348"/>
      <c r="D35" s="349"/>
      <c r="E35" s="392"/>
      <c r="F35" s="393"/>
      <c r="G35" s="393"/>
      <c r="H35" s="393"/>
      <c r="I35" s="394"/>
      <c r="J35" s="52" t="str">
        <f>IF(AND('Mapa final'!$AA$60="Media",'Mapa final'!$AC$60="Leve"),CONCATENATE("R10C",'Mapa final'!$Q$60),"")</f>
        <v/>
      </c>
      <c r="K35" s="53" t="str">
        <f>IF(AND('Mapa final'!$AA$61="Media",'Mapa final'!$AC$61="Leve"),CONCATENATE("R10C",'Mapa final'!$Q$61),"")</f>
        <v/>
      </c>
      <c r="L35" s="53" t="str">
        <f>IF(AND('Mapa final'!$AA$62="Media",'Mapa final'!$AC$62="Leve"),CONCATENATE("R10C",'Mapa final'!$Q$62),"")</f>
        <v/>
      </c>
      <c r="M35" s="53" t="str">
        <f>IF(AND('Mapa final'!$AA$63="Media",'Mapa final'!$AC$63="Leve"),CONCATENATE("R10C",'Mapa final'!$Q$63),"")</f>
        <v/>
      </c>
      <c r="N35" s="53" t="str">
        <f>IF(AND('Mapa final'!$AA$64="Media",'Mapa final'!$AC$64="Leve"),CONCATENATE("R10C",'Mapa final'!$Q$64),"")</f>
        <v/>
      </c>
      <c r="O35" s="54" t="str">
        <f>IF(AND('Mapa final'!$AA$65="Media",'Mapa final'!$AC$65="Leve"),CONCATENATE("R10C",'Mapa final'!$Q$65),"")</f>
        <v/>
      </c>
      <c r="P35" s="52" t="str">
        <f>IF(AND('Mapa final'!$AA$60="Media",'Mapa final'!$AC$60="Menor"),CONCATENATE("R10C",'Mapa final'!$Q$60),"")</f>
        <v/>
      </c>
      <c r="Q35" s="53" t="str">
        <f>IF(AND('Mapa final'!$AA$61="Media",'Mapa final'!$AC$61="Menor"),CONCATENATE("R10C",'Mapa final'!$Q$61),"")</f>
        <v/>
      </c>
      <c r="R35" s="53" t="str">
        <f>IF(AND('Mapa final'!$AA$62="Media",'Mapa final'!$AC$62="Menor"),CONCATENATE("R10C",'Mapa final'!$Q$62),"")</f>
        <v/>
      </c>
      <c r="S35" s="53" t="str">
        <f>IF(AND('Mapa final'!$AA$63="Media",'Mapa final'!$AC$63="Menor"),CONCATENATE("R10C",'Mapa final'!$Q$63),"")</f>
        <v/>
      </c>
      <c r="T35" s="53" t="str">
        <f>IF(AND('Mapa final'!$AA$64="Media",'Mapa final'!$AC$64="Menor"),CONCATENATE("R10C",'Mapa final'!$Q$64),"")</f>
        <v/>
      </c>
      <c r="U35" s="54" t="str">
        <f>IF(AND('Mapa final'!$AA$65="Media",'Mapa final'!$AC$65="Menor"),CONCATENATE("R10C",'Mapa final'!$Q$65),"")</f>
        <v/>
      </c>
      <c r="V35" s="52" t="str">
        <f>IF(AND('Mapa final'!$AA$60="Media",'Mapa final'!$AC$60="Moderado"),CONCATENATE("R10C",'Mapa final'!$Q$60),"")</f>
        <v/>
      </c>
      <c r="W35" s="53" t="str">
        <f>IF(AND('Mapa final'!$AA$61="Media",'Mapa final'!$AC$61="Moderado"),CONCATENATE("R10C",'Mapa final'!$Q$61),"")</f>
        <v/>
      </c>
      <c r="X35" s="53" t="str">
        <f>IF(AND('Mapa final'!$AA$62="Media",'Mapa final'!$AC$62="Moderado"),CONCATENATE("R10C",'Mapa final'!$Q$62),"")</f>
        <v/>
      </c>
      <c r="Y35" s="53" t="str">
        <f>IF(AND('Mapa final'!$AA$63="Media",'Mapa final'!$AC$63="Moderado"),CONCATENATE("R10C",'Mapa final'!$Q$63),"")</f>
        <v/>
      </c>
      <c r="Z35" s="53" t="str">
        <f>IF(AND('Mapa final'!$AA$64="Media",'Mapa final'!$AC$64="Moderado"),CONCATENATE("R10C",'Mapa final'!$Q$64),"")</f>
        <v/>
      </c>
      <c r="AA35" s="54" t="str">
        <f>IF(AND('Mapa final'!$AA$65="Media",'Mapa final'!$AC$65="Moderado"),CONCATENATE("R10C",'Mapa final'!$Q$65),"")</f>
        <v/>
      </c>
      <c r="AB35" s="43" t="str">
        <f>IF(AND('Mapa final'!$AA$60="Media",'Mapa final'!$AC$60="Mayor"),CONCATENATE("R10C",'Mapa final'!$Q$60),"")</f>
        <v/>
      </c>
      <c r="AC35" s="44" t="str">
        <f>IF(AND('Mapa final'!$AA$61="Media",'Mapa final'!$AC$61="Mayor"),CONCATENATE("R10C",'Mapa final'!$Q$61),"")</f>
        <v/>
      </c>
      <c r="AD35" s="44" t="str">
        <f>IF(AND('Mapa final'!$AA$62="Media",'Mapa final'!$AC$62="Mayor"),CONCATENATE("R10C",'Mapa final'!$Q$62),"")</f>
        <v/>
      </c>
      <c r="AE35" s="44" t="str">
        <f>IF(AND('Mapa final'!$AA$63="Media",'Mapa final'!$AC$63="Mayor"),CONCATENATE("R10C",'Mapa final'!$Q$63),"")</f>
        <v/>
      </c>
      <c r="AF35" s="44" t="str">
        <f>IF(AND('Mapa final'!$AA$64="Media",'Mapa final'!$AC$64="Mayor"),CONCATENATE("R10C",'Mapa final'!$Q$64),"")</f>
        <v/>
      </c>
      <c r="AG35" s="45" t="str">
        <f>IF(AND('Mapa final'!$AA$65="Media",'Mapa final'!$AC$65="Mayor"),CONCATENATE("R10C",'Mapa final'!$Q$65),"")</f>
        <v/>
      </c>
      <c r="AH35" s="46" t="str">
        <f>IF(AND('Mapa final'!$AA$60="Media",'Mapa final'!$AC$60="Catastrófico"),CONCATENATE("R10C",'Mapa final'!$Q$60),"")</f>
        <v/>
      </c>
      <c r="AI35" s="47" t="str">
        <f>IF(AND('Mapa final'!$AA$61="Media",'Mapa final'!$AC$61="Catastrófico"),CONCATENATE("R10C",'Mapa final'!$Q$61),"")</f>
        <v/>
      </c>
      <c r="AJ35" s="47" t="str">
        <f>IF(AND('Mapa final'!$AA$62="Media",'Mapa final'!$AC$62="Catastrófico"),CONCATENATE("R10C",'Mapa final'!$Q$62),"")</f>
        <v/>
      </c>
      <c r="AK35" s="47" t="str">
        <f>IF(AND('Mapa final'!$AA$63="Media",'Mapa final'!$AC$63="Catastrófico"),CONCATENATE("R10C",'Mapa final'!$Q$63),"")</f>
        <v/>
      </c>
      <c r="AL35" s="47" t="str">
        <f>IF(AND('Mapa final'!$AA$64="Media",'Mapa final'!$AC$64="Catastrófico"),CONCATENATE("R10C",'Mapa final'!$Q$64),"")</f>
        <v/>
      </c>
      <c r="AM35" s="48" t="str">
        <f>IF(AND('Mapa final'!$AA$65="Media",'Mapa final'!$AC$65="Catastrófico"),CONCATENATE("R10C",'Mapa final'!$Q$65),"")</f>
        <v/>
      </c>
      <c r="AN35" s="68"/>
      <c r="AO35" s="433"/>
      <c r="AP35" s="434"/>
      <c r="AQ35" s="434"/>
      <c r="AR35" s="434"/>
      <c r="AS35" s="434"/>
      <c r="AT35" s="435"/>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348"/>
      <c r="C36" s="348"/>
      <c r="D36" s="349"/>
      <c r="E36" s="386" t="s">
        <v>109</v>
      </c>
      <c r="F36" s="387"/>
      <c r="G36" s="387"/>
      <c r="H36" s="387"/>
      <c r="I36" s="387"/>
      <c r="J36" s="58" t="str">
        <f ca="1">IF(AND('Mapa final'!$AA$10="Baja",'Mapa final'!$AC$10="Leve"),CONCATENATE("R1C",'Mapa final'!$Q$10),"")</f>
        <v/>
      </c>
      <c r="K36" s="59" t="str">
        <f>IF(AND('Mapa final'!$AA$11="Baja",'Mapa final'!$AC$11="Leve"),CONCATENATE("R1C",'Mapa final'!$Q$11),"")</f>
        <v/>
      </c>
      <c r="L36" s="59" t="str">
        <f>IF(AND('Mapa final'!$AA$12="Baja",'Mapa final'!$AC$12="Leve"),CONCATENATE("R1C",'Mapa final'!$Q$12),"")</f>
        <v/>
      </c>
      <c r="M36" s="59" t="str">
        <f>IF(AND('Mapa final'!$AA$13="Baja",'Mapa final'!$AC$13="Leve"),CONCATENATE("R1C",'Mapa final'!$Q$13),"")</f>
        <v/>
      </c>
      <c r="N36" s="59" t="e">
        <f>IF(AND('Mapa final'!#REF!="Baja",'Mapa final'!#REF!="Leve"),CONCATENATE("R1C",'Mapa final'!#REF!),"")</f>
        <v>#REF!</v>
      </c>
      <c r="O36" s="60" t="e">
        <f>IF(AND('Mapa final'!#REF!="Baja",'Mapa final'!#REF!="Leve"),CONCATENATE("R1C",'Mapa final'!#REF!),"")</f>
        <v>#REF!</v>
      </c>
      <c r="P36" s="49" t="str">
        <f ca="1">IF(AND('Mapa final'!$AA$10="Baja",'Mapa final'!$AC$10="Menor"),CONCATENATE("R1C",'Mapa final'!$Q$10),"")</f>
        <v/>
      </c>
      <c r="Q36" s="50" t="str">
        <f>IF(AND('Mapa final'!$AA$11="Baja",'Mapa final'!$AC$11="Menor"),CONCATENATE("R1C",'Mapa final'!$Q$11),"")</f>
        <v/>
      </c>
      <c r="R36" s="50" t="str">
        <f>IF(AND('Mapa final'!$AA$12="Baja",'Mapa final'!$AC$12="Menor"),CONCATENATE("R1C",'Mapa final'!$Q$12),"")</f>
        <v/>
      </c>
      <c r="S36" s="50" t="str">
        <f>IF(AND('Mapa final'!$AA$13="Baja",'Mapa final'!$AC$13="Menor"),CONCATENATE("R1C",'Mapa final'!$Q$13),"")</f>
        <v/>
      </c>
      <c r="T36" s="50" t="e">
        <f>IF(AND('Mapa final'!#REF!="Baja",'Mapa final'!#REF!="Menor"),CONCATENATE("R1C",'Mapa final'!#REF!),"")</f>
        <v>#REF!</v>
      </c>
      <c r="U36" s="51" t="e">
        <f>IF(AND('Mapa final'!#REF!="Baja",'Mapa final'!#REF!="Menor"),CONCATENATE("R1C",'Mapa final'!#REF!),"")</f>
        <v>#REF!</v>
      </c>
      <c r="V36" s="49" t="str">
        <f ca="1">IF(AND('Mapa final'!$AA$10="Baja",'Mapa final'!$AC$10="Moderado"),CONCATENATE("R1C",'Mapa final'!$Q$10),"")</f>
        <v/>
      </c>
      <c r="W36" s="50" t="str">
        <f>IF(AND('Mapa final'!$AA$11="Baja",'Mapa final'!$AC$11="Moderado"),CONCATENATE("R1C",'Mapa final'!$Q$11),"")</f>
        <v/>
      </c>
      <c r="X36" s="50" t="str">
        <f>IF(AND('Mapa final'!$AA$12="Baja",'Mapa final'!$AC$12="Moderado"),CONCATENATE("R1C",'Mapa final'!$Q$12),"")</f>
        <v/>
      </c>
      <c r="Y36" s="50" t="str">
        <f>IF(AND('Mapa final'!$AA$13="Baja",'Mapa final'!$AC$13="Moderado"),CONCATENATE("R1C",'Mapa final'!$Q$13),"")</f>
        <v/>
      </c>
      <c r="Z36" s="50" t="e">
        <f>IF(AND('Mapa final'!#REF!="Baja",'Mapa final'!#REF!="Moderado"),CONCATENATE("R1C",'Mapa final'!#REF!),"")</f>
        <v>#REF!</v>
      </c>
      <c r="AA36" s="51" t="e">
        <f>IF(AND('Mapa final'!#REF!="Baja",'Mapa final'!#REF!="Moderado"),CONCATENATE("R1C",'Mapa final'!#REF!),"")</f>
        <v>#REF!</v>
      </c>
      <c r="AB36" s="30" t="str">
        <f ca="1">IF(AND('Mapa final'!$AA$10="Baja",'Mapa final'!$AC$10="Mayor"),CONCATENATE("R1C",'Mapa final'!$Q$10),"")</f>
        <v>R1C1</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e">
        <f>IF(AND('Mapa final'!#REF!="Baja",'Mapa final'!#REF!="Catastrófico"),CONCATENATE("R1C",'Mapa final'!#REF!),"")</f>
        <v>#REF!</v>
      </c>
      <c r="AM36" s="35" t="e">
        <f>IF(AND('Mapa final'!#REF!="Baja",'Mapa final'!#REF!="Catastrófico"),CONCATENATE("R1C",'Mapa final'!#REF!),"")</f>
        <v>#REF!</v>
      </c>
      <c r="AN36" s="68"/>
      <c r="AO36" s="418" t="s">
        <v>81</v>
      </c>
      <c r="AP36" s="419"/>
      <c r="AQ36" s="419"/>
      <c r="AR36" s="419"/>
      <c r="AS36" s="419"/>
      <c r="AT36" s="420"/>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348"/>
      <c r="C37" s="348"/>
      <c r="D37" s="349"/>
      <c r="E37" s="405"/>
      <c r="F37" s="406"/>
      <c r="G37" s="406"/>
      <c r="H37" s="406"/>
      <c r="I37" s="406"/>
      <c r="J37" s="61" t="str">
        <f ca="1">IF(AND('Mapa final'!$AA$14="Baja",'Mapa final'!$AC$14="Leve"),CONCATENATE("R2C",'Mapa final'!$Q$14),"")</f>
        <v/>
      </c>
      <c r="K37" s="62" t="str">
        <f ca="1">IF(AND('Mapa final'!$AA$15="Baja",'Mapa final'!$AC$15="Leve"),CONCATENATE("R2C",'Mapa final'!$Q$15),"")</f>
        <v/>
      </c>
      <c r="L37" s="62" t="str">
        <f ca="1">IF(AND('Mapa final'!$AA$16="Baja",'Mapa final'!$AC$16="Leve"),CONCATENATE("R2C",'Mapa final'!$Q$16),"")</f>
        <v/>
      </c>
      <c r="M37" s="62" t="e">
        <f>IF(AND('Mapa final'!#REF!="Baja",'Mapa final'!#REF!="Leve"),CONCATENATE("R2C",'Mapa final'!#REF!),"")</f>
        <v>#REF!</v>
      </c>
      <c r="N37" s="62" t="e">
        <f>IF(AND('Mapa final'!#REF!="Baja",'Mapa final'!#REF!="Leve"),CONCATENATE("R2C",'Mapa final'!#REF!),"")</f>
        <v>#REF!</v>
      </c>
      <c r="O37" s="63" t="str">
        <f>IF(AND('Mapa final'!$AA$17="Baja",'Mapa final'!$AC$17="Leve"),CONCATENATE("R2C",'Mapa final'!$Q$17),"")</f>
        <v/>
      </c>
      <c r="P37" s="52" t="str">
        <f ca="1">IF(AND('Mapa final'!$AA$14="Baja",'Mapa final'!$AC$14="Menor"),CONCATENATE("R2C",'Mapa final'!$Q$14),"")</f>
        <v/>
      </c>
      <c r="Q37" s="53" t="str">
        <f ca="1">IF(AND('Mapa final'!$AA$15="Baja",'Mapa final'!$AC$15="Menor"),CONCATENATE("R2C",'Mapa final'!$Q$15),"")</f>
        <v/>
      </c>
      <c r="R37" s="53" t="str">
        <f ca="1">IF(AND('Mapa final'!$AA$16="Baja",'Mapa final'!$AC$16="Menor"),CONCATENATE("R2C",'Mapa final'!$Q$16),"")</f>
        <v/>
      </c>
      <c r="S37" s="53" t="e">
        <f>IF(AND('Mapa final'!#REF!="Baja",'Mapa final'!#REF!="Menor"),CONCATENATE("R2C",'Mapa final'!#REF!),"")</f>
        <v>#REF!</v>
      </c>
      <c r="T37" s="53" t="e">
        <f>IF(AND('Mapa final'!#REF!="Baja",'Mapa final'!#REF!="Menor"),CONCATENATE("R2C",'Mapa final'!#REF!),"")</f>
        <v>#REF!</v>
      </c>
      <c r="U37" s="54" t="str">
        <f>IF(AND('Mapa final'!$AA$17="Baja",'Mapa final'!$AC$17="Menor"),CONCATENATE("R2C",'Mapa final'!$Q$17),"")</f>
        <v/>
      </c>
      <c r="V37" s="52" t="str">
        <f ca="1">IF(AND('Mapa final'!$AA$14="Baja",'Mapa final'!$AC$14="Moderado"),CONCATENATE("R2C",'Mapa final'!$Q$14),"")</f>
        <v/>
      </c>
      <c r="W37" s="53" t="str">
        <f ca="1">IF(AND('Mapa final'!$AA$15="Baja",'Mapa final'!$AC$15="Moderado"),CONCATENATE("R2C",'Mapa final'!$Q$15),"")</f>
        <v/>
      </c>
      <c r="X37" s="53" t="str">
        <f ca="1">IF(AND('Mapa final'!$AA$16="Baja",'Mapa final'!$AC$16="Moderado"),CONCATENATE("R2C",'Mapa final'!$Q$16),"")</f>
        <v/>
      </c>
      <c r="Y37" s="53" t="e">
        <f>IF(AND('Mapa final'!#REF!="Baja",'Mapa final'!#REF!="Moderado"),CONCATENATE("R2C",'Mapa final'!#REF!),"")</f>
        <v>#REF!</v>
      </c>
      <c r="Z37" s="53" t="e">
        <f>IF(AND('Mapa final'!#REF!="Baja",'Mapa final'!#REF!="Moderado"),CONCATENATE("R2C",'Mapa final'!#REF!),"")</f>
        <v>#REF!</v>
      </c>
      <c r="AA37" s="54" t="str">
        <f>IF(AND('Mapa final'!$AA$17="Baja",'Mapa final'!$AC$17="Moderado"),CONCATENATE("R2C",'Mapa final'!$Q$17),"")</f>
        <v/>
      </c>
      <c r="AB37" s="36" t="str">
        <f ca="1">IF(AND('Mapa final'!$AA$14="Baja",'Mapa final'!$AC$14="Mayor"),CONCATENATE("R2C",'Mapa final'!$Q$14),"")</f>
        <v/>
      </c>
      <c r="AC37" s="37" t="str">
        <f ca="1">IF(AND('Mapa final'!$AA$15="Baja",'Mapa final'!$AC$15="Mayor"),CONCATENATE("R2C",'Mapa final'!$Q$15),"")</f>
        <v>R2C2</v>
      </c>
      <c r="AD37" s="37" t="str">
        <f ca="1">IF(AND('Mapa final'!$AA$16="Baja",'Mapa final'!$AC$16="Mayor"),CONCATENATE("R2C",'Mapa final'!$Q$16),"")</f>
        <v/>
      </c>
      <c r="AE37" s="37" t="e">
        <f>IF(AND('Mapa final'!#REF!="Baja",'Mapa final'!#REF!="Mayor"),CONCATENATE("R2C",'Mapa final'!#REF!),"")</f>
        <v>#REF!</v>
      </c>
      <c r="AF37" s="37" t="e">
        <f>IF(AND('Mapa final'!#REF!="Baja",'Mapa final'!#REF!="Mayor"),CONCATENATE("R2C",'Mapa final'!#REF!),"")</f>
        <v>#REF!</v>
      </c>
      <c r="AG37" s="38" t="str">
        <f>IF(AND('Mapa final'!$AA$17="Baja",'Mapa final'!$AC$17="Mayor"),CONCATENATE("R2C",'Mapa final'!$Q$17),"")</f>
        <v/>
      </c>
      <c r="AH37" s="39" t="str">
        <f ca="1">IF(AND('Mapa final'!$AA$14="Baja",'Mapa final'!$AC$14="Catastrófico"),CONCATENATE("R2C",'Mapa final'!$Q$14),"")</f>
        <v/>
      </c>
      <c r="AI37" s="40" t="str">
        <f ca="1">IF(AND('Mapa final'!$AA$15="Baja",'Mapa final'!$AC$15="Catastrófico"),CONCATENATE("R2C",'Mapa final'!$Q$15),"")</f>
        <v/>
      </c>
      <c r="AJ37" s="40" t="str">
        <f ca="1">IF(AND('Mapa final'!$AA$16="Baja",'Mapa final'!$AC$16="Catastrófico"),CONCATENATE("R2C",'Mapa final'!$Q$16),"")</f>
        <v/>
      </c>
      <c r="AK37" s="40" t="e">
        <f>IF(AND('Mapa final'!#REF!="Baja",'Mapa final'!#REF!="Catastrófico"),CONCATENATE("R2C",'Mapa final'!#REF!),"")</f>
        <v>#REF!</v>
      </c>
      <c r="AL37" s="40" t="e">
        <f>IF(AND('Mapa final'!#REF!="Baja",'Mapa final'!#REF!="Catastrófico"),CONCATENATE("R2C",'Mapa final'!#REF!),"")</f>
        <v>#REF!</v>
      </c>
      <c r="AM37" s="41" t="str">
        <f>IF(AND('Mapa final'!$AA$17="Baja",'Mapa final'!$AC$17="Catastrófico"),CONCATENATE("R2C",'Mapa final'!$Q$17),"")</f>
        <v/>
      </c>
      <c r="AN37" s="68"/>
      <c r="AO37" s="421"/>
      <c r="AP37" s="422"/>
      <c r="AQ37" s="422"/>
      <c r="AR37" s="422"/>
      <c r="AS37" s="422"/>
      <c r="AT37" s="423"/>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348"/>
      <c r="C38" s="348"/>
      <c r="D38" s="349"/>
      <c r="E38" s="389"/>
      <c r="F38" s="390"/>
      <c r="G38" s="390"/>
      <c r="H38" s="390"/>
      <c r="I38" s="406"/>
      <c r="J38" s="61" t="str">
        <f>IF(AND('Mapa final'!$AA$18="Baja",'Mapa final'!$AC$18="Leve"),CONCATENATE("R3C",'Mapa final'!$Q$18),"")</f>
        <v/>
      </c>
      <c r="K38" s="62" t="str">
        <f>IF(AND('Mapa final'!$AA$19="Baja",'Mapa final'!$AC$19="Leve"),CONCATENATE("R3C",'Mapa final'!$Q$19),"")</f>
        <v/>
      </c>
      <c r="L38" s="62" t="str">
        <f>IF(AND('Mapa final'!$AA$20="Baja",'Mapa final'!$AC$20="Leve"),CONCATENATE("R3C",'Mapa final'!$Q$20),"")</f>
        <v/>
      </c>
      <c r="M38" s="62" t="str">
        <f>IF(AND('Mapa final'!$AA$21="Baja",'Mapa final'!$AC$21="Leve"),CONCATENATE("R3C",'Mapa final'!$Q$21),"")</f>
        <v/>
      </c>
      <c r="N38" s="62" t="str">
        <f>IF(AND('Mapa final'!$AA$22="Baja",'Mapa final'!$AC$22="Leve"),CONCATENATE("R3C",'Mapa final'!$Q$22),"")</f>
        <v/>
      </c>
      <c r="O38" s="63" t="str">
        <f>IF(AND('Mapa final'!$AA$23="Baja",'Mapa final'!$AC$23="Leve"),CONCATENATE("R3C",'Mapa final'!$Q$23),"")</f>
        <v/>
      </c>
      <c r="P38" s="52" t="str">
        <f>IF(AND('Mapa final'!$AA$18="Baja",'Mapa final'!$AC$18="Menor"),CONCATENATE("R3C",'Mapa final'!$Q$18),"")</f>
        <v/>
      </c>
      <c r="Q38" s="53" t="str">
        <f>IF(AND('Mapa final'!$AA$19="Baja",'Mapa final'!$AC$19="Menor"),CONCATENATE("R3C",'Mapa final'!$Q$19),"")</f>
        <v/>
      </c>
      <c r="R38" s="53" t="str">
        <f>IF(AND('Mapa final'!$AA$20="Baja",'Mapa final'!$AC$20="Menor"),CONCATENATE("R3C",'Mapa final'!$Q$20),"")</f>
        <v/>
      </c>
      <c r="S38" s="53" t="str">
        <f>IF(AND('Mapa final'!$AA$21="Baja",'Mapa final'!$AC$21="Menor"),CONCATENATE("R3C",'Mapa final'!$Q$21),"")</f>
        <v/>
      </c>
      <c r="T38" s="53" t="str">
        <f>IF(AND('Mapa final'!$AA$22="Baja",'Mapa final'!$AC$22="Menor"),CONCATENATE("R3C",'Mapa final'!$Q$22),"")</f>
        <v/>
      </c>
      <c r="U38" s="54" t="str">
        <f>IF(AND('Mapa final'!$AA$23="Baja",'Mapa final'!$AC$23="Menor"),CONCATENATE("R3C",'Mapa final'!$Q$23),"")</f>
        <v/>
      </c>
      <c r="V38" s="52" t="str">
        <f>IF(AND('Mapa final'!$AA$18="Baja",'Mapa final'!$AC$18="Moderado"),CONCATENATE("R3C",'Mapa final'!$Q$18),"")</f>
        <v/>
      </c>
      <c r="W38" s="53" t="str">
        <f>IF(AND('Mapa final'!$AA$19="Baja",'Mapa final'!$AC$19="Moderado"),CONCATENATE("R3C",'Mapa final'!$Q$19),"")</f>
        <v/>
      </c>
      <c r="X38" s="53" t="str">
        <f>IF(AND('Mapa final'!$AA$20="Baja",'Mapa final'!$AC$20="Moderado"),CONCATENATE("R3C",'Mapa final'!$Q$20),"")</f>
        <v/>
      </c>
      <c r="Y38" s="53" t="str">
        <f>IF(AND('Mapa final'!$AA$21="Baja",'Mapa final'!$AC$21="Moderado"),CONCATENATE("R3C",'Mapa final'!$Q$21),"")</f>
        <v/>
      </c>
      <c r="Z38" s="53" t="str">
        <f>IF(AND('Mapa final'!$AA$22="Baja",'Mapa final'!$AC$22="Moderado"),CONCATENATE("R3C",'Mapa final'!$Q$22),"")</f>
        <v/>
      </c>
      <c r="AA38" s="54" t="str">
        <f>IF(AND('Mapa final'!$AA$23="Baja",'Mapa final'!$AC$23="Moderado"),CONCATENATE("R3C",'Mapa final'!$Q$23),"")</f>
        <v/>
      </c>
      <c r="AB38" s="36" t="str">
        <f>IF(AND('Mapa final'!$AA$18="Baja",'Mapa final'!$AC$18="Mayor"),CONCATENATE("R3C",'Mapa final'!$Q$18),"")</f>
        <v/>
      </c>
      <c r="AC38" s="37" t="str">
        <f>IF(AND('Mapa final'!$AA$19="Baja",'Mapa final'!$AC$19="Mayor"),CONCATENATE("R3C",'Mapa final'!$Q$19),"")</f>
        <v/>
      </c>
      <c r="AD38" s="37" t="str">
        <f>IF(AND('Mapa final'!$AA$20="Baja",'Mapa final'!$AC$20="Mayor"),CONCATENATE("R3C",'Mapa final'!$Q$20),"")</f>
        <v/>
      </c>
      <c r="AE38" s="37" t="str">
        <f>IF(AND('Mapa final'!$AA$21="Baja",'Mapa final'!$AC$21="Mayor"),CONCATENATE("R3C",'Mapa final'!$Q$21),"")</f>
        <v/>
      </c>
      <c r="AF38" s="37" t="str">
        <f>IF(AND('Mapa final'!$AA$22="Baja",'Mapa final'!$AC$22="Mayor"),CONCATENATE("R3C",'Mapa final'!$Q$22),"")</f>
        <v/>
      </c>
      <c r="AG38" s="38" t="str">
        <f>IF(AND('Mapa final'!$AA$23="Baja",'Mapa final'!$AC$23="Mayor"),CONCATENATE("R3C",'Mapa final'!$Q$23),"")</f>
        <v/>
      </c>
      <c r="AH38" s="39" t="str">
        <f>IF(AND('Mapa final'!$AA$18="Baja",'Mapa final'!$AC$18="Catastrófico"),CONCATENATE("R3C",'Mapa final'!$Q$18),"")</f>
        <v/>
      </c>
      <c r="AI38" s="40" t="str">
        <f>IF(AND('Mapa final'!$AA$19="Baja",'Mapa final'!$AC$19="Catastrófico"),CONCATENATE("R3C",'Mapa final'!$Q$19),"")</f>
        <v/>
      </c>
      <c r="AJ38" s="40" t="str">
        <f>IF(AND('Mapa final'!$AA$20="Baja",'Mapa final'!$AC$20="Catastrófico"),CONCATENATE("R3C",'Mapa final'!$Q$20),"")</f>
        <v/>
      </c>
      <c r="AK38" s="40" t="str">
        <f>IF(AND('Mapa final'!$AA$21="Baja",'Mapa final'!$AC$21="Catastrófico"),CONCATENATE("R3C",'Mapa final'!$Q$21),"")</f>
        <v/>
      </c>
      <c r="AL38" s="40" t="str">
        <f>IF(AND('Mapa final'!$AA$22="Baja",'Mapa final'!$AC$22="Catastrófico"),CONCATENATE("R3C",'Mapa final'!$Q$22),"")</f>
        <v/>
      </c>
      <c r="AM38" s="41" t="str">
        <f>IF(AND('Mapa final'!$AA$23="Baja",'Mapa final'!$AC$23="Catastrófico"),CONCATENATE("R3C",'Mapa final'!$Q$23),"")</f>
        <v/>
      </c>
      <c r="AN38" s="68"/>
      <c r="AO38" s="421"/>
      <c r="AP38" s="422"/>
      <c r="AQ38" s="422"/>
      <c r="AR38" s="422"/>
      <c r="AS38" s="422"/>
      <c r="AT38" s="423"/>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348"/>
      <c r="C39" s="348"/>
      <c r="D39" s="349"/>
      <c r="E39" s="389"/>
      <c r="F39" s="390"/>
      <c r="G39" s="390"/>
      <c r="H39" s="390"/>
      <c r="I39" s="406"/>
      <c r="J39" s="61" t="str">
        <f>IF(AND('Mapa final'!$AA$24="Baja",'Mapa final'!$AC$24="Leve"),CONCATENATE("R4C",'Mapa final'!$Q$24),"")</f>
        <v/>
      </c>
      <c r="K39" s="62" t="str">
        <f>IF(AND('Mapa final'!$AA$25="Baja",'Mapa final'!$AC$25="Leve"),CONCATENATE("R4C",'Mapa final'!$Q$25),"")</f>
        <v/>
      </c>
      <c r="L39" s="62" t="str">
        <f>IF(AND('Mapa final'!$AA$26="Baja",'Mapa final'!$AC$26="Leve"),CONCATENATE("R4C",'Mapa final'!$Q$26),"")</f>
        <v/>
      </c>
      <c r="M39" s="62" t="str">
        <f>IF(AND('Mapa final'!$AA$27="Baja",'Mapa final'!$AC$27="Leve"),CONCATENATE("R4C",'Mapa final'!$Q$27),"")</f>
        <v/>
      </c>
      <c r="N39" s="62" t="str">
        <f>IF(AND('Mapa final'!$AA$28="Baja",'Mapa final'!$AC$28="Leve"),CONCATENATE("R4C",'Mapa final'!$Q$28),"")</f>
        <v/>
      </c>
      <c r="O39" s="63" t="str">
        <f>IF(AND('Mapa final'!$AA$29="Baja",'Mapa final'!$AC$29="Leve"),CONCATENATE("R4C",'Mapa final'!$Q$29),"")</f>
        <v/>
      </c>
      <c r="P39" s="52" t="str">
        <f>IF(AND('Mapa final'!$AA$24="Baja",'Mapa final'!$AC$24="Menor"),CONCATENATE("R4C",'Mapa final'!$Q$24),"")</f>
        <v/>
      </c>
      <c r="Q39" s="53" t="str">
        <f>IF(AND('Mapa final'!$AA$25="Baja",'Mapa final'!$AC$25="Menor"),CONCATENATE("R4C",'Mapa final'!$Q$25),"")</f>
        <v/>
      </c>
      <c r="R39" s="53" t="str">
        <f>IF(AND('Mapa final'!$AA$26="Baja",'Mapa final'!$AC$26="Menor"),CONCATENATE("R4C",'Mapa final'!$Q$26),"")</f>
        <v/>
      </c>
      <c r="S39" s="53" t="str">
        <f>IF(AND('Mapa final'!$AA$27="Baja",'Mapa final'!$AC$27="Menor"),CONCATENATE("R4C",'Mapa final'!$Q$27),"")</f>
        <v/>
      </c>
      <c r="T39" s="53" t="str">
        <f>IF(AND('Mapa final'!$AA$28="Baja",'Mapa final'!$AC$28="Menor"),CONCATENATE("R4C",'Mapa final'!$Q$28),"")</f>
        <v/>
      </c>
      <c r="U39" s="54" t="str">
        <f>IF(AND('Mapa final'!$AA$29="Baja",'Mapa final'!$AC$29="Menor"),CONCATENATE("R4C",'Mapa final'!$Q$29),"")</f>
        <v/>
      </c>
      <c r="V39" s="52" t="str">
        <f>IF(AND('Mapa final'!$AA$24="Baja",'Mapa final'!$AC$24="Moderado"),CONCATENATE("R4C",'Mapa final'!$Q$24),"")</f>
        <v/>
      </c>
      <c r="W39" s="53" t="str">
        <f>IF(AND('Mapa final'!$AA$25="Baja",'Mapa final'!$AC$25="Moderado"),CONCATENATE("R4C",'Mapa final'!$Q$25),"")</f>
        <v/>
      </c>
      <c r="X39" s="53" t="str">
        <f>IF(AND('Mapa final'!$AA$26="Baja",'Mapa final'!$AC$26="Moderado"),CONCATENATE("R4C",'Mapa final'!$Q$26),"")</f>
        <v/>
      </c>
      <c r="Y39" s="53" t="str">
        <f>IF(AND('Mapa final'!$AA$27="Baja",'Mapa final'!$AC$27="Moderado"),CONCATENATE("R4C",'Mapa final'!$Q$27),"")</f>
        <v/>
      </c>
      <c r="Z39" s="53" t="str">
        <f>IF(AND('Mapa final'!$AA$28="Baja",'Mapa final'!$AC$28="Moderado"),CONCATENATE("R4C",'Mapa final'!$Q$28),"")</f>
        <v/>
      </c>
      <c r="AA39" s="54" t="str">
        <f>IF(AND('Mapa final'!$AA$29="Baja",'Mapa final'!$AC$29="Moderado"),CONCATENATE("R4C",'Mapa final'!$Q$29),"")</f>
        <v/>
      </c>
      <c r="AB39" s="36" t="str">
        <f>IF(AND('Mapa final'!$AA$24="Baja",'Mapa final'!$AC$24="Mayor"),CONCATENATE("R4C",'Mapa final'!$Q$24),"")</f>
        <v/>
      </c>
      <c r="AC39" s="37" t="str">
        <f>IF(AND('Mapa final'!$AA$25="Baja",'Mapa final'!$AC$25="Mayor"),CONCATENATE("R4C",'Mapa final'!$Q$25),"")</f>
        <v/>
      </c>
      <c r="AD39" s="37" t="str">
        <f>IF(AND('Mapa final'!$AA$26="Baja",'Mapa final'!$AC$26="Mayor"),CONCATENATE("R4C",'Mapa final'!$Q$26),"")</f>
        <v/>
      </c>
      <c r="AE39" s="37" t="str">
        <f>IF(AND('Mapa final'!$AA$27="Baja",'Mapa final'!$AC$27="Mayor"),CONCATENATE("R4C",'Mapa final'!$Q$27),"")</f>
        <v/>
      </c>
      <c r="AF39" s="37" t="str">
        <f>IF(AND('Mapa final'!$AA$28="Baja",'Mapa final'!$AC$28="Mayor"),CONCATENATE("R4C",'Mapa final'!$Q$28),"")</f>
        <v/>
      </c>
      <c r="AG39" s="38" t="str">
        <f>IF(AND('Mapa final'!$AA$29="Baja",'Mapa final'!$AC$29="Mayor"),CONCATENATE("R4C",'Mapa final'!$Q$29),"")</f>
        <v/>
      </c>
      <c r="AH39" s="39" t="str">
        <f>IF(AND('Mapa final'!$AA$24="Baja",'Mapa final'!$AC$24="Catastrófico"),CONCATENATE("R4C",'Mapa final'!$Q$24),"")</f>
        <v/>
      </c>
      <c r="AI39" s="40" t="str">
        <f>IF(AND('Mapa final'!$AA$25="Baja",'Mapa final'!$AC$25="Catastrófico"),CONCATENATE("R4C",'Mapa final'!$Q$25),"")</f>
        <v/>
      </c>
      <c r="AJ39" s="40" t="str">
        <f>IF(AND('Mapa final'!$AA$26="Baja",'Mapa final'!$AC$26="Catastrófico"),CONCATENATE("R4C",'Mapa final'!$Q$26),"")</f>
        <v/>
      </c>
      <c r="AK39" s="40" t="str">
        <f>IF(AND('Mapa final'!$AA$27="Baja",'Mapa final'!$AC$27="Catastrófico"),CONCATENATE("R4C",'Mapa final'!$Q$27),"")</f>
        <v/>
      </c>
      <c r="AL39" s="40" t="str">
        <f>IF(AND('Mapa final'!$AA$28="Baja",'Mapa final'!$AC$28="Catastrófico"),CONCATENATE("R4C",'Mapa final'!$Q$28),"")</f>
        <v/>
      </c>
      <c r="AM39" s="41" t="str">
        <f>IF(AND('Mapa final'!$AA$29="Baja",'Mapa final'!$AC$29="Catastrófico"),CONCATENATE("R4C",'Mapa final'!$Q$29),"")</f>
        <v/>
      </c>
      <c r="AN39" s="68"/>
      <c r="AO39" s="421"/>
      <c r="AP39" s="422"/>
      <c r="AQ39" s="422"/>
      <c r="AR39" s="422"/>
      <c r="AS39" s="422"/>
      <c r="AT39" s="423"/>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348"/>
      <c r="C40" s="348"/>
      <c r="D40" s="349"/>
      <c r="E40" s="389"/>
      <c r="F40" s="390"/>
      <c r="G40" s="390"/>
      <c r="H40" s="390"/>
      <c r="I40" s="406"/>
      <c r="J40" s="61" t="str">
        <f>IF(AND('Mapa final'!$AA$30="Baja",'Mapa final'!$AC$30="Leve"),CONCATENATE("R5C",'Mapa final'!$Q$30),"")</f>
        <v/>
      </c>
      <c r="K40" s="62" t="str">
        <f>IF(AND('Mapa final'!$AA$31="Baja",'Mapa final'!$AC$31="Leve"),CONCATENATE("R5C",'Mapa final'!$Q$31),"")</f>
        <v/>
      </c>
      <c r="L40" s="62" t="str">
        <f>IF(AND('Mapa final'!$AA$32="Baja",'Mapa final'!$AC$32="Leve"),CONCATENATE("R5C",'Mapa final'!$Q$32),"")</f>
        <v/>
      </c>
      <c r="M40" s="62" t="str">
        <f>IF(AND('Mapa final'!$AA$33="Baja",'Mapa final'!$AC$33="Leve"),CONCATENATE("R5C",'Mapa final'!$Q$33),"")</f>
        <v/>
      </c>
      <c r="N40" s="62" t="str">
        <f>IF(AND('Mapa final'!$AA$34="Baja",'Mapa final'!$AC$34="Leve"),CONCATENATE("R5C",'Mapa final'!$Q$34),"")</f>
        <v/>
      </c>
      <c r="O40" s="63" t="str">
        <f>IF(AND('Mapa final'!$AA$35="Baja",'Mapa final'!$AC$35="Leve"),CONCATENATE("R5C",'Mapa final'!$Q$35),"")</f>
        <v/>
      </c>
      <c r="P40" s="52" t="str">
        <f>IF(AND('Mapa final'!$AA$30="Baja",'Mapa final'!$AC$30="Menor"),CONCATENATE("R5C",'Mapa final'!$Q$30),"")</f>
        <v/>
      </c>
      <c r="Q40" s="53" t="str">
        <f>IF(AND('Mapa final'!$AA$31="Baja",'Mapa final'!$AC$31="Menor"),CONCATENATE("R5C",'Mapa final'!$Q$31),"")</f>
        <v/>
      </c>
      <c r="R40" s="53" t="str">
        <f>IF(AND('Mapa final'!$AA$32="Baja",'Mapa final'!$AC$32="Menor"),CONCATENATE("R5C",'Mapa final'!$Q$32),"")</f>
        <v/>
      </c>
      <c r="S40" s="53" t="str">
        <f>IF(AND('Mapa final'!$AA$33="Baja",'Mapa final'!$AC$33="Menor"),CONCATENATE("R5C",'Mapa final'!$Q$33),"")</f>
        <v/>
      </c>
      <c r="T40" s="53" t="str">
        <f>IF(AND('Mapa final'!$AA$34="Baja",'Mapa final'!$AC$34="Menor"),CONCATENATE("R5C",'Mapa final'!$Q$34),"")</f>
        <v/>
      </c>
      <c r="U40" s="54" t="str">
        <f>IF(AND('Mapa final'!$AA$35="Baja",'Mapa final'!$AC$35="Menor"),CONCATENATE("R5C",'Mapa final'!$Q$35),"")</f>
        <v/>
      </c>
      <c r="V40" s="52" t="str">
        <f>IF(AND('Mapa final'!$AA$30="Baja",'Mapa final'!$AC$30="Moderado"),CONCATENATE("R5C",'Mapa final'!$Q$30),"")</f>
        <v/>
      </c>
      <c r="W40" s="53" t="str">
        <f>IF(AND('Mapa final'!$AA$31="Baja",'Mapa final'!$AC$31="Moderado"),CONCATENATE("R5C",'Mapa final'!$Q$31),"")</f>
        <v/>
      </c>
      <c r="X40" s="53" t="str">
        <f>IF(AND('Mapa final'!$AA$32="Baja",'Mapa final'!$AC$32="Moderado"),CONCATENATE("R5C",'Mapa final'!$Q$32),"")</f>
        <v/>
      </c>
      <c r="Y40" s="53" t="str">
        <f>IF(AND('Mapa final'!$AA$33="Baja",'Mapa final'!$AC$33="Moderado"),CONCATENATE("R5C",'Mapa final'!$Q$33),"")</f>
        <v/>
      </c>
      <c r="Z40" s="53" t="str">
        <f>IF(AND('Mapa final'!$AA$34="Baja",'Mapa final'!$AC$34="Moderado"),CONCATENATE("R5C",'Mapa final'!$Q$34),"")</f>
        <v/>
      </c>
      <c r="AA40" s="54" t="str">
        <f>IF(AND('Mapa final'!$AA$35="Baja",'Mapa final'!$AC$35="Moderado"),CONCATENATE("R5C",'Mapa final'!$Q$35),"")</f>
        <v/>
      </c>
      <c r="AB40" s="36" t="str">
        <f>IF(AND('Mapa final'!$AA$30="Baja",'Mapa final'!$AC$30="Mayor"),CONCATENATE("R5C",'Mapa final'!$Q$30),"")</f>
        <v/>
      </c>
      <c r="AC40" s="37" t="str">
        <f>IF(AND('Mapa final'!$AA$31="Baja",'Mapa final'!$AC$31="Mayor"),CONCATENATE("R5C",'Mapa final'!$Q$31),"")</f>
        <v/>
      </c>
      <c r="AD40" s="42" t="str">
        <f>IF(AND('Mapa final'!$AA$32="Baja",'Mapa final'!$AC$32="Mayor"),CONCATENATE("R5C",'Mapa final'!$Q$32),"")</f>
        <v/>
      </c>
      <c r="AE40" s="42" t="str">
        <f>IF(AND('Mapa final'!$AA$33="Baja",'Mapa final'!$AC$33="Mayor"),CONCATENATE("R5C",'Mapa final'!$Q$33),"")</f>
        <v/>
      </c>
      <c r="AF40" s="42" t="str">
        <f>IF(AND('Mapa final'!$AA$34="Baja",'Mapa final'!$AC$34="Mayor"),CONCATENATE("R5C",'Mapa final'!$Q$34),"")</f>
        <v/>
      </c>
      <c r="AG40" s="38" t="str">
        <f>IF(AND('Mapa final'!$AA$35="Baja",'Mapa final'!$AC$35="Mayor"),CONCATENATE("R5C",'Mapa final'!$Q$35),"")</f>
        <v/>
      </c>
      <c r="AH40" s="39" t="str">
        <f>IF(AND('Mapa final'!$AA$30="Baja",'Mapa final'!$AC$30="Catastrófico"),CONCATENATE("R5C",'Mapa final'!$Q$30),"")</f>
        <v/>
      </c>
      <c r="AI40" s="40" t="str">
        <f>IF(AND('Mapa final'!$AA$31="Baja",'Mapa final'!$AC$31="Catastrófico"),CONCATENATE("R5C",'Mapa final'!$Q$31),"")</f>
        <v/>
      </c>
      <c r="AJ40" s="40" t="str">
        <f>IF(AND('Mapa final'!$AA$32="Baja",'Mapa final'!$AC$32="Catastrófico"),CONCATENATE("R5C",'Mapa final'!$Q$32),"")</f>
        <v/>
      </c>
      <c r="AK40" s="40" t="str">
        <f>IF(AND('Mapa final'!$AA$33="Baja",'Mapa final'!$AC$33="Catastrófico"),CONCATENATE("R5C",'Mapa final'!$Q$33),"")</f>
        <v/>
      </c>
      <c r="AL40" s="40" t="str">
        <f>IF(AND('Mapa final'!$AA$34="Baja",'Mapa final'!$AC$34="Catastrófico"),CONCATENATE("R5C",'Mapa final'!$Q$34),"")</f>
        <v/>
      </c>
      <c r="AM40" s="41" t="str">
        <f>IF(AND('Mapa final'!$AA$35="Baja",'Mapa final'!$AC$35="Catastrófico"),CONCATENATE("R5C",'Mapa final'!$Q$35),"")</f>
        <v/>
      </c>
      <c r="AN40" s="68"/>
      <c r="AO40" s="421"/>
      <c r="AP40" s="422"/>
      <c r="AQ40" s="422"/>
      <c r="AR40" s="422"/>
      <c r="AS40" s="422"/>
      <c r="AT40" s="423"/>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348"/>
      <c r="C41" s="348"/>
      <c r="D41" s="349"/>
      <c r="E41" s="389"/>
      <c r="F41" s="390"/>
      <c r="G41" s="390"/>
      <c r="H41" s="390"/>
      <c r="I41" s="406"/>
      <c r="J41" s="61" t="str">
        <f>IF(AND('Mapa final'!$AA$36="Baja",'Mapa final'!$AC$36="Leve"),CONCATENATE("R6C",'Mapa final'!$Q$36),"")</f>
        <v/>
      </c>
      <c r="K41" s="62" t="str">
        <f>IF(AND('Mapa final'!$AA$37="Baja",'Mapa final'!$AC$37="Leve"),CONCATENATE("R6C",'Mapa final'!$Q$37),"")</f>
        <v/>
      </c>
      <c r="L41" s="62" t="str">
        <f>IF(AND('Mapa final'!$AA$38="Baja",'Mapa final'!$AC$38="Leve"),CONCATENATE("R6C",'Mapa final'!$Q$38),"")</f>
        <v/>
      </c>
      <c r="M41" s="62" t="str">
        <f>IF(AND('Mapa final'!$AA$39="Baja",'Mapa final'!$AC$39="Leve"),CONCATENATE("R6C",'Mapa final'!$Q$39),"")</f>
        <v/>
      </c>
      <c r="N41" s="62" t="str">
        <f>IF(AND('Mapa final'!$AA$40="Baja",'Mapa final'!$AC$40="Leve"),CONCATENATE("R6C",'Mapa final'!$Q$40),"")</f>
        <v/>
      </c>
      <c r="O41" s="63" t="str">
        <f>IF(AND('Mapa final'!$AA$41="Baja",'Mapa final'!$AC$41="Leve"),CONCATENATE("R6C",'Mapa final'!$Q$41),"")</f>
        <v/>
      </c>
      <c r="P41" s="52" t="str">
        <f>IF(AND('Mapa final'!$AA$36="Baja",'Mapa final'!$AC$36="Menor"),CONCATENATE("R6C",'Mapa final'!$Q$36),"")</f>
        <v/>
      </c>
      <c r="Q41" s="53" t="str">
        <f>IF(AND('Mapa final'!$AA$37="Baja",'Mapa final'!$AC$37="Menor"),CONCATENATE("R6C",'Mapa final'!$Q$37),"")</f>
        <v/>
      </c>
      <c r="R41" s="53" t="str">
        <f>IF(AND('Mapa final'!$AA$38="Baja",'Mapa final'!$AC$38="Menor"),CONCATENATE("R6C",'Mapa final'!$Q$38),"")</f>
        <v/>
      </c>
      <c r="S41" s="53" t="str">
        <f>IF(AND('Mapa final'!$AA$39="Baja",'Mapa final'!$AC$39="Menor"),CONCATENATE("R6C",'Mapa final'!$Q$39),"")</f>
        <v/>
      </c>
      <c r="T41" s="53" t="str">
        <f>IF(AND('Mapa final'!$AA$40="Baja",'Mapa final'!$AC$40="Menor"),CONCATENATE("R6C",'Mapa final'!$Q$40),"")</f>
        <v/>
      </c>
      <c r="U41" s="54" t="str">
        <f>IF(AND('Mapa final'!$AA$41="Baja",'Mapa final'!$AC$41="Menor"),CONCATENATE("R6C",'Mapa final'!$Q$41),"")</f>
        <v/>
      </c>
      <c r="V41" s="52" t="str">
        <f>IF(AND('Mapa final'!$AA$36="Baja",'Mapa final'!$AC$36="Moderado"),CONCATENATE("R6C",'Mapa final'!$Q$36),"")</f>
        <v/>
      </c>
      <c r="W41" s="53" t="str">
        <f>IF(AND('Mapa final'!$AA$37="Baja",'Mapa final'!$AC$37="Moderado"),CONCATENATE("R6C",'Mapa final'!$Q$37),"")</f>
        <v/>
      </c>
      <c r="X41" s="53" t="str">
        <f>IF(AND('Mapa final'!$AA$38="Baja",'Mapa final'!$AC$38="Moderado"),CONCATENATE("R6C",'Mapa final'!$Q$38),"")</f>
        <v/>
      </c>
      <c r="Y41" s="53" t="str">
        <f>IF(AND('Mapa final'!$AA$39="Baja",'Mapa final'!$AC$39="Moderado"),CONCATENATE("R6C",'Mapa final'!$Q$39),"")</f>
        <v/>
      </c>
      <c r="Z41" s="53" t="str">
        <f>IF(AND('Mapa final'!$AA$40="Baja",'Mapa final'!$AC$40="Moderado"),CONCATENATE("R6C",'Mapa final'!$Q$40),"")</f>
        <v/>
      </c>
      <c r="AA41" s="54" t="str">
        <f>IF(AND('Mapa final'!$AA$41="Baja",'Mapa final'!$AC$41="Moderado"),CONCATENATE("R6C",'Mapa final'!$Q$41),"")</f>
        <v/>
      </c>
      <c r="AB41" s="36" t="str">
        <f>IF(AND('Mapa final'!$AA$36="Baja",'Mapa final'!$AC$36="Mayor"),CONCATENATE("R6C",'Mapa final'!$Q$36),"")</f>
        <v/>
      </c>
      <c r="AC41" s="37" t="str">
        <f>IF(AND('Mapa final'!$AA$37="Baja",'Mapa final'!$AC$37="Mayor"),CONCATENATE("R6C",'Mapa final'!$Q$37),"")</f>
        <v/>
      </c>
      <c r="AD41" s="42" t="str">
        <f>IF(AND('Mapa final'!$AA$38="Baja",'Mapa final'!$AC$38="Mayor"),CONCATENATE("R6C",'Mapa final'!$Q$38),"")</f>
        <v/>
      </c>
      <c r="AE41" s="42" t="str">
        <f>IF(AND('Mapa final'!$AA$39="Baja",'Mapa final'!$AC$39="Mayor"),CONCATENATE("R6C",'Mapa final'!$Q$39),"")</f>
        <v/>
      </c>
      <c r="AF41" s="42" t="str">
        <f>IF(AND('Mapa final'!$AA$40="Baja",'Mapa final'!$AC$40="Mayor"),CONCATENATE("R6C",'Mapa final'!$Q$40),"")</f>
        <v/>
      </c>
      <c r="AG41" s="38" t="str">
        <f>IF(AND('Mapa final'!$AA$41="Baja",'Mapa final'!$AC$41="Mayor"),CONCATENATE("R6C",'Mapa final'!$Q$41),"")</f>
        <v/>
      </c>
      <c r="AH41" s="39" t="str">
        <f>IF(AND('Mapa final'!$AA$36="Baja",'Mapa final'!$AC$36="Catastrófico"),CONCATENATE("R6C",'Mapa final'!$Q$36),"")</f>
        <v/>
      </c>
      <c r="AI41" s="40" t="str">
        <f>IF(AND('Mapa final'!$AA$37="Baja",'Mapa final'!$AC$37="Catastrófico"),CONCATENATE("R6C",'Mapa final'!$Q$37),"")</f>
        <v/>
      </c>
      <c r="AJ41" s="40" t="str">
        <f>IF(AND('Mapa final'!$AA$38="Baja",'Mapa final'!$AC$38="Catastrófico"),CONCATENATE("R6C",'Mapa final'!$Q$38),"")</f>
        <v/>
      </c>
      <c r="AK41" s="40" t="str">
        <f>IF(AND('Mapa final'!$AA$39="Baja",'Mapa final'!$AC$39="Catastrófico"),CONCATENATE("R6C",'Mapa final'!$Q$39),"")</f>
        <v/>
      </c>
      <c r="AL41" s="40" t="str">
        <f>IF(AND('Mapa final'!$AA$40="Baja",'Mapa final'!$AC$40="Catastrófico"),CONCATENATE("R6C",'Mapa final'!$Q$40),"")</f>
        <v/>
      </c>
      <c r="AM41" s="41" t="str">
        <f>IF(AND('Mapa final'!$AA$41="Baja",'Mapa final'!$AC$41="Catastrófico"),CONCATENATE("R6C",'Mapa final'!$Q$41),"")</f>
        <v/>
      </c>
      <c r="AN41" s="68"/>
      <c r="AO41" s="421"/>
      <c r="AP41" s="422"/>
      <c r="AQ41" s="422"/>
      <c r="AR41" s="422"/>
      <c r="AS41" s="422"/>
      <c r="AT41" s="423"/>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348"/>
      <c r="C42" s="348"/>
      <c r="D42" s="349"/>
      <c r="E42" s="389"/>
      <c r="F42" s="390"/>
      <c r="G42" s="390"/>
      <c r="H42" s="390"/>
      <c r="I42" s="406"/>
      <c r="J42" s="61" t="str">
        <f>IF(AND('Mapa final'!$AA$42="Baja",'Mapa final'!$AC$42="Leve"),CONCATENATE("R7C",'Mapa final'!$Q$42),"")</f>
        <v/>
      </c>
      <c r="K42" s="62" t="str">
        <f>IF(AND('Mapa final'!$AA$43="Baja",'Mapa final'!$AC$43="Leve"),CONCATENATE("R7C",'Mapa final'!$Q$43),"")</f>
        <v/>
      </c>
      <c r="L42" s="62" t="str">
        <f>IF(AND('Mapa final'!$AA$44="Baja",'Mapa final'!$AC$44="Leve"),CONCATENATE("R7C",'Mapa final'!$Q$44),"")</f>
        <v/>
      </c>
      <c r="M42" s="62" t="str">
        <f>IF(AND('Mapa final'!$AA$45="Baja",'Mapa final'!$AC$45="Leve"),CONCATENATE("R7C",'Mapa final'!$Q$45),"")</f>
        <v/>
      </c>
      <c r="N42" s="62" t="str">
        <f>IF(AND('Mapa final'!$AA$46="Baja",'Mapa final'!$AC$46="Leve"),CONCATENATE("R7C",'Mapa final'!$Q$46),"")</f>
        <v/>
      </c>
      <c r="O42" s="63" t="str">
        <f>IF(AND('Mapa final'!$AA$47="Baja",'Mapa final'!$AC$47="Leve"),CONCATENATE("R7C",'Mapa final'!$Q$47),"")</f>
        <v/>
      </c>
      <c r="P42" s="52" t="str">
        <f>IF(AND('Mapa final'!$AA$42="Baja",'Mapa final'!$AC$42="Menor"),CONCATENATE("R7C",'Mapa final'!$Q$42),"")</f>
        <v/>
      </c>
      <c r="Q42" s="53" t="str">
        <f>IF(AND('Mapa final'!$AA$43="Baja",'Mapa final'!$AC$43="Menor"),CONCATENATE("R7C",'Mapa final'!$Q$43),"")</f>
        <v/>
      </c>
      <c r="R42" s="53" t="str">
        <f>IF(AND('Mapa final'!$AA$44="Baja",'Mapa final'!$AC$44="Menor"),CONCATENATE("R7C",'Mapa final'!$Q$44),"")</f>
        <v/>
      </c>
      <c r="S42" s="53" t="str">
        <f>IF(AND('Mapa final'!$AA$45="Baja",'Mapa final'!$AC$45="Menor"),CONCATENATE("R7C",'Mapa final'!$Q$45),"")</f>
        <v/>
      </c>
      <c r="T42" s="53" t="str">
        <f>IF(AND('Mapa final'!$AA$46="Baja",'Mapa final'!$AC$46="Menor"),CONCATENATE("R7C",'Mapa final'!$Q$46),"")</f>
        <v/>
      </c>
      <c r="U42" s="54" t="str">
        <f>IF(AND('Mapa final'!$AA$47="Baja",'Mapa final'!$AC$47="Menor"),CONCATENATE("R7C",'Mapa final'!$Q$47),"")</f>
        <v/>
      </c>
      <c r="V42" s="52" t="str">
        <f>IF(AND('Mapa final'!$AA$42="Baja",'Mapa final'!$AC$42="Moderado"),CONCATENATE("R7C",'Mapa final'!$Q$42),"")</f>
        <v/>
      </c>
      <c r="W42" s="53" t="str">
        <f>IF(AND('Mapa final'!$AA$43="Baja",'Mapa final'!$AC$43="Moderado"),CONCATENATE("R7C",'Mapa final'!$Q$43),"")</f>
        <v/>
      </c>
      <c r="X42" s="53" t="str">
        <f>IF(AND('Mapa final'!$AA$44="Baja",'Mapa final'!$AC$44="Moderado"),CONCATENATE("R7C",'Mapa final'!$Q$44),"")</f>
        <v/>
      </c>
      <c r="Y42" s="53" t="str">
        <f>IF(AND('Mapa final'!$AA$45="Baja",'Mapa final'!$AC$45="Moderado"),CONCATENATE("R7C",'Mapa final'!$Q$45),"")</f>
        <v/>
      </c>
      <c r="Z42" s="53" t="str">
        <f>IF(AND('Mapa final'!$AA$46="Baja",'Mapa final'!$AC$46="Moderado"),CONCATENATE("R7C",'Mapa final'!$Q$46),"")</f>
        <v/>
      </c>
      <c r="AA42" s="54" t="str">
        <f>IF(AND('Mapa final'!$AA$47="Baja",'Mapa final'!$AC$47="Moderado"),CONCATENATE("R7C",'Mapa final'!$Q$47),"")</f>
        <v/>
      </c>
      <c r="AB42" s="36" t="str">
        <f>IF(AND('Mapa final'!$AA$42="Baja",'Mapa final'!$AC$42="Mayor"),CONCATENATE("R7C",'Mapa final'!$Q$42),"")</f>
        <v/>
      </c>
      <c r="AC42" s="37" t="str">
        <f>IF(AND('Mapa final'!$AA$43="Baja",'Mapa final'!$AC$43="Mayor"),CONCATENATE("R7C",'Mapa final'!$Q$43),"")</f>
        <v/>
      </c>
      <c r="AD42" s="42" t="str">
        <f>IF(AND('Mapa final'!$AA$44="Baja",'Mapa final'!$AC$44="Mayor"),CONCATENATE("R7C",'Mapa final'!$Q$44),"")</f>
        <v/>
      </c>
      <c r="AE42" s="42" t="str">
        <f>IF(AND('Mapa final'!$AA$45="Baja",'Mapa final'!$AC$45="Mayor"),CONCATENATE("R7C",'Mapa final'!$Q$45),"")</f>
        <v/>
      </c>
      <c r="AF42" s="42" t="str">
        <f>IF(AND('Mapa final'!$AA$46="Baja",'Mapa final'!$AC$46="Mayor"),CONCATENATE("R7C",'Mapa final'!$Q$46),"")</f>
        <v/>
      </c>
      <c r="AG42" s="38" t="str">
        <f>IF(AND('Mapa final'!$AA$47="Baja",'Mapa final'!$AC$47="Mayor"),CONCATENATE("R7C",'Mapa final'!$Q$47),"")</f>
        <v/>
      </c>
      <c r="AH42" s="39" t="str">
        <f>IF(AND('Mapa final'!$AA$42="Baja",'Mapa final'!$AC$42="Catastrófico"),CONCATENATE("R7C",'Mapa final'!$Q$42),"")</f>
        <v/>
      </c>
      <c r="AI42" s="40" t="str">
        <f>IF(AND('Mapa final'!$AA$43="Baja",'Mapa final'!$AC$43="Catastrófico"),CONCATENATE("R7C",'Mapa final'!$Q$43),"")</f>
        <v/>
      </c>
      <c r="AJ42" s="40" t="str">
        <f>IF(AND('Mapa final'!$AA$44="Baja",'Mapa final'!$AC$44="Catastrófico"),CONCATENATE("R7C",'Mapa final'!$Q$44),"")</f>
        <v/>
      </c>
      <c r="AK42" s="40" t="str">
        <f>IF(AND('Mapa final'!$AA$45="Baja",'Mapa final'!$AC$45="Catastrófico"),CONCATENATE("R7C",'Mapa final'!$Q$45),"")</f>
        <v/>
      </c>
      <c r="AL42" s="40" t="str">
        <f>IF(AND('Mapa final'!$AA$46="Baja",'Mapa final'!$AC$46="Catastrófico"),CONCATENATE("R7C",'Mapa final'!$Q$46),"")</f>
        <v/>
      </c>
      <c r="AM42" s="41" t="str">
        <f>IF(AND('Mapa final'!$AA$47="Baja",'Mapa final'!$AC$47="Catastrófico"),CONCATENATE("R7C",'Mapa final'!$Q$47),"")</f>
        <v/>
      </c>
      <c r="AN42" s="68"/>
      <c r="AO42" s="421"/>
      <c r="AP42" s="422"/>
      <c r="AQ42" s="422"/>
      <c r="AR42" s="422"/>
      <c r="AS42" s="422"/>
      <c r="AT42" s="423"/>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348"/>
      <c r="C43" s="348"/>
      <c r="D43" s="349"/>
      <c r="E43" s="389"/>
      <c r="F43" s="390"/>
      <c r="G43" s="390"/>
      <c r="H43" s="390"/>
      <c r="I43" s="406"/>
      <c r="J43" s="61" t="str">
        <f>IF(AND('Mapa final'!$AA$48="Baja",'Mapa final'!$AC$48="Leve"),CONCATENATE("R8C",'Mapa final'!$Q$48),"")</f>
        <v/>
      </c>
      <c r="K43" s="62" t="str">
        <f>IF(AND('Mapa final'!$AA$49="Baja",'Mapa final'!$AC$49="Leve"),CONCATENATE("R8C",'Mapa final'!$Q$49),"")</f>
        <v/>
      </c>
      <c r="L43" s="62" t="str">
        <f>IF(AND('Mapa final'!$AA$50="Baja",'Mapa final'!$AC$50="Leve"),CONCATENATE("R8C",'Mapa final'!$Q$50),"")</f>
        <v/>
      </c>
      <c r="M43" s="62" t="str">
        <f>IF(AND('Mapa final'!$AA$51="Baja",'Mapa final'!$AC$51="Leve"),CONCATENATE("R8C",'Mapa final'!$Q$51),"")</f>
        <v/>
      </c>
      <c r="N43" s="62" t="str">
        <f>IF(AND('Mapa final'!$AA$52="Baja",'Mapa final'!$AC$52="Leve"),CONCATENATE("R8C",'Mapa final'!$Q$52),"")</f>
        <v/>
      </c>
      <c r="O43" s="63" t="str">
        <f>IF(AND('Mapa final'!$AA$53="Baja",'Mapa final'!$AC$53="Leve"),CONCATENATE("R8C",'Mapa final'!$Q$53),"")</f>
        <v/>
      </c>
      <c r="P43" s="52" t="str">
        <f>IF(AND('Mapa final'!$AA$48="Baja",'Mapa final'!$AC$48="Menor"),CONCATENATE("R8C",'Mapa final'!$Q$48),"")</f>
        <v/>
      </c>
      <c r="Q43" s="53" t="str">
        <f>IF(AND('Mapa final'!$AA$49="Baja",'Mapa final'!$AC$49="Menor"),CONCATENATE("R8C",'Mapa final'!$Q$49),"")</f>
        <v/>
      </c>
      <c r="R43" s="53" t="str">
        <f>IF(AND('Mapa final'!$AA$50="Baja",'Mapa final'!$AC$50="Menor"),CONCATENATE("R8C",'Mapa final'!$Q$50),"")</f>
        <v/>
      </c>
      <c r="S43" s="53" t="str">
        <f>IF(AND('Mapa final'!$AA$51="Baja",'Mapa final'!$AC$51="Menor"),CONCATENATE("R8C",'Mapa final'!$Q$51),"")</f>
        <v/>
      </c>
      <c r="T43" s="53" t="str">
        <f>IF(AND('Mapa final'!$AA$52="Baja",'Mapa final'!$AC$52="Menor"),CONCATENATE("R8C",'Mapa final'!$Q$52),"")</f>
        <v/>
      </c>
      <c r="U43" s="54" t="str">
        <f>IF(AND('Mapa final'!$AA$53="Baja",'Mapa final'!$AC$53="Menor"),CONCATENATE("R8C",'Mapa final'!$Q$53),"")</f>
        <v/>
      </c>
      <c r="V43" s="52" t="str">
        <f>IF(AND('Mapa final'!$AA$48="Baja",'Mapa final'!$AC$48="Moderado"),CONCATENATE("R8C",'Mapa final'!$Q$48),"")</f>
        <v/>
      </c>
      <c r="W43" s="53" t="str">
        <f>IF(AND('Mapa final'!$AA$49="Baja",'Mapa final'!$AC$49="Moderado"),CONCATENATE("R8C",'Mapa final'!$Q$49),"")</f>
        <v/>
      </c>
      <c r="X43" s="53" t="str">
        <f>IF(AND('Mapa final'!$AA$50="Baja",'Mapa final'!$AC$50="Moderado"),CONCATENATE("R8C",'Mapa final'!$Q$50),"")</f>
        <v/>
      </c>
      <c r="Y43" s="53" t="str">
        <f>IF(AND('Mapa final'!$AA$51="Baja",'Mapa final'!$AC$51="Moderado"),CONCATENATE("R8C",'Mapa final'!$Q$51),"")</f>
        <v/>
      </c>
      <c r="Z43" s="53" t="str">
        <f>IF(AND('Mapa final'!$AA$52="Baja",'Mapa final'!$AC$52="Moderado"),CONCATENATE("R8C",'Mapa final'!$Q$52),"")</f>
        <v/>
      </c>
      <c r="AA43" s="54" t="str">
        <f>IF(AND('Mapa final'!$AA$53="Baja",'Mapa final'!$AC$53="Moderado"),CONCATENATE("R8C",'Mapa final'!$Q$53),"")</f>
        <v/>
      </c>
      <c r="AB43" s="36" t="str">
        <f>IF(AND('Mapa final'!$AA$48="Baja",'Mapa final'!$AC$48="Mayor"),CONCATENATE("R8C",'Mapa final'!$Q$48),"")</f>
        <v/>
      </c>
      <c r="AC43" s="37" t="str">
        <f>IF(AND('Mapa final'!$AA$49="Baja",'Mapa final'!$AC$49="Mayor"),CONCATENATE("R8C",'Mapa final'!$Q$49),"")</f>
        <v/>
      </c>
      <c r="AD43" s="42" t="str">
        <f>IF(AND('Mapa final'!$AA$50="Baja",'Mapa final'!$AC$50="Mayor"),CONCATENATE("R8C",'Mapa final'!$Q$50),"")</f>
        <v/>
      </c>
      <c r="AE43" s="42" t="str">
        <f>IF(AND('Mapa final'!$AA$51="Baja",'Mapa final'!$AC$51="Mayor"),CONCATENATE("R8C",'Mapa final'!$Q$51),"")</f>
        <v/>
      </c>
      <c r="AF43" s="42" t="str">
        <f>IF(AND('Mapa final'!$AA$52="Baja",'Mapa final'!$AC$52="Mayor"),CONCATENATE("R8C",'Mapa final'!$Q$52),"")</f>
        <v/>
      </c>
      <c r="AG43" s="38" t="str">
        <f>IF(AND('Mapa final'!$AA$53="Baja",'Mapa final'!$AC$53="Mayor"),CONCATENATE("R8C",'Mapa final'!$Q$53),"")</f>
        <v/>
      </c>
      <c r="AH43" s="39" t="str">
        <f>IF(AND('Mapa final'!$AA$48="Baja",'Mapa final'!$AC$48="Catastrófico"),CONCATENATE("R8C",'Mapa final'!$Q$48),"")</f>
        <v/>
      </c>
      <c r="AI43" s="40" t="str">
        <f>IF(AND('Mapa final'!$AA$49="Baja",'Mapa final'!$AC$49="Catastrófico"),CONCATENATE("R8C",'Mapa final'!$Q$49),"")</f>
        <v/>
      </c>
      <c r="AJ43" s="40" t="str">
        <f>IF(AND('Mapa final'!$AA$50="Baja",'Mapa final'!$AC$50="Catastrófico"),CONCATENATE("R8C",'Mapa final'!$Q$50),"")</f>
        <v/>
      </c>
      <c r="AK43" s="40" t="str">
        <f>IF(AND('Mapa final'!$AA$51="Baja",'Mapa final'!$AC$51="Catastrófico"),CONCATENATE("R8C",'Mapa final'!$Q$51),"")</f>
        <v/>
      </c>
      <c r="AL43" s="40" t="str">
        <f>IF(AND('Mapa final'!$AA$52="Baja",'Mapa final'!$AC$52="Catastrófico"),CONCATENATE("R8C",'Mapa final'!$Q$52),"")</f>
        <v/>
      </c>
      <c r="AM43" s="41" t="str">
        <f>IF(AND('Mapa final'!$AA$53="Baja",'Mapa final'!$AC$53="Catastrófico"),CONCATENATE("R8C",'Mapa final'!$Q$53),"")</f>
        <v/>
      </c>
      <c r="AN43" s="68"/>
      <c r="AO43" s="421"/>
      <c r="AP43" s="422"/>
      <c r="AQ43" s="422"/>
      <c r="AR43" s="422"/>
      <c r="AS43" s="422"/>
      <c r="AT43" s="423"/>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348"/>
      <c r="C44" s="348"/>
      <c r="D44" s="349"/>
      <c r="E44" s="389"/>
      <c r="F44" s="390"/>
      <c r="G44" s="390"/>
      <c r="H44" s="390"/>
      <c r="I44" s="406"/>
      <c r="J44" s="61" t="str">
        <f>IF(AND('Mapa final'!$AA$54="Baja",'Mapa final'!$AC$54="Leve"),CONCATENATE("R9C",'Mapa final'!$Q$54),"")</f>
        <v/>
      </c>
      <c r="K44" s="62" t="str">
        <f>IF(AND('Mapa final'!$AA$55="Baja",'Mapa final'!$AC$55="Leve"),CONCATENATE("R9C",'Mapa final'!$Q$55),"")</f>
        <v/>
      </c>
      <c r="L44" s="62" t="str">
        <f>IF(AND('Mapa final'!$AA$56="Baja",'Mapa final'!$AC$56="Leve"),CONCATENATE("R9C",'Mapa final'!$Q$56),"")</f>
        <v/>
      </c>
      <c r="M44" s="62" t="str">
        <f>IF(AND('Mapa final'!$AA$57="Baja",'Mapa final'!$AC$57="Leve"),CONCATENATE("R9C",'Mapa final'!$Q$57),"")</f>
        <v/>
      </c>
      <c r="N44" s="62" t="str">
        <f>IF(AND('Mapa final'!$AA$58="Baja",'Mapa final'!$AC$58="Leve"),CONCATENATE("R9C",'Mapa final'!$Q$58),"")</f>
        <v/>
      </c>
      <c r="O44" s="63" t="str">
        <f>IF(AND('Mapa final'!$AA$59="Baja",'Mapa final'!$AC$59="Leve"),CONCATENATE("R9C",'Mapa final'!$Q$59),"")</f>
        <v/>
      </c>
      <c r="P44" s="52" t="str">
        <f>IF(AND('Mapa final'!$AA$54="Baja",'Mapa final'!$AC$54="Menor"),CONCATENATE("R9C",'Mapa final'!$Q$54),"")</f>
        <v/>
      </c>
      <c r="Q44" s="53" t="str">
        <f>IF(AND('Mapa final'!$AA$55="Baja",'Mapa final'!$AC$55="Menor"),CONCATENATE("R9C",'Mapa final'!$Q$55),"")</f>
        <v/>
      </c>
      <c r="R44" s="53" t="str">
        <f>IF(AND('Mapa final'!$AA$56="Baja",'Mapa final'!$AC$56="Menor"),CONCATENATE("R9C",'Mapa final'!$Q$56),"")</f>
        <v/>
      </c>
      <c r="S44" s="53" t="str">
        <f>IF(AND('Mapa final'!$AA$57="Baja",'Mapa final'!$AC$57="Menor"),CONCATENATE("R9C",'Mapa final'!$Q$57),"")</f>
        <v/>
      </c>
      <c r="T44" s="53" t="str">
        <f>IF(AND('Mapa final'!$AA$58="Baja",'Mapa final'!$AC$58="Menor"),CONCATENATE("R9C",'Mapa final'!$Q$58),"")</f>
        <v/>
      </c>
      <c r="U44" s="54" t="str">
        <f>IF(AND('Mapa final'!$AA$59="Baja",'Mapa final'!$AC$59="Menor"),CONCATENATE("R9C",'Mapa final'!$Q$59),"")</f>
        <v/>
      </c>
      <c r="V44" s="52" t="str">
        <f>IF(AND('Mapa final'!$AA$54="Baja",'Mapa final'!$AC$54="Moderado"),CONCATENATE("R9C",'Mapa final'!$Q$54),"")</f>
        <v/>
      </c>
      <c r="W44" s="53" t="str">
        <f>IF(AND('Mapa final'!$AA$55="Baja",'Mapa final'!$AC$55="Moderado"),CONCATENATE("R9C",'Mapa final'!$Q$55),"")</f>
        <v/>
      </c>
      <c r="X44" s="53" t="str">
        <f>IF(AND('Mapa final'!$AA$56="Baja",'Mapa final'!$AC$56="Moderado"),CONCATENATE("R9C",'Mapa final'!$Q$56),"")</f>
        <v/>
      </c>
      <c r="Y44" s="53" t="str">
        <f>IF(AND('Mapa final'!$AA$57="Baja",'Mapa final'!$AC$57="Moderado"),CONCATENATE("R9C",'Mapa final'!$Q$57),"")</f>
        <v/>
      </c>
      <c r="Z44" s="53" t="str">
        <f>IF(AND('Mapa final'!$AA$58="Baja",'Mapa final'!$AC$58="Moderado"),CONCATENATE("R9C",'Mapa final'!$Q$58),"")</f>
        <v/>
      </c>
      <c r="AA44" s="54" t="str">
        <f>IF(AND('Mapa final'!$AA$59="Baja",'Mapa final'!$AC$59="Moderado"),CONCATENATE("R9C",'Mapa final'!$Q$59),"")</f>
        <v/>
      </c>
      <c r="AB44" s="36" t="str">
        <f>IF(AND('Mapa final'!$AA$54="Baja",'Mapa final'!$AC$54="Mayor"),CONCATENATE("R9C",'Mapa final'!$Q$54),"")</f>
        <v/>
      </c>
      <c r="AC44" s="37" t="str">
        <f>IF(AND('Mapa final'!$AA$55="Baja",'Mapa final'!$AC$55="Mayor"),CONCATENATE("R9C",'Mapa final'!$Q$55),"")</f>
        <v/>
      </c>
      <c r="AD44" s="42" t="str">
        <f>IF(AND('Mapa final'!$AA$56="Baja",'Mapa final'!$AC$56="Mayor"),CONCATENATE("R9C",'Mapa final'!$Q$56),"")</f>
        <v/>
      </c>
      <c r="AE44" s="42" t="str">
        <f>IF(AND('Mapa final'!$AA$57="Baja",'Mapa final'!$AC$57="Mayor"),CONCATENATE("R9C",'Mapa final'!$Q$57),"")</f>
        <v/>
      </c>
      <c r="AF44" s="42" t="str">
        <f>IF(AND('Mapa final'!$AA$58="Baja",'Mapa final'!$AC$58="Mayor"),CONCATENATE("R9C",'Mapa final'!$Q$58),"")</f>
        <v/>
      </c>
      <c r="AG44" s="38" t="str">
        <f>IF(AND('Mapa final'!$AA$59="Baja",'Mapa final'!$AC$59="Mayor"),CONCATENATE("R9C",'Mapa final'!$Q$59),"")</f>
        <v/>
      </c>
      <c r="AH44" s="39" t="str">
        <f>IF(AND('Mapa final'!$AA$54="Baja",'Mapa final'!$AC$54="Catastrófico"),CONCATENATE("R9C",'Mapa final'!$Q$54),"")</f>
        <v/>
      </c>
      <c r="AI44" s="40" t="str">
        <f>IF(AND('Mapa final'!$AA$55="Baja",'Mapa final'!$AC$55="Catastrófico"),CONCATENATE("R9C",'Mapa final'!$Q$55),"")</f>
        <v/>
      </c>
      <c r="AJ44" s="40" t="str">
        <f>IF(AND('Mapa final'!$AA$56="Baja",'Mapa final'!$AC$56="Catastrófico"),CONCATENATE("R9C",'Mapa final'!$Q$56),"")</f>
        <v/>
      </c>
      <c r="AK44" s="40" t="str">
        <f>IF(AND('Mapa final'!$AA$57="Baja",'Mapa final'!$AC$57="Catastrófico"),CONCATENATE("R9C",'Mapa final'!$Q$57),"")</f>
        <v/>
      </c>
      <c r="AL44" s="40" t="str">
        <f>IF(AND('Mapa final'!$AA$58="Baja",'Mapa final'!$AC$58="Catastrófico"),CONCATENATE("R9C",'Mapa final'!$Q$58),"")</f>
        <v/>
      </c>
      <c r="AM44" s="41" t="str">
        <f>IF(AND('Mapa final'!$AA$59="Baja",'Mapa final'!$AC$59="Catastrófico"),CONCATENATE("R9C",'Mapa final'!$Q$59),"")</f>
        <v/>
      </c>
      <c r="AN44" s="68"/>
      <c r="AO44" s="421"/>
      <c r="AP44" s="422"/>
      <c r="AQ44" s="422"/>
      <c r="AR44" s="422"/>
      <c r="AS44" s="422"/>
      <c r="AT44" s="423"/>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348"/>
      <c r="C45" s="348"/>
      <c r="D45" s="349"/>
      <c r="E45" s="392"/>
      <c r="F45" s="393"/>
      <c r="G45" s="393"/>
      <c r="H45" s="393"/>
      <c r="I45" s="393"/>
      <c r="J45" s="64" t="str">
        <f>IF(AND('Mapa final'!$AA$60="Baja",'Mapa final'!$AC$60="Leve"),CONCATENATE("R10C",'Mapa final'!$Q$60),"")</f>
        <v/>
      </c>
      <c r="K45" s="65" t="str">
        <f>IF(AND('Mapa final'!$AA$61="Baja",'Mapa final'!$AC$61="Leve"),CONCATENATE("R10C",'Mapa final'!$Q$61),"")</f>
        <v/>
      </c>
      <c r="L45" s="65" t="str">
        <f>IF(AND('Mapa final'!$AA$62="Baja",'Mapa final'!$AC$62="Leve"),CONCATENATE("R10C",'Mapa final'!$Q$62),"")</f>
        <v/>
      </c>
      <c r="M45" s="65" t="str">
        <f>IF(AND('Mapa final'!$AA$63="Baja",'Mapa final'!$AC$63="Leve"),CONCATENATE("R10C",'Mapa final'!$Q$63),"")</f>
        <v/>
      </c>
      <c r="N45" s="65" t="str">
        <f>IF(AND('Mapa final'!$AA$64="Baja",'Mapa final'!$AC$64="Leve"),CONCATENATE("R10C",'Mapa final'!$Q$64),"")</f>
        <v/>
      </c>
      <c r="O45" s="66" t="str">
        <f>IF(AND('Mapa final'!$AA$65="Baja",'Mapa final'!$AC$65="Leve"),CONCATENATE("R10C",'Mapa final'!$Q$65),"")</f>
        <v/>
      </c>
      <c r="P45" s="52" t="str">
        <f>IF(AND('Mapa final'!$AA$60="Baja",'Mapa final'!$AC$60="Menor"),CONCATENATE("R10C",'Mapa final'!$Q$60),"")</f>
        <v/>
      </c>
      <c r="Q45" s="53" t="str">
        <f>IF(AND('Mapa final'!$AA$61="Baja",'Mapa final'!$AC$61="Menor"),CONCATENATE("R10C",'Mapa final'!$Q$61),"")</f>
        <v/>
      </c>
      <c r="R45" s="53" t="str">
        <f>IF(AND('Mapa final'!$AA$62="Baja",'Mapa final'!$AC$62="Menor"),CONCATENATE("R10C",'Mapa final'!$Q$62),"")</f>
        <v/>
      </c>
      <c r="S45" s="53" t="str">
        <f>IF(AND('Mapa final'!$AA$63="Baja",'Mapa final'!$AC$63="Menor"),CONCATENATE("R10C",'Mapa final'!$Q$63),"")</f>
        <v/>
      </c>
      <c r="T45" s="53" t="str">
        <f>IF(AND('Mapa final'!$AA$64="Baja",'Mapa final'!$AC$64="Menor"),CONCATENATE("R10C",'Mapa final'!$Q$64),"")</f>
        <v/>
      </c>
      <c r="U45" s="54" t="str">
        <f>IF(AND('Mapa final'!$AA$65="Baja",'Mapa final'!$AC$65="Menor"),CONCATENATE("R10C",'Mapa final'!$Q$65),"")</f>
        <v/>
      </c>
      <c r="V45" s="55" t="str">
        <f>IF(AND('Mapa final'!$AA$60="Baja",'Mapa final'!$AC$60="Moderado"),CONCATENATE("R10C",'Mapa final'!$Q$60),"")</f>
        <v/>
      </c>
      <c r="W45" s="56" t="str">
        <f>IF(AND('Mapa final'!$AA$61="Baja",'Mapa final'!$AC$61="Moderado"),CONCATENATE("R10C",'Mapa final'!$Q$61),"")</f>
        <v/>
      </c>
      <c r="X45" s="56" t="str">
        <f>IF(AND('Mapa final'!$AA$62="Baja",'Mapa final'!$AC$62="Moderado"),CONCATENATE("R10C",'Mapa final'!$Q$62),"")</f>
        <v/>
      </c>
      <c r="Y45" s="56" t="str">
        <f>IF(AND('Mapa final'!$AA$63="Baja",'Mapa final'!$AC$63="Moderado"),CONCATENATE("R10C",'Mapa final'!$Q$63),"")</f>
        <v/>
      </c>
      <c r="Z45" s="56" t="str">
        <f>IF(AND('Mapa final'!$AA$64="Baja",'Mapa final'!$AC$64="Moderado"),CONCATENATE("R10C",'Mapa final'!$Q$64),"")</f>
        <v/>
      </c>
      <c r="AA45" s="57" t="str">
        <f>IF(AND('Mapa final'!$AA$65="Baja",'Mapa final'!$AC$65="Moderado"),CONCATENATE("R10C",'Mapa final'!$Q$65),"")</f>
        <v/>
      </c>
      <c r="AB45" s="43" t="str">
        <f>IF(AND('Mapa final'!$AA$60="Baja",'Mapa final'!$AC$60="Mayor"),CONCATENATE("R10C",'Mapa final'!$Q$60),"")</f>
        <v/>
      </c>
      <c r="AC45" s="44" t="str">
        <f>IF(AND('Mapa final'!$AA$61="Baja",'Mapa final'!$AC$61="Mayor"),CONCATENATE("R10C",'Mapa final'!$Q$61),"")</f>
        <v/>
      </c>
      <c r="AD45" s="44" t="str">
        <f>IF(AND('Mapa final'!$AA$62="Baja",'Mapa final'!$AC$62="Mayor"),CONCATENATE("R10C",'Mapa final'!$Q$62),"")</f>
        <v/>
      </c>
      <c r="AE45" s="44" t="str">
        <f>IF(AND('Mapa final'!$AA$63="Baja",'Mapa final'!$AC$63="Mayor"),CONCATENATE("R10C",'Mapa final'!$Q$63),"")</f>
        <v/>
      </c>
      <c r="AF45" s="44" t="str">
        <f>IF(AND('Mapa final'!$AA$64="Baja",'Mapa final'!$AC$64="Mayor"),CONCATENATE("R10C",'Mapa final'!$Q$64),"")</f>
        <v/>
      </c>
      <c r="AG45" s="45" t="str">
        <f>IF(AND('Mapa final'!$AA$65="Baja",'Mapa final'!$AC$65="Mayor"),CONCATENATE("R10C",'Mapa final'!$Q$65),"")</f>
        <v/>
      </c>
      <c r="AH45" s="46" t="str">
        <f>IF(AND('Mapa final'!$AA$60="Baja",'Mapa final'!$AC$60="Catastrófico"),CONCATENATE("R10C",'Mapa final'!$Q$60),"")</f>
        <v/>
      </c>
      <c r="AI45" s="47" t="str">
        <f>IF(AND('Mapa final'!$AA$61="Baja",'Mapa final'!$AC$61="Catastrófico"),CONCATENATE("R10C",'Mapa final'!$Q$61),"")</f>
        <v/>
      </c>
      <c r="AJ45" s="47" t="str">
        <f>IF(AND('Mapa final'!$AA$62="Baja",'Mapa final'!$AC$62="Catastrófico"),CONCATENATE("R10C",'Mapa final'!$Q$62),"")</f>
        <v/>
      </c>
      <c r="AK45" s="47" t="str">
        <f>IF(AND('Mapa final'!$AA$63="Baja",'Mapa final'!$AC$63="Catastrófico"),CONCATENATE("R10C",'Mapa final'!$Q$63),"")</f>
        <v/>
      </c>
      <c r="AL45" s="47" t="str">
        <f>IF(AND('Mapa final'!$AA$64="Baja",'Mapa final'!$AC$64="Catastrófico"),CONCATENATE("R10C",'Mapa final'!$Q$64),"")</f>
        <v/>
      </c>
      <c r="AM45" s="48" t="str">
        <f>IF(AND('Mapa final'!$AA$65="Baja",'Mapa final'!$AC$65="Catastrófico"),CONCATENATE("R10C",'Mapa final'!$Q$65),"")</f>
        <v/>
      </c>
      <c r="AN45" s="68"/>
      <c r="AO45" s="424"/>
      <c r="AP45" s="425"/>
      <c r="AQ45" s="425"/>
      <c r="AR45" s="425"/>
      <c r="AS45" s="425"/>
      <c r="AT45" s="426"/>
    </row>
    <row r="46" spans="1:80" ht="46.5" customHeight="1" x14ac:dyDescent="0.35">
      <c r="A46" s="68"/>
      <c r="B46" s="348"/>
      <c r="C46" s="348"/>
      <c r="D46" s="349"/>
      <c r="E46" s="386" t="s">
        <v>108</v>
      </c>
      <c r="F46" s="387"/>
      <c r="G46" s="387"/>
      <c r="H46" s="387"/>
      <c r="I46" s="388"/>
      <c r="J46" s="58" t="str">
        <f ca="1">IF(AND('Mapa final'!$AA$10="Muy Baja",'Mapa final'!$AC$10="Leve"),CONCATENATE("R1C",'Mapa final'!$Q$10),"")</f>
        <v/>
      </c>
      <c r="K46" s="59" t="str">
        <f>IF(AND('Mapa final'!$AA$11="Muy Baja",'Mapa final'!$AC$11="Leve"),CONCATENATE("R1C",'Mapa final'!$Q$11),"")</f>
        <v/>
      </c>
      <c r="L46" s="59" t="str">
        <f>IF(AND('Mapa final'!$AA$12="Muy Baja",'Mapa final'!$AC$12="Leve"),CONCATENATE("R1C",'Mapa final'!$Q$12),"")</f>
        <v/>
      </c>
      <c r="M46" s="59" t="str">
        <f>IF(AND('Mapa final'!$AA$13="Muy Baja",'Mapa final'!$AC$13="Leve"),CONCATENATE("R1C",'Mapa final'!$Q$13),"")</f>
        <v/>
      </c>
      <c r="N46" s="59" t="e">
        <f>IF(AND('Mapa final'!#REF!="Muy Baja",'Mapa final'!#REF!="Leve"),CONCATENATE("R1C",'Mapa final'!#REF!),"")</f>
        <v>#REF!</v>
      </c>
      <c r="O46" s="60" t="e">
        <f>IF(AND('Mapa final'!#REF!="Muy Baja",'Mapa final'!#REF!="Leve"),CONCATENATE("R1C",'Mapa final'!#REF!),"")</f>
        <v>#REF!</v>
      </c>
      <c r="P46" s="58" t="str">
        <f ca="1">IF(AND('Mapa final'!$AA$10="Muy Baja",'Mapa final'!$AC$10="Menor"),CONCATENATE("R1C",'Mapa final'!$Q$10),"")</f>
        <v/>
      </c>
      <c r="Q46" s="59" t="str">
        <f>IF(AND('Mapa final'!$AA$11="Muy Baja",'Mapa final'!$AC$11="Menor"),CONCATENATE("R1C",'Mapa final'!$Q$11),"")</f>
        <v/>
      </c>
      <c r="R46" s="59" t="str">
        <f>IF(AND('Mapa final'!$AA$12="Muy Baja",'Mapa final'!$AC$12="Menor"),CONCATENATE("R1C",'Mapa final'!$Q$12),"")</f>
        <v/>
      </c>
      <c r="S46" s="59" t="str">
        <f>IF(AND('Mapa final'!$AA$13="Muy Baja",'Mapa final'!$AC$13="Menor"),CONCATENATE("R1C",'Mapa final'!$Q$13),"")</f>
        <v/>
      </c>
      <c r="T46" s="59" t="e">
        <f>IF(AND('Mapa final'!#REF!="Muy Baja",'Mapa final'!#REF!="Menor"),CONCATENATE("R1C",'Mapa final'!#REF!),"")</f>
        <v>#REF!</v>
      </c>
      <c r="U46" s="60" t="e">
        <f>IF(AND('Mapa final'!#REF!="Muy Baja",'Mapa final'!#REF!="Menor"),CONCATENATE("R1C",'Mapa final'!#REF!),"")</f>
        <v>#REF!</v>
      </c>
      <c r="V46" s="49" t="str">
        <f ca="1">IF(AND('Mapa final'!$AA$10="Muy Baja",'Mapa final'!$AC$10="Moderado"),CONCATENATE("R1C",'Mapa final'!$Q$10),"")</f>
        <v/>
      </c>
      <c r="W46" s="67" t="str">
        <f>IF(AND('Mapa final'!$AA$11="Muy Baja",'Mapa final'!$AC$11="Moderado"),CONCATENATE("R1C",'Mapa final'!$Q$11),"")</f>
        <v/>
      </c>
      <c r="X46" s="50" t="str">
        <f>IF(AND('Mapa final'!$AA$12="Muy Baja",'Mapa final'!$AC$12="Moderado"),CONCATENATE("R1C",'Mapa final'!$Q$12),"")</f>
        <v/>
      </c>
      <c r="Y46" s="50" t="str">
        <f>IF(AND('Mapa final'!$AA$13="Muy Baja",'Mapa final'!$AC$13="Moderado"),CONCATENATE("R1C",'Mapa final'!$Q$13),"")</f>
        <v/>
      </c>
      <c r="Z46" s="50" t="e">
        <f>IF(AND('Mapa final'!#REF!="Muy Baja",'Mapa final'!#REF!="Moderado"),CONCATENATE("R1C",'Mapa final'!#REF!),"")</f>
        <v>#REF!</v>
      </c>
      <c r="AA46" s="51" t="e">
        <f>IF(AND('Mapa final'!#REF!="Muy Baja",'Mapa final'!#REF!="Moderado"),CONCATENATE("R1C",'Mapa final'!#REF!),"")</f>
        <v>#REF!</v>
      </c>
      <c r="AB46" s="30" t="str">
        <f ca="1">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e">
        <f>IF(AND('Mapa final'!#REF!="Muy Baja",'Mapa final'!#REF!="Catastrófico"),CONCATENATE("R1C",'Mapa final'!#REF!),"")</f>
        <v>#REF!</v>
      </c>
      <c r="AM46" s="35" t="e">
        <f>IF(AND('Mapa final'!#REF!="Muy Baja",'Mapa final'!#REF!="Catastrófico"),CONCATENATE("R1C",'Mapa final'!#REF!),"")</f>
        <v>#REF!</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348"/>
      <c r="C47" s="348"/>
      <c r="D47" s="349"/>
      <c r="E47" s="405"/>
      <c r="F47" s="406"/>
      <c r="G47" s="406"/>
      <c r="H47" s="406"/>
      <c r="I47" s="391"/>
      <c r="J47" s="61" t="str">
        <f ca="1">IF(AND('Mapa final'!$AA$14="Muy Baja",'Mapa final'!$AC$14="Leve"),CONCATENATE("R2C",'Mapa final'!$Q$14),"")</f>
        <v/>
      </c>
      <c r="K47" s="62" t="str">
        <f ca="1">IF(AND('Mapa final'!$AA$15="Muy Baja",'Mapa final'!$AC$15="Leve"),CONCATENATE("R2C",'Mapa final'!$Q$15),"")</f>
        <v/>
      </c>
      <c r="L47" s="62" t="str">
        <f ca="1">IF(AND('Mapa final'!$AA$16="Muy Baja",'Mapa final'!$AC$16="Leve"),CONCATENATE("R2C",'Mapa final'!$Q$16),"")</f>
        <v/>
      </c>
      <c r="M47" s="62" t="e">
        <f>IF(AND('Mapa final'!#REF!="Muy Baja",'Mapa final'!#REF!="Leve"),CONCATENATE("R2C",'Mapa final'!#REF!),"")</f>
        <v>#REF!</v>
      </c>
      <c r="N47" s="62" t="e">
        <f>IF(AND('Mapa final'!#REF!="Muy Baja",'Mapa final'!#REF!="Leve"),CONCATENATE("R2C",'Mapa final'!#REF!),"")</f>
        <v>#REF!</v>
      </c>
      <c r="O47" s="63" t="str">
        <f>IF(AND('Mapa final'!$AA$17="Muy Baja",'Mapa final'!$AC$17="Leve"),CONCATENATE("R2C",'Mapa final'!$Q$17),"")</f>
        <v/>
      </c>
      <c r="P47" s="61" t="str">
        <f ca="1">IF(AND('Mapa final'!$AA$14="Muy Baja",'Mapa final'!$AC$14="Menor"),CONCATENATE("R2C",'Mapa final'!$Q$14),"")</f>
        <v/>
      </c>
      <c r="Q47" s="62" t="str">
        <f ca="1">IF(AND('Mapa final'!$AA$15="Muy Baja",'Mapa final'!$AC$15="Menor"),CONCATENATE("R2C",'Mapa final'!$Q$15),"")</f>
        <v/>
      </c>
      <c r="R47" s="62" t="str">
        <f ca="1">IF(AND('Mapa final'!$AA$16="Muy Baja",'Mapa final'!$AC$16="Menor"),CONCATENATE("R2C",'Mapa final'!$Q$16),"")</f>
        <v/>
      </c>
      <c r="S47" s="62" t="e">
        <f>IF(AND('Mapa final'!#REF!="Muy Baja",'Mapa final'!#REF!="Menor"),CONCATENATE("R2C",'Mapa final'!#REF!),"")</f>
        <v>#REF!</v>
      </c>
      <c r="T47" s="62" t="e">
        <f>IF(AND('Mapa final'!#REF!="Muy Baja",'Mapa final'!#REF!="Menor"),CONCATENATE("R2C",'Mapa final'!#REF!),"")</f>
        <v>#REF!</v>
      </c>
      <c r="U47" s="63" t="str">
        <f>IF(AND('Mapa final'!$AA$17="Muy Baja",'Mapa final'!$AC$17="Menor"),CONCATENATE("R2C",'Mapa final'!$Q$17),"")</f>
        <v/>
      </c>
      <c r="V47" s="52" t="str">
        <f ca="1">IF(AND('Mapa final'!$AA$14="Muy Baja",'Mapa final'!$AC$14="Moderado"),CONCATENATE("R2C",'Mapa final'!$Q$14),"")</f>
        <v/>
      </c>
      <c r="W47" s="53" t="str">
        <f ca="1">IF(AND('Mapa final'!$AA$15="Muy Baja",'Mapa final'!$AC$15="Moderado"),CONCATENATE("R2C",'Mapa final'!$Q$15),"")</f>
        <v/>
      </c>
      <c r="X47" s="53" t="str">
        <f ca="1">IF(AND('Mapa final'!$AA$16="Muy Baja",'Mapa final'!$AC$16="Moderado"),CONCATENATE("R2C",'Mapa final'!$Q$16),"")</f>
        <v/>
      </c>
      <c r="Y47" s="53" t="e">
        <f>IF(AND('Mapa final'!#REF!="Muy Baja",'Mapa final'!#REF!="Moderado"),CONCATENATE("R2C",'Mapa final'!#REF!),"")</f>
        <v>#REF!</v>
      </c>
      <c r="Z47" s="53" t="e">
        <f>IF(AND('Mapa final'!#REF!="Muy Baja",'Mapa final'!#REF!="Moderado"),CONCATENATE("R2C",'Mapa final'!#REF!),"")</f>
        <v>#REF!</v>
      </c>
      <c r="AA47" s="54" t="str">
        <f>IF(AND('Mapa final'!$AA$17="Muy Baja",'Mapa final'!$AC$17="Moderado"),CONCATENATE("R2C",'Mapa final'!$Q$17),"")</f>
        <v/>
      </c>
      <c r="AB47" s="36" t="str">
        <f ca="1">IF(AND('Mapa final'!$AA$14="Muy Baja",'Mapa final'!$AC$14="Mayor"),CONCATENATE("R2C",'Mapa final'!$Q$14),"")</f>
        <v/>
      </c>
      <c r="AC47" s="37" t="str">
        <f ca="1">IF(AND('Mapa final'!$AA$15="Muy Baja",'Mapa final'!$AC$15="Mayor"),CONCATENATE("R2C",'Mapa final'!$Q$15),"")</f>
        <v/>
      </c>
      <c r="AD47" s="37" t="str">
        <f ca="1">IF(AND('Mapa final'!$AA$16="Muy Baja",'Mapa final'!$AC$16="Mayor"),CONCATENATE("R2C",'Mapa final'!$Q$16),"")</f>
        <v>R2C3</v>
      </c>
      <c r="AE47" s="37" t="e">
        <f>IF(AND('Mapa final'!#REF!="Muy Baja",'Mapa final'!#REF!="Mayor"),CONCATENATE("R2C",'Mapa final'!#REF!),"")</f>
        <v>#REF!</v>
      </c>
      <c r="AF47" s="37" t="e">
        <f>IF(AND('Mapa final'!#REF!="Muy Baja",'Mapa final'!#REF!="Mayor"),CONCATENATE("R2C",'Mapa final'!#REF!),"")</f>
        <v>#REF!</v>
      </c>
      <c r="AG47" s="38" t="str">
        <f>IF(AND('Mapa final'!$AA$17="Muy Baja",'Mapa final'!$AC$17="Mayor"),CONCATENATE("R2C",'Mapa final'!$Q$17),"")</f>
        <v/>
      </c>
      <c r="AH47" s="39" t="str">
        <f ca="1">IF(AND('Mapa final'!$AA$14="Muy Baja",'Mapa final'!$AC$14="Catastrófico"),CONCATENATE("R2C",'Mapa final'!$Q$14),"")</f>
        <v/>
      </c>
      <c r="AI47" s="40" t="str">
        <f ca="1">IF(AND('Mapa final'!$AA$15="Muy Baja",'Mapa final'!$AC$15="Catastrófico"),CONCATENATE("R2C",'Mapa final'!$Q$15),"")</f>
        <v/>
      </c>
      <c r="AJ47" s="40" t="str">
        <f ca="1">IF(AND('Mapa final'!$AA$16="Muy Baja",'Mapa final'!$AC$16="Catastrófico"),CONCATENATE("R2C",'Mapa final'!$Q$16),"")</f>
        <v/>
      </c>
      <c r="AK47" s="40" t="e">
        <f>IF(AND('Mapa final'!#REF!="Muy Baja",'Mapa final'!#REF!="Catastrófico"),CONCATENATE("R2C",'Mapa final'!#REF!),"")</f>
        <v>#REF!</v>
      </c>
      <c r="AL47" s="40" t="e">
        <f>IF(AND('Mapa final'!#REF!="Muy Baja",'Mapa final'!#REF!="Catastrófico"),CONCATENATE("R2C",'Mapa final'!#REF!),"")</f>
        <v>#REF!</v>
      </c>
      <c r="AM47" s="41" t="str">
        <f>IF(AND('Mapa final'!$AA$17="Muy Baja",'Mapa final'!$AC$17="Catastrófico"),CONCATENATE("R2C",'Mapa final'!$Q$17),"")</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348"/>
      <c r="C48" s="348"/>
      <c r="D48" s="349"/>
      <c r="E48" s="405"/>
      <c r="F48" s="406"/>
      <c r="G48" s="406"/>
      <c r="H48" s="406"/>
      <c r="I48" s="391"/>
      <c r="J48" s="61" t="str">
        <f>IF(AND('Mapa final'!$AA$18="Muy Baja",'Mapa final'!$AC$18="Leve"),CONCATENATE("R3C",'Mapa final'!$Q$18),"")</f>
        <v/>
      </c>
      <c r="K48" s="62" t="str">
        <f>IF(AND('Mapa final'!$AA$19="Muy Baja",'Mapa final'!$AC$19="Leve"),CONCATENATE("R3C",'Mapa final'!$Q$19),"")</f>
        <v/>
      </c>
      <c r="L48" s="62" t="str">
        <f>IF(AND('Mapa final'!$AA$20="Muy Baja",'Mapa final'!$AC$20="Leve"),CONCATENATE("R3C",'Mapa final'!$Q$20),"")</f>
        <v/>
      </c>
      <c r="M48" s="62" t="str">
        <f>IF(AND('Mapa final'!$AA$21="Muy Baja",'Mapa final'!$AC$21="Leve"),CONCATENATE("R3C",'Mapa final'!$Q$21),"")</f>
        <v/>
      </c>
      <c r="N48" s="62" t="str">
        <f>IF(AND('Mapa final'!$AA$22="Muy Baja",'Mapa final'!$AC$22="Leve"),CONCATENATE("R3C",'Mapa final'!$Q$22),"")</f>
        <v/>
      </c>
      <c r="O48" s="63" t="str">
        <f>IF(AND('Mapa final'!$AA$23="Muy Baja",'Mapa final'!$AC$23="Leve"),CONCATENATE("R3C",'Mapa final'!$Q$23),"")</f>
        <v/>
      </c>
      <c r="P48" s="61" t="str">
        <f>IF(AND('Mapa final'!$AA$18="Muy Baja",'Mapa final'!$AC$18="Menor"),CONCATENATE("R3C",'Mapa final'!$Q$18),"")</f>
        <v/>
      </c>
      <c r="Q48" s="62" t="str">
        <f>IF(AND('Mapa final'!$AA$19="Muy Baja",'Mapa final'!$AC$19="Menor"),CONCATENATE("R3C",'Mapa final'!$Q$19),"")</f>
        <v/>
      </c>
      <c r="R48" s="62" t="str">
        <f>IF(AND('Mapa final'!$AA$20="Muy Baja",'Mapa final'!$AC$20="Menor"),CONCATENATE("R3C",'Mapa final'!$Q$20),"")</f>
        <v/>
      </c>
      <c r="S48" s="62" t="str">
        <f>IF(AND('Mapa final'!$AA$21="Muy Baja",'Mapa final'!$AC$21="Menor"),CONCATENATE("R3C",'Mapa final'!$Q$21),"")</f>
        <v/>
      </c>
      <c r="T48" s="62" t="str">
        <f>IF(AND('Mapa final'!$AA$22="Muy Baja",'Mapa final'!$AC$22="Menor"),CONCATENATE("R3C",'Mapa final'!$Q$22),"")</f>
        <v/>
      </c>
      <c r="U48" s="63" t="str">
        <f>IF(AND('Mapa final'!$AA$23="Muy Baja",'Mapa final'!$AC$23="Menor"),CONCATENATE("R3C",'Mapa final'!$Q$23),"")</f>
        <v/>
      </c>
      <c r="V48" s="52" t="str">
        <f>IF(AND('Mapa final'!$AA$18="Muy Baja",'Mapa final'!$AC$18="Moderado"),CONCATENATE("R3C",'Mapa final'!$Q$18),"")</f>
        <v/>
      </c>
      <c r="W48" s="53" t="str">
        <f>IF(AND('Mapa final'!$AA$19="Muy Baja",'Mapa final'!$AC$19="Moderado"),CONCATENATE("R3C",'Mapa final'!$Q$19),"")</f>
        <v/>
      </c>
      <c r="X48" s="53" t="str">
        <f>IF(AND('Mapa final'!$AA$20="Muy Baja",'Mapa final'!$AC$20="Moderado"),CONCATENATE("R3C",'Mapa final'!$Q$20),"")</f>
        <v/>
      </c>
      <c r="Y48" s="53" t="str">
        <f>IF(AND('Mapa final'!$AA$21="Muy Baja",'Mapa final'!$AC$21="Moderado"),CONCATENATE("R3C",'Mapa final'!$Q$21),"")</f>
        <v/>
      </c>
      <c r="Z48" s="53" t="str">
        <f>IF(AND('Mapa final'!$AA$22="Muy Baja",'Mapa final'!$AC$22="Moderado"),CONCATENATE("R3C",'Mapa final'!$Q$22),"")</f>
        <v/>
      </c>
      <c r="AA48" s="54" t="str">
        <f>IF(AND('Mapa final'!$AA$23="Muy Baja",'Mapa final'!$AC$23="Moderado"),CONCATENATE("R3C",'Mapa final'!$Q$23),"")</f>
        <v/>
      </c>
      <c r="AB48" s="36" t="str">
        <f>IF(AND('Mapa final'!$AA$18="Muy Baja",'Mapa final'!$AC$18="Mayor"),CONCATENATE("R3C",'Mapa final'!$Q$18),"")</f>
        <v/>
      </c>
      <c r="AC48" s="37" t="str">
        <f>IF(AND('Mapa final'!$AA$19="Muy Baja",'Mapa final'!$AC$19="Mayor"),CONCATENATE("R3C",'Mapa final'!$Q$19),"")</f>
        <v/>
      </c>
      <c r="AD48" s="37" t="str">
        <f>IF(AND('Mapa final'!$AA$20="Muy Baja",'Mapa final'!$AC$20="Mayor"),CONCATENATE("R3C",'Mapa final'!$Q$20),"")</f>
        <v/>
      </c>
      <c r="AE48" s="37" t="str">
        <f>IF(AND('Mapa final'!$AA$21="Muy Baja",'Mapa final'!$AC$21="Mayor"),CONCATENATE("R3C",'Mapa final'!$Q$21),"")</f>
        <v/>
      </c>
      <c r="AF48" s="37" t="str">
        <f>IF(AND('Mapa final'!$AA$22="Muy Baja",'Mapa final'!$AC$22="Mayor"),CONCATENATE("R3C",'Mapa final'!$Q$22),"")</f>
        <v/>
      </c>
      <c r="AG48" s="38" t="str">
        <f>IF(AND('Mapa final'!$AA$23="Muy Baja",'Mapa final'!$AC$23="Mayor"),CONCATENATE("R3C",'Mapa final'!$Q$23),"")</f>
        <v/>
      </c>
      <c r="AH48" s="39" t="str">
        <f>IF(AND('Mapa final'!$AA$18="Muy Baja",'Mapa final'!$AC$18="Catastrófico"),CONCATENATE("R3C",'Mapa final'!$Q$18),"")</f>
        <v/>
      </c>
      <c r="AI48" s="40" t="str">
        <f>IF(AND('Mapa final'!$AA$19="Muy Baja",'Mapa final'!$AC$19="Catastrófico"),CONCATENATE("R3C",'Mapa final'!$Q$19),"")</f>
        <v/>
      </c>
      <c r="AJ48" s="40" t="str">
        <f>IF(AND('Mapa final'!$AA$20="Muy Baja",'Mapa final'!$AC$20="Catastrófico"),CONCATENATE("R3C",'Mapa final'!$Q$20),"")</f>
        <v/>
      </c>
      <c r="AK48" s="40" t="str">
        <f>IF(AND('Mapa final'!$AA$21="Muy Baja",'Mapa final'!$AC$21="Catastrófico"),CONCATENATE("R3C",'Mapa final'!$Q$21),"")</f>
        <v/>
      </c>
      <c r="AL48" s="40" t="str">
        <f>IF(AND('Mapa final'!$AA$22="Muy Baja",'Mapa final'!$AC$22="Catastrófico"),CONCATENATE("R3C",'Mapa final'!$Q$22),"")</f>
        <v/>
      </c>
      <c r="AM48" s="41" t="str">
        <f>IF(AND('Mapa final'!$AA$23="Muy Baja",'Mapa final'!$AC$23="Catastrófico"),CONCATENATE("R3C",'Mapa final'!$Q$23),"")</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348"/>
      <c r="C49" s="348"/>
      <c r="D49" s="349"/>
      <c r="E49" s="389"/>
      <c r="F49" s="390"/>
      <c r="G49" s="390"/>
      <c r="H49" s="390"/>
      <c r="I49" s="391"/>
      <c r="J49" s="61" t="str">
        <f>IF(AND('Mapa final'!$AA$24="Muy Baja",'Mapa final'!$AC$24="Leve"),CONCATENATE("R4C",'Mapa final'!$Q$24),"")</f>
        <v/>
      </c>
      <c r="K49" s="62" t="str">
        <f>IF(AND('Mapa final'!$AA$25="Muy Baja",'Mapa final'!$AC$25="Leve"),CONCATENATE("R4C",'Mapa final'!$Q$25),"")</f>
        <v/>
      </c>
      <c r="L49" s="62" t="str">
        <f>IF(AND('Mapa final'!$AA$26="Muy Baja",'Mapa final'!$AC$26="Leve"),CONCATENATE("R4C",'Mapa final'!$Q$26),"")</f>
        <v/>
      </c>
      <c r="M49" s="62" t="str">
        <f>IF(AND('Mapa final'!$AA$27="Muy Baja",'Mapa final'!$AC$27="Leve"),CONCATENATE("R4C",'Mapa final'!$Q$27),"")</f>
        <v/>
      </c>
      <c r="N49" s="62" t="str">
        <f>IF(AND('Mapa final'!$AA$28="Muy Baja",'Mapa final'!$AC$28="Leve"),CONCATENATE("R4C",'Mapa final'!$Q$28),"")</f>
        <v/>
      </c>
      <c r="O49" s="63" t="str">
        <f>IF(AND('Mapa final'!$AA$29="Muy Baja",'Mapa final'!$AC$29="Leve"),CONCATENATE("R4C",'Mapa final'!$Q$29),"")</f>
        <v/>
      </c>
      <c r="P49" s="61" t="str">
        <f>IF(AND('Mapa final'!$AA$24="Muy Baja",'Mapa final'!$AC$24="Menor"),CONCATENATE("R4C",'Mapa final'!$Q$24),"")</f>
        <v/>
      </c>
      <c r="Q49" s="62" t="str">
        <f>IF(AND('Mapa final'!$AA$25="Muy Baja",'Mapa final'!$AC$25="Menor"),CONCATENATE("R4C",'Mapa final'!$Q$25),"")</f>
        <v/>
      </c>
      <c r="R49" s="62" t="str">
        <f>IF(AND('Mapa final'!$AA$26="Muy Baja",'Mapa final'!$AC$26="Menor"),CONCATENATE("R4C",'Mapa final'!$Q$26),"")</f>
        <v/>
      </c>
      <c r="S49" s="62" t="str">
        <f>IF(AND('Mapa final'!$AA$27="Muy Baja",'Mapa final'!$AC$27="Menor"),CONCATENATE("R4C",'Mapa final'!$Q$27),"")</f>
        <v/>
      </c>
      <c r="T49" s="62" t="str">
        <f>IF(AND('Mapa final'!$AA$28="Muy Baja",'Mapa final'!$AC$28="Menor"),CONCATENATE("R4C",'Mapa final'!$Q$28),"")</f>
        <v/>
      </c>
      <c r="U49" s="63" t="str">
        <f>IF(AND('Mapa final'!$AA$29="Muy Baja",'Mapa final'!$AC$29="Menor"),CONCATENATE("R4C",'Mapa final'!$Q$29),"")</f>
        <v/>
      </c>
      <c r="V49" s="52" t="str">
        <f>IF(AND('Mapa final'!$AA$24="Muy Baja",'Mapa final'!$AC$24="Moderado"),CONCATENATE("R4C",'Mapa final'!$Q$24),"")</f>
        <v/>
      </c>
      <c r="W49" s="53" t="str">
        <f>IF(AND('Mapa final'!$AA$25="Muy Baja",'Mapa final'!$AC$25="Moderado"),CONCATENATE("R4C",'Mapa final'!$Q$25),"")</f>
        <v/>
      </c>
      <c r="X49" s="53" t="str">
        <f>IF(AND('Mapa final'!$AA$26="Muy Baja",'Mapa final'!$AC$26="Moderado"),CONCATENATE("R4C",'Mapa final'!$Q$26),"")</f>
        <v/>
      </c>
      <c r="Y49" s="53" t="str">
        <f>IF(AND('Mapa final'!$AA$27="Muy Baja",'Mapa final'!$AC$27="Moderado"),CONCATENATE("R4C",'Mapa final'!$Q$27),"")</f>
        <v/>
      </c>
      <c r="Z49" s="53" t="str">
        <f>IF(AND('Mapa final'!$AA$28="Muy Baja",'Mapa final'!$AC$28="Moderado"),CONCATENATE("R4C",'Mapa final'!$Q$28),"")</f>
        <v/>
      </c>
      <c r="AA49" s="54" t="str">
        <f>IF(AND('Mapa final'!$AA$29="Muy Baja",'Mapa final'!$AC$29="Moderado"),CONCATENATE("R4C",'Mapa final'!$Q$29),"")</f>
        <v/>
      </c>
      <c r="AB49" s="36" t="str">
        <f>IF(AND('Mapa final'!$AA$24="Muy Baja",'Mapa final'!$AC$24="Mayor"),CONCATENATE("R4C",'Mapa final'!$Q$24),"")</f>
        <v/>
      </c>
      <c r="AC49" s="37" t="str">
        <f>IF(AND('Mapa final'!$AA$25="Muy Baja",'Mapa final'!$AC$25="Mayor"),CONCATENATE("R4C",'Mapa final'!$Q$25),"")</f>
        <v/>
      </c>
      <c r="AD49" s="37" t="str">
        <f>IF(AND('Mapa final'!$AA$26="Muy Baja",'Mapa final'!$AC$26="Mayor"),CONCATENATE("R4C",'Mapa final'!$Q$26),"")</f>
        <v/>
      </c>
      <c r="AE49" s="37" t="str">
        <f>IF(AND('Mapa final'!$AA$27="Muy Baja",'Mapa final'!$AC$27="Mayor"),CONCATENATE("R4C",'Mapa final'!$Q$27),"")</f>
        <v/>
      </c>
      <c r="AF49" s="37" t="str">
        <f>IF(AND('Mapa final'!$AA$28="Muy Baja",'Mapa final'!$AC$28="Mayor"),CONCATENATE("R4C",'Mapa final'!$Q$28),"")</f>
        <v/>
      </c>
      <c r="AG49" s="38" t="str">
        <f>IF(AND('Mapa final'!$AA$29="Muy Baja",'Mapa final'!$AC$29="Mayor"),CONCATENATE("R4C",'Mapa final'!$Q$29),"")</f>
        <v/>
      </c>
      <c r="AH49" s="39" t="str">
        <f>IF(AND('Mapa final'!$AA$24="Muy Baja",'Mapa final'!$AC$24="Catastrófico"),CONCATENATE("R4C",'Mapa final'!$Q$24),"")</f>
        <v/>
      </c>
      <c r="AI49" s="40" t="str">
        <f>IF(AND('Mapa final'!$AA$25="Muy Baja",'Mapa final'!$AC$25="Catastrófico"),CONCATENATE("R4C",'Mapa final'!$Q$25),"")</f>
        <v/>
      </c>
      <c r="AJ49" s="40" t="str">
        <f>IF(AND('Mapa final'!$AA$26="Muy Baja",'Mapa final'!$AC$26="Catastrófico"),CONCATENATE("R4C",'Mapa final'!$Q$26),"")</f>
        <v/>
      </c>
      <c r="AK49" s="40" t="str">
        <f>IF(AND('Mapa final'!$AA$27="Muy Baja",'Mapa final'!$AC$27="Catastrófico"),CONCATENATE("R4C",'Mapa final'!$Q$27),"")</f>
        <v/>
      </c>
      <c r="AL49" s="40" t="str">
        <f>IF(AND('Mapa final'!$AA$28="Muy Baja",'Mapa final'!$AC$28="Catastrófico"),CONCATENATE("R4C",'Mapa final'!$Q$28),"")</f>
        <v/>
      </c>
      <c r="AM49" s="41" t="str">
        <f>IF(AND('Mapa final'!$AA$29="Muy Baja",'Mapa final'!$AC$29="Catastrófico"),CONCATENATE("R4C",'Mapa final'!$Q$29),"")</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348"/>
      <c r="C50" s="348"/>
      <c r="D50" s="349"/>
      <c r="E50" s="389"/>
      <c r="F50" s="390"/>
      <c r="G50" s="390"/>
      <c r="H50" s="390"/>
      <c r="I50" s="391"/>
      <c r="J50" s="61" t="str">
        <f>IF(AND('Mapa final'!$AA$30="Muy Baja",'Mapa final'!$AC$30="Leve"),CONCATENATE("R5C",'Mapa final'!$Q$30),"")</f>
        <v/>
      </c>
      <c r="K50" s="62" t="str">
        <f>IF(AND('Mapa final'!$AA$31="Muy Baja",'Mapa final'!$AC$31="Leve"),CONCATENATE("R5C",'Mapa final'!$Q$31),"")</f>
        <v/>
      </c>
      <c r="L50" s="62" t="str">
        <f>IF(AND('Mapa final'!$AA$32="Muy Baja",'Mapa final'!$AC$32="Leve"),CONCATENATE("R5C",'Mapa final'!$Q$32),"")</f>
        <v/>
      </c>
      <c r="M50" s="62" t="str">
        <f>IF(AND('Mapa final'!$AA$33="Muy Baja",'Mapa final'!$AC$33="Leve"),CONCATENATE("R5C",'Mapa final'!$Q$33),"")</f>
        <v/>
      </c>
      <c r="N50" s="62" t="str">
        <f>IF(AND('Mapa final'!$AA$34="Muy Baja",'Mapa final'!$AC$34="Leve"),CONCATENATE("R5C",'Mapa final'!$Q$34),"")</f>
        <v/>
      </c>
      <c r="O50" s="63" t="str">
        <f>IF(AND('Mapa final'!$AA$35="Muy Baja",'Mapa final'!$AC$35="Leve"),CONCATENATE("R5C",'Mapa final'!$Q$35),"")</f>
        <v/>
      </c>
      <c r="P50" s="61" t="str">
        <f>IF(AND('Mapa final'!$AA$30="Muy Baja",'Mapa final'!$AC$30="Menor"),CONCATENATE("R5C",'Mapa final'!$Q$30),"")</f>
        <v/>
      </c>
      <c r="Q50" s="62" t="str">
        <f>IF(AND('Mapa final'!$AA$31="Muy Baja",'Mapa final'!$AC$31="Menor"),CONCATENATE("R5C",'Mapa final'!$Q$31),"")</f>
        <v/>
      </c>
      <c r="R50" s="62" t="str">
        <f>IF(AND('Mapa final'!$AA$32="Muy Baja",'Mapa final'!$AC$32="Menor"),CONCATENATE("R5C",'Mapa final'!$Q$32),"")</f>
        <v/>
      </c>
      <c r="S50" s="62" t="str">
        <f>IF(AND('Mapa final'!$AA$33="Muy Baja",'Mapa final'!$AC$33="Menor"),CONCATENATE("R5C",'Mapa final'!$Q$33),"")</f>
        <v/>
      </c>
      <c r="T50" s="62" t="str">
        <f>IF(AND('Mapa final'!$AA$34="Muy Baja",'Mapa final'!$AC$34="Menor"),CONCATENATE("R5C",'Mapa final'!$Q$34),"")</f>
        <v/>
      </c>
      <c r="U50" s="63" t="str">
        <f>IF(AND('Mapa final'!$AA$35="Muy Baja",'Mapa final'!$AC$35="Menor"),CONCATENATE("R5C",'Mapa final'!$Q$35),"")</f>
        <v/>
      </c>
      <c r="V50" s="52" t="str">
        <f>IF(AND('Mapa final'!$AA$30="Muy Baja",'Mapa final'!$AC$30="Moderado"),CONCATENATE("R5C",'Mapa final'!$Q$30),"")</f>
        <v/>
      </c>
      <c r="W50" s="53" t="str">
        <f>IF(AND('Mapa final'!$AA$31="Muy Baja",'Mapa final'!$AC$31="Moderado"),CONCATENATE("R5C",'Mapa final'!$Q$31),"")</f>
        <v/>
      </c>
      <c r="X50" s="53" t="str">
        <f>IF(AND('Mapa final'!$AA$32="Muy Baja",'Mapa final'!$AC$32="Moderado"),CONCATENATE("R5C",'Mapa final'!$Q$32),"")</f>
        <v/>
      </c>
      <c r="Y50" s="53" t="str">
        <f>IF(AND('Mapa final'!$AA$33="Muy Baja",'Mapa final'!$AC$33="Moderado"),CONCATENATE("R5C",'Mapa final'!$Q$33),"")</f>
        <v/>
      </c>
      <c r="Z50" s="53" t="str">
        <f>IF(AND('Mapa final'!$AA$34="Muy Baja",'Mapa final'!$AC$34="Moderado"),CONCATENATE("R5C",'Mapa final'!$Q$34),"")</f>
        <v/>
      </c>
      <c r="AA50" s="54" t="str">
        <f>IF(AND('Mapa final'!$AA$35="Muy Baja",'Mapa final'!$AC$35="Moderado"),CONCATENATE("R5C",'Mapa final'!$Q$35),"")</f>
        <v/>
      </c>
      <c r="AB50" s="36" t="str">
        <f>IF(AND('Mapa final'!$AA$30="Muy Baja",'Mapa final'!$AC$30="Mayor"),CONCATENATE("R5C",'Mapa final'!$Q$30),"")</f>
        <v/>
      </c>
      <c r="AC50" s="37" t="str">
        <f>IF(AND('Mapa final'!$AA$31="Muy Baja",'Mapa final'!$AC$31="Mayor"),CONCATENATE("R5C",'Mapa final'!$Q$31),"")</f>
        <v/>
      </c>
      <c r="AD50" s="42" t="str">
        <f>IF(AND('Mapa final'!$AA$32="Muy Baja",'Mapa final'!$AC$32="Mayor"),CONCATENATE("R5C",'Mapa final'!$Q$32),"")</f>
        <v/>
      </c>
      <c r="AE50" s="42" t="str">
        <f>IF(AND('Mapa final'!$AA$33="Muy Baja",'Mapa final'!$AC$33="Mayor"),CONCATENATE("R5C",'Mapa final'!$Q$33),"")</f>
        <v/>
      </c>
      <c r="AF50" s="42" t="str">
        <f>IF(AND('Mapa final'!$AA$34="Muy Baja",'Mapa final'!$AC$34="Mayor"),CONCATENATE("R5C",'Mapa final'!$Q$34),"")</f>
        <v/>
      </c>
      <c r="AG50" s="38" t="str">
        <f>IF(AND('Mapa final'!$AA$35="Muy Baja",'Mapa final'!$AC$35="Mayor"),CONCATENATE("R5C",'Mapa final'!$Q$35),"")</f>
        <v/>
      </c>
      <c r="AH50" s="39" t="str">
        <f>IF(AND('Mapa final'!$AA$30="Muy Baja",'Mapa final'!$AC$30="Catastrófico"),CONCATENATE("R5C",'Mapa final'!$Q$30),"")</f>
        <v/>
      </c>
      <c r="AI50" s="40" t="str">
        <f>IF(AND('Mapa final'!$AA$31="Muy Baja",'Mapa final'!$AC$31="Catastrófico"),CONCATENATE("R5C",'Mapa final'!$Q$31),"")</f>
        <v/>
      </c>
      <c r="AJ50" s="40" t="str">
        <f>IF(AND('Mapa final'!$AA$32="Muy Baja",'Mapa final'!$AC$32="Catastrófico"),CONCATENATE("R5C",'Mapa final'!$Q$32),"")</f>
        <v/>
      </c>
      <c r="AK50" s="40" t="str">
        <f>IF(AND('Mapa final'!$AA$33="Muy Baja",'Mapa final'!$AC$33="Catastrófico"),CONCATENATE("R5C",'Mapa final'!$Q$33),"")</f>
        <v/>
      </c>
      <c r="AL50" s="40" t="str">
        <f>IF(AND('Mapa final'!$AA$34="Muy Baja",'Mapa final'!$AC$34="Catastrófico"),CONCATENATE("R5C",'Mapa final'!$Q$34),"")</f>
        <v/>
      </c>
      <c r="AM50" s="41" t="str">
        <f>IF(AND('Mapa final'!$AA$35="Muy Baja",'Mapa final'!$AC$35="Catastrófico"),CONCATENATE("R5C",'Mapa final'!$Q$35),"")</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348"/>
      <c r="C51" s="348"/>
      <c r="D51" s="349"/>
      <c r="E51" s="389"/>
      <c r="F51" s="390"/>
      <c r="G51" s="390"/>
      <c r="H51" s="390"/>
      <c r="I51" s="391"/>
      <c r="J51" s="61" t="str">
        <f>IF(AND('Mapa final'!$AA$36="Muy Baja",'Mapa final'!$AC$36="Leve"),CONCATENATE("R6C",'Mapa final'!$Q$36),"")</f>
        <v/>
      </c>
      <c r="K51" s="62" t="str">
        <f>IF(AND('Mapa final'!$AA$37="Muy Baja",'Mapa final'!$AC$37="Leve"),CONCATENATE("R6C",'Mapa final'!$Q$37),"")</f>
        <v/>
      </c>
      <c r="L51" s="62" t="str">
        <f>IF(AND('Mapa final'!$AA$38="Muy Baja",'Mapa final'!$AC$38="Leve"),CONCATENATE("R6C",'Mapa final'!$Q$38),"")</f>
        <v/>
      </c>
      <c r="M51" s="62" t="str">
        <f>IF(AND('Mapa final'!$AA$39="Muy Baja",'Mapa final'!$AC$39="Leve"),CONCATENATE("R6C",'Mapa final'!$Q$39),"")</f>
        <v/>
      </c>
      <c r="N51" s="62" t="str">
        <f>IF(AND('Mapa final'!$AA$40="Muy Baja",'Mapa final'!$AC$40="Leve"),CONCATENATE("R6C",'Mapa final'!$Q$40),"")</f>
        <v/>
      </c>
      <c r="O51" s="63" t="str">
        <f>IF(AND('Mapa final'!$AA$41="Muy Baja",'Mapa final'!$AC$41="Leve"),CONCATENATE("R6C",'Mapa final'!$Q$41),"")</f>
        <v/>
      </c>
      <c r="P51" s="61" t="str">
        <f>IF(AND('Mapa final'!$AA$36="Muy Baja",'Mapa final'!$AC$36="Menor"),CONCATENATE("R6C",'Mapa final'!$Q$36),"")</f>
        <v/>
      </c>
      <c r="Q51" s="62" t="str">
        <f>IF(AND('Mapa final'!$AA$37="Muy Baja",'Mapa final'!$AC$37="Menor"),CONCATENATE("R6C",'Mapa final'!$Q$37),"")</f>
        <v/>
      </c>
      <c r="R51" s="62" t="str">
        <f>IF(AND('Mapa final'!$AA$38="Muy Baja",'Mapa final'!$AC$38="Menor"),CONCATENATE("R6C",'Mapa final'!$Q$38),"")</f>
        <v/>
      </c>
      <c r="S51" s="62" t="str">
        <f>IF(AND('Mapa final'!$AA$39="Muy Baja",'Mapa final'!$AC$39="Menor"),CONCATENATE("R6C",'Mapa final'!$Q$39),"")</f>
        <v/>
      </c>
      <c r="T51" s="62" t="str">
        <f>IF(AND('Mapa final'!$AA$40="Muy Baja",'Mapa final'!$AC$40="Menor"),CONCATENATE("R6C",'Mapa final'!$Q$40),"")</f>
        <v/>
      </c>
      <c r="U51" s="63" t="str">
        <f>IF(AND('Mapa final'!$AA$41="Muy Baja",'Mapa final'!$AC$41="Menor"),CONCATENATE("R6C",'Mapa final'!$Q$41),"")</f>
        <v/>
      </c>
      <c r="V51" s="52" t="str">
        <f>IF(AND('Mapa final'!$AA$36="Muy Baja",'Mapa final'!$AC$36="Moderado"),CONCATENATE("R6C",'Mapa final'!$Q$36),"")</f>
        <v/>
      </c>
      <c r="W51" s="53" t="str">
        <f>IF(AND('Mapa final'!$AA$37="Muy Baja",'Mapa final'!$AC$37="Moderado"),CONCATENATE("R6C",'Mapa final'!$Q$37),"")</f>
        <v/>
      </c>
      <c r="X51" s="53" t="str">
        <f>IF(AND('Mapa final'!$AA$38="Muy Baja",'Mapa final'!$AC$38="Moderado"),CONCATENATE("R6C",'Mapa final'!$Q$38),"")</f>
        <v/>
      </c>
      <c r="Y51" s="53" t="str">
        <f>IF(AND('Mapa final'!$AA$39="Muy Baja",'Mapa final'!$AC$39="Moderado"),CONCATENATE("R6C",'Mapa final'!$Q$39),"")</f>
        <v/>
      </c>
      <c r="Z51" s="53" t="str">
        <f>IF(AND('Mapa final'!$AA$40="Muy Baja",'Mapa final'!$AC$40="Moderado"),CONCATENATE("R6C",'Mapa final'!$Q$40),"")</f>
        <v/>
      </c>
      <c r="AA51" s="54" t="str">
        <f>IF(AND('Mapa final'!$AA$41="Muy Baja",'Mapa final'!$AC$41="Moderado"),CONCATENATE("R6C",'Mapa final'!$Q$41),"")</f>
        <v/>
      </c>
      <c r="AB51" s="36" t="str">
        <f>IF(AND('Mapa final'!$AA$36="Muy Baja",'Mapa final'!$AC$36="Mayor"),CONCATENATE("R6C",'Mapa final'!$Q$36),"")</f>
        <v/>
      </c>
      <c r="AC51" s="37" t="str">
        <f>IF(AND('Mapa final'!$AA$37="Muy Baja",'Mapa final'!$AC$37="Mayor"),CONCATENATE("R6C",'Mapa final'!$Q$37),"")</f>
        <v/>
      </c>
      <c r="AD51" s="42" t="str">
        <f>IF(AND('Mapa final'!$AA$38="Muy Baja",'Mapa final'!$AC$38="Mayor"),CONCATENATE("R6C",'Mapa final'!$Q$38),"")</f>
        <v/>
      </c>
      <c r="AE51" s="42" t="str">
        <f>IF(AND('Mapa final'!$AA$39="Muy Baja",'Mapa final'!$AC$39="Mayor"),CONCATENATE("R6C",'Mapa final'!$Q$39),"")</f>
        <v/>
      </c>
      <c r="AF51" s="42" t="str">
        <f>IF(AND('Mapa final'!$AA$40="Muy Baja",'Mapa final'!$AC$40="Mayor"),CONCATENATE("R6C",'Mapa final'!$Q$40),"")</f>
        <v/>
      </c>
      <c r="AG51" s="38" t="str">
        <f>IF(AND('Mapa final'!$AA$41="Muy Baja",'Mapa final'!$AC$41="Mayor"),CONCATENATE("R6C",'Mapa final'!$Q$41),"")</f>
        <v/>
      </c>
      <c r="AH51" s="39" t="str">
        <f>IF(AND('Mapa final'!$AA$36="Muy Baja",'Mapa final'!$AC$36="Catastrófico"),CONCATENATE("R6C",'Mapa final'!$Q$36),"")</f>
        <v/>
      </c>
      <c r="AI51" s="40" t="str">
        <f>IF(AND('Mapa final'!$AA$37="Muy Baja",'Mapa final'!$AC$37="Catastrófico"),CONCATENATE("R6C",'Mapa final'!$Q$37),"")</f>
        <v/>
      </c>
      <c r="AJ51" s="40" t="str">
        <f>IF(AND('Mapa final'!$AA$38="Muy Baja",'Mapa final'!$AC$38="Catastrófico"),CONCATENATE("R6C",'Mapa final'!$Q$38),"")</f>
        <v/>
      </c>
      <c r="AK51" s="40" t="str">
        <f>IF(AND('Mapa final'!$AA$39="Muy Baja",'Mapa final'!$AC$39="Catastrófico"),CONCATENATE("R6C",'Mapa final'!$Q$39),"")</f>
        <v/>
      </c>
      <c r="AL51" s="40" t="str">
        <f>IF(AND('Mapa final'!$AA$40="Muy Baja",'Mapa final'!$AC$40="Catastrófico"),CONCATENATE("R6C",'Mapa final'!$Q$40),"")</f>
        <v/>
      </c>
      <c r="AM51" s="41" t="str">
        <f>IF(AND('Mapa final'!$AA$41="Muy Baja",'Mapa final'!$AC$41="Catastrófico"),CONCATENATE("R6C",'Mapa final'!$Q$41),"")</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348"/>
      <c r="C52" s="348"/>
      <c r="D52" s="349"/>
      <c r="E52" s="389"/>
      <c r="F52" s="390"/>
      <c r="G52" s="390"/>
      <c r="H52" s="390"/>
      <c r="I52" s="391"/>
      <c r="J52" s="61" t="str">
        <f>IF(AND('Mapa final'!$AA$42="Muy Baja",'Mapa final'!$AC$42="Leve"),CONCATENATE("R7C",'Mapa final'!$Q$42),"")</f>
        <v/>
      </c>
      <c r="K52" s="62" t="str">
        <f>IF(AND('Mapa final'!$AA$43="Muy Baja",'Mapa final'!$AC$43="Leve"),CONCATENATE("R7C",'Mapa final'!$Q$43),"")</f>
        <v/>
      </c>
      <c r="L52" s="62" t="str">
        <f>IF(AND('Mapa final'!$AA$44="Muy Baja",'Mapa final'!$AC$44="Leve"),CONCATENATE("R7C",'Mapa final'!$Q$44),"")</f>
        <v/>
      </c>
      <c r="M52" s="62" t="str">
        <f>IF(AND('Mapa final'!$AA$45="Muy Baja",'Mapa final'!$AC$45="Leve"),CONCATENATE("R7C",'Mapa final'!$Q$45),"")</f>
        <v/>
      </c>
      <c r="N52" s="62" t="str">
        <f>IF(AND('Mapa final'!$AA$46="Muy Baja",'Mapa final'!$AC$46="Leve"),CONCATENATE("R7C",'Mapa final'!$Q$46),"")</f>
        <v/>
      </c>
      <c r="O52" s="63" t="str">
        <f>IF(AND('Mapa final'!$AA$47="Muy Baja",'Mapa final'!$AC$47="Leve"),CONCATENATE("R7C",'Mapa final'!$Q$47),"")</f>
        <v/>
      </c>
      <c r="P52" s="61" t="str">
        <f>IF(AND('Mapa final'!$AA$42="Muy Baja",'Mapa final'!$AC$42="Menor"),CONCATENATE("R7C",'Mapa final'!$Q$42),"")</f>
        <v/>
      </c>
      <c r="Q52" s="62" t="str">
        <f>IF(AND('Mapa final'!$AA$43="Muy Baja",'Mapa final'!$AC$43="Menor"),CONCATENATE("R7C",'Mapa final'!$Q$43),"")</f>
        <v/>
      </c>
      <c r="R52" s="62" t="str">
        <f>IF(AND('Mapa final'!$AA$44="Muy Baja",'Mapa final'!$AC$44="Menor"),CONCATENATE("R7C",'Mapa final'!$Q$44),"")</f>
        <v/>
      </c>
      <c r="S52" s="62" t="str">
        <f>IF(AND('Mapa final'!$AA$45="Muy Baja",'Mapa final'!$AC$45="Menor"),CONCATENATE("R7C",'Mapa final'!$Q$45),"")</f>
        <v/>
      </c>
      <c r="T52" s="62" t="str">
        <f>IF(AND('Mapa final'!$AA$46="Muy Baja",'Mapa final'!$AC$46="Menor"),CONCATENATE("R7C",'Mapa final'!$Q$46),"")</f>
        <v/>
      </c>
      <c r="U52" s="63" t="str">
        <f>IF(AND('Mapa final'!$AA$47="Muy Baja",'Mapa final'!$AC$47="Menor"),CONCATENATE("R7C",'Mapa final'!$Q$47),"")</f>
        <v/>
      </c>
      <c r="V52" s="52" t="str">
        <f>IF(AND('Mapa final'!$AA$42="Muy Baja",'Mapa final'!$AC$42="Moderado"),CONCATENATE("R7C",'Mapa final'!$Q$42),"")</f>
        <v/>
      </c>
      <c r="W52" s="53" t="str">
        <f>IF(AND('Mapa final'!$AA$43="Muy Baja",'Mapa final'!$AC$43="Moderado"),CONCATENATE("R7C",'Mapa final'!$Q$43),"")</f>
        <v/>
      </c>
      <c r="X52" s="53" t="str">
        <f>IF(AND('Mapa final'!$AA$44="Muy Baja",'Mapa final'!$AC$44="Moderado"),CONCATENATE("R7C",'Mapa final'!$Q$44),"")</f>
        <v/>
      </c>
      <c r="Y52" s="53" t="str">
        <f>IF(AND('Mapa final'!$AA$45="Muy Baja",'Mapa final'!$AC$45="Moderado"),CONCATENATE("R7C",'Mapa final'!$Q$45),"")</f>
        <v/>
      </c>
      <c r="Z52" s="53" t="str">
        <f>IF(AND('Mapa final'!$AA$46="Muy Baja",'Mapa final'!$AC$46="Moderado"),CONCATENATE("R7C",'Mapa final'!$Q$46),"")</f>
        <v/>
      </c>
      <c r="AA52" s="54" t="str">
        <f>IF(AND('Mapa final'!$AA$47="Muy Baja",'Mapa final'!$AC$47="Moderado"),CONCATENATE("R7C",'Mapa final'!$Q$47),"")</f>
        <v/>
      </c>
      <c r="AB52" s="36" t="str">
        <f>IF(AND('Mapa final'!$AA$42="Muy Baja",'Mapa final'!$AC$42="Mayor"),CONCATENATE("R7C",'Mapa final'!$Q$42),"")</f>
        <v/>
      </c>
      <c r="AC52" s="37" t="str">
        <f>IF(AND('Mapa final'!$AA$43="Muy Baja",'Mapa final'!$AC$43="Mayor"),CONCATENATE("R7C",'Mapa final'!$Q$43),"")</f>
        <v/>
      </c>
      <c r="AD52" s="42" t="str">
        <f>IF(AND('Mapa final'!$AA$44="Muy Baja",'Mapa final'!$AC$44="Mayor"),CONCATENATE("R7C",'Mapa final'!$Q$44),"")</f>
        <v/>
      </c>
      <c r="AE52" s="42" t="str">
        <f>IF(AND('Mapa final'!$AA$45="Muy Baja",'Mapa final'!$AC$45="Mayor"),CONCATENATE("R7C",'Mapa final'!$Q$45),"")</f>
        <v/>
      </c>
      <c r="AF52" s="42" t="str">
        <f>IF(AND('Mapa final'!$AA$46="Muy Baja",'Mapa final'!$AC$46="Mayor"),CONCATENATE("R7C",'Mapa final'!$Q$46),"")</f>
        <v/>
      </c>
      <c r="AG52" s="38" t="str">
        <f>IF(AND('Mapa final'!$AA$47="Muy Baja",'Mapa final'!$AC$47="Mayor"),CONCATENATE("R7C",'Mapa final'!$Q$47),"")</f>
        <v/>
      </c>
      <c r="AH52" s="39" t="str">
        <f>IF(AND('Mapa final'!$AA$42="Muy Baja",'Mapa final'!$AC$42="Catastrófico"),CONCATENATE("R7C",'Mapa final'!$Q$42),"")</f>
        <v/>
      </c>
      <c r="AI52" s="40" t="str">
        <f>IF(AND('Mapa final'!$AA$43="Muy Baja",'Mapa final'!$AC$43="Catastrófico"),CONCATENATE("R7C",'Mapa final'!$Q$43),"")</f>
        <v/>
      </c>
      <c r="AJ52" s="40" t="str">
        <f>IF(AND('Mapa final'!$AA$44="Muy Baja",'Mapa final'!$AC$44="Catastrófico"),CONCATENATE("R7C",'Mapa final'!$Q$44),"")</f>
        <v/>
      </c>
      <c r="AK52" s="40" t="str">
        <f>IF(AND('Mapa final'!$AA$45="Muy Baja",'Mapa final'!$AC$45="Catastrófico"),CONCATENATE("R7C",'Mapa final'!$Q$45),"")</f>
        <v/>
      </c>
      <c r="AL52" s="40" t="str">
        <f>IF(AND('Mapa final'!$AA$46="Muy Baja",'Mapa final'!$AC$46="Catastrófico"),CONCATENATE("R7C",'Mapa final'!$Q$46),"")</f>
        <v/>
      </c>
      <c r="AM52" s="41" t="str">
        <f>IF(AND('Mapa final'!$AA$47="Muy Baja",'Mapa final'!$AC$47="Catastrófico"),CONCATENATE("R7C",'Mapa final'!$Q$47),"")</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348"/>
      <c r="C53" s="348"/>
      <c r="D53" s="349"/>
      <c r="E53" s="389"/>
      <c r="F53" s="390"/>
      <c r="G53" s="390"/>
      <c r="H53" s="390"/>
      <c r="I53" s="391"/>
      <c r="J53" s="61" t="str">
        <f>IF(AND('Mapa final'!$AA$48="Muy Baja",'Mapa final'!$AC$48="Leve"),CONCATENATE("R8C",'Mapa final'!$Q$48),"")</f>
        <v/>
      </c>
      <c r="K53" s="62" t="str">
        <f>IF(AND('Mapa final'!$AA$49="Muy Baja",'Mapa final'!$AC$49="Leve"),CONCATENATE("R8C",'Mapa final'!$Q$49),"")</f>
        <v/>
      </c>
      <c r="L53" s="62" t="str">
        <f>IF(AND('Mapa final'!$AA$50="Muy Baja",'Mapa final'!$AC$50="Leve"),CONCATENATE("R8C",'Mapa final'!$Q$50),"")</f>
        <v/>
      </c>
      <c r="M53" s="62" t="str">
        <f>IF(AND('Mapa final'!$AA$51="Muy Baja",'Mapa final'!$AC$51="Leve"),CONCATENATE("R8C",'Mapa final'!$Q$51),"")</f>
        <v/>
      </c>
      <c r="N53" s="62" t="str">
        <f>IF(AND('Mapa final'!$AA$52="Muy Baja",'Mapa final'!$AC$52="Leve"),CONCATENATE("R8C",'Mapa final'!$Q$52),"")</f>
        <v/>
      </c>
      <c r="O53" s="63" t="str">
        <f>IF(AND('Mapa final'!$AA$53="Muy Baja",'Mapa final'!$AC$53="Leve"),CONCATENATE("R8C",'Mapa final'!$Q$53),"")</f>
        <v/>
      </c>
      <c r="P53" s="61" t="str">
        <f>IF(AND('Mapa final'!$AA$48="Muy Baja",'Mapa final'!$AC$48="Menor"),CONCATENATE("R8C",'Mapa final'!$Q$48),"")</f>
        <v/>
      </c>
      <c r="Q53" s="62" t="str">
        <f>IF(AND('Mapa final'!$AA$49="Muy Baja",'Mapa final'!$AC$49="Menor"),CONCATENATE("R8C",'Mapa final'!$Q$49),"")</f>
        <v/>
      </c>
      <c r="R53" s="62" t="str">
        <f>IF(AND('Mapa final'!$AA$50="Muy Baja",'Mapa final'!$AC$50="Menor"),CONCATENATE("R8C",'Mapa final'!$Q$50),"")</f>
        <v/>
      </c>
      <c r="S53" s="62" t="str">
        <f>IF(AND('Mapa final'!$AA$51="Muy Baja",'Mapa final'!$AC$51="Menor"),CONCATENATE("R8C",'Mapa final'!$Q$51),"")</f>
        <v/>
      </c>
      <c r="T53" s="62" t="str">
        <f>IF(AND('Mapa final'!$AA$52="Muy Baja",'Mapa final'!$AC$52="Menor"),CONCATENATE("R8C",'Mapa final'!$Q$52),"")</f>
        <v/>
      </c>
      <c r="U53" s="63" t="str">
        <f>IF(AND('Mapa final'!$AA$53="Muy Baja",'Mapa final'!$AC$53="Menor"),CONCATENATE("R8C",'Mapa final'!$Q$53),"")</f>
        <v/>
      </c>
      <c r="V53" s="52" t="str">
        <f>IF(AND('Mapa final'!$AA$48="Muy Baja",'Mapa final'!$AC$48="Moderado"),CONCATENATE("R8C",'Mapa final'!$Q$48),"")</f>
        <v/>
      </c>
      <c r="W53" s="53" t="str">
        <f>IF(AND('Mapa final'!$AA$49="Muy Baja",'Mapa final'!$AC$49="Moderado"),CONCATENATE("R8C",'Mapa final'!$Q$49),"")</f>
        <v/>
      </c>
      <c r="X53" s="53" t="str">
        <f>IF(AND('Mapa final'!$AA$50="Muy Baja",'Mapa final'!$AC$50="Moderado"),CONCATENATE("R8C",'Mapa final'!$Q$50),"")</f>
        <v/>
      </c>
      <c r="Y53" s="53" t="str">
        <f>IF(AND('Mapa final'!$AA$51="Muy Baja",'Mapa final'!$AC$51="Moderado"),CONCATENATE("R8C",'Mapa final'!$Q$51),"")</f>
        <v/>
      </c>
      <c r="Z53" s="53" t="str">
        <f>IF(AND('Mapa final'!$AA$52="Muy Baja",'Mapa final'!$AC$52="Moderado"),CONCATENATE("R8C",'Mapa final'!$Q$52),"")</f>
        <v/>
      </c>
      <c r="AA53" s="54" t="str">
        <f>IF(AND('Mapa final'!$AA$53="Muy Baja",'Mapa final'!$AC$53="Moderado"),CONCATENATE("R8C",'Mapa final'!$Q$53),"")</f>
        <v/>
      </c>
      <c r="AB53" s="36" t="str">
        <f>IF(AND('Mapa final'!$AA$48="Muy Baja",'Mapa final'!$AC$48="Mayor"),CONCATENATE("R8C",'Mapa final'!$Q$48),"")</f>
        <v/>
      </c>
      <c r="AC53" s="37" t="str">
        <f>IF(AND('Mapa final'!$AA$49="Muy Baja",'Mapa final'!$AC$49="Mayor"),CONCATENATE("R8C",'Mapa final'!$Q$49),"")</f>
        <v/>
      </c>
      <c r="AD53" s="42" t="str">
        <f>IF(AND('Mapa final'!$AA$50="Muy Baja",'Mapa final'!$AC$50="Mayor"),CONCATENATE("R8C",'Mapa final'!$Q$50),"")</f>
        <v/>
      </c>
      <c r="AE53" s="42" t="str">
        <f>IF(AND('Mapa final'!$AA$51="Muy Baja",'Mapa final'!$AC$51="Mayor"),CONCATENATE("R8C",'Mapa final'!$Q$51),"")</f>
        <v/>
      </c>
      <c r="AF53" s="42" t="str">
        <f>IF(AND('Mapa final'!$AA$52="Muy Baja",'Mapa final'!$AC$52="Mayor"),CONCATENATE("R8C",'Mapa final'!$Q$52),"")</f>
        <v/>
      </c>
      <c r="AG53" s="38" t="str">
        <f>IF(AND('Mapa final'!$AA$53="Muy Baja",'Mapa final'!$AC$53="Mayor"),CONCATENATE("R8C",'Mapa final'!$Q$53),"")</f>
        <v/>
      </c>
      <c r="AH53" s="39" t="str">
        <f>IF(AND('Mapa final'!$AA$48="Muy Baja",'Mapa final'!$AC$48="Catastrófico"),CONCATENATE("R8C",'Mapa final'!$Q$48),"")</f>
        <v/>
      </c>
      <c r="AI53" s="40" t="str">
        <f>IF(AND('Mapa final'!$AA$49="Muy Baja",'Mapa final'!$AC$49="Catastrófico"),CONCATENATE("R8C",'Mapa final'!$Q$49),"")</f>
        <v/>
      </c>
      <c r="AJ53" s="40" t="str">
        <f>IF(AND('Mapa final'!$AA$50="Muy Baja",'Mapa final'!$AC$50="Catastrófico"),CONCATENATE("R8C",'Mapa final'!$Q$50),"")</f>
        <v/>
      </c>
      <c r="AK53" s="40" t="str">
        <f>IF(AND('Mapa final'!$AA$51="Muy Baja",'Mapa final'!$AC$51="Catastrófico"),CONCATENATE("R8C",'Mapa final'!$Q$51),"")</f>
        <v/>
      </c>
      <c r="AL53" s="40" t="str">
        <f>IF(AND('Mapa final'!$AA$52="Muy Baja",'Mapa final'!$AC$52="Catastrófico"),CONCATENATE("R8C",'Mapa final'!$Q$52),"")</f>
        <v/>
      </c>
      <c r="AM53" s="41" t="str">
        <f>IF(AND('Mapa final'!$AA$53="Muy Baja",'Mapa final'!$AC$53="Catastrófico"),CONCATENATE("R8C",'Mapa final'!$Q$53),"")</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348"/>
      <c r="C54" s="348"/>
      <c r="D54" s="349"/>
      <c r="E54" s="389"/>
      <c r="F54" s="390"/>
      <c r="G54" s="390"/>
      <c r="H54" s="390"/>
      <c r="I54" s="391"/>
      <c r="J54" s="61" t="str">
        <f>IF(AND('Mapa final'!$AA$54="Muy Baja",'Mapa final'!$AC$54="Leve"),CONCATENATE("R9C",'Mapa final'!$Q$54),"")</f>
        <v/>
      </c>
      <c r="K54" s="62" t="str">
        <f>IF(AND('Mapa final'!$AA$55="Muy Baja",'Mapa final'!$AC$55="Leve"),CONCATENATE("R9C",'Mapa final'!$Q$55),"")</f>
        <v/>
      </c>
      <c r="L54" s="62" t="str">
        <f>IF(AND('Mapa final'!$AA$56="Muy Baja",'Mapa final'!$AC$56="Leve"),CONCATENATE("R9C",'Mapa final'!$Q$56),"")</f>
        <v/>
      </c>
      <c r="M54" s="62" t="str">
        <f>IF(AND('Mapa final'!$AA$57="Muy Baja",'Mapa final'!$AC$57="Leve"),CONCATENATE("R9C",'Mapa final'!$Q$57),"")</f>
        <v/>
      </c>
      <c r="N54" s="62" t="str">
        <f>IF(AND('Mapa final'!$AA$58="Muy Baja",'Mapa final'!$AC$58="Leve"),CONCATENATE("R9C",'Mapa final'!$Q$58),"")</f>
        <v/>
      </c>
      <c r="O54" s="63" t="str">
        <f>IF(AND('Mapa final'!$AA$59="Muy Baja",'Mapa final'!$AC$59="Leve"),CONCATENATE("R9C",'Mapa final'!$Q$59),"")</f>
        <v/>
      </c>
      <c r="P54" s="61" t="str">
        <f>IF(AND('Mapa final'!$AA$54="Muy Baja",'Mapa final'!$AC$54="Menor"),CONCATENATE("R9C",'Mapa final'!$Q$54),"")</f>
        <v/>
      </c>
      <c r="Q54" s="62" t="str">
        <f>IF(AND('Mapa final'!$AA$55="Muy Baja",'Mapa final'!$AC$55="Menor"),CONCATENATE("R9C",'Mapa final'!$Q$55),"")</f>
        <v/>
      </c>
      <c r="R54" s="62" t="str">
        <f>IF(AND('Mapa final'!$AA$56="Muy Baja",'Mapa final'!$AC$56="Menor"),CONCATENATE("R9C",'Mapa final'!$Q$56),"")</f>
        <v/>
      </c>
      <c r="S54" s="62" t="str">
        <f>IF(AND('Mapa final'!$AA$57="Muy Baja",'Mapa final'!$AC$57="Menor"),CONCATENATE("R9C",'Mapa final'!$Q$57),"")</f>
        <v/>
      </c>
      <c r="T54" s="62" t="str">
        <f>IF(AND('Mapa final'!$AA$58="Muy Baja",'Mapa final'!$AC$58="Menor"),CONCATENATE("R9C",'Mapa final'!$Q$58),"")</f>
        <v/>
      </c>
      <c r="U54" s="63" t="str">
        <f>IF(AND('Mapa final'!$AA$59="Muy Baja",'Mapa final'!$AC$59="Menor"),CONCATENATE("R9C",'Mapa final'!$Q$59),"")</f>
        <v/>
      </c>
      <c r="V54" s="52" t="str">
        <f>IF(AND('Mapa final'!$AA$54="Muy Baja",'Mapa final'!$AC$54="Moderado"),CONCATENATE("R9C",'Mapa final'!$Q$54),"")</f>
        <v/>
      </c>
      <c r="W54" s="53" t="str">
        <f>IF(AND('Mapa final'!$AA$55="Muy Baja",'Mapa final'!$AC$55="Moderado"),CONCATENATE("R9C",'Mapa final'!$Q$55),"")</f>
        <v/>
      </c>
      <c r="X54" s="53" t="str">
        <f>IF(AND('Mapa final'!$AA$56="Muy Baja",'Mapa final'!$AC$56="Moderado"),CONCATENATE("R9C",'Mapa final'!$Q$56),"")</f>
        <v/>
      </c>
      <c r="Y54" s="53" t="str">
        <f>IF(AND('Mapa final'!$AA$57="Muy Baja",'Mapa final'!$AC$57="Moderado"),CONCATENATE("R9C",'Mapa final'!$Q$57),"")</f>
        <v/>
      </c>
      <c r="Z54" s="53" t="str">
        <f>IF(AND('Mapa final'!$AA$58="Muy Baja",'Mapa final'!$AC$58="Moderado"),CONCATENATE("R9C",'Mapa final'!$Q$58),"")</f>
        <v/>
      </c>
      <c r="AA54" s="54" t="str">
        <f>IF(AND('Mapa final'!$AA$59="Muy Baja",'Mapa final'!$AC$59="Moderado"),CONCATENATE("R9C",'Mapa final'!$Q$59),"")</f>
        <v/>
      </c>
      <c r="AB54" s="36" t="str">
        <f>IF(AND('Mapa final'!$AA$54="Muy Baja",'Mapa final'!$AC$54="Mayor"),CONCATENATE("R9C",'Mapa final'!$Q$54),"")</f>
        <v/>
      </c>
      <c r="AC54" s="37" t="str">
        <f>IF(AND('Mapa final'!$AA$55="Muy Baja",'Mapa final'!$AC$55="Mayor"),CONCATENATE("R9C",'Mapa final'!$Q$55),"")</f>
        <v/>
      </c>
      <c r="AD54" s="42" t="str">
        <f>IF(AND('Mapa final'!$AA$56="Muy Baja",'Mapa final'!$AC$56="Mayor"),CONCATENATE("R9C",'Mapa final'!$Q$56),"")</f>
        <v/>
      </c>
      <c r="AE54" s="42" t="str">
        <f>IF(AND('Mapa final'!$AA$57="Muy Baja",'Mapa final'!$AC$57="Mayor"),CONCATENATE("R9C",'Mapa final'!$Q$57),"")</f>
        <v/>
      </c>
      <c r="AF54" s="42" t="str">
        <f>IF(AND('Mapa final'!$AA$58="Muy Baja",'Mapa final'!$AC$58="Mayor"),CONCATENATE("R9C",'Mapa final'!$Q$58),"")</f>
        <v/>
      </c>
      <c r="AG54" s="38" t="str">
        <f>IF(AND('Mapa final'!$AA$59="Muy Baja",'Mapa final'!$AC$59="Mayor"),CONCATENATE("R9C",'Mapa final'!$Q$59),"")</f>
        <v/>
      </c>
      <c r="AH54" s="39" t="str">
        <f>IF(AND('Mapa final'!$AA$54="Muy Baja",'Mapa final'!$AC$54="Catastrófico"),CONCATENATE("R9C",'Mapa final'!$Q$54),"")</f>
        <v/>
      </c>
      <c r="AI54" s="40" t="str">
        <f>IF(AND('Mapa final'!$AA$55="Muy Baja",'Mapa final'!$AC$55="Catastrófico"),CONCATENATE("R9C",'Mapa final'!$Q$55),"")</f>
        <v/>
      </c>
      <c r="AJ54" s="40" t="str">
        <f>IF(AND('Mapa final'!$AA$56="Muy Baja",'Mapa final'!$AC$56="Catastrófico"),CONCATENATE("R9C",'Mapa final'!$Q$56),"")</f>
        <v/>
      </c>
      <c r="AK54" s="40" t="str">
        <f>IF(AND('Mapa final'!$AA$57="Muy Baja",'Mapa final'!$AC$57="Catastrófico"),CONCATENATE("R9C",'Mapa final'!$Q$57),"")</f>
        <v/>
      </c>
      <c r="AL54" s="40" t="str">
        <f>IF(AND('Mapa final'!$AA$58="Muy Baja",'Mapa final'!$AC$58="Catastrófico"),CONCATENATE("R9C",'Mapa final'!$Q$58),"")</f>
        <v/>
      </c>
      <c r="AM54" s="41" t="str">
        <f>IF(AND('Mapa final'!$AA$59="Muy Baja",'Mapa final'!$AC$59="Catastrófico"),CONCATENATE("R9C",'Mapa final'!$Q$59),"")</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348"/>
      <c r="C55" s="348"/>
      <c r="D55" s="349"/>
      <c r="E55" s="392"/>
      <c r="F55" s="393"/>
      <c r="G55" s="393"/>
      <c r="H55" s="393"/>
      <c r="I55" s="394"/>
      <c r="J55" s="64" t="str">
        <f>IF(AND('Mapa final'!$AA$60="Muy Baja",'Mapa final'!$AC$60="Leve"),CONCATENATE("R10C",'Mapa final'!$Q$60),"")</f>
        <v/>
      </c>
      <c r="K55" s="65" t="str">
        <f>IF(AND('Mapa final'!$AA$61="Muy Baja",'Mapa final'!$AC$61="Leve"),CONCATENATE("R10C",'Mapa final'!$Q$61),"")</f>
        <v/>
      </c>
      <c r="L55" s="65" t="str">
        <f>IF(AND('Mapa final'!$AA$62="Muy Baja",'Mapa final'!$AC$62="Leve"),CONCATENATE("R10C",'Mapa final'!$Q$62),"")</f>
        <v/>
      </c>
      <c r="M55" s="65" t="str">
        <f>IF(AND('Mapa final'!$AA$63="Muy Baja",'Mapa final'!$AC$63="Leve"),CONCATENATE("R10C",'Mapa final'!$Q$63),"")</f>
        <v/>
      </c>
      <c r="N55" s="65" t="str">
        <f>IF(AND('Mapa final'!$AA$64="Muy Baja",'Mapa final'!$AC$64="Leve"),CONCATENATE("R10C",'Mapa final'!$Q$64),"")</f>
        <v/>
      </c>
      <c r="O55" s="66" t="str">
        <f>IF(AND('Mapa final'!$AA$65="Muy Baja",'Mapa final'!$AC$65="Leve"),CONCATENATE("R10C",'Mapa final'!$Q$65),"")</f>
        <v/>
      </c>
      <c r="P55" s="64" t="str">
        <f>IF(AND('Mapa final'!$AA$60="Muy Baja",'Mapa final'!$AC$60="Menor"),CONCATENATE("R10C",'Mapa final'!$Q$60),"")</f>
        <v/>
      </c>
      <c r="Q55" s="65" t="str">
        <f>IF(AND('Mapa final'!$AA$61="Muy Baja",'Mapa final'!$AC$61="Menor"),CONCATENATE("R10C",'Mapa final'!$Q$61),"")</f>
        <v/>
      </c>
      <c r="R55" s="65" t="str">
        <f>IF(AND('Mapa final'!$AA$62="Muy Baja",'Mapa final'!$AC$62="Menor"),CONCATENATE("R10C",'Mapa final'!$Q$62),"")</f>
        <v/>
      </c>
      <c r="S55" s="65" t="str">
        <f>IF(AND('Mapa final'!$AA$63="Muy Baja",'Mapa final'!$AC$63="Menor"),CONCATENATE("R10C",'Mapa final'!$Q$63),"")</f>
        <v/>
      </c>
      <c r="T55" s="65" t="str">
        <f>IF(AND('Mapa final'!$AA$64="Muy Baja",'Mapa final'!$AC$64="Menor"),CONCATENATE("R10C",'Mapa final'!$Q$64),"")</f>
        <v/>
      </c>
      <c r="U55" s="66" t="str">
        <f>IF(AND('Mapa final'!$AA$65="Muy Baja",'Mapa final'!$AC$65="Menor"),CONCATENATE("R10C",'Mapa final'!$Q$65),"")</f>
        <v/>
      </c>
      <c r="V55" s="55" t="str">
        <f>IF(AND('Mapa final'!$AA$60="Muy Baja",'Mapa final'!$AC$60="Moderado"),CONCATENATE("R10C",'Mapa final'!$Q$60),"")</f>
        <v/>
      </c>
      <c r="W55" s="56" t="str">
        <f>IF(AND('Mapa final'!$AA$61="Muy Baja",'Mapa final'!$AC$61="Moderado"),CONCATENATE("R10C",'Mapa final'!$Q$61),"")</f>
        <v/>
      </c>
      <c r="X55" s="56" t="str">
        <f>IF(AND('Mapa final'!$AA$62="Muy Baja",'Mapa final'!$AC$62="Moderado"),CONCATENATE("R10C",'Mapa final'!$Q$62),"")</f>
        <v/>
      </c>
      <c r="Y55" s="56" t="str">
        <f>IF(AND('Mapa final'!$AA$63="Muy Baja",'Mapa final'!$AC$63="Moderado"),CONCATENATE("R10C",'Mapa final'!$Q$63),"")</f>
        <v/>
      </c>
      <c r="Z55" s="56" t="str">
        <f>IF(AND('Mapa final'!$AA$64="Muy Baja",'Mapa final'!$AC$64="Moderado"),CONCATENATE("R10C",'Mapa final'!$Q$64),"")</f>
        <v/>
      </c>
      <c r="AA55" s="57" t="str">
        <f>IF(AND('Mapa final'!$AA$65="Muy Baja",'Mapa final'!$AC$65="Moderado"),CONCATENATE("R10C",'Mapa final'!$Q$65),"")</f>
        <v/>
      </c>
      <c r="AB55" s="43" t="str">
        <f>IF(AND('Mapa final'!$AA$60="Muy Baja",'Mapa final'!$AC$60="Mayor"),CONCATENATE("R10C",'Mapa final'!$Q$60),"")</f>
        <v/>
      </c>
      <c r="AC55" s="44" t="str">
        <f>IF(AND('Mapa final'!$AA$61="Muy Baja",'Mapa final'!$AC$61="Mayor"),CONCATENATE("R10C",'Mapa final'!$Q$61),"")</f>
        <v/>
      </c>
      <c r="AD55" s="44" t="str">
        <f>IF(AND('Mapa final'!$AA$62="Muy Baja",'Mapa final'!$AC$62="Mayor"),CONCATENATE("R10C",'Mapa final'!$Q$62),"")</f>
        <v/>
      </c>
      <c r="AE55" s="44" t="str">
        <f>IF(AND('Mapa final'!$AA$63="Muy Baja",'Mapa final'!$AC$63="Mayor"),CONCATENATE("R10C",'Mapa final'!$Q$63),"")</f>
        <v/>
      </c>
      <c r="AF55" s="44" t="str">
        <f>IF(AND('Mapa final'!$AA$64="Muy Baja",'Mapa final'!$AC$64="Mayor"),CONCATENATE("R10C",'Mapa final'!$Q$64),"")</f>
        <v/>
      </c>
      <c r="AG55" s="45" t="str">
        <f>IF(AND('Mapa final'!$AA$65="Muy Baja",'Mapa final'!$AC$65="Mayor"),CONCATENATE("R10C",'Mapa final'!$Q$65),"")</f>
        <v/>
      </c>
      <c r="AH55" s="46" t="str">
        <f>IF(AND('Mapa final'!$AA$60="Muy Baja",'Mapa final'!$AC$60="Catastrófico"),CONCATENATE("R10C",'Mapa final'!$Q$60),"")</f>
        <v/>
      </c>
      <c r="AI55" s="47" t="str">
        <f>IF(AND('Mapa final'!$AA$61="Muy Baja",'Mapa final'!$AC$61="Catastrófico"),CONCATENATE("R10C",'Mapa final'!$Q$61),"")</f>
        <v/>
      </c>
      <c r="AJ55" s="47" t="str">
        <f>IF(AND('Mapa final'!$AA$62="Muy Baja",'Mapa final'!$AC$62="Catastrófico"),CONCATENATE("R10C",'Mapa final'!$Q$62),"")</f>
        <v/>
      </c>
      <c r="AK55" s="47" t="str">
        <f>IF(AND('Mapa final'!$AA$63="Muy Baja",'Mapa final'!$AC$63="Catastrófico"),CONCATENATE("R10C",'Mapa final'!$Q$63),"")</f>
        <v/>
      </c>
      <c r="AL55" s="47" t="str">
        <f>IF(AND('Mapa final'!$AA$64="Muy Baja",'Mapa final'!$AC$64="Catastrófico"),CONCATENATE("R10C",'Mapa final'!$Q$64),"")</f>
        <v/>
      </c>
      <c r="AM55" s="48" t="str">
        <f>IF(AND('Mapa final'!$AA$65="Muy Baja",'Mapa final'!$AC$65="Catastrófico"),CONCATENATE("R10C",'Mapa final'!$Q$65),"")</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86" t="s">
        <v>107</v>
      </c>
      <c r="K56" s="387"/>
      <c r="L56" s="387"/>
      <c r="M56" s="387"/>
      <c r="N56" s="387"/>
      <c r="O56" s="388"/>
      <c r="P56" s="386" t="s">
        <v>106</v>
      </c>
      <c r="Q56" s="387"/>
      <c r="R56" s="387"/>
      <c r="S56" s="387"/>
      <c r="T56" s="387"/>
      <c r="U56" s="388"/>
      <c r="V56" s="386" t="s">
        <v>105</v>
      </c>
      <c r="W56" s="387"/>
      <c r="X56" s="387"/>
      <c r="Y56" s="387"/>
      <c r="Z56" s="387"/>
      <c r="AA56" s="388"/>
      <c r="AB56" s="386" t="s">
        <v>104</v>
      </c>
      <c r="AC56" s="395"/>
      <c r="AD56" s="387"/>
      <c r="AE56" s="387"/>
      <c r="AF56" s="387"/>
      <c r="AG56" s="388"/>
      <c r="AH56" s="386" t="s">
        <v>103</v>
      </c>
      <c r="AI56" s="387"/>
      <c r="AJ56" s="387"/>
      <c r="AK56" s="387"/>
      <c r="AL56" s="387"/>
      <c r="AM56" s="38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89"/>
      <c r="K57" s="390"/>
      <c r="L57" s="390"/>
      <c r="M57" s="390"/>
      <c r="N57" s="390"/>
      <c r="O57" s="391"/>
      <c r="P57" s="389"/>
      <c r="Q57" s="390"/>
      <c r="R57" s="390"/>
      <c r="S57" s="390"/>
      <c r="T57" s="390"/>
      <c r="U57" s="391"/>
      <c r="V57" s="389"/>
      <c r="W57" s="390"/>
      <c r="X57" s="390"/>
      <c r="Y57" s="390"/>
      <c r="Z57" s="390"/>
      <c r="AA57" s="391"/>
      <c r="AB57" s="389"/>
      <c r="AC57" s="390"/>
      <c r="AD57" s="390"/>
      <c r="AE57" s="390"/>
      <c r="AF57" s="390"/>
      <c r="AG57" s="391"/>
      <c r="AH57" s="389"/>
      <c r="AI57" s="390"/>
      <c r="AJ57" s="390"/>
      <c r="AK57" s="390"/>
      <c r="AL57" s="390"/>
      <c r="AM57" s="391"/>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89"/>
      <c r="K58" s="390"/>
      <c r="L58" s="390"/>
      <c r="M58" s="390"/>
      <c r="N58" s="390"/>
      <c r="O58" s="391"/>
      <c r="P58" s="389"/>
      <c r="Q58" s="390"/>
      <c r="R58" s="390"/>
      <c r="S58" s="390"/>
      <c r="T58" s="390"/>
      <c r="U58" s="391"/>
      <c r="V58" s="389"/>
      <c r="W58" s="390"/>
      <c r="X58" s="390"/>
      <c r="Y58" s="390"/>
      <c r="Z58" s="390"/>
      <c r="AA58" s="391"/>
      <c r="AB58" s="389"/>
      <c r="AC58" s="390"/>
      <c r="AD58" s="390"/>
      <c r="AE58" s="390"/>
      <c r="AF58" s="390"/>
      <c r="AG58" s="391"/>
      <c r="AH58" s="389"/>
      <c r="AI58" s="390"/>
      <c r="AJ58" s="390"/>
      <c r="AK58" s="390"/>
      <c r="AL58" s="390"/>
      <c r="AM58" s="391"/>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89"/>
      <c r="K59" s="390"/>
      <c r="L59" s="390"/>
      <c r="M59" s="390"/>
      <c r="N59" s="390"/>
      <c r="O59" s="391"/>
      <c r="P59" s="389"/>
      <c r="Q59" s="390"/>
      <c r="R59" s="390"/>
      <c r="S59" s="390"/>
      <c r="T59" s="390"/>
      <c r="U59" s="391"/>
      <c r="V59" s="389"/>
      <c r="W59" s="390"/>
      <c r="X59" s="390"/>
      <c r="Y59" s="390"/>
      <c r="Z59" s="390"/>
      <c r="AA59" s="391"/>
      <c r="AB59" s="389"/>
      <c r="AC59" s="390"/>
      <c r="AD59" s="390"/>
      <c r="AE59" s="390"/>
      <c r="AF59" s="390"/>
      <c r="AG59" s="391"/>
      <c r="AH59" s="389"/>
      <c r="AI59" s="390"/>
      <c r="AJ59" s="390"/>
      <c r="AK59" s="390"/>
      <c r="AL59" s="390"/>
      <c r="AM59" s="391"/>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89"/>
      <c r="K60" s="390"/>
      <c r="L60" s="390"/>
      <c r="M60" s="390"/>
      <c r="N60" s="390"/>
      <c r="O60" s="391"/>
      <c r="P60" s="389"/>
      <c r="Q60" s="390"/>
      <c r="R60" s="390"/>
      <c r="S60" s="390"/>
      <c r="T60" s="390"/>
      <c r="U60" s="391"/>
      <c r="V60" s="389"/>
      <c r="W60" s="390"/>
      <c r="X60" s="390"/>
      <c r="Y60" s="390"/>
      <c r="Z60" s="390"/>
      <c r="AA60" s="391"/>
      <c r="AB60" s="389"/>
      <c r="AC60" s="390"/>
      <c r="AD60" s="390"/>
      <c r="AE60" s="390"/>
      <c r="AF60" s="390"/>
      <c r="AG60" s="391"/>
      <c r="AH60" s="389"/>
      <c r="AI60" s="390"/>
      <c r="AJ60" s="390"/>
      <c r="AK60" s="390"/>
      <c r="AL60" s="390"/>
      <c r="AM60" s="391"/>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92"/>
      <c r="K61" s="393"/>
      <c r="L61" s="393"/>
      <c r="M61" s="393"/>
      <c r="N61" s="393"/>
      <c r="O61" s="394"/>
      <c r="P61" s="392"/>
      <c r="Q61" s="393"/>
      <c r="R61" s="393"/>
      <c r="S61" s="393"/>
      <c r="T61" s="393"/>
      <c r="U61" s="394"/>
      <c r="V61" s="392"/>
      <c r="W61" s="393"/>
      <c r="X61" s="393"/>
      <c r="Y61" s="393"/>
      <c r="Z61" s="393"/>
      <c r="AA61" s="394"/>
      <c r="AB61" s="392"/>
      <c r="AC61" s="393"/>
      <c r="AD61" s="393"/>
      <c r="AE61" s="393"/>
      <c r="AF61" s="393"/>
      <c r="AG61" s="394"/>
      <c r="AH61" s="392"/>
      <c r="AI61" s="393"/>
      <c r="AJ61" s="393"/>
      <c r="AK61" s="393"/>
      <c r="AL61" s="393"/>
      <c r="AM61" s="394"/>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10"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36" t="s">
        <v>55</v>
      </c>
      <c r="C1" s="436"/>
      <c r="D1" s="436"/>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37" t="s">
        <v>62</v>
      </c>
      <c r="C1" s="437"/>
      <c r="D1" s="437"/>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39" t="s">
        <v>56</v>
      </c>
      <c r="D3" s="139" t="s">
        <v>57</v>
      </c>
      <c r="E3" s="90"/>
      <c r="F3" s="90"/>
      <c r="G3" s="90"/>
      <c r="H3" s="90"/>
      <c r="I3" s="90"/>
      <c r="J3" s="90"/>
      <c r="K3" s="90"/>
      <c r="L3" s="90"/>
      <c r="M3" s="90"/>
      <c r="N3" s="90"/>
      <c r="O3" s="90"/>
      <c r="P3" s="90"/>
      <c r="Q3" s="90"/>
      <c r="R3" s="90"/>
      <c r="S3" s="90"/>
      <c r="T3" s="90"/>
      <c r="U3" s="90"/>
    </row>
    <row r="4" spans="1:21" ht="33.75" x14ac:dyDescent="0.25">
      <c r="A4" s="90" t="s">
        <v>82</v>
      </c>
      <c r="B4" s="140" t="s">
        <v>96</v>
      </c>
      <c r="C4" s="141" t="s">
        <v>205</v>
      </c>
      <c r="D4" s="142" t="s">
        <v>92</v>
      </c>
      <c r="E4" s="90"/>
      <c r="F4" s="90"/>
      <c r="G4" s="90"/>
      <c r="H4" s="90"/>
      <c r="I4" s="90"/>
      <c r="J4" s="90"/>
      <c r="K4" s="90"/>
      <c r="L4" s="90"/>
      <c r="M4" s="90"/>
      <c r="N4" s="90"/>
      <c r="O4" s="90"/>
      <c r="P4" s="90"/>
      <c r="Q4" s="90"/>
      <c r="R4" s="90"/>
      <c r="S4" s="90"/>
      <c r="T4" s="90"/>
      <c r="U4" s="90"/>
    </row>
    <row r="5" spans="1:21" ht="67.5" x14ac:dyDescent="0.25">
      <c r="A5" s="90" t="s">
        <v>83</v>
      </c>
      <c r="B5" s="143" t="s">
        <v>58</v>
      </c>
      <c r="C5" s="144" t="s">
        <v>206</v>
      </c>
      <c r="D5" s="145" t="s">
        <v>93</v>
      </c>
      <c r="E5" s="90"/>
      <c r="F5" s="90"/>
      <c r="G5" s="90"/>
      <c r="H5" s="90"/>
      <c r="I5" s="90"/>
      <c r="J5" s="90"/>
      <c r="K5" s="90"/>
      <c r="L5" s="90"/>
      <c r="M5" s="90"/>
      <c r="N5" s="90"/>
      <c r="O5" s="90"/>
      <c r="P5" s="90"/>
      <c r="Q5" s="90"/>
      <c r="R5" s="90"/>
      <c r="S5" s="90"/>
      <c r="T5" s="90"/>
      <c r="U5" s="90"/>
    </row>
    <row r="6" spans="1:21" ht="67.5" x14ac:dyDescent="0.25">
      <c r="A6" s="90" t="s">
        <v>80</v>
      </c>
      <c r="B6" s="146" t="s">
        <v>59</v>
      </c>
      <c r="C6" s="144" t="s">
        <v>210</v>
      </c>
      <c r="D6" s="145" t="s">
        <v>95</v>
      </c>
      <c r="E6" s="90"/>
      <c r="F6" s="90"/>
      <c r="G6" s="90"/>
      <c r="H6" s="90"/>
      <c r="I6" s="90"/>
      <c r="J6" s="90"/>
      <c r="K6" s="90"/>
      <c r="L6" s="90"/>
      <c r="M6" s="90"/>
      <c r="N6" s="90"/>
      <c r="O6" s="90"/>
      <c r="P6" s="90"/>
      <c r="Q6" s="90"/>
      <c r="R6" s="90"/>
      <c r="S6" s="90"/>
      <c r="T6" s="90"/>
      <c r="U6" s="90"/>
    </row>
    <row r="7" spans="1:21" ht="101.25" x14ac:dyDescent="0.25">
      <c r="A7" s="90" t="s">
        <v>7</v>
      </c>
      <c r="B7" s="147" t="s">
        <v>60</v>
      </c>
      <c r="C7" s="144" t="s">
        <v>211</v>
      </c>
      <c r="D7" s="145" t="s">
        <v>94</v>
      </c>
      <c r="E7" s="90"/>
      <c r="F7" s="90"/>
      <c r="G7" s="90"/>
      <c r="H7" s="90"/>
      <c r="I7" s="90"/>
      <c r="J7" s="90"/>
      <c r="K7" s="90"/>
      <c r="L7" s="90"/>
      <c r="M7" s="90"/>
      <c r="N7" s="90"/>
      <c r="O7" s="90"/>
      <c r="P7" s="90"/>
      <c r="Q7" s="90"/>
      <c r="R7" s="90"/>
      <c r="S7" s="90"/>
      <c r="T7" s="90"/>
      <c r="U7" s="90"/>
    </row>
    <row r="8" spans="1:21" ht="67.5" x14ac:dyDescent="0.25">
      <c r="A8" s="90" t="s">
        <v>84</v>
      </c>
      <c r="B8" s="148" t="s">
        <v>61</v>
      </c>
      <c r="C8" s="144" t="s">
        <v>207</v>
      </c>
      <c r="D8" s="145" t="s">
        <v>113</v>
      </c>
      <c r="E8" s="90"/>
      <c r="F8" s="90"/>
      <c r="G8" s="90"/>
      <c r="H8" s="90"/>
      <c r="I8" s="90"/>
      <c r="J8" s="90"/>
      <c r="K8" s="90"/>
      <c r="L8" s="90"/>
      <c r="M8" s="90"/>
      <c r="N8" s="90"/>
      <c r="O8" s="90"/>
      <c r="P8" s="90"/>
      <c r="Q8" s="90"/>
      <c r="R8" s="90"/>
      <c r="S8" s="90"/>
      <c r="T8" s="90"/>
      <c r="U8" s="90"/>
    </row>
    <row r="9" spans="1:21" s="23" customFormat="1" ht="20.25" x14ac:dyDescent="0.25">
      <c r="A9" s="88"/>
      <c r="B9" s="88"/>
      <c r="C9" s="152"/>
      <c r="D9" s="152"/>
      <c r="E9" s="88"/>
      <c r="F9" s="88"/>
      <c r="G9" s="88"/>
      <c r="H9" s="88"/>
      <c r="I9" s="88"/>
      <c r="J9" s="88"/>
      <c r="K9" s="88"/>
      <c r="L9" s="88"/>
      <c r="M9" s="88"/>
      <c r="N9" s="88"/>
      <c r="O9" s="88"/>
      <c r="P9" s="88"/>
      <c r="Q9" s="88"/>
      <c r="R9" s="88"/>
      <c r="S9" s="88"/>
      <c r="T9" s="88"/>
      <c r="U9" s="88"/>
    </row>
    <row r="10" spans="1:21" s="23" customFormat="1" ht="16.5" x14ac:dyDescent="0.25">
      <c r="A10" s="88"/>
      <c r="B10" s="153"/>
      <c r="C10" s="153"/>
      <c r="D10" s="153"/>
      <c r="E10" s="88"/>
      <c r="F10" s="88"/>
      <c r="G10" s="88"/>
      <c r="H10" s="88"/>
      <c r="I10" s="88"/>
      <c r="J10" s="88"/>
      <c r="K10" s="88"/>
      <c r="L10" s="88"/>
      <c r="M10" s="88"/>
      <c r="N10" s="88"/>
      <c r="O10" s="88"/>
      <c r="P10" s="88"/>
      <c r="Q10" s="88"/>
      <c r="R10" s="88"/>
      <c r="S10" s="88"/>
      <c r="T10" s="88"/>
      <c r="U10" s="88"/>
    </row>
    <row r="11" spans="1:21" s="23" customFormat="1" x14ac:dyDescent="0.25">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25">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52"/>
      <c r="D22" s="152"/>
      <c r="E22" s="88"/>
      <c r="F22" s="88"/>
      <c r="G22" s="88"/>
      <c r="H22" s="88"/>
      <c r="I22" s="88"/>
      <c r="J22" s="88"/>
      <c r="K22" s="88"/>
      <c r="L22" s="88"/>
      <c r="M22" s="88"/>
      <c r="N22" s="88"/>
      <c r="O22" s="88"/>
    </row>
    <row r="23" spans="1:15" s="23" customFormat="1" ht="20.25" x14ac:dyDescent="0.25">
      <c r="A23" s="88"/>
      <c r="B23" s="88"/>
      <c r="C23" s="152"/>
      <c r="D23" s="152"/>
      <c r="E23" s="88"/>
      <c r="F23" s="88"/>
      <c r="G23" s="88"/>
      <c r="H23" s="88"/>
      <c r="I23" s="88"/>
      <c r="J23" s="88"/>
      <c r="K23" s="88"/>
      <c r="L23" s="88"/>
      <c r="M23" s="88"/>
      <c r="N23" s="88"/>
      <c r="O23" s="88"/>
    </row>
    <row r="24" spans="1:15" s="23" customFormat="1" ht="20.25" x14ac:dyDescent="0.25">
      <c r="A24" s="88"/>
      <c r="B24" s="88"/>
      <c r="C24" s="152"/>
      <c r="D24" s="152"/>
      <c r="E24" s="88"/>
      <c r="F24" s="88"/>
      <c r="G24" s="88"/>
      <c r="H24" s="88"/>
      <c r="I24" s="88"/>
      <c r="J24" s="88"/>
      <c r="K24" s="88"/>
      <c r="L24" s="88"/>
      <c r="M24" s="88"/>
      <c r="N24" s="88"/>
      <c r="O24" s="88"/>
    </row>
    <row r="25" spans="1:15" s="23" customFormat="1" ht="20.25" x14ac:dyDescent="0.25">
      <c r="A25" s="88"/>
      <c r="B25" s="88"/>
      <c r="C25" s="152"/>
      <c r="D25" s="152"/>
      <c r="E25" s="88"/>
      <c r="F25" s="88"/>
      <c r="G25" s="88"/>
      <c r="H25" s="88"/>
      <c r="I25" s="88"/>
      <c r="J25" s="88"/>
      <c r="K25" s="88"/>
      <c r="L25" s="88"/>
      <c r="M25" s="88"/>
      <c r="N25" s="88"/>
      <c r="O25" s="88"/>
    </row>
    <row r="26" spans="1:15" s="23" customFormat="1" ht="20.25" x14ac:dyDescent="0.25">
      <c r="A26" s="88"/>
      <c r="B26" s="88"/>
      <c r="C26" s="152"/>
      <c r="D26" s="152"/>
      <c r="E26" s="88"/>
      <c r="F26" s="88"/>
      <c r="G26" s="88"/>
      <c r="H26" s="88"/>
      <c r="I26" s="88"/>
      <c r="J26" s="88"/>
      <c r="K26" s="88"/>
      <c r="L26" s="88"/>
      <c r="M26" s="88"/>
      <c r="N26" s="88"/>
      <c r="O26" s="88"/>
    </row>
    <row r="27" spans="1:15" s="23" customFormat="1" ht="20.25" x14ac:dyDescent="0.25">
      <c r="A27" s="88"/>
      <c r="B27" s="88"/>
      <c r="C27" s="152"/>
      <c r="D27" s="152"/>
      <c r="E27" s="88"/>
      <c r="F27" s="88"/>
      <c r="G27" s="88"/>
      <c r="H27" s="88"/>
      <c r="I27" s="88"/>
      <c r="J27" s="88"/>
      <c r="K27" s="88"/>
      <c r="L27" s="88"/>
      <c r="M27" s="88"/>
      <c r="N27" s="88"/>
      <c r="O27" s="88"/>
    </row>
    <row r="28" spans="1:15" s="23" customFormat="1" ht="20.25" x14ac:dyDescent="0.25">
      <c r="A28" s="88"/>
      <c r="B28" s="88"/>
      <c r="C28" s="152"/>
      <c r="D28" s="152"/>
      <c r="E28" s="88"/>
      <c r="F28" s="88"/>
      <c r="G28" s="88"/>
      <c r="H28" s="88"/>
      <c r="I28" s="88"/>
      <c r="J28" s="88"/>
      <c r="K28" s="88"/>
      <c r="L28" s="88"/>
      <c r="M28" s="88"/>
      <c r="N28" s="88"/>
      <c r="O28" s="88"/>
    </row>
    <row r="29" spans="1:15" s="23" customFormat="1" ht="20.25" x14ac:dyDescent="0.25">
      <c r="A29" s="88"/>
      <c r="B29" s="88"/>
      <c r="C29" s="152"/>
      <c r="D29" s="152"/>
      <c r="E29" s="88"/>
      <c r="F29" s="88"/>
      <c r="G29" s="88"/>
      <c r="H29" s="88"/>
      <c r="I29" s="88"/>
      <c r="J29" s="88"/>
      <c r="K29" s="88"/>
      <c r="L29" s="88"/>
      <c r="M29" s="88"/>
      <c r="N29" s="88"/>
      <c r="O29" s="88"/>
    </row>
    <row r="30" spans="1:15" s="23" customFormat="1" ht="20.25" x14ac:dyDescent="0.25">
      <c r="A30" s="88"/>
      <c r="B30" s="88"/>
      <c r="C30" s="152"/>
      <c r="D30" s="152"/>
      <c r="E30" s="88"/>
      <c r="F30" s="88"/>
      <c r="G30" s="88"/>
      <c r="H30" s="88"/>
      <c r="I30" s="88"/>
      <c r="J30" s="88"/>
      <c r="K30" s="88"/>
      <c r="L30" s="88"/>
      <c r="M30" s="88"/>
      <c r="N30" s="88"/>
      <c r="O30" s="88"/>
    </row>
    <row r="31" spans="1:15" s="23" customFormat="1" ht="20.25" x14ac:dyDescent="0.25">
      <c r="A31" s="88"/>
      <c r="B31" s="88"/>
      <c r="C31" s="152"/>
      <c r="D31" s="152"/>
      <c r="E31" s="88"/>
      <c r="F31" s="88"/>
      <c r="G31" s="88"/>
      <c r="H31" s="88"/>
      <c r="I31" s="88"/>
      <c r="J31" s="88"/>
      <c r="K31" s="88"/>
      <c r="L31" s="88"/>
      <c r="M31" s="88"/>
      <c r="N31" s="88"/>
      <c r="O31" s="88"/>
    </row>
    <row r="32" spans="1:15" s="23" customFormat="1" ht="20.25" x14ac:dyDescent="0.25">
      <c r="A32" s="88"/>
      <c r="B32" s="88"/>
      <c r="C32" s="152"/>
      <c r="D32" s="152"/>
      <c r="E32" s="88"/>
      <c r="F32" s="88"/>
      <c r="G32" s="88"/>
      <c r="H32" s="88"/>
      <c r="I32" s="88"/>
      <c r="J32" s="88"/>
      <c r="K32" s="88"/>
      <c r="L32" s="88"/>
      <c r="M32" s="88"/>
      <c r="N32" s="88"/>
      <c r="O32" s="88"/>
    </row>
    <row r="33" spans="1:15" s="23" customFormat="1" ht="20.25" x14ac:dyDescent="0.25">
      <c r="A33" s="88"/>
      <c r="B33" s="88"/>
      <c r="C33" s="152"/>
      <c r="D33" s="152"/>
      <c r="E33" s="88"/>
      <c r="F33" s="88"/>
      <c r="G33" s="88"/>
      <c r="H33" s="88"/>
      <c r="I33" s="88"/>
      <c r="J33" s="88"/>
      <c r="K33" s="88"/>
      <c r="L33" s="88"/>
      <c r="M33" s="88"/>
      <c r="N33" s="88"/>
      <c r="O33" s="88"/>
    </row>
    <row r="34" spans="1:15" s="23" customFormat="1" ht="20.25" x14ac:dyDescent="0.25">
      <c r="A34" s="88"/>
      <c r="B34" s="88"/>
      <c r="C34" s="152"/>
      <c r="D34" s="152"/>
      <c r="E34" s="88"/>
      <c r="F34" s="88"/>
      <c r="G34" s="88"/>
      <c r="H34" s="88"/>
      <c r="I34" s="88"/>
      <c r="J34" s="88"/>
      <c r="K34" s="88"/>
      <c r="L34" s="88"/>
      <c r="M34" s="88"/>
      <c r="N34" s="88"/>
      <c r="O34" s="88"/>
    </row>
    <row r="35" spans="1:15" s="23" customFormat="1" ht="20.25" x14ac:dyDescent="0.25">
      <c r="A35" s="88"/>
      <c r="B35" s="88"/>
      <c r="C35" s="152"/>
      <c r="D35" s="152"/>
      <c r="E35" s="88"/>
      <c r="F35" s="88"/>
      <c r="G35" s="88"/>
      <c r="H35" s="88"/>
      <c r="I35" s="88"/>
      <c r="J35" s="88"/>
      <c r="K35" s="88"/>
      <c r="L35" s="88"/>
      <c r="M35" s="88"/>
      <c r="N35" s="88"/>
      <c r="O35" s="88"/>
    </row>
    <row r="36" spans="1:15" s="23" customFormat="1" ht="20.25" x14ac:dyDescent="0.25">
      <c r="A36" s="88"/>
      <c r="B36" s="88"/>
      <c r="C36" s="152"/>
      <c r="D36" s="152"/>
      <c r="E36" s="88"/>
      <c r="F36" s="88"/>
      <c r="G36" s="88"/>
      <c r="H36" s="88"/>
      <c r="I36" s="88"/>
      <c r="J36" s="88"/>
      <c r="K36" s="88"/>
      <c r="L36" s="88"/>
      <c r="M36" s="88"/>
      <c r="N36" s="88"/>
      <c r="O36" s="88"/>
    </row>
    <row r="37" spans="1:15" s="23" customFormat="1" ht="20.25" x14ac:dyDescent="0.25">
      <c r="A37" s="88"/>
      <c r="B37" s="88"/>
      <c r="C37" s="152"/>
      <c r="D37" s="152"/>
      <c r="E37" s="88"/>
      <c r="F37" s="88"/>
      <c r="G37" s="88"/>
      <c r="H37" s="88"/>
      <c r="I37" s="88"/>
      <c r="J37" s="88"/>
      <c r="K37" s="88"/>
      <c r="L37" s="88"/>
      <c r="M37" s="88"/>
      <c r="N37" s="88"/>
      <c r="O37" s="88"/>
    </row>
    <row r="38" spans="1:15" s="23" customFormat="1" ht="20.25" x14ac:dyDescent="0.25">
      <c r="A38" s="88"/>
      <c r="B38" s="88"/>
      <c r="C38" s="152"/>
      <c r="D38" s="152"/>
      <c r="E38" s="88"/>
      <c r="F38" s="88"/>
      <c r="G38" s="88"/>
      <c r="H38" s="88"/>
      <c r="I38" s="88"/>
      <c r="J38" s="88"/>
      <c r="K38" s="88"/>
      <c r="L38" s="88"/>
      <c r="M38" s="88"/>
      <c r="N38" s="88"/>
      <c r="O38" s="88"/>
    </row>
    <row r="39" spans="1:15" s="23" customFormat="1" ht="20.25" x14ac:dyDescent="0.25">
      <c r="A39" s="88"/>
      <c r="B39" s="88"/>
      <c r="C39" s="152"/>
      <c r="D39" s="152"/>
      <c r="E39" s="88"/>
      <c r="F39" s="88"/>
      <c r="G39" s="88"/>
      <c r="H39" s="88"/>
      <c r="I39" s="88"/>
      <c r="J39" s="88"/>
      <c r="K39" s="88"/>
      <c r="L39" s="88"/>
      <c r="M39" s="88"/>
      <c r="N39" s="88"/>
      <c r="O39" s="88"/>
    </row>
    <row r="40" spans="1:15" s="23" customFormat="1" ht="20.25" x14ac:dyDescent="0.25">
      <c r="A40" s="88"/>
      <c r="B40" s="88"/>
      <c r="C40" s="152"/>
      <c r="D40" s="152"/>
      <c r="E40" s="88"/>
      <c r="F40" s="88"/>
      <c r="G40" s="88"/>
      <c r="H40" s="88"/>
      <c r="I40" s="88"/>
      <c r="J40" s="88"/>
      <c r="K40" s="88"/>
      <c r="L40" s="88"/>
      <c r="M40" s="88"/>
      <c r="N40" s="88"/>
      <c r="O40" s="88"/>
    </row>
    <row r="41" spans="1:15" s="23" customFormat="1" ht="20.25" x14ac:dyDescent="0.25">
      <c r="A41" s="88"/>
      <c r="B41" s="88"/>
      <c r="C41" s="152"/>
      <c r="D41" s="152"/>
      <c r="E41" s="88"/>
      <c r="F41" s="88"/>
      <c r="G41" s="88"/>
      <c r="H41" s="88"/>
      <c r="I41" s="88"/>
      <c r="J41" s="88"/>
      <c r="K41" s="88"/>
      <c r="L41" s="88"/>
      <c r="M41" s="88"/>
      <c r="N41" s="88"/>
      <c r="O41" s="88"/>
    </row>
    <row r="42" spans="1:15" s="23" customFormat="1" ht="20.25" x14ac:dyDescent="0.25">
      <c r="A42" s="88"/>
      <c r="B42" s="88"/>
      <c r="C42" s="152"/>
      <c r="D42" s="152"/>
      <c r="E42" s="88"/>
      <c r="F42" s="88"/>
      <c r="G42" s="88"/>
      <c r="H42" s="88"/>
      <c r="I42" s="88"/>
      <c r="J42" s="88"/>
      <c r="K42" s="88"/>
      <c r="L42" s="88"/>
      <c r="M42" s="88"/>
      <c r="N42" s="88"/>
      <c r="O42" s="88"/>
    </row>
    <row r="43" spans="1:15" s="23" customFormat="1" ht="20.25" x14ac:dyDescent="0.25">
      <c r="A43" s="88"/>
      <c r="B43" s="88"/>
      <c r="C43" s="152"/>
      <c r="D43" s="152"/>
      <c r="E43" s="88"/>
      <c r="F43" s="88"/>
      <c r="G43" s="88"/>
      <c r="H43" s="88"/>
      <c r="I43" s="88"/>
      <c r="J43" s="88"/>
      <c r="K43" s="88"/>
      <c r="L43" s="88"/>
      <c r="M43" s="88"/>
      <c r="N43" s="88"/>
      <c r="O43" s="88"/>
    </row>
    <row r="44" spans="1:15" s="23" customFormat="1" ht="20.25" x14ac:dyDescent="0.25">
      <c r="A44" s="88"/>
      <c r="B44" s="88"/>
      <c r="C44" s="152"/>
      <c r="D44" s="152"/>
      <c r="E44" s="88"/>
      <c r="F44" s="88"/>
      <c r="G44" s="88"/>
      <c r="H44" s="88"/>
      <c r="I44" s="88"/>
      <c r="J44" s="88"/>
      <c r="K44" s="88"/>
      <c r="L44" s="88"/>
      <c r="M44" s="88"/>
      <c r="N44" s="88"/>
      <c r="O44" s="88"/>
    </row>
    <row r="45" spans="1:15" s="23" customFormat="1" ht="20.25" x14ac:dyDescent="0.25">
      <c r="A45" s="88"/>
      <c r="B45" s="88"/>
      <c r="C45" s="152"/>
      <c r="D45" s="152"/>
      <c r="E45" s="88"/>
      <c r="F45" s="88"/>
      <c r="G45" s="88"/>
      <c r="H45" s="88"/>
      <c r="I45" s="88"/>
      <c r="J45" s="88"/>
      <c r="K45" s="88"/>
      <c r="L45" s="88"/>
      <c r="M45" s="88"/>
      <c r="N45" s="88"/>
      <c r="O45" s="88"/>
    </row>
    <row r="46" spans="1:15" s="23" customFormat="1" ht="20.25" x14ac:dyDescent="0.25">
      <c r="A46" s="88"/>
      <c r="B46" s="88"/>
      <c r="C46" s="152"/>
      <c r="D46" s="152"/>
      <c r="E46" s="88"/>
      <c r="F46" s="88"/>
      <c r="G46" s="88"/>
      <c r="H46" s="88"/>
      <c r="I46" s="88"/>
      <c r="J46" s="88"/>
      <c r="K46" s="88"/>
      <c r="L46" s="88"/>
      <c r="M46" s="88"/>
      <c r="N46" s="88"/>
      <c r="O46" s="88"/>
    </row>
    <row r="47" spans="1:15" s="23" customFormat="1" ht="20.25" x14ac:dyDescent="0.25">
      <c r="A47" s="88"/>
      <c r="B47" s="88"/>
      <c r="C47" s="152"/>
      <c r="D47" s="152"/>
      <c r="E47" s="88"/>
      <c r="F47" s="88"/>
      <c r="G47" s="88"/>
      <c r="H47" s="88"/>
      <c r="I47" s="88"/>
      <c r="J47" s="88"/>
      <c r="K47" s="88"/>
      <c r="L47" s="88"/>
      <c r="M47" s="88"/>
      <c r="N47" s="88"/>
      <c r="O47" s="88"/>
    </row>
    <row r="48" spans="1:15" s="23" customFormat="1" ht="20.25" x14ac:dyDescent="0.25">
      <c r="A48" s="88"/>
      <c r="B48" s="88"/>
      <c r="C48" s="152"/>
      <c r="D48" s="152"/>
      <c r="E48" s="88"/>
      <c r="F48" s="88"/>
      <c r="G48" s="88"/>
      <c r="H48" s="88"/>
      <c r="I48" s="88"/>
      <c r="J48" s="88"/>
      <c r="K48" s="88"/>
      <c r="L48" s="88"/>
      <c r="M48" s="88"/>
      <c r="N48" s="88"/>
      <c r="O48" s="88"/>
    </row>
    <row r="49" spans="1:15" s="23" customFormat="1" ht="20.25" x14ac:dyDescent="0.25">
      <c r="A49" s="88"/>
      <c r="B49" s="88"/>
      <c r="C49" s="152"/>
      <c r="D49" s="152"/>
      <c r="E49" s="88"/>
      <c r="F49" s="88"/>
      <c r="G49" s="88"/>
      <c r="H49" s="88"/>
      <c r="I49" s="88"/>
      <c r="J49" s="88"/>
      <c r="K49" s="88"/>
      <c r="L49" s="88"/>
      <c r="M49" s="88"/>
      <c r="N49" s="88"/>
      <c r="O49" s="88"/>
    </row>
    <row r="50" spans="1:15" s="23" customFormat="1" ht="20.25" x14ac:dyDescent="0.25">
      <c r="A50" s="88"/>
      <c r="B50" s="88"/>
      <c r="C50" s="152"/>
      <c r="D50" s="152"/>
      <c r="E50" s="88"/>
      <c r="F50" s="88"/>
      <c r="G50" s="88"/>
      <c r="H50" s="88"/>
      <c r="I50" s="88"/>
      <c r="J50" s="88"/>
      <c r="K50" s="88"/>
      <c r="L50" s="88"/>
      <c r="M50" s="88"/>
      <c r="N50" s="88"/>
      <c r="O50" s="88"/>
    </row>
    <row r="51" spans="1:15" s="23" customFormat="1" ht="20.25" x14ac:dyDescent="0.25">
      <c r="A51" s="88"/>
      <c r="B51" s="88"/>
      <c r="C51" s="152"/>
      <c r="D51" s="152"/>
      <c r="E51" s="88"/>
      <c r="F51" s="88"/>
      <c r="G51" s="88"/>
      <c r="H51" s="88"/>
      <c r="I51" s="88"/>
      <c r="J51" s="88"/>
      <c r="K51" s="88"/>
      <c r="L51" s="88"/>
      <c r="M51" s="88"/>
      <c r="N51" s="88"/>
      <c r="O51" s="88"/>
    </row>
    <row r="52" spans="1:15" s="23" customFormat="1" ht="20.25" x14ac:dyDescent="0.25">
      <c r="A52" s="88"/>
      <c r="C52" s="154"/>
      <c r="D52" s="154"/>
    </row>
    <row r="53" spans="1:15" s="23" customFormat="1" ht="20.25" x14ac:dyDescent="0.25">
      <c r="A53" s="88"/>
      <c r="C53" s="154"/>
      <c r="D53" s="154"/>
    </row>
    <row r="54" spans="1:15" s="23" customFormat="1" ht="20.25" x14ac:dyDescent="0.25">
      <c r="A54" s="88"/>
      <c r="C54" s="154"/>
      <c r="D54" s="154"/>
    </row>
    <row r="55" spans="1:15" s="23" customFormat="1" ht="20.25" x14ac:dyDescent="0.25">
      <c r="A55" s="88"/>
      <c r="C55" s="154"/>
      <c r="D55" s="154"/>
    </row>
    <row r="56" spans="1:15" s="23" customFormat="1" ht="20.25" x14ac:dyDescent="0.25">
      <c r="A56" s="88"/>
      <c r="C56" s="154"/>
      <c r="D56" s="154"/>
    </row>
    <row r="57" spans="1:15" s="23" customFormat="1" ht="20.25" x14ac:dyDescent="0.25">
      <c r="A57" s="88"/>
      <c r="C57" s="154"/>
      <c r="D57" s="154"/>
    </row>
    <row r="58" spans="1:15" s="23" customFormat="1" ht="20.25" x14ac:dyDescent="0.25">
      <c r="A58" s="88"/>
      <c r="C58" s="154"/>
      <c r="D58" s="154"/>
    </row>
    <row r="59" spans="1:15" s="23" customFormat="1" ht="20.25" x14ac:dyDescent="0.25">
      <c r="A59" s="88"/>
      <c r="C59" s="154"/>
      <c r="D59" s="154"/>
    </row>
    <row r="60" spans="1:15" s="23" customFormat="1" ht="20.25" x14ac:dyDescent="0.25">
      <c r="A60" s="88"/>
      <c r="C60" s="154"/>
      <c r="D60" s="154"/>
    </row>
    <row r="61" spans="1:15" s="23" customFormat="1" ht="20.25" x14ac:dyDescent="0.25">
      <c r="A61" s="88"/>
      <c r="C61" s="154"/>
      <c r="D61" s="154"/>
    </row>
    <row r="62" spans="1:15" s="23" customFormat="1" ht="20.25" x14ac:dyDescent="0.25">
      <c r="A62" s="88"/>
      <c r="C62" s="154"/>
      <c r="D62" s="154"/>
    </row>
    <row r="63" spans="1:15" s="23" customFormat="1" ht="20.25" x14ac:dyDescent="0.25">
      <c r="A63" s="88"/>
      <c r="C63" s="154"/>
      <c r="D63" s="154"/>
    </row>
    <row r="64" spans="1:15" s="23" customFormat="1" ht="20.25" x14ac:dyDescent="0.25">
      <c r="A64" s="88"/>
      <c r="C64" s="154"/>
      <c r="D64" s="154"/>
    </row>
    <row r="65" spans="1:4" s="23" customFormat="1" ht="20.25" x14ac:dyDescent="0.25">
      <c r="A65" s="88"/>
      <c r="C65" s="154"/>
      <c r="D65" s="154"/>
    </row>
    <row r="66" spans="1:4" s="23" customFormat="1" ht="20.25" x14ac:dyDescent="0.25">
      <c r="A66" s="88"/>
      <c r="C66" s="154"/>
      <c r="D66" s="154"/>
    </row>
    <row r="67" spans="1:4" s="23" customFormat="1" ht="20.25" x14ac:dyDescent="0.25">
      <c r="A67" s="88"/>
      <c r="C67" s="154"/>
      <c r="D67" s="154"/>
    </row>
    <row r="68" spans="1:4" s="23" customFormat="1" ht="20.25" x14ac:dyDescent="0.25">
      <c r="A68" s="88"/>
      <c r="C68" s="154"/>
      <c r="D68" s="154"/>
    </row>
    <row r="69" spans="1:4" s="23" customFormat="1" ht="20.25" x14ac:dyDescent="0.25">
      <c r="A69" s="88"/>
      <c r="C69" s="154"/>
      <c r="D69" s="154"/>
    </row>
    <row r="70" spans="1:4" s="23" customFormat="1" ht="20.25" x14ac:dyDescent="0.25">
      <c r="A70" s="88"/>
      <c r="C70" s="154"/>
      <c r="D70" s="154"/>
    </row>
    <row r="71" spans="1:4" s="23" customFormat="1" ht="20.25" x14ac:dyDescent="0.25">
      <c r="A71" s="88"/>
      <c r="C71" s="154"/>
      <c r="D71" s="154"/>
    </row>
    <row r="72" spans="1:4" s="23" customFormat="1" ht="20.25" x14ac:dyDescent="0.25">
      <c r="A72" s="88"/>
      <c r="C72" s="154"/>
      <c r="D72" s="154"/>
    </row>
    <row r="73" spans="1:4" s="23" customFormat="1" ht="20.25" x14ac:dyDescent="0.25">
      <c r="A73" s="88"/>
      <c r="C73" s="154"/>
      <c r="D73" s="154"/>
    </row>
    <row r="74" spans="1:4" s="23" customFormat="1" ht="20.25" x14ac:dyDescent="0.25">
      <c r="A74" s="88"/>
      <c r="C74" s="154"/>
      <c r="D74" s="154"/>
    </row>
    <row r="75" spans="1:4" s="23" customFormat="1" ht="20.25" x14ac:dyDescent="0.25">
      <c r="A75" s="88"/>
      <c r="C75" s="154"/>
      <c r="D75" s="154"/>
    </row>
    <row r="76" spans="1:4" s="23" customFormat="1" ht="20.25" x14ac:dyDescent="0.25">
      <c r="A76" s="88"/>
      <c r="C76" s="154"/>
      <c r="D76" s="154"/>
    </row>
    <row r="77" spans="1:4" s="23" customFormat="1" ht="20.25" x14ac:dyDescent="0.25">
      <c r="A77" s="88"/>
      <c r="C77" s="154"/>
      <c r="D77" s="154"/>
    </row>
    <row r="78" spans="1:4" s="23" customFormat="1" ht="20.25" x14ac:dyDescent="0.25">
      <c r="A78" s="88"/>
      <c r="C78" s="154"/>
      <c r="D78" s="154"/>
    </row>
    <row r="79" spans="1:4" s="23" customFormat="1" ht="20.25" x14ac:dyDescent="0.25">
      <c r="A79" s="88"/>
      <c r="C79" s="154"/>
      <c r="D79" s="154"/>
    </row>
    <row r="80" spans="1:4" s="23" customFormat="1" ht="20.25" x14ac:dyDescent="0.25">
      <c r="A80" s="88"/>
      <c r="C80" s="154"/>
      <c r="D80" s="154"/>
    </row>
    <row r="81" spans="1:4" s="23" customFormat="1" ht="20.25" x14ac:dyDescent="0.25">
      <c r="A81" s="88"/>
      <c r="C81" s="154"/>
      <c r="D81" s="154"/>
    </row>
    <row r="82" spans="1:4" s="23" customFormat="1" ht="20.25" x14ac:dyDescent="0.25">
      <c r="A82" s="88"/>
      <c r="C82" s="154"/>
      <c r="D82" s="154"/>
    </row>
    <row r="83" spans="1:4" s="23" customFormat="1" ht="20.25" x14ac:dyDescent="0.25">
      <c r="A83" s="88"/>
      <c r="C83" s="154"/>
      <c r="D83" s="154"/>
    </row>
    <row r="84" spans="1:4" s="23" customFormat="1" ht="20.25" x14ac:dyDescent="0.25">
      <c r="A84" s="88"/>
      <c r="C84" s="154"/>
      <c r="D84" s="154"/>
    </row>
    <row r="85" spans="1:4" s="23" customFormat="1" ht="20.25" x14ac:dyDescent="0.25">
      <c r="A85" s="88"/>
      <c r="C85" s="154"/>
      <c r="D85" s="154"/>
    </row>
    <row r="86" spans="1:4" s="23" customFormat="1" ht="20.25" x14ac:dyDescent="0.25">
      <c r="A86" s="88"/>
      <c r="C86" s="154"/>
      <c r="D86" s="154"/>
    </row>
    <row r="87" spans="1:4" s="23" customFormat="1" ht="20.25" x14ac:dyDescent="0.25">
      <c r="A87" s="88"/>
      <c r="C87" s="154"/>
      <c r="D87" s="154"/>
    </row>
    <row r="88" spans="1:4" s="23" customFormat="1" ht="20.25" x14ac:dyDescent="0.25">
      <c r="A88" s="88"/>
      <c r="C88" s="154"/>
      <c r="D88" s="154"/>
    </row>
    <row r="89" spans="1:4" s="23" customFormat="1" ht="20.25" x14ac:dyDescent="0.25">
      <c r="A89" s="88"/>
      <c r="C89" s="154"/>
      <c r="D89" s="154"/>
    </row>
    <row r="90" spans="1:4" s="23" customFormat="1" ht="20.25" x14ac:dyDescent="0.25">
      <c r="A90" s="88"/>
      <c r="C90" s="154"/>
      <c r="D90" s="154"/>
    </row>
    <row r="91" spans="1:4" s="23" customFormat="1" ht="20.25" x14ac:dyDescent="0.25">
      <c r="A91" s="88"/>
      <c r="C91" s="154"/>
      <c r="D91" s="154"/>
    </row>
    <row r="92" spans="1:4" s="23" customFormat="1" ht="20.25" x14ac:dyDescent="0.25">
      <c r="A92" s="88"/>
      <c r="C92" s="154"/>
      <c r="D92" s="154"/>
    </row>
    <row r="93" spans="1:4" s="23" customFormat="1" ht="20.25" x14ac:dyDescent="0.25">
      <c r="A93" s="88"/>
      <c r="C93" s="154"/>
      <c r="D93" s="154"/>
    </row>
    <row r="94" spans="1:4" s="23" customFormat="1" ht="20.25" x14ac:dyDescent="0.25">
      <c r="A94" s="88"/>
      <c r="C94" s="154"/>
      <c r="D94" s="154"/>
    </row>
    <row r="95" spans="1:4" s="23" customFormat="1" ht="20.25" x14ac:dyDescent="0.25">
      <c r="A95" s="88"/>
      <c r="C95" s="154"/>
      <c r="D95" s="154"/>
    </row>
    <row r="96" spans="1:4" s="23" customFormat="1" ht="20.25" x14ac:dyDescent="0.25">
      <c r="A96" s="88"/>
      <c r="C96" s="154"/>
      <c r="D96" s="154"/>
    </row>
    <row r="97" spans="1:4" s="23" customFormat="1" ht="20.25" x14ac:dyDescent="0.25">
      <c r="A97" s="88"/>
      <c r="C97" s="154"/>
      <c r="D97" s="154"/>
    </row>
    <row r="98" spans="1:4" s="23" customFormat="1" ht="20.25" x14ac:dyDescent="0.25">
      <c r="A98" s="88"/>
      <c r="C98" s="154"/>
      <c r="D98" s="154"/>
    </row>
    <row r="99" spans="1:4" s="23" customFormat="1" ht="20.25" x14ac:dyDescent="0.25">
      <c r="A99" s="88"/>
      <c r="C99" s="154"/>
      <c r="D99" s="154"/>
    </row>
    <row r="100" spans="1:4" s="23" customFormat="1" ht="20.25" x14ac:dyDescent="0.25">
      <c r="A100" s="88"/>
      <c r="C100" s="154"/>
      <c r="D100" s="154"/>
    </row>
    <row r="101" spans="1:4" s="23" customFormat="1" ht="20.25" x14ac:dyDescent="0.25">
      <c r="A101" s="88"/>
      <c r="C101" s="154"/>
      <c r="D101" s="154"/>
    </row>
    <row r="102" spans="1:4" s="23" customFormat="1" ht="20.25" x14ac:dyDescent="0.25">
      <c r="A102" s="88"/>
      <c r="C102" s="154"/>
      <c r="D102" s="154"/>
    </row>
    <row r="103" spans="1:4" s="23" customFormat="1" ht="20.25" x14ac:dyDescent="0.25">
      <c r="A103" s="88"/>
      <c r="C103" s="154"/>
      <c r="D103" s="154"/>
    </row>
    <row r="104" spans="1:4" s="23" customFormat="1" ht="20.25" x14ac:dyDescent="0.25">
      <c r="A104" s="88"/>
      <c r="C104" s="154"/>
      <c r="D104" s="154"/>
    </row>
    <row r="105" spans="1:4" s="23" customFormat="1" ht="20.25" x14ac:dyDescent="0.25">
      <c r="A105" s="88"/>
      <c r="C105" s="154"/>
      <c r="D105" s="154"/>
    </row>
    <row r="106" spans="1:4" s="23" customFormat="1" ht="20.25" x14ac:dyDescent="0.25">
      <c r="A106" s="88"/>
      <c r="C106" s="154"/>
      <c r="D106" s="154"/>
    </row>
    <row r="107" spans="1:4" s="23" customFormat="1" ht="20.25" x14ac:dyDescent="0.25">
      <c r="A107" s="88"/>
      <c r="C107" s="154"/>
      <c r="D107" s="154"/>
    </row>
    <row r="108" spans="1:4" s="23" customFormat="1" ht="20.25" x14ac:dyDescent="0.25">
      <c r="A108" s="88"/>
      <c r="C108" s="154"/>
      <c r="D108" s="154"/>
    </row>
    <row r="109" spans="1:4" s="23" customFormat="1" ht="20.25" x14ac:dyDescent="0.25">
      <c r="A109" s="88"/>
      <c r="C109" s="154"/>
      <c r="D109" s="154"/>
    </row>
    <row r="110" spans="1:4" s="23" customFormat="1" ht="20.25" x14ac:dyDescent="0.25">
      <c r="A110" s="88"/>
      <c r="C110" s="154"/>
      <c r="D110" s="154"/>
    </row>
    <row r="111" spans="1:4" s="23" customFormat="1" ht="20.25" x14ac:dyDescent="0.25">
      <c r="A111" s="88"/>
      <c r="C111" s="154"/>
      <c r="D111" s="154"/>
    </row>
    <row r="112" spans="1:4" s="23" customFormat="1" ht="20.25" x14ac:dyDescent="0.25">
      <c r="A112" s="88"/>
      <c r="C112" s="154"/>
      <c r="D112" s="154"/>
    </row>
    <row r="113" spans="1:4" s="23" customFormat="1" ht="20.25" x14ac:dyDescent="0.25">
      <c r="A113" s="88"/>
      <c r="C113" s="154"/>
      <c r="D113" s="154"/>
    </row>
    <row r="114" spans="1:4" s="23" customFormat="1" ht="20.25" x14ac:dyDescent="0.25">
      <c r="A114" s="88"/>
      <c r="C114" s="154"/>
      <c r="D114" s="154"/>
    </row>
    <row r="115" spans="1:4" s="23" customFormat="1" ht="20.25" x14ac:dyDescent="0.25">
      <c r="A115" s="88"/>
      <c r="C115" s="154"/>
      <c r="D115" s="154"/>
    </row>
    <row r="116" spans="1:4" s="23" customFormat="1" ht="20.25" x14ac:dyDescent="0.25">
      <c r="A116" s="88"/>
      <c r="C116" s="154"/>
      <c r="D116" s="154"/>
    </row>
    <row r="117" spans="1:4" s="23" customFormat="1" ht="20.25" x14ac:dyDescent="0.25">
      <c r="A117" s="88"/>
      <c r="C117" s="154"/>
      <c r="D117" s="154"/>
    </row>
    <row r="118" spans="1:4" s="23" customFormat="1" ht="20.25" x14ac:dyDescent="0.25">
      <c r="A118" s="88"/>
      <c r="C118" s="154"/>
      <c r="D118" s="154"/>
    </row>
    <row r="119" spans="1:4" s="23" customFormat="1" ht="20.25" x14ac:dyDescent="0.25">
      <c r="A119" s="88"/>
      <c r="C119" s="154"/>
      <c r="D119" s="154"/>
    </row>
    <row r="120" spans="1:4" s="23" customFormat="1" ht="20.25" x14ac:dyDescent="0.25">
      <c r="A120" s="88"/>
      <c r="C120" s="154"/>
      <c r="D120" s="154"/>
    </row>
    <row r="121" spans="1:4" s="23" customFormat="1" ht="20.25" x14ac:dyDescent="0.25">
      <c r="A121" s="88"/>
      <c r="C121" s="154"/>
      <c r="D121" s="154"/>
    </row>
    <row r="122" spans="1:4" s="23" customFormat="1" ht="20.25" x14ac:dyDescent="0.25">
      <c r="A122" s="88"/>
      <c r="C122" s="154"/>
      <c r="D122" s="154"/>
    </row>
    <row r="123" spans="1:4" s="23" customFormat="1" ht="20.25" x14ac:dyDescent="0.25">
      <c r="A123" s="88"/>
      <c r="C123" s="154"/>
      <c r="D123" s="154"/>
    </row>
    <row r="124" spans="1:4" s="23" customFormat="1" ht="20.25" x14ac:dyDescent="0.25">
      <c r="A124" s="88"/>
      <c r="C124" s="154"/>
      <c r="D124" s="154"/>
    </row>
    <row r="125" spans="1:4" s="23" customFormat="1" ht="20.25" x14ac:dyDescent="0.25">
      <c r="A125" s="88"/>
      <c r="C125" s="154"/>
      <c r="D125" s="154"/>
    </row>
    <row r="126" spans="1:4" s="23" customFormat="1" ht="20.25" x14ac:dyDescent="0.25">
      <c r="A126" s="88"/>
      <c r="C126" s="154"/>
      <c r="D126" s="154"/>
    </row>
    <row r="127" spans="1:4" s="23" customFormat="1" ht="20.25" x14ac:dyDescent="0.25">
      <c r="A127" s="88"/>
      <c r="C127" s="154"/>
      <c r="D127" s="154"/>
    </row>
    <row r="128" spans="1:4" s="23" customFormat="1" ht="20.25" x14ac:dyDescent="0.25">
      <c r="A128" s="88"/>
      <c r="C128" s="154"/>
      <c r="D128" s="154"/>
    </row>
    <row r="129" spans="1:4" s="23" customFormat="1" ht="20.25" x14ac:dyDescent="0.25">
      <c r="A129" s="88"/>
      <c r="C129" s="154"/>
      <c r="D129" s="154"/>
    </row>
    <row r="130" spans="1:4" s="23" customFormat="1" ht="20.25" x14ac:dyDescent="0.25">
      <c r="A130" s="88"/>
      <c r="C130" s="154"/>
      <c r="D130" s="154"/>
    </row>
    <row r="131" spans="1:4" s="23" customFormat="1" ht="20.25" x14ac:dyDescent="0.25">
      <c r="A131" s="88"/>
      <c r="C131" s="154"/>
      <c r="D131" s="154"/>
    </row>
    <row r="132" spans="1:4" s="23" customFormat="1" ht="20.25" x14ac:dyDescent="0.25">
      <c r="A132" s="88"/>
      <c r="C132" s="154"/>
      <c r="D132" s="154"/>
    </row>
    <row r="133" spans="1:4" s="23" customFormat="1" ht="20.25" x14ac:dyDescent="0.25">
      <c r="A133" s="88"/>
      <c r="C133" s="154"/>
      <c r="D133" s="154"/>
    </row>
    <row r="134" spans="1:4" s="23" customFormat="1" ht="20.25" x14ac:dyDescent="0.25">
      <c r="A134" s="88"/>
      <c r="C134" s="154"/>
      <c r="D134" s="154"/>
    </row>
    <row r="135" spans="1:4" s="23" customFormat="1" ht="20.25" x14ac:dyDescent="0.25">
      <c r="A135" s="88"/>
      <c r="C135" s="154"/>
      <c r="D135" s="154"/>
    </row>
    <row r="136" spans="1:4" s="23" customFormat="1" ht="20.25" x14ac:dyDescent="0.25">
      <c r="A136" s="88"/>
      <c r="C136" s="154"/>
      <c r="D136" s="154"/>
    </row>
    <row r="137" spans="1:4" s="23" customFormat="1" ht="20.25" x14ac:dyDescent="0.25">
      <c r="A137" s="88"/>
      <c r="C137" s="154"/>
      <c r="D137" s="154"/>
    </row>
    <row r="138" spans="1:4" s="23" customFormat="1" ht="20.25" x14ac:dyDescent="0.25">
      <c r="A138" s="88"/>
      <c r="C138" s="154"/>
      <c r="D138" s="154"/>
    </row>
    <row r="139" spans="1:4" s="23" customFormat="1" ht="20.25" x14ac:dyDescent="0.25">
      <c r="A139" s="88"/>
      <c r="C139" s="154"/>
      <c r="D139" s="154"/>
    </row>
    <row r="140" spans="1:4" s="23" customFormat="1" ht="20.25" x14ac:dyDescent="0.25">
      <c r="A140" s="88"/>
      <c r="C140" s="154"/>
      <c r="D140" s="154"/>
    </row>
    <row r="141" spans="1:4" s="23" customFormat="1" ht="20.25" x14ac:dyDescent="0.25">
      <c r="A141" s="88"/>
      <c r="C141" s="154"/>
      <c r="D141" s="154"/>
    </row>
    <row r="142" spans="1:4" s="23" customFormat="1" ht="20.25" x14ac:dyDescent="0.25">
      <c r="A142" s="88"/>
      <c r="C142" s="154"/>
      <c r="D142" s="154"/>
    </row>
    <row r="143" spans="1:4" s="23" customFormat="1" ht="20.25" x14ac:dyDescent="0.25">
      <c r="A143" s="88"/>
      <c r="C143" s="154"/>
      <c r="D143" s="154"/>
    </row>
    <row r="144" spans="1:4" s="23" customFormat="1" ht="20.25" x14ac:dyDescent="0.25">
      <c r="A144" s="88"/>
      <c r="C144" s="154"/>
      <c r="D144" s="154"/>
    </row>
    <row r="145" spans="1:4" s="23" customFormat="1" ht="20.25" x14ac:dyDescent="0.25">
      <c r="A145" s="88"/>
      <c r="C145" s="154"/>
      <c r="D145" s="154"/>
    </row>
    <row r="146" spans="1:4" s="23" customFormat="1" ht="20.25" x14ac:dyDescent="0.25">
      <c r="A146" s="88"/>
      <c r="C146" s="154"/>
      <c r="D146" s="154"/>
    </row>
    <row r="147" spans="1:4" s="23" customFormat="1" ht="20.25" x14ac:dyDescent="0.25">
      <c r="A147" s="88"/>
      <c r="C147" s="154"/>
      <c r="D147" s="154"/>
    </row>
    <row r="148" spans="1:4" s="23" customFormat="1" ht="20.25" x14ac:dyDescent="0.25">
      <c r="A148" s="88"/>
      <c r="C148" s="154"/>
      <c r="D148" s="154"/>
    </row>
    <row r="149" spans="1:4" s="23" customFormat="1" ht="20.25" x14ac:dyDescent="0.25">
      <c r="A149" s="88"/>
      <c r="C149" s="154"/>
      <c r="D149" s="154"/>
    </row>
    <row r="150" spans="1:4" s="23" customFormat="1" ht="20.25" x14ac:dyDescent="0.25">
      <c r="A150" s="88"/>
      <c r="C150" s="154"/>
      <c r="D150" s="154"/>
    </row>
    <row r="151" spans="1:4" s="23" customFormat="1" ht="20.25" x14ac:dyDescent="0.25">
      <c r="A151" s="88"/>
      <c r="C151" s="154"/>
      <c r="D151" s="154"/>
    </row>
    <row r="152" spans="1:4" s="23" customFormat="1" ht="20.25" x14ac:dyDescent="0.25">
      <c r="A152" s="88"/>
      <c r="C152" s="154"/>
      <c r="D152" s="154"/>
    </row>
    <row r="153" spans="1:4" s="23" customFormat="1" ht="20.25" x14ac:dyDescent="0.25">
      <c r="A153" s="88"/>
      <c r="C153" s="154"/>
      <c r="D153" s="154"/>
    </row>
    <row r="154" spans="1:4" s="23" customFormat="1" ht="20.25" x14ac:dyDescent="0.25">
      <c r="A154" s="88"/>
      <c r="C154" s="154"/>
      <c r="D154" s="154"/>
    </row>
    <row r="155" spans="1:4" s="23" customFormat="1" ht="20.25" x14ac:dyDescent="0.25">
      <c r="A155" s="88"/>
      <c r="C155" s="154"/>
      <c r="D155" s="154"/>
    </row>
    <row r="156" spans="1:4" s="23" customFormat="1" ht="20.25" x14ac:dyDescent="0.25">
      <c r="A156" s="88"/>
      <c r="C156" s="154"/>
      <c r="D156" s="154"/>
    </row>
    <row r="157" spans="1:4" s="23" customFormat="1" ht="20.25" x14ac:dyDescent="0.25">
      <c r="A157" s="88"/>
      <c r="C157" s="154"/>
      <c r="D157" s="154"/>
    </row>
    <row r="158" spans="1:4" s="23" customFormat="1" ht="20.25" x14ac:dyDescent="0.25">
      <c r="A158" s="88"/>
      <c r="C158" s="154"/>
      <c r="D158" s="154"/>
    </row>
    <row r="159" spans="1:4" s="23" customFormat="1" ht="20.25" x14ac:dyDescent="0.25">
      <c r="A159" s="88"/>
      <c r="C159" s="154"/>
      <c r="D159" s="154"/>
    </row>
    <row r="160" spans="1:4" s="23" customFormat="1" ht="20.25" x14ac:dyDescent="0.25">
      <c r="A160" s="88"/>
      <c r="C160" s="154"/>
      <c r="D160" s="154"/>
    </row>
    <row r="161" spans="1:4" s="23" customFormat="1" ht="20.25" x14ac:dyDescent="0.25">
      <c r="A161" s="88"/>
      <c r="C161" s="154"/>
      <c r="D161" s="154"/>
    </row>
    <row r="162" spans="1:4" s="23" customFormat="1" ht="20.25" x14ac:dyDescent="0.25">
      <c r="A162" s="88"/>
      <c r="C162" s="154"/>
      <c r="D162" s="154"/>
    </row>
    <row r="163" spans="1:4" s="23" customFormat="1" ht="20.25" x14ac:dyDescent="0.25">
      <c r="A163" s="88"/>
      <c r="C163" s="154"/>
      <c r="D163" s="154"/>
    </row>
    <row r="164" spans="1:4" s="23" customFormat="1" ht="20.25" x14ac:dyDescent="0.25">
      <c r="A164" s="88"/>
      <c r="C164" s="154"/>
      <c r="D164" s="154"/>
    </row>
    <row r="165" spans="1:4" s="23" customFormat="1" ht="20.25" x14ac:dyDescent="0.25">
      <c r="A165" s="88"/>
      <c r="C165" s="154"/>
      <c r="D165" s="154"/>
    </row>
    <row r="166" spans="1:4" s="23" customFormat="1" ht="20.25" x14ac:dyDescent="0.25">
      <c r="A166" s="88"/>
      <c r="C166" s="154"/>
      <c r="D166" s="154"/>
    </row>
    <row r="167" spans="1:4" s="23" customFormat="1" ht="20.25" x14ac:dyDescent="0.25">
      <c r="A167" s="88"/>
      <c r="C167" s="154"/>
      <c r="D167" s="154"/>
    </row>
    <row r="168" spans="1:4" s="23" customFormat="1" ht="20.25" x14ac:dyDescent="0.25">
      <c r="A168" s="88"/>
      <c r="C168" s="154"/>
      <c r="D168" s="154"/>
    </row>
    <row r="169" spans="1:4" s="23" customFormat="1" ht="20.25" x14ac:dyDescent="0.25">
      <c r="A169" s="88"/>
      <c r="C169" s="154"/>
      <c r="D169" s="154"/>
    </row>
    <row r="170" spans="1:4" s="23" customFormat="1" ht="20.25" x14ac:dyDescent="0.25">
      <c r="A170" s="88"/>
      <c r="C170" s="154"/>
      <c r="D170" s="154"/>
    </row>
    <row r="171" spans="1:4" s="23" customFormat="1" ht="20.25" x14ac:dyDescent="0.25">
      <c r="A171" s="88"/>
      <c r="C171" s="154"/>
      <c r="D171" s="154"/>
    </row>
    <row r="172" spans="1:4" s="23" customFormat="1" ht="20.25" x14ac:dyDescent="0.25">
      <c r="A172" s="88"/>
      <c r="C172" s="154"/>
      <c r="D172" s="154"/>
    </row>
    <row r="173" spans="1:4" s="23" customFormat="1" ht="20.25" x14ac:dyDescent="0.25">
      <c r="A173" s="88"/>
      <c r="C173" s="154"/>
      <c r="D173" s="154"/>
    </row>
    <row r="174" spans="1:4" s="23" customFormat="1" ht="20.25" x14ac:dyDescent="0.25">
      <c r="A174" s="88"/>
      <c r="C174" s="154"/>
      <c r="D174" s="154"/>
    </row>
    <row r="175" spans="1:4" s="23" customFormat="1" ht="20.25" x14ac:dyDescent="0.25">
      <c r="A175" s="88"/>
      <c r="C175" s="154"/>
      <c r="D175" s="154"/>
    </row>
    <row r="176" spans="1:4" s="23" customFormat="1" ht="20.25" x14ac:dyDescent="0.25">
      <c r="A176" s="88"/>
      <c r="C176" s="154"/>
      <c r="D176" s="154"/>
    </row>
    <row r="177" spans="1:4" s="23" customFormat="1" ht="20.25" x14ac:dyDescent="0.25">
      <c r="A177" s="88"/>
      <c r="C177" s="154"/>
      <c r="D177" s="154"/>
    </row>
    <row r="178" spans="1:4" s="23" customFormat="1" ht="20.25" x14ac:dyDescent="0.25">
      <c r="A178" s="88"/>
      <c r="C178" s="154"/>
      <c r="D178" s="154"/>
    </row>
    <row r="179" spans="1:4" s="23" customFormat="1" ht="20.25" x14ac:dyDescent="0.25">
      <c r="A179" s="88"/>
      <c r="C179" s="154"/>
      <c r="D179" s="154"/>
    </row>
    <row r="180" spans="1:4" s="23" customFormat="1" ht="20.25" x14ac:dyDescent="0.25">
      <c r="A180" s="88"/>
      <c r="C180" s="154"/>
      <c r="D180" s="154"/>
    </row>
    <row r="181" spans="1:4" s="23" customFormat="1" ht="20.25" x14ac:dyDescent="0.25">
      <c r="A181" s="88"/>
      <c r="C181" s="154"/>
      <c r="D181" s="154"/>
    </row>
    <row r="182" spans="1:4" s="23" customFormat="1" ht="20.25" x14ac:dyDescent="0.25">
      <c r="A182" s="88"/>
      <c r="C182" s="154"/>
      <c r="D182" s="154"/>
    </row>
    <row r="183" spans="1:4" s="23" customFormat="1" ht="20.25" x14ac:dyDescent="0.25">
      <c r="A183" s="88"/>
      <c r="C183" s="154"/>
      <c r="D183" s="154"/>
    </row>
    <row r="184" spans="1:4" s="23" customFormat="1" ht="20.25" x14ac:dyDescent="0.25">
      <c r="A184" s="88"/>
      <c r="C184" s="154"/>
      <c r="D184" s="154"/>
    </row>
    <row r="185" spans="1:4" s="23" customFormat="1" ht="20.25" x14ac:dyDescent="0.25">
      <c r="A185" s="88"/>
      <c r="C185" s="154"/>
      <c r="D185" s="154"/>
    </row>
    <row r="186" spans="1:4" s="23" customFormat="1" ht="20.25" x14ac:dyDescent="0.25">
      <c r="A186" s="88"/>
      <c r="C186" s="154"/>
      <c r="D186" s="154"/>
    </row>
    <row r="187" spans="1:4" s="23" customFormat="1" ht="20.25" x14ac:dyDescent="0.25">
      <c r="A187" s="88"/>
      <c r="C187" s="154"/>
      <c r="D187" s="154"/>
    </row>
    <row r="188" spans="1:4" s="23" customFormat="1" ht="20.25" x14ac:dyDescent="0.25">
      <c r="A188" s="88"/>
      <c r="C188" s="154"/>
      <c r="D188" s="154"/>
    </row>
    <row r="189" spans="1:4" s="23" customFormat="1" ht="20.25" x14ac:dyDescent="0.25">
      <c r="A189" s="88"/>
      <c r="C189" s="154"/>
      <c r="D189" s="154"/>
    </row>
    <row r="190" spans="1:4" s="23" customFormat="1" ht="20.25" x14ac:dyDescent="0.25">
      <c r="A190" s="88"/>
      <c r="C190" s="154"/>
      <c r="D190" s="154"/>
    </row>
    <row r="191" spans="1:4" s="23" customFormat="1" ht="20.25" x14ac:dyDescent="0.25">
      <c r="A191" s="88"/>
      <c r="C191" s="154"/>
      <c r="D191" s="154"/>
    </row>
    <row r="192" spans="1:4" s="23" customFormat="1" ht="20.25" x14ac:dyDescent="0.25">
      <c r="A192" s="88"/>
      <c r="C192" s="154"/>
      <c r="D192" s="154"/>
    </row>
    <row r="193" spans="1:4" s="23" customFormat="1" ht="20.25" x14ac:dyDescent="0.25">
      <c r="A193" s="88"/>
      <c r="C193" s="154"/>
      <c r="D193" s="154"/>
    </row>
    <row r="194" spans="1:4" s="23" customFormat="1" ht="20.25" x14ac:dyDescent="0.25">
      <c r="A194" s="88"/>
      <c r="C194" s="154"/>
      <c r="D194" s="154"/>
    </row>
    <row r="195" spans="1:4" s="23" customFormat="1" ht="20.25" x14ac:dyDescent="0.25">
      <c r="A195" s="88"/>
      <c r="C195" s="154"/>
      <c r="D195" s="154"/>
    </row>
    <row r="196" spans="1:4" s="23" customFormat="1" ht="20.25" x14ac:dyDescent="0.25">
      <c r="A196" s="88"/>
      <c r="C196" s="154"/>
      <c r="D196" s="154"/>
    </row>
    <row r="197" spans="1:4" s="23" customFormat="1" ht="20.25" x14ac:dyDescent="0.25">
      <c r="A197" s="88"/>
      <c r="C197" s="154"/>
      <c r="D197" s="154"/>
    </row>
    <row r="198" spans="1:4" s="23" customFormat="1" ht="20.25" x14ac:dyDescent="0.25">
      <c r="A198" s="88"/>
      <c r="C198" s="154"/>
      <c r="D198" s="154"/>
    </row>
    <row r="199" spans="1:4" s="23" customFormat="1" ht="20.25" x14ac:dyDescent="0.25">
      <c r="A199" s="88"/>
      <c r="C199" s="154"/>
      <c r="D199" s="154"/>
    </row>
    <row r="200" spans="1:4" s="23" customFormat="1" ht="20.25" x14ac:dyDescent="0.25">
      <c r="A200" s="88"/>
      <c r="C200" s="154"/>
      <c r="D200" s="154"/>
    </row>
    <row r="201" spans="1:4" s="23" customFormat="1" ht="20.25" x14ac:dyDescent="0.25">
      <c r="A201" s="88"/>
      <c r="C201" s="154"/>
      <c r="D201" s="154"/>
    </row>
    <row r="202" spans="1:4" s="23" customFormat="1" ht="20.25" x14ac:dyDescent="0.25">
      <c r="A202" s="88"/>
      <c r="C202" s="154"/>
      <c r="D202" s="154"/>
    </row>
    <row r="203" spans="1:4" s="23" customFormat="1" ht="20.25" x14ac:dyDescent="0.25">
      <c r="A203" s="88"/>
      <c r="C203" s="154"/>
      <c r="D203" s="154"/>
    </row>
    <row r="204" spans="1:4" s="23" customFormat="1" ht="20.25" x14ac:dyDescent="0.25">
      <c r="A204" s="88"/>
      <c r="C204" s="154"/>
      <c r="D204" s="154"/>
    </row>
    <row r="205" spans="1:4" s="23" customFormat="1" ht="20.25" x14ac:dyDescent="0.25">
      <c r="A205" s="88"/>
      <c r="C205" s="154"/>
      <c r="D205" s="154"/>
    </row>
    <row r="206" spans="1:4" s="23" customFormat="1" ht="20.25" x14ac:dyDescent="0.25">
      <c r="A206" s="88"/>
      <c r="C206" s="154"/>
      <c r="D206" s="154"/>
    </row>
    <row r="207" spans="1:4" s="23" customFormat="1" ht="20.25" x14ac:dyDescent="0.25">
      <c r="A207" s="88"/>
      <c r="C207" s="154"/>
      <c r="D207" s="154"/>
    </row>
    <row r="208" spans="1:4" s="23" customFormat="1" x14ac:dyDescent="0.25">
      <c r="A208" s="88"/>
    </row>
    <row r="209" spans="1:8" s="23" customFormat="1" ht="20.25" x14ac:dyDescent="0.25">
      <c r="A209" s="88"/>
      <c r="B209" s="155" t="s">
        <v>87</v>
      </c>
      <c r="C209" s="155" t="s">
        <v>140</v>
      </c>
      <c r="D209" s="156" t="s">
        <v>87</v>
      </c>
      <c r="E209" s="156" t="s">
        <v>140</v>
      </c>
    </row>
    <row r="210" spans="1:8" s="23" customFormat="1" ht="42" x14ac:dyDescent="0.35">
      <c r="A210" s="88"/>
      <c r="B210" s="157" t="s">
        <v>89</v>
      </c>
      <c r="C210" s="157"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8"/>
      <c r="B211" s="157" t="s">
        <v>89</v>
      </c>
      <c r="C211" s="157" t="s">
        <v>206</v>
      </c>
      <c r="E211" s="23" t="s">
        <v>205</v>
      </c>
      <c r="F211" s="23" t="str">
        <f t="shared" ref="F211:F221" si="0">IF(NOT(ISBLANK(D211)),D211,IF(NOT(ISBLANK(E211)),"     "&amp;E211,FALSE))</f>
        <v xml:space="preserve">     Afectación menor a 200 SMLMV</v>
      </c>
    </row>
    <row r="212" spans="1:8" s="23" customFormat="1" ht="42" x14ac:dyDescent="0.35">
      <c r="A212" s="88"/>
      <c r="B212" s="157" t="s">
        <v>89</v>
      </c>
      <c r="C212" s="157" t="s">
        <v>210</v>
      </c>
      <c r="E212" s="23" t="s">
        <v>206</v>
      </c>
      <c r="F212" s="23" t="str">
        <f t="shared" si="0"/>
        <v xml:space="preserve">     Entre 200 y 1000 SMLMV</v>
      </c>
    </row>
    <row r="213" spans="1:8" s="23" customFormat="1" ht="42" x14ac:dyDescent="0.35">
      <c r="A213" s="88"/>
      <c r="B213" s="157" t="s">
        <v>89</v>
      </c>
      <c r="C213" s="157" t="s">
        <v>211</v>
      </c>
      <c r="E213" s="23" t="s">
        <v>210</v>
      </c>
      <c r="F213" s="23" t="str">
        <f t="shared" si="0"/>
        <v xml:space="preserve">     Entre 1000 y 5000 SMLMV </v>
      </c>
    </row>
    <row r="214" spans="1:8" s="23" customFormat="1" ht="42" x14ac:dyDescent="0.35">
      <c r="A214" s="88"/>
      <c r="B214" s="157" t="s">
        <v>89</v>
      </c>
      <c r="C214" s="157" t="s">
        <v>207</v>
      </c>
      <c r="E214" s="23" t="s">
        <v>211</v>
      </c>
      <c r="F214" s="23" t="str">
        <f t="shared" si="0"/>
        <v xml:space="preserve">     Entre 5000 y 10000 SMLMV</v>
      </c>
    </row>
    <row r="215" spans="1:8" s="23" customFormat="1" ht="42" x14ac:dyDescent="0.35">
      <c r="A215" s="88"/>
      <c r="B215" s="157" t="s">
        <v>57</v>
      </c>
      <c r="C215" s="157" t="s">
        <v>92</v>
      </c>
      <c r="E215" s="23" t="s">
        <v>207</v>
      </c>
      <c r="F215" s="23" t="str">
        <f t="shared" si="0"/>
        <v xml:space="preserve">     Mayor a 10000 SMLMV</v>
      </c>
    </row>
    <row r="216" spans="1:8" s="23" customFormat="1" ht="63" x14ac:dyDescent="0.35">
      <c r="A216" s="88"/>
      <c r="B216" s="157" t="s">
        <v>57</v>
      </c>
      <c r="C216" s="157" t="s">
        <v>93</v>
      </c>
      <c r="D216" s="23" t="s">
        <v>57</v>
      </c>
      <c r="F216" s="23" t="str">
        <f t="shared" si="0"/>
        <v>Pérdida Reputacional</v>
      </c>
    </row>
    <row r="217" spans="1:8" s="23" customFormat="1" ht="42" x14ac:dyDescent="0.35">
      <c r="A217" s="88"/>
      <c r="B217" s="157" t="s">
        <v>57</v>
      </c>
      <c r="C217" s="157" t="s">
        <v>95</v>
      </c>
      <c r="E217" s="23" t="s">
        <v>92</v>
      </c>
      <c r="F217" s="23" t="str">
        <f>IF(NOT(ISBLANK(D217)),D217,IF(NOT(ISBLANK(E217)),"     "&amp;E217,FALSE))</f>
        <v xml:space="preserve">     El riesgo afecta la imagen de alguna área de la organización</v>
      </c>
    </row>
    <row r="218" spans="1:8" s="23" customFormat="1" ht="63" x14ac:dyDescent="0.35">
      <c r="A218" s="88"/>
      <c r="B218" s="157" t="s">
        <v>57</v>
      </c>
      <c r="C218" s="15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7" t="s">
        <v>57</v>
      </c>
      <c r="C219" s="157" t="s">
        <v>113</v>
      </c>
      <c r="E219" s="23" t="s">
        <v>95</v>
      </c>
      <c r="F219" s="23" t="str">
        <f t="shared" si="0"/>
        <v xml:space="preserve">     El riesgo afecta la imagen de la entidad con algunos usuarios de relevancia frente al logro de los objetivos</v>
      </c>
    </row>
    <row r="220" spans="1:8" s="23" customFormat="1" x14ac:dyDescent="0.25">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58" t="s">
        <v>141</v>
      </c>
    </row>
    <row r="224" spans="1:8" s="23" customFormat="1" x14ac:dyDescent="0.25">
      <c r="F224" s="158"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38" t="s">
        <v>77</v>
      </c>
      <c r="C1" s="439"/>
      <c r="D1" s="439"/>
      <c r="E1" s="439"/>
      <c r="F1" s="440"/>
    </row>
    <row r="2" spans="2:6" ht="16.5" thickBot="1" x14ac:dyDescent="0.3">
      <c r="B2" s="74"/>
      <c r="C2" s="74"/>
      <c r="D2" s="74"/>
      <c r="E2" s="74"/>
      <c r="F2" s="74"/>
    </row>
    <row r="3" spans="2:6" ht="16.5" thickBot="1" x14ac:dyDescent="0.25">
      <c r="B3" s="442" t="s">
        <v>63</v>
      </c>
      <c r="C3" s="443"/>
      <c r="D3" s="443"/>
      <c r="E3" s="86" t="s">
        <v>64</v>
      </c>
      <c r="F3" s="87" t="s">
        <v>65</v>
      </c>
    </row>
    <row r="4" spans="2:6" ht="31.5" x14ac:dyDescent="0.2">
      <c r="B4" s="444" t="s">
        <v>66</v>
      </c>
      <c r="C4" s="446" t="s">
        <v>13</v>
      </c>
      <c r="D4" s="75" t="s">
        <v>14</v>
      </c>
      <c r="E4" s="76" t="s">
        <v>67</v>
      </c>
      <c r="F4" s="77">
        <v>0.25</v>
      </c>
    </row>
    <row r="5" spans="2:6" ht="47.25" x14ac:dyDescent="0.2">
      <c r="B5" s="445"/>
      <c r="C5" s="447"/>
      <c r="D5" s="78" t="s">
        <v>15</v>
      </c>
      <c r="E5" s="79" t="s">
        <v>68</v>
      </c>
      <c r="F5" s="80">
        <v>0.15</v>
      </c>
    </row>
    <row r="6" spans="2:6" ht="47.25" x14ac:dyDescent="0.2">
      <c r="B6" s="445"/>
      <c r="C6" s="447"/>
      <c r="D6" s="78" t="s">
        <v>16</v>
      </c>
      <c r="E6" s="79" t="s">
        <v>69</v>
      </c>
      <c r="F6" s="80">
        <v>0.1</v>
      </c>
    </row>
    <row r="7" spans="2:6" ht="63" x14ac:dyDescent="0.2">
      <c r="B7" s="445"/>
      <c r="C7" s="447" t="s">
        <v>17</v>
      </c>
      <c r="D7" s="78" t="s">
        <v>10</v>
      </c>
      <c r="E7" s="79" t="s">
        <v>70</v>
      </c>
      <c r="F7" s="80">
        <v>0.25</v>
      </c>
    </row>
    <row r="8" spans="2:6" ht="31.5" x14ac:dyDescent="0.2">
      <c r="B8" s="445"/>
      <c r="C8" s="447"/>
      <c r="D8" s="78" t="s">
        <v>9</v>
      </c>
      <c r="E8" s="79" t="s">
        <v>71</v>
      </c>
      <c r="F8" s="80">
        <v>0.15</v>
      </c>
    </row>
    <row r="9" spans="2:6" ht="47.25" x14ac:dyDescent="0.2">
      <c r="B9" s="445" t="s">
        <v>151</v>
      </c>
      <c r="C9" s="447" t="s">
        <v>18</v>
      </c>
      <c r="D9" s="78" t="s">
        <v>19</v>
      </c>
      <c r="E9" s="79" t="s">
        <v>72</v>
      </c>
      <c r="F9" s="81" t="s">
        <v>73</v>
      </c>
    </row>
    <row r="10" spans="2:6" ht="63" x14ac:dyDescent="0.2">
      <c r="B10" s="445"/>
      <c r="C10" s="447"/>
      <c r="D10" s="78" t="s">
        <v>20</v>
      </c>
      <c r="E10" s="79" t="s">
        <v>74</v>
      </c>
      <c r="F10" s="81" t="s">
        <v>73</v>
      </c>
    </row>
    <row r="11" spans="2:6" ht="47.25" x14ac:dyDescent="0.2">
      <c r="B11" s="445"/>
      <c r="C11" s="447" t="s">
        <v>21</v>
      </c>
      <c r="D11" s="78" t="s">
        <v>22</v>
      </c>
      <c r="E11" s="79" t="s">
        <v>75</v>
      </c>
      <c r="F11" s="81" t="s">
        <v>73</v>
      </c>
    </row>
    <row r="12" spans="2:6" ht="47.25" x14ac:dyDescent="0.2">
      <c r="B12" s="445"/>
      <c r="C12" s="447"/>
      <c r="D12" s="78" t="s">
        <v>23</v>
      </c>
      <c r="E12" s="79" t="s">
        <v>76</v>
      </c>
      <c r="F12" s="81" t="s">
        <v>73</v>
      </c>
    </row>
    <row r="13" spans="2:6" ht="31.5" x14ac:dyDescent="0.2">
      <c r="B13" s="445"/>
      <c r="C13" s="447" t="s">
        <v>24</v>
      </c>
      <c r="D13" s="78" t="s">
        <v>114</v>
      </c>
      <c r="E13" s="79" t="s">
        <v>117</v>
      </c>
      <c r="F13" s="81" t="s">
        <v>73</v>
      </c>
    </row>
    <row r="14" spans="2:6" ht="32.25" thickBot="1" x14ac:dyDescent="0.25">
      <c r="B14" s="448"/>
      <c r="C14" s="449"/>
      <c r="D14" s="82" t="s">
        <v>115</v>
      </c>
      <c r="E14" s="83" t="s">
        <v>116</v>
      </c>
      <c r="F14" s="84" t="s">
        <v>73</v>
      </c>
    </row>
    <row r="15" spans="2:6" ht="49.5" customHeight="1" x14ac:dyDescent="0.2">
      <c r="B15" s="441" t="s">
        <v>148</v>
      </c>
      <c r="C15" s="441"/>
      <c r="D15" s="441"/>
      <c r="E15" s="441"/>
      <c r="F15" s="441"/>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HACIENDA123</cp:lastModifiedBy>
  <cp:lastPrinted>2020-05-13T01:12:22Z</cp:lastPrinted>
  <dcterms:created xsi:type="dcterms:W3CDTF">2020-03-24T23:12:47Z</dcterms:created>
  <dcterms:modified xsi:type="dcterms:W3CDTF">2022-01-27T20:37:50Z</dcterms:modified>
</cp:coreProperties>
</file>