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hidePivotFieldList="1" defaultThemeVersion="124226"/>
  <bookViews>
    <workbookView xWindow="0" yWindow="0" windowWidth="18870" windowHeight="7020" tabRatio="882" activeTab="2"/>
  </bookViews>
  <sheets>
    <sheet name="Intructivo" sheetId="20" r:id="rId1"/>
    <sheet name="Tabla Impacto" sheetId="13" r:id="rId2"/>
    <sheet name="Mapa final" sheetId="1" r:id="rId3"/>
    <sheet name="Hoja2" sheetId="21" r:id="rId4"/>
    <sheet name="Matriz Calor Inherente" sheetId="18" r:id="rId5"/>
    <sheet name="Matriz Calor Residual" sheetId="19" r:id="rId6"/>
    <sheet name="Tabla probabilidad" sheetId="12" r:id="rId7"/>
    <sheet name="Tabla Valoración controles" sheetId="15" r:id="rId8"/>
    <sheet name="Opciones Tratamiento" sheetId="16" state="hidden" r:id="rId9"/>
    <sheet name="Hoja1" sheetId="11" state="hidden" r:id="rId10"/>
    <sheet name="Hoja3" sheetId="22" r:id="rId11"/>
  </sheets>
  <calcPr calcId="124519"/>
  <pivotCaches>
    <pivotCache cacheId="0" r:id="rId12"/>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5" i="1"/>
  <c r="Z15" s="1"/>
  <c r="AA15" s="1"/>
  <c r="V15"/>
  <c r="V16"/>
  <c r="Z16"/>
  <c r="AB16" s="1"/>
  <c r="AD16"/>
  <c r="AC16" s="1"/>
  <c r="V17"/>
  <c r="Z17"/>
  <c r="AA17" s="1"/>
  <c r="AD17"/>
  <c r="AC17" s="1"/>
  <c r="M11"/>
  <c r="M13"/>
  <c r="M12"/>
  <c r="AE17" l="1"/>
  <c r="AD15"/>
  <c r="AC15" s="1"/>
  <c r="AE15" s="1"/>
  <c r="AA16"/>
  <c r="AE16" s="1"/>
  <c r="AB15"/>
  <c r="AB17"/>
  <c r="M15"/>
  <c r="J10" l="1"/>
  <c r="S10"/>
  <c r="V10"/>
  <c r="K10" l="1"/>
  <c r="Z10"/>
  <c r="S11"/>
  <c r="V11"/>
  <c r="AA10" l="1"/>
  <c r="AB10"/>
  <c r="Z11" s="1"/>
  <c r="AB11" s="1"/>
  <c r="S12"/>
  <c r="V12"/>
  <c r="AA11" l="1"/>
  <c r="Z12"/>
  <c r="AA12" s="1"/>
  <c r="S13"/>
  <c r="AD13" s="1"/>
  <c r="AC13" s="1"/>
  <c r="V13"/>
  <c r="J14"/>
  <c r="S14"/>
  <c r="AD14" s="1"/>
  <c r="AC14" s="1"/>
  <c r="V14"/>
  <c r="AB12" l="1"/>
  <c r="Z13" s="1"/>
  <c r="AB13" s="1"/>
  <c r="Z14"/>
  <c r="K14"/>
  <c r="J18"/>
  <c r="K18" s="1"/>
  <c r="S18"/>
  <c r="Z18" s="1"/>
  <c r="V18"/>
  <c r="M19"/>
  <c r="AA13" l="1"/>
  <c r="AE13" s="1"/>
  <c r="AA18"/>
  <c r="AB18"/>
  <c r="AB14"/>
  <c r="AA14"/>
  <c r="AE14" s="1"/>
  <c r="AD18"/>
  <c r="AC18" s="1"/>
  <c r="S19"/>
  <c r="AD19" s="1"/>
  <c r="AC19" s="1"/>
  <c r="V19"/>
  <c r="M20"/>
  <c r="AE18" l="1"/>
  <c r="Z19"/>
  <c r="S20"/>
  <c r="AD20" s="1"/>
  <c r="AC20" s="1"/>
  <c r="V20"/>
  <c r="M21"/>
  <c r="Z20" l="1"/>
  <c r="AA20" s="1"/>
  <c r="AE20"/>
  <c r="AB20"/>
  <c r="AB19"/>
  <c r="AA19"/>
  <c r="AE19" s="1"/>
  <c r="S21"/>
  <c r="Z21" s="1"/>
  <c r="AA21" s="1"/>
  <c r="V21"/>
  <c r="M22"/>
  <c r="AD21" l="1"/>
  <c r="AC21" s="1"/>
  <c r="AE21" s="1"/>
  <c r="AB21"/>
  <c r="S22"/>
  <c r="Z22" s="1"/>
  <c r="V22"/>
  <c r="M23"/>
  <c r="AA22" l="1"/>
  <c r="AB22"/>
  <c r="AD22"/>
  <c r="AC22" s="1"/>
  <c r="S23"/>
  <c r="Z23" s="1"/>
  <c r="V23"/>
  <c r="M25"/>
  <c r="M43"/>
  <c r="M39"/>
  <c r="M55"/>
  <c r="M65"/>
  <c r="M46"/>
  <c r="M32"/>
  <c r="M49"/>
  <c r="M34"/>
  <c r="M57"/>
  <c r="M40"/>
  <c r="M29"/>
  <c r="M45"/>
  <c r="M28"/>
  <c r="M58"/>
  <c r="M52"/>
  <c r="M37"/>
  <c r="M31"/>
  <c r="M38"/>
  <c r="M50"/>
  <c r="M26"/>
  <c r="M64"/>
  <c r="M51"/>
  <c r="M61"/>
  <c r="M59"/>
  <c r="M63"/>
  <c r="M41"/>
  <c r="M35"/>
  <c r="M27"/>
  <c r="M47"/>
  <c r="M33"/>
  <c r="M53"/>
  <c r="M56"/>
  <c r="M62"/>
  <c r="M44"/>
  <c r="AE22" l="1"/>
  <c r="AD23"/>
  <c r="AC23" s="1"/>
  <c r="AA23"/>
  <c r="AB23"/>
  <c r="F221" i="13"/>
  <c r="F211"/>
  <c r="F212"/>
  <c r="F213"/>
  <c r="F214"/>
  <c r="F215"/>
  <c r="F216"/>
  <c r="F217"/>
  <c r="F218"/>
  <c r="F219"/>
  <c r="F220"/>
  <c r="F210"/>
  <c r="B221" a="1"/>
  <c r="AE23" i="1" l="1"/>
  <c r="B221" i="13"/>
  <c r="S48" i="1"/>
  <c r="S43"/>
  <c r="S37"/>
  <c r="AL44" i="18" l="1"/>
  <c r="AJ44"/>
  <c r="AF44"/>
  <c r="AD44"/>
  <c r="Z44"/>
  <c r="X44"/>
  <c r="T44"/>
  <c r="R44"/>
  <c r="N44"/>
  <c r="L44"/>
  <c r="AL36"/>
  <c r="AJ36"/>
  <c r="AF36"/>
  <c r="AD36"/>
  <c r="Z36"/>
  <c r="X36"/>
  <c r="T36"/>
  <c r="R36"/>
  <c r="N36"/>
  <c r="L36"/>
  <c r="AL28"/>
  <c r="AJ28"/>
  <c r="AF28"/>
  <c r="AD28"/>
  <c r="Z28"/>
  <c r="X28"/>
  <c r="T28"/>
  <c r="R28"/>
  <c r="N28"/>
  <c r="L28"/>
  <c r="AL20"/>
  <c r="AJ20"/>
  <c r="AF20"/>
  <c r="AD20"/>
  <c r="Z20"/>
  <c r="X20"/>
  <c r="T20"/>
  <c r="R20"/>
  <c r="N20"/>
  <c r="L20"/>
  <c r="AL12"/>
  <c r="AJ12"/>
  <c r="AF12"/>
  <c r="AD12"/>
  <c r="Z12"/>
  <c r="X12"/>
  <c r="T12"/>
  <c r="R12"/>
  <c r="N12"/>
  <c r="L12"/>
  <c r="H210" i="13"/>
  <c r="V65" i="1" l="1"/>
  <c r="S65"/>
  <c r="V64"/>
  <c r="S64"/>
  <c r="V63"/>
  <c r="S63"/>
  <c r="V62"/>
  <c r="S62"/>
  <c r="V61"/>
  <c r="S61"/>
  <c r="V60"/>
  <c r="S60"/>
  <c r="J60"/>
  <c r="K60" s="1"/>
  <c r="V59"/>
  <c r="S59"/>
  <c r="V58"/>
  <c r="S58"/>
  <c r="V57"/>
  <c r="S57"/>
  <c r="V56"/>
  <c r="S56"/>
  <c r="V55"/>
  <c r="S55"/>
  <c r="V54"/>
  <c r="S54"/>
  <c r="J54"/>
  <c r="K54" s="1"/>
  <c r="V53"/>
  <c r="S53"/>
  <c r="V52"/>
  <c r="S52"/>
  <c r="V51"/>
  <c r="S51"/>
  <c r="V50"/>
  <c r="S50"/>
  <c r="V49"/>
  <c r="S49"/>
  <c r="AD49" s="1"/>
  <c r="V48"/>
  <c r="J48"/>
  <c r="K48" s="1"/>
  <c r="V47"/>
  <c r="S47"/>
  <c r="V46"/>
  <c r="S46"/>
  <c r="V45"/>
  <c r="S45"/>
  <c r="V44"/>
  <c r="S44"/>
  <c r="V43"/>
  <c r="V42"/>
  <c r="S42"/>
  <c r="AD43" s="1"/>
  <c r="J42"/>
  <c r="K42" s="1"/>
  <c r="V41"/>
  <c r="S41"/>
  <c r="V40"/>
  <c r="S40"/>
  <c r="V39"/>
  <c r="S39"/>
  <c r="V38"/>
  <c r="S38"/>
  <c r="V37"/>
  <c r="V36"/>
  <c r="S36"/>
  <c r="AD37" s="1"/>
  <c r="J36"/>
  <c r="K36" s="1"/>
  <c r="V35"/>
  <c r="S35"/>
  <c r="V34"/>
  <c r="S34"/>
  <c r="V33"/>
  <c r="S33"/>
  <c r="V32"/>
  <c r="S32"/>
  <c r="V31"/>
  <c r="S31"/>
  <c r="V30"/>
  <c r="S30"/>
  <c r="J30"/>
  <c r="K30" s="1"/>
  <c r="V29"/>
  <c r="S29"/>
  <c r="V28"/>
  <c r="S28"/>
  <c r="V27"/>
  <c r="S27"/>
  <c r="V26"/>
  <c r="S26"/>
  <c r="V25"/>
  <c r="S25"/>
  <c r="V24"/>
  <c r="S24"/>
  <c r="J24"/>
  <c r="K24" s="1"/>
  <c r="AD61" l="1"/>
  <c r="AD25"/>
  <c r="AD31"/>
  <c r="AD55"/>
  <c r="AD46"/>
  <c r="AC46" s="1"/>
  <c r="AD47"/>
  <c r="AC47" s="1"/>
  <c r="Z60"/>
  <c r="Z54"/>
  <c r="Z48"/>
  <c r="Z42"/>
  <c r="Z46"/>
  <c r="Z47"/>
  <c r="Z36"/>
  <c r="Z30"/>
  <c r="Z24"/>
  <c r="AA60" l="1"/>
  <c r="AB60"/>
  <c r="Z61" s="1"/>
  <c r="AA61" s="1"/>
  <c r="AA54"/>
  <c r="AB54"/>
  <c r="Z55" s="1"/>
  <c r="AB55" s="1"/>
  <c r="Z56" s="1"/>
  <c r="AA48"/>
  <c r="AB48"/>
  <c r="Z49" s="1"/>
  <c r="AB49" s="1"/>
  <c r="Z50" s="1"/>
  <c r="AA47"/>
  <c r="AB47"/>
  <c r="AA46"/>
  <c r="AB46"/>
  <c r="AA42"/>
  <c r="AB42"/>
  <c r="AA36"/>
  <c r="AB36"/>
  <c r="Z37" s="1"/>
  <c r="AB37" s="1"/>
  <c r="Z38" s="1"/>
  <c r="AA30"/>
  <c r="AB30"/>
  <c r="AA24"/>
  <c r="AB24"/>
  <c r="Z25" s="1"/>
  <c r="AB25" s="1"/>
  <c r="Z26" s="1"/>
  <c r="AA26" s="1"/>
  <c r="AA55" l="1"/>
  <c r="AA49"/>
  <c r="AA37"/>
  <c r="AA25"/>
  <c r="AA38"/>
  <c r="AB38"/>
  <c r="AB56"/>
  <c r="Z57" s="1"/>
  <c r="AA56"/>
  <c r="AB50"/>
  <c r="Z51" s="1"/>
  <c r="AA50"/>
  <c r="AB61"/>
  <c r="Z62" s="1"/>
  <c r="Z31"/>
  <c r="Z43"/>
  <c r="Z44"/>
  <c r="AB26"/>
  <c r="T52" i="19"/>
  <c r="AF32"/>
  <c r="N22"/>
  <c r="AL32"/>
  <c r="N52"/>
  <c r="AL12"/>
  <c r="AL52"/>
  <c r="AL42"/>
  <c r="T32"/>
  <c r="AF12"/>
  <c r="N32"/>
  <c r="T42"/>
  <c r="N12"/>
  <c r="Z52"/>
  <c r="Z42"/>
  <c r="AL22"/>
  <c r="T12"/>
  <c r="T22"/>
  <c r="Z32"/>
  <c r="AF52"/>
  <c r="N42"/>
  <c r="Z22"/>
  <c r="AF42"/>
  <c r="Z12"/>
  <c r="AF22"/>
  <c r="AM42"/>
  <c r="U32"/>
  <c r="AG12"/>
  <c r="U42"/>
  <c r="O12"/>
  <c r="U22"/>
  <c r="AM52"/>
  <c r="AA42"/>
  <c r="AM22"/>
  <c r="U12"/>
  <c r="AA32"/>
  <c r="AG42"/>
  <c r="AA12"/>
  <c r="AG52"/>
  <c r="O42"/>
  <c r="AA22"/>
  <c r="AA52"/>
  <c r="AG22"/>
  <c r="AM32"/>
  <c r="U52"/>
  <c r="AG32"/>
  <c r="O22"/>
  <c r="O52"/>
  <c r="AM12"/>
  <c r="O32"/>
  <c r="AE46" i="1"/>
  <c r="AE47"/>
  <c r="AA57" l="1"/>
  <c r="AB57"/>
  <c r="AA51"/>
  <c r="AB51"/>
  <c r="Z52" s="1"/>
  <c r="AA44"/>
  <c r="AB44"/>
  <c r="Z45" s="1"/>
  <c r="AA62"/>
  <c r="AB62"/>
  <c r="Z63" s="1"/>
  <c r="AA43"/>
  <c r="AB43"/>
  <c r="Z39"/>
  <c r="AA31"/>
  <c r="AB31"/>
  <c r="Z32" s="1"/>
  <c r="AA32" s="1"/>
  <c r="Z28"/>
  <c r="AA28" s="1"/>
  <c r="Z27"/>
  <c r="AB32" l="1"/>
  <c r="Z33" s="1"/>
  <c r="AB33" s="1"/>
  <c r="Z34" s="1"/>
  <c r="AA52"/>
  <c r="AB52"/>
  <c r="Z53" s="1"/>
  <c r="Z58"/>
  <c r="Z59"/>
  <c r="AA39"/>
  <c r="AB39"/>
  <c r="Z40" s="1"/>
  <c r="AA40" s="1"/>
  <c r="AA45"/>
  <c r="AB45"/>
  <c r="AB63"/>
  <c r="AA63"/>
  <c r="AA27"/>
  <c r="AB27"/>
  <c r="AB28"/>
  <c r="Z29" s="1"/>
  <c r="AA33" l="1"/>
  <c r="AA59"/>
  <c r="AB59"/>
  <c r="AA58"/>
  <c r="AB58"/>
  <c r="AA53"/>
  <c r="AB53"/>
  <c r="Z64"/>
  <c r="Z65"/>
  <c r="AB40"/>
  <c r="Z41" s="1"/>
  <c r="AA41" s="1"/>
  <c r="AB34"/>
  <c r="Z35" s="1"/>
  <c r="AA34"/>
  <c r="AA29"/>
  <c r="AB29"/>
  <c r="AA65" l="1"/>
  <c r="AB65"/>
  <c r="AA64"/>
  <c r="AB64"/>
  <c r="AA35"/>
  <c r="AB35"/>
  <c r="AB41"/>
  <c r="AD24" l="1"/>
  <c r="AC24" s="1"/>
  <c r="AD62"/>
  <c r="AD54"/>
  <c r="AD36"/>
  <c r="AC36" s="1"/>
  <c r="AD48"/>
  <c r="AC48" s="1"/>
  <c r="AD42"/>
  <c r="AC42" s="1"/>
  <c r="AD30"/>
  <c r="AC30" s="1"/>
  <c r="J40" i="19" l="1"/>
  <c r="V30"/>
  <c r="AH20"/>
  <c r="J30"/>
  <c r="V20"/>
  <c r="AH10"/>
  <c r="P10"/>
  <c r="AB50"/>
  <c r="J50"/>
  <c r="AB40"/>
  <c r="P30"/>
  <c r="V50"/>
  <c r="P50"/>
  <c r="AB10"/>
  <c r="AH30"/>
  <c r="AH40"/>
  <c r="J10"/>
  <c r="AB20"/>
  <c r="AH50"/>
  <c r="AE30" i="1"/>
  <c r="V10" i="19"/>
  <c r="P20"/>
  <c r="J20"/>
  <c r="P40"/>
  <c r="V40"/>
  <c r="AB30"/>
  <c r="J11"/>
  <c r="V11"/>
  <c r="AB21"/>
  <c r="P31"/>
  <c r="J31"/>
  <c r="AB41"/>
  <c r="AE36" i="1"/>
  <c r="AH41" i="19"/>
  <c r="P41"/>
  <c r="J21"/>
  <c r="AB31"/>
  <c r="AB51"/>
  <c r="P21"/>
  <c r="V41"/>
  <c r="V31"/>
  <c r="AH21"/>
  <c r="AB11"/>
  <c r="P51"/>
  <c r="V21"/>
  <c r="AH31"/>
  <c r="V51"/>
  <c r="J51"/>
  <c r="AH51"/>
  <c r="AH11"/>
  <c r="J41"/>
  <c r="P11"/>
  <c r="J47"/>
  <c r="V27"/>
  <c r="AH7"/>
  <c r="P47"/>
  <c r="AB27"/>
  <c r="J17"/>
  <c r="V47"/>
  <c r="J37"/>
  <c r="AB37"/>
  <c r="J27"/>
  <c r="V7"/>
  <c r="AH37"/>
  <c r="P27"/>
  <c r="AB7"/>
  <c r="P17"/>
  <c r="V17"/>
  <c r="AH47"/>
  <c r="P37"/>
  <c r="AB17"/>
  <c r="J7"/>
  <c r="V37"/>
  <c r="AH17"/>
  <c r="P7"/>
  <c r="AH27"/>
  <c r="AB47"/>
  <c r="AE48" i="1"/>
  <c r="AB33" i="19"/>
  <c r="V13"/>
  <c r="AH23"/>
  <c r="J23"/>
  <c r="AB43"/>
  <c r="P43"/>
  <c r="AB53"/>
  <c r="V33"/>
  <c r="P13"/>
  <c r="J43"/>
  <c r="V23"/>
  <c r="J53"/>
  <c r="AH43"/>
  <c r="AH13"/>
  <c r="P53"/>
  <c r="V43"/>
  <c r="J13"/>
  <c r="P33"/>
  <c r="J33"/>
  <c r="V53"/>
  <c r="AH33"/>
  <c r="AB23"/>
  <c r="AH53"/>
  <c r="P23"/>
  <c r="AB13"/>
  <c r="AC54" i="1"/>
  <c r="AC61"/>
  <c r="AE24"/>
  <c r="J39" i="19"/>
  <c r="AB39"/>
  <c r="AH49"/>
  <c r="P39"/>
  <c r="P9"/>
  <c r="AB9"/>
  <c r="V39"/>
  <c r="V9"/>
  <c r="AH9"/>
  <c r="J29"/>
  <c r="J19"/>
  <c r="V29"/>
  <c r="P29"/>
  <c r="AB49"/>
  <c r="AB29"/>
  <c r="P49"/>
  <c r="J49"/>
  <c r="P19"/>
  <c r="V49"/>
  <c r="AH39"/>
  <c r="V19"/>
  <c r="AH19"/>
  <c r="AH29"/>
  <c r="AB19"/>
  <c r="J9"/>
  <c r="AH8"/>
  <c r="P18"/>
  <c r="AB28"/>
  <c r="P38"/>
  <c r="AB48"/>
  <c r="J28"/>
  <c r="V38"/>
  <c r="AH38"/>
  <c r="V8"/>
  <c r="J48"/>
  <c r="AH28"/>
  <c r="P48"/>
  <c r="AH48"/>
  <c r="V28"/>
  <c r="AB38"/>
  <c r="AB18"/>
  <c r="AH18"/>
  <c r="AB8"/>
  <c r="V48"/>
  <c r="J8"/>
  <c r="V18"/>
  <c r="P28"/>
  <c r="P8"/>
  <c r="J18"/>
  <c r="J38"/>
  <c r="AC62" i="1"/>
  <c r="AD63"/>
  <c r="AD32"/>
  <c r="AC31"/>
  <c r="AC37"/>
  <c r="AD38"/>
  <c r="AC38" s="1"/>
  <c r="AD39"/>
  <c r="V32" i="19"/>
  <c r="P42"/>
  <c r="J12"/>
  <c r="J32"/>
  <c r="AB52"/>
  <c r="AE42" i="1"/>
  <c r="J22" i="19"/>
  <c r="V22"/>
  <c r="J52"/>
  <c r="AH12"/>
  <c r="J42"/>
  <c r="AH42"/>
  <c r="P32"/>
  <c r="AB12"/>
  <c r="AH32"/>
  <c r="AB32"/>
  <c r="AB42"/>
  <c r="V42"/>
  <c r="V12"/>
  <c r="V52"/>
  <c r="AB22"/>
  <c r="AH52"/>
  <c r="AH22"/>
  <c r="P22"/>
  <c r="P12"/>
  <c r="P52"/>
  <c r="AD44" i="1"/>
  <c r="AC44" s="1"/>
  <c r="AD45"/>
  <c r="AC45" s="1"/>
  <c r="AC43"/>
  <c r="AC49"/>
  <c r="AD50"/>
  <c r="AC55"/>
  <c r="AD56"/>
  <c r="AC25"/>
  <c r="AD26"/>
  <c r="W37" i="19" l="1"/>
  <c r="AI7"/>
  <c r="W17"/>
  <c r="W27"/>
  <c r="Q47"/>
  <c r="W7"/>
  <c r="AI17"/>
  <c r="K47"/>
  <c r="AI47"/>
  <c r="Q27"/>
  <c r="AC27"/>
  <c r="AC47"/>
  <c r="AC37"/>
  <c r="AI37"/>
  <c r="AC17"/>
  <c r="K37"/>
  <c r="AC7"/>
  <c r="W47"/>
  <c r="Q37"/>
  <c r="AI27"/>
  <c r="Q7"/>
  <c r="K27"/>
  <c r="K17"/>
  <c r="K7"/>
  <c r="Q17"/>
  <c r="AC63" i="1"/>
  <c r="AD64"/>
  <c r="K35" i="19"/>
  <c r="AC25"/>
  <c r="K45"/>
  <c r="AI45"/>
  <c r="W45"/>
  <c r="Q35"/>
  <c r="K55"/>
  <c r="AC15"/>
  <c r="Q15"/>
  <c r="AC35"/>
  <c r="AI35"/>
  <c r="Q55"/>
  <c r="AI25"/>
  <c r="AE61" i="1"/>
  <c r="AC55" i="19"/>
  <c r="W15"/>
  <c r="K15"/>
  <c r="W25"/>
  <c r="AC45"/>
  <c r="Q25"/>
  <c r="W55"/>
  <c r="K25"/>
  <c r="Q45"/>
  <c r="W35"/>
  <c r="AI55"/>
  <c r="AI15"/>
  <c r="AC14"/>
  <c r="Q14"/>
  <c r="AI54"/>
  <c r="Q54"/>
  <c r="Q24"/>
  <c r="AI14"/>
  <c r="W24"/>
  <c r="AC44"/>
  <c r="K54"/>
  <c r="AI34"/>
  <c r="W14"/>
  <c r="K24"/>
  <c r="AC24"/>
  <c r="AI44"/>
  <c r="AI24"/>
  <c r="W44"/>
  <c r="Q44"/>
  <c r="AC54"/>
  <c r="AE55" i="1"/>
  <c r="K44" i="19"/>
  <c r="Q34"/>
  <c r="W34"/>
  <c r="K14"/>
  <c r="W54"/>
  <c r="K34"/>
  <c r="AC34"/>
  <c r="AI41"/>
  <c r="W11"/>
  <c r="Q51"/>
  <c r="W21"/>
  <c r="AC11"/>
  <c r="AI51"/>
  <c r="W41"/>
  <c r="K41"/>
  <c r="AI11"/>
  <c r="AC41"/>
  <c r="AC21"/>
  <c r="K31"/>
  <c r="W51"/>
  <c r="Q21"/>
  <c r="Q31"/>
  <c r="AI21"/>
  <c r="K51"/>
  <c r="K21"/>
  <c r="AI31"/>
  <c r="Q41"/>
  <c r="K11"/>
  <c r="AC31"/>
  <c r="AC51"/>
  <c r="W31"/>
  <c r="Q11"/>
  <c r="AE37" i="1"/>
  <c r="AD55" i="19"/>
  <c r="R15"/>
  <c r="AJ35"/>
  <c r="AE62" i="1"/>
  <c r="X45" i="19"/>
  <c r="AJ15"/>
  <c r="AJ55"/>
  <c r="R25"/>
  <c r="X15"/>
  <c r="R55"/>
  <c r="X55"/>
  <c r="AD15"/>
  <c r="L35"/>
  <c r="L15"/>
  <c r="L45"/>
  <c r="AD45"/>
  <c r="L25"/>
  <c r="AD25"/>
  <c r="X35"/>
  <c r="X25"/>
  <c r="R35"/>
  <c r="AJ25"/>
  <c r="AD35"/>
  <c r="R45"/>
  <c r="AJ45"/>
  <c r="L55"/>
  <c r="P54"/>
  <c r="AH14"/>
  <c r="AB14"/>
  <c r="AH34"/>
  <c r="AB54"/>
  <c r="AH54"/>
  <c r="AE54" i="1"/>
  <c r="V14" i="19"/>
  <c r="J54"/>
  <c r="AH44"/>
  <c r="V54"/>
  <c r="J14"/>
  <c r="AH24"/>
  <c r="V34"/>
  <c r="AB44"/>
  <c r="AB34"/>
  <c r="P14"/>
  <c r="V24"/>
  <c r="AB24"/>
  <c r="V44"/>
  <c r="P34"/>
  <c r="J34"/>
  <c r="P24"/>
  <c r="J44"/>
  <c r="J24"/>
  <c r="P44"/>
  <c r="AJ52"/>
  <c r="AJ32"/>
  <c r="L32"/>
  <c r="AJ42"/>
  <c r="L12"/>
  <c r="L52"/>
  <c r="X12"/>
  <c r="R12"/>
  <c r="AD42"/>
  <c r="X42"/>
  <c r="AJ12"/>
  <c r="X32"/>
  <c r="R52"/>
  <c r="R32"/>
  <c r="X22"/>
  <c r="AJ22"/>
  <c r="L22"/>
  <c r="R22"/>
  <c r="AE44" i="1"/>
  <c r="AD12" i="19"/>
  <c r="AD32"/>
  <c r="AD22"/>
  <c r="X52"/>
  <c r="AD52"/>
  <c r="L42"/>
  <c r="R42"/>
  <c r="AJ21"/>
  <c r="AD31"/>
  <c r="R21"/>
  <c r="AD41"/>
  <c r="AJ11"/>
  <c r="AJ51"/>
  <c r="AE38" i="1"/>
  <c r="L41" i="19"/>
  <c r="AD11"/>
  <c r="L21"/>
  <c r="L11"/>
  <c r="X51"/>
  <c r="X21"/>
  <c r="R11"/>
  <c r="R31"/>
  <c r="AJ41"/>
  <c r="L31"/>
  <c r="R51"/>
  <c r="X31"/>
  <c r="X11"/>
  <c r="X41"/>
  <c r="AJ31"/>
  <c r="AD51"/>
  <c r="R41"/>
  <c r="AD21"/>
  <c r="L51"/>
  <c r="AC26" i="1"/>
  <c r="AD27"/>
  <c r="AC50"/>
  <c r="AD51"/>
  <c r="K42" i="19"/>
  <c r="AC32"/>
  <c r="W42"/>
  <c r="AI52"/>
  <c r="K22"/>
  <c r="Q32"/>
  <c r="AI12"/>
  <c r="AC52"/>
  <c r="Q42"/>
  <c r="AC42"/>
  <c r="K12"/>
  <c r="Q22"/>
  <c r="W52"/>
  <c r="AI42"/>
  <c r="W32"/>
  <c r="AI22"/>
  <c r="W12"/>
  <c r="AI32"/>
  <c r="AC12"/>
  <c r="Q12"/>
  <c r="Q52"/>
  <c r="AE43" i="1"/>
  <c r="K32" i="19"/>
  <c r="W22"/>
  <c r="K52"/>
  <c r="AC22"/>
  <c r="AC40"/>
  <c r="W10"/>
  <c r="AC50"/>
  <c r="Q10"/>
  <c r="Q30"/>
  <c r="W50"/>
  <c r="K40"/>
  <c r="Q50"/>
  <c r="W20"/>
  <c r="AE31" i="1"/>
  <c r="K10" i="19"/>
  <c r="Q40"/>
  <c r="K30"/>
  <c r="AI50"/>
  <c r="AI20"/>
  <c r="K50"/>
  <c r="AI40"/>
  <c r="W40"/>
  <c r="K20"/>
  <c r="AC10"/>
  <c r="AI10"/>
  <c r="AC20"/>
  <c r="AI30"/>
  <c r="AC30"/>
  <c r="W30"/>
  <c r="Q20"/>
  <c r="AC56" i="1"/>
  <c r="AD57"/>
  <c r="K39" i="19"/>
  <c r="AC39"/>
  <c r="W29"/>
  <c r="AI49"/>
  <c r="W9"/>
  <c r="AC19"/>
  <c r="Q49"/>
  <c r="W49"/>
  <c r="AC9"/>
  <c r="AI9"/>
  <c r="Q29"/>
  <c r="W39"/>
  <c r="Q39"/>
  <c r="AE25" i="1"/>
  <c r="K9" i="19"/>
  <c r="W19"/>
  <c r="AI39"/>
  <c r="K29"/>
  <c r="AC49"/>
  <c r="AI19"/>
  <c r="AC29"/>
  <c r="K19"/>
  <c r="K49"/>
  <c r="Q19"/>
  <c r="Q9"/>
  <c r="AI29"/>
  <c r="K23"/>
  <c r="AI43"/>
  <c r="AC43"/>
  <c r="AC53"/>
  <c r="W43"/>
  <c r="K13"/>
  <c r="Q53"/>
  <c r="AI53"/>
  <c r="K33"/>
  <c r="K43"/>
  <c r="AI33"/>
  <c r="AC33"/>
  <c r="AE49" i="1"/>
  <c r="Q33" i="19"/>
  <c r="AI23"/>
  <c r="K53"/>
  <c r="AC23"/>
  <c r="AC13"/>
  <c r="W23"/>
  <c r="W33"/>
  <c r="Q13"/>
  <c r="W13"/>
  <c r="AI13"/>
  <c r="Q43"/>
  <c r="Q23"/>
  <c r="W53"/>
  <c r="M12"/>
  <c r="AK42"/>
  <c r="AE32"/>
  <c r="AE45" i="1"/>
  <c r="M52" i="19"/>
  <c r="S12"/>
  <c r="M32"/>
  <c r="S52"/>
  <c r="Y52"/>
  <c r="Y42"/>
  <c r="AK12"/>
  <c r="S22"/>
  <c r="AE12"/>
  <c r="Y22"/>
  <c r="S32"/>
  <c r="AK52"/>
  <c r="M22"/>
  <c r="AK32"/>
  <c r="AE22"/>
  <c r="AE42"/>
  <c r="Y32"/>
  <c r="M42"/>
  <c r="Y12"/>
  <c r="AE52"/>
  <c r="AK22"/>
  <c r="S42"/>
  <c r="AC39" i="1"/>
  <c r="AD41"/>
  <c r="AC41" s="1"/>
  <c r="AD40"/>
  <c r="AC40" s="1"/>
  <c r="AC32"/>
  <c r="AD33"/>
  <c r="AC18" i="19"/>
  <c r="W28"/>
  <c r="W38"/>
  <c r="K18"/>
  <c r="AC8"/>
  <c r="AI48"/>
  <c r="AI28"/>
  <c r="K8"/>
  <c r="W18"/>
  <c r="W8"/>
  <c r="K38"/>
  <c r="AC28"/>
  <c r="AI8"/>
  <c r="Q8"/>
  <c r="W48"/>
  <c r="AI18"/>
  <c r="Q48"/>
  <c r="K48"/>
  <c r="Q38"/>
  <c r="K28"/>
  <c r="AC38"/>
  <c r="AC48"/>
  <c r="AI38"/>
  <c r="Q18"/>
  <c r="Q28"/>
  <c r="R40" l="1"/>
  <c r="AD10"/>
  <c r="X40"/>
  <c r="AJ10"/>
  <c r="R50"/>
  <c r="X10"/>
  <c r="R30"/>
  <c r="AE32" i="1"/>
  <c r="L10" i="19"/>
  <c r="L50"/>
  <c r="AJ20"/>
  <c r="AJ40"/>
  <c r="AD30"/>
  <c r="R20"/>
  <c r="AD50"/>
  <c r="AJ30"/>
  <c r="AJ50"/>
  <c r="X30"/>
  <c r="AD20"/>
  <c r="L40"/>
  <c r="X50"/>
  <c r="X20"/>
  <c r="AD40"/>
  <c r="R10"/>
  <c r="L30"/>
  <c r="L20"/>
  <c r="AC51" i="1"/>
  <c r="AD52"/>
  <c r="AC64"/>
  <c r="AD65"/>
  <c r="AC65" s="1"/>
  <c r="AD47" i="19"/>
  <c r="AJ27"/>
  <c r="AD27"/>
  <c r="AJ7"/>
  <c r="AJ37"/>
  <c r="L27"/>
  <c r="AD17"/>
  <c r="L37"/>
  <c r="R17"/>
  <c r="AJ17"/>
  <c r="X7"/>
  <c r="X47"/>
  <c r="L7"/>
  <c r="L17"/>
  <c r="R27"/>
  <c r="X27"/>
  <c r="R7"/>
  <c r="X17"/>
  <c r="AJ47"/>
  <c r="L47"/>
  <c r="R37"/>
  <c r="AD7"/>
  <c r="X37"/>
  <c r="R47"/>
  <c r="AD37"/>
  <c r="AJ43"/>
  <c r="AD33"/>
  <c r="X33"/>
  <c r="X13"/>
  <c r="AD43"/>
  <c r="L43"/>
  <c r="AE50" i="1"/>
  <c r="X23" i="19"/>
  <c r="R33"/>
  <c r="R43"/>
  <c r="AD53"/>
  <c r="AJ13"/>
  <c r="R23"/>
  <c r="R13"/>
  <c r="AJ53"/>
  <c r="L33"/>
  <c r="L23"/>
  <c r="X43"/>
  <c r="X53"/>
  <c r="AD13"/>
  <c r="L53"/>
  <c r="L13"/>
  <c r="AD23"/>
  <c r="AJ33"/>
  <c r="AJ23"/>
  <c r="R53"/>
  <c r="M55"/>
  <c r="AK15"/>
  <c r="AE25"/>
  <c r="AE63" i="1"/>
  <c r="Y35" i="19"/>
  <c r="M25"/>
  <c r="S55"/>
  <c r="S45"/>
  <c r="S35"/>
  <c r="M15"/>
  <c r="AE45"/>
  <c r="Y15"/>
  <c r="AK45"/>
  <c r="AE55"/>
  <c r="M35"/>
  <c r="M45"/>
  <c r="S25"/>
  <c r="AK35"/>
  <c r="Y25"/>
  <c r="AE15"/>
  <c r="Y45"/>
  <c r="AE35"/>
  <c r="AK25"/>
  <c r="Y55"/>
  <c r="S15"/>
  <c r="AK55"/>
  <c r="X8"/>
  <c r="R48"/>
  <c r="L8"/>
  <c r="AD38"/>
  <c r="AD48"/>
  <c r="AD8"/>
  <c r="R18"/>
  <c r="L38"/>
  <c r="AJ28"/>
  <c r="X18"/>
  <c r="X48"/>
  <c r="R28"/>
  <c r="L18"/>
  <c r="X28"/>
  <c r="R8"/>
  <c r="X38"/>
  <c r="AJ8"/>
  <c r="AD18"/>
  <c r="AJ38"/>
  <c r="L48"/>
  <c r="AJ48"/>
  <c r="AJ18"/>
  <c r="R38"/>
  <c r="AD28"/>
  <c r="L28"/>
  <c r="Z11"/>
  <c r="AF31"/>
  <c r="T51"/>
  <c r="N51"/>
  <c r="Z41"/>
  <c r="AF21"/>
  <c r="AL31"/>
  <c r="T31"/>
  <c r="Z31"/>
  <c r="N21"/>
  <c r="N31"/>
  <c r="AL11"/>
  <c r="T11"/>
  <c r="AF11"/>
  <c r="AL41"/>
  <c r="T21"/>
  <c r="Z21"/>
  <c r="AL51"/>
  <c r="N11"/>
  <c r="AF51"/>
  <c r="N41"/>
  <c r="Z51"/>
  <c r="AE40" i="1"/>
  <c r="AL21" i="19"/>
  <c r="T41"/>
  <c r="AF41"/>
  <c r="AE46"/>
  <c r="M36"/>
  <c r="Y16"/>
  <c r="AK46"/>
  <c r="S36"/>
  <c r="AE16"/>
  <c r="M6"/>
  <c r="AK16"/>
  <c r="M26"/>
  <c r="S46"/>
  <c r="AE26"/>
  <c r="M16"/>
  <c r="Y46"/>
  <c r="AK26"/>
  <c r="S16"/>
  <c r="Y6"/>
  <c r="AK36"/>
  <c r="S26"/>
  <c r="AE6"/>
  <c r="M46"/>
  <c r="Y26"/>
  <c r="AK6"/>
  <c r="Y36"/>
  <c r="S6"/>
  <c r="AE36"/>
  <c r="O11"/>
  <c r="O21"/>
  <c r="O51"/>
  <c r="AA31"/>
  <c r="AM31"/>
  <c r="AG51"/>
  <c r="AA41"/>
  <c r="AM11"/>
  <c r="U21"/>
  <c r="AG41"/>
  <c r="AM21"/>
  <c r="AM51"/>
  <c r="O41"/>
  <c r="U11"/>
  <c r="AG31"/>
  <c r="U41"/>
  <c r="AE41" i="1"/>
  <c r="AG11" i="19"/>
  <c r="AM41"/>
  <c r="AA21"/>
  <c r="AA51"/>
  <c r="U51"/>
  <c r="U31"/>
  <c r="AA11"/>
  <c r="AG21"/>
  <c r="O31"/>
  <c r="AC57" i="1"/>
  <c r="AD58"/>
  <c r="AC27"/>
  <c r="AD28"/>
  <c r="AC28" s="1"/>
  <c r="AD29"/>
  <c r="AC29" s="1"/>
  <c r="AC33"/>
  <c r="AD34"/>
  <c r="AE11" i="19"/>
  <c r="Y41"/>
  <c r="M41"/>
  <c r="Y21"/>
  <c r="AK41"/>
  <c r="S31"/>
  <c r="M31"/>
  <c r="M51"/>
  <c r="Y51"/>
  <c r="AK21"/>
  <c r="AK31"/>
  <c r="Y11"/>
  <c r="AE41"/>
  <c r="AE21"/>
  <c r="S51"/>
  <c r="AE51"/>
  <c r="AK51"/>
  <c r="M21"/>
  <c r="AE31"/>
  <c r="AE39" i="1"/>
  <c r="S41" i="19"/>
  <c r="AK11"/>
  <c r="S11"/>
  <c r="Y31"/>
  <c r="S21"/>
  <c r="M11"/>
  <c r="L54"/>
  <c r="AJ14"/>
  <c r="AD44"/>
  <c r="X54"/>
  <c r="R14"/>
  <c r="AD24"/>
  <c r="AD34"/>
  <c r="R54"/>
  <c r="L34"/>
  <c r="AJ34"/>
  <c r="X24"/>
  <c r="AJ24"/>
  <c r="X44"/>
  <c r="R24"/>
  <c r="AE56" i="1"/>
  <c r="X34" i="19"/>
  <c r="L14"/>
  <c r="AD14"/>
  <c r="L44"/>
  <c r="R44"/>
  <c r="AD54"/>
  <c r="X14"/>
  <c r="AJ44"/>
  <c r="R34"/>
  <c r="AJ54"/>
  <c r="L24"/>
  <c r="AD29"/>
  <c r="AD19"/>
  <c r="R39"/>
  <c r="R9"/>
  <c r="X49"/>
  <c r="X9"/>
  <c r="AD39"/>
  <c r="R29"/>
  <c r="L49"/>
  <c r="X19"/>
  <c r="X29"/>
  <c r="X39"/>
  <c r="L9"/>
  <c r="AE26" i="1"/>
  <c r="AD9" i="19"/>
  <c r="AJ49"/>
  <c r="L39"/>
  <c r="R19"/>
  <c r="AJ39"/>
  <c r="AJ29"/>
  <c r="AJ19"/>
  <c r="AJ9"/>
  <c r="AD49"/>
  <c r="L19"/>
  <c r="L29"/>
  <c r="R49"/>
  <c r="AC34" i="1" l="1"/>
  <c r="AD35"/>
  <c r="AC35" s="1"/>
  <c r="AG39" i="19"/>
  <c r="AG29"/>
  <c r="AM19"/>
  <c r="O39"/>
  <c r="AE29" i="1"/>
  <c r="AG49" i="19"/>
  <c r="O29"/>
  <c r="U29"/>
  <c r="O49"/>
  <c r="U49"/>
  <c r="AA19"/>
  <c r="U39"/>
  <c r="AG9"/>
  <c r="AA39"/>
  <c r="AM49"/>
  <c r="O19"/>
  <c r="AM39"/>
  <c r="AM29"/>
  <c r="O9"/>
  <c r="AM9"/>
  <c r="AA49"/>
  <c r="AG19"/>
  <c r="U9"/>
  <c r="U19"/>
  <c r="AA9"/>
  <c r="AA29"/>
  <c r="AE54"/>
  <c r="S24"/>
  <c r="AE34"/>
  <c r="Y54"/>
  <c r="AE14"/>
  <c r="Y34"/>
  <c r="M44"/>
  <c r="AK54"/>
  <c r="M24"/>
  <c r="AK34"/>
  <c r="Y14"/>
  <c r="AK14"/>
  <c r="Y24"/>
  <c r="S44"/>
  <c r="M34"/>
  <c r="AK44"/>
  <c r="M54"/>
  <c r="Y44"/>
  <c r="S54"/>
  <c r="AK24"/>
  <c r="M14"/>
  <c r="AE44"/>
  <c r="S34"/>
  <c r="AE57" i="1"/>
  <c r="AE24" i="19"/>
  <c r="S14"/>
  <c r="AK17"/>
  <c r="S27"/>
  <c r="S37"/>
  <c r="AE27"/>
  <c r="Y47"/>
  <c r="S7"/>
  <c r="M17"/>
  <c r="AE17"/>
  <c r="AK27"/>
  <c r="Y7"/>
  <c r="Y37"/>
  <c r="AE37"/>
  <c r="Y27"/>
  <c r="M47"/>
  <c r="AE47"/>
  <c r="Y17"/>
  <c r="AE7"/>
  <c r="M27"/>
  <c r="S47"/>
  <c r="M7"/>
  <c r="M37"/>
  <c r="S17"/>
  <c r="AK7"/>
  <c r="AK47"/>
  <c r="AK37"/>
  <c r="M48"/>
  <c r="S48"/>
  <c r="AE8"/>
  <c r="AE38"/>
  <c r="M38"/>
  <c r="AE18"/>
  <c r="AK48"/>
  <c r="AK18"/>
  <c r="AK28"/>
  <c r="S28"/>
  <c r="Y48"/>
  <c r="M8"/>
  <c r="Y8"/>
  <c r="M28"/>
  <c r="AK38"/>
  <c r="M18"/>
  <c r="Y28"/>
  <c r="S38"/>
  <c r="AE48"/>
  <c r="Y18"/>
  <c r="AK8"/>
  <c r="Y38"/>
  <c r="S8"/>
  <c r="S18"/>
  <c r="AE28"/>
  <c r="AA55"/>
  <c r="O45"/>
  <c r="AA15"/>
  <c r="AM55"/>
  <c r="O55"/>
  <c r="AG35"/>
  <c r="AM25"/>
  <c r="AM35"/>
  <c r="AA25"/>
  <c r="AM45"/>
  <c r="AG25"/>
  <c r="AA35"/>
  <c r="O25"/>
  <c r="U25"/>
  <c r="AG45"/>
  <c r="U35"/>
  <c r="AA45"/>
  <c r="AM15"/>
  <c r="U45"/>
  <c r="O35"/>
  <c r="O15"/>
  <c r="AE65" i="1"/>
  <c r="AG15" i="19"/>
  <c r="U15"/>
  <c r="AG55"/>
  <c r="U55"/>
  <c r="AE40"/>
  <c r="Y30"/>
  <c r="M20"/>
  <c r="AE33" i="1"/>
  <c r="Y20" i="19"/>
  <c r="M40"/>
  <c r="M10"/>
  <c r="AK20"/>
  <c r="AK10"/>
  <c r="AK30"/>
  <c r="Y40"/>
  <c r="S40"/>
  <c r="AE30"/>
  <c r="Y10"/>
  <c r="M30"/>
  <c r="AE50"/>
  <c r="AE20"/>
  <c r="S50"/>
  <c r="S10"/>
  <c r="Y50"/>
  <c r="S30"/>
  <c r="AK50"/>
  <c r="AE10"/>
  <c r="S20"/>
  <c r="M50"/>
  <c r="AK40"/>
  <c r="AF39"/>
  <c r="AL19"/>
  <c r="N39"/>
  <c r="Z19"/>
  <c r="AF19"/>
  <c r="N29"/>
  <c r="AL29"/>
  <c r="AL39"/>
  <c r="AF49"/>
  <c r="AF9"/>
  <c r="AL9"/>
  <c r="N49"/>
  <c r="Z9"/>
  <c r="Z49"/>
  <c r="N19"/>
  <c r="Z39"/>
  <c r="T9"/>
  <c r="T39"/>
  <c r="Z29"/>
  <c r="N9"/>
  <c r="T49"/>
  <c r="AE28" i="1"/>
  <c r="T19" i="19"/>
  <c r="AL49"/>
  <c r="T29"/>
  <c r="AF29"/>
  <c r="T18"/>
  <c r="N48"/>
  <c r="N8"/>
  <c r="T28"/>
  <c r="AF38"/>
  <c r="Z28"/>
  <c r="Z18"/>
  <c r="AF8"/>
  <c r="AL8"/>
  <c r="Z48"/>
  <c r="AL48"/>
  <c r="AL28"/>
  <c r="N38"/>
  <c r="AL38"/>
  <c r="AF28"/>
  <c r="AF18"/>
  <c r="AL18"/>
  <c r="Z8"/>
  <c r="T48"/>
  <c r="T8"/>
  <c r="T38"/>
  <c r="Z38"/>
  <c r="AF48"/>
  <c r="N28"/>
  <c r="N18"/>
  <c r="AL55"/>
  <c r="Z45"/>
  <c r="Z35"/>
  <c r="N25"/>
  <c r="Z55"/>
  <c r="N45"/>
  <c r="T35"/>
  <c r="T45"/>
  <c r="AL25"/>
  <c r="AL15"/>
  <c r="N35"/>
  <c r="AL35"/>
  <c r="Z25"/>
  <c r="AF25"/>
  <c r="T15"/>
  <c r="T55"/>
  <c r="AL45"/>
  <c r="T25"/>
  <c r="AF45"/>
  <c r="AF15"/>
  <c r="AE64" i="1"/>
  <c r="N15" i="19"/>
  <c r="AF55"/>
  <c r="N55"/>
  <c r="Z15"/>
  <c r="AF35"/>
  <c r="S39"/>
  <c r="M49"/>
  <c r="AE19"/>
  <c r="S49"/>
  <c r="AK19"/>
  <c r="Y9"/>
  <c r="M29"/>
  <c r="AE49"/>
  <c r="Y39"/>
  <c r="AK49"/>
  <c r="AK29"/>
  <c r="AK39"/>
  <c r="S19"/>
  <c r="M19"/>
  <c r="AE9"/>
  <c r="AE39"/>
  <c r="M39"/>
  <c r="AK9"/>
  <c r="Y19"/>
  <c r="S29"/>
  <c r="S9"/>
  <c r="AE29"/>
  <c r="Y49"/>
  <c r="AE27" i="1"/>
  <c r="M9" i="19"/>
  <c r="Y29"/>
  <c r="AC52" i="1"/>
  <c r="AD53"/>
  <c r="AC53" s="1"/>
  <c r="AM46" i="19"/>
  <c r="U36"/>
  <c r="AG16"/>
  <c r="O6"/>
  <c r="AA36"/>
  <c r="AM16"/>
  <c r="U6"/>
  <c r="AG46"/>
  <c r="AA16"/>
  <c r="AA6"/>
  <c r="AG6"/>
  <c r="AA46"/>
  <c r="AM26"/>
  <c r="U16"/>
  <c r="O36"/>
  <c r="U26"/>
  <c r="O46"/>
  <c r="AA26"/>
  <c r="AM6"/>
  <c r="U46"/>
  <c r="AG26"/>
  <c r="O16"/>
  <c r="AG36"/>
  <c r="O26"/>
  <c r="AM36"/>
  <c r="AC58" i="1"/>
  <c r="AD59"/>
  <c r="AC59" s="1"/>
  <c r="O8" i="19"/>
  <c r="AA48"/>
  <c r="AM38"/>
  <c r="U48"/>
  <c r="AA18"/>
  <c r="AG18"/>
  <c r="AG48"/>
  <c r="AM18"/>
  <c r="AA28"/>
  <c r="AG28"/>
  <c r="AA8"/>
  <c r="U18"/>
  <c r="AG38"/>
  <c r="U38"/>
  <c r="AM8"/>
  <c r="AA38"/>
  <c r="AM48"/>
  <c r="U28"/>
  <c r="O38"/>
  <c r="U8"/>
  <c r="AG8"/>
  <c r="O18"/>
  <c r="O28"/>
  <c r="O48"/>
  <c r="AM28"/>
  <c r="Y33"/>
  <c r="AE13"/>
  <c r="S23"/>
  <c r="Y13"/>
  <c r="AE23"/>
  <c r="AK33"/>
  <c r="AK13"/>
  <c r="S43"/>
  <c r="M23"/>
  <c r="Y43"/>
  <c r="M43"/>
  <c r="AE43"/>
  <c r="AE53"/>
  <c r="M13"/>
  <c r="AK43"/>
  <c r="AK23"/>
  <c r="Y23"/>
  <c r="AE33"/>
  <c r="M53"/>
  <c r="S13"/>
  <c r="S33"/>
  <c r="AK53"/>
  <c r="Y53"/>
  <c r="S53"/>
  <c r="AE51" i="1"/>
  <c r="M33" i="19"/>
  <c r="AF6"/>
  <c r="N46"/>
  <c r="Z26"/>
  <c r="AL6"/>
  <c r="AL36"/>
  <c r="AF26"/>
  <c r="Z6"/>
  <c r="T26"/>
  <c r="Z46"/>
  <c r="AF46"/>
  <c r="T46"/>
  <c r="T6"/>
  <c r="AF36"/>
  <c r="N26"/>
  <c r="Z16"/>
  <c r="AL26"/>
  <c r="Z36"/>
  <c r="N36"/>
  <c r="AL46"/>
  <c r="T36"/>
  <c r="AF16"/>
  <c r="N6"/>
  <c r="N16"/>
  <c r="AL16"/>
  <c r="T16"/>
  <c r="AG24" l="1"/>
  <c r="O44"/>
  <c r="O24"/>
  <c r="AM14"/>
  <c r="AG34"/>
  <c r="O34"/>
  <c r="AA44"/>
  <c r="O14"/>
  <c r="AA54"/>
  <c r="U14"/>
  <c r="AM44"/>
  <c r="AA34"/>
  <c r="AM24"/>
  <c r="AM54"/>
  <c r="AG14"/>
  <c r="AM34"/>
  <c r="U54"/>
  <c r="AG44"/>
  <c r="AA24"/>
  <c r="AG54"/>
  <c r="U34"/>
  <c r="U24"/>
  <c r="AE59" i="1"/>
  <c r="AA14" i="19"/>
  <c r="O54"/>
  <c r="U44"/>
  <c r="U43"/>
  <c r="U13"/>
  <c r="AM53"/>
  <c r="AA53"/>
  <c r="AA43"/>
  <c r="O53"/>
  <c r="O23"/>
  <c r="O13"/>
  <c r="AG43"/>
  <c r="U33"/>
  <c r="U23"/>
  <c r="AM13"/>
  <c r="AM23"/>
  <c r="AG13"/>
  <c r="AA23"/>
  <c r="AG33"/>
  <c r="AA33"/>
  <c r="AM33"/>
  <c r="AA13"/>
  <c r="AE53" i="1"/>
  <c r="AG23" i="19"/>
  <c r="U53"/>
  <c r="AG53"/>
  <c r="O43"/>
  <c r="AM43"/>
  <c r="O33"/>
  <c r="AF54"/>
  <c r="AL34"/>
  <c r="AF34"/>
  <c r="AL14"/>
  <c r="AF44"/>
  <c r="T44"/>
  <c r="N14"/>
  <c r="N44"/>
  <c r="T24"/>
  <c r="N24"/>
  <c r="AL44"/>
  <c r="N34"/>
  <c r="Z44"/>
  <c r="Z24"/>
  <c r="T14"/>
  <c r="N54"/>
  <c r="T34"/>
  <c r="Z14"/>
  <c r="AF24"/>
  <c r="AF14"/>
  <c r="Z54"/>
  <c r="AL54"/>
  <c r="T54"/>
  <c r="AL24"/>
  <c r="Z34"/>
  <c r="AE58" i="1"/>
  <c r="AF53" i="19"/>
  <c r="T43"/>
  <c r="Z53"/>
  <c r="N43"/>
  <c r="T23"/>
  <c r="AF43"/>
  <c r="Z13"/>
  <c r="Z43"/>
  <c r="AF23"/>
  <c r="AL13"/>
  <c r="Z23"/>
  <c r="AL43"/>
  <c r="AF13"/>
  <c r="AL23"/>
  <c r="N13"/>
  <c r="T33"/>
  <c r="AL53"/>
  <c r="N23"/>
  <c r="N53"/>
  <c r="AF33"/>
  <c r="N33"/>
  <c r="AE52" i="1"/>
  <c r="T53" i="19"/>
  <c r="AL33"/>
  <c r="T13"/>
  <c r="Z33"/>
  <c r="Z47"/>
  <c r="T7"/>
  <c r="AL37"/>
  <c r="T17"/>
  <c r="Z17"/>
  <c r="AF7"/>
  <c r="AF37"/>
  <c r="N17"/>
  <c r="AF27"/>
  <c r="AF47"/>
  <c r="AL47"/>
  <c r="T27"/>
  <c r="Z37"/>
  <c r="T37"/>
  <c r="N37"/>
  <c r="N47"/>
  <c r="Z27"/>
  <c r="AL7"/>
  <c r="AL17"/>
  <c r="AF17"/>
  <c r="AL27"/>
  <c r="N27"/>
  <c r="N7"/>
  <c r="Z7"/>
  <c r="T47"/>
  <c r="O20"/>
  <c r="AM40"/>
  <c r="O30"/>
  <c r="AM50"/>
  <c r="AA50"/>
  <c r="AM30"/>
  <c r="AM10"/>
  <c r="AM20"/>
  <c r="O50"/>
  <c r="U30"/>
  <c r="AA10"/>
  <c r="U40"/>
  <c r="O40"/>
  <c r="U20"/>
  <c r="AE35" i="1"/>
  <c r="AG40" i="19"/>
  <c r="AG50"/>
  <c r="U50"/>
  <c r="AA30"/>
  <c r="AG10"/>
  <c r="AA40"/>
  <c r="AG20"/>
  <c r="AA20"/>
  <c r="U10"/>
  <c r="AG30"/>
  <c r="O10"/>
  <c r="AG37"/>
  <c r="AG47"/>
  <c r="U7"/>
  <c r="AM47"/>
  <c r="U27"/>
  <c r="O37"/>
  <c r="O17"/>
  <c r="AA7"/>
  <c r="AA47"/>
  <c r="O27"/>
  <c r="U37"/>
  <c r="AM17"/>
  <c r="AM37"/>
  <c r="AG27"/>
  <c r="AM7"/>
  <c r="AG7"/>
  <c r="AA17"/>
  <c r="O7"/>
  <c r="AA37"/>
  <c r="AA27"/>
  <c r="AM27"/>
  <c r="U17"/>
  <c r="U47"/>
  <c r="AG17"/>
  <c r="O47"/>
  <c r="Z40"/>
  <c r="AE34" i="1"/>
  <c r="T10" i="19"/>
  <c r="AF10"/>
  <c r="T20"/>
  <c r="N30"/>
  <c r="Z20"/>
  <c r="AF50"/>
  <c r="T50"/>
  <c r="AL30"/>
  <c r="T40"/>
  <c r="AF40"/>
  <c r="AF30"/>
  <c r="N50"/>
  <c r="AL40"/>
  <c r="AL20"/>
  <c r="Z10"/>
  <c r="AF20"/>
  <c r="N10"/>
  <c r="Z50"/>
  <c r="AL50"/>
  <c r="N40"/>
  <c r="T30"/>
  <c r="Z30"/>
  <c r="AL10"/>
  <c r="N20"/>
  <c r="B223" i="13"/>
  <c r="B222"/>
  <c r="M10" i="1" l="1"/>
  <c r="N10" s="1"/>
  <c r="M14"/>
  <c r="N14" s="1"/>
  <c r="M18"/>
  <c r="N18" s="1"/>
  <c r="M36"/>
  <c r="N36" s="1"/>
  <c r="M30"/>
  <c r="N30" s="1"/>
  <c r="M24"/>
  <c r="N24" s="1"/>
  <c r="M60"/>
  <c r="N60" s="1"/>
  <c r="M48"/>
  <c r="N48" s="1"/>
  <c r="M54"/>
  <c r="N54" s="1"/>
  <c r="M42"/>
  <c r="N42" s="1"/>
  <c r="R34" i="18" l="1"/>
  <c r="X42"/>
  <c r="L34"/>
  <c r="AD34"/>
  <c r="AJ42"/>
  <c r="AD10"/>
  <c r="R10"/>
  <c r="R42"/>
  <c r="L42"/>
  <c r="X26"/>
  <c r="L26"/>
  <c r="AJ18"/>
  <c r="X18"/>
  <c r="P48" i="1"/>
  <c r="AJ26" i="18"/>
  <c r="R18"/>
  <c r="X34"/>
  <c r="AJ10"/>
  <c r="AD26"/>
  <c r="AD42"/>
  <c r="AJ34"/>
  <c r="X10"/>
  <c r="R26"/>
  <c r="AD18"/>
  <c r="O48" i="1"/>
  <c r="L10" i="18"/>
  <c r="L18"/>
  <c r="Z32"/>
  <c r="N8"/>
  <c r="N32"/>
  <c r="O36" i="1"/>
  <c r="N16" i="18"/>
  <c r="P36" i="1"/>
  <c r="Z8" i="18"/>
  <c r="AL32"/>
  <c r="Z40"/>
  <c r="N40"/>
  <c r="AL8"/>
  <c r="Z24"/>
  <c r="AF8"/>
  <c r="AL16"/>
  <c r="AF24"/>
  <c r="AF32"/>
  <c r="T40"/>
  <c r="Z16"/>
  <c r="T24"/>
  <c r="AL24"/>
  <c r="AL40"/>
  <c r="AF16"/>
  <c r="N24"/>
  <c r="T32"/>
  <c r="T16"/>
  <c r="AF40"/>
  <c r="T8"/>
  <c r="V12"/>
  <c r="J20"/>
  <c r="J44"/>
  <c r="AB28"/>
  <c r="P28"/>
  <c r="AH28"/>
  <c r="P60" i="1"/>
  <c r="V36" i="18"/>
  <c r="P12"/>
  <c r="V20"/>
  <c r="AH20"/>
  <c r="J28"/>
  <c r="P20"/>
  <c r="O60" i="1"/>
  <c r="AD60" s="1"/>
  <c r="AC60" s="1"/>
  <c r="AB20" i="18"/>
  <c r="P44"/>
  <c r="AB12"/>
  <c r="AB36"/>
  <c r="P36"/>
  <c r="J12"/>
  <c r="AB44"/>
  <c r="AH36"/>
  <c r="V44"/>
  <c r="J36"/>
  <c r="AH12"/>
  <c r="V28"/>
  <c r="AH44"/>
  <c r="P18" i="1"/>
  <c r="O18"/>
  <c r="T22" i="18"/>
  <c r="AF6"/>
  <c r="T38"/>
  <c r="AL6"/>
  <c r="N6"/>
  <c r="Z30"/>
  <c r="AL22"/>
  <c r="N30"/>
  <c r="T6"/>
  <c r="Z6"/>
  <c r="AL38"/>
  <c r="T30"/>
  <c r="AF22"/>
  <c r="AL30"/>
  <c r="N14"/>
  <c r="N38"/>
  <c r="T14"/>
  <c r="Z22"/>
  <c r="AL14"/>
  <c r="Z38"/>
  <c r="N22"/>
  <c r="AF30"/>
  <c r="Z14"/>
  <c r="AF14"/>
  <c r="AF38"/>
  <c r="AH18"/>
  <c r="V42"/>
  <c r="J34"/>
  <c r="P26"/>
  <c r="J10"/>
  <c r="V10"/>
  <c r="AH34"/>
  <c r="J26"/>
  <c r="P10"/>
  <c r="AH10"/>
  <c r="V34"/>
  <c r="P18"/>
  <c r="P42"/>
  <c r="O42" i="1"/>
  <c r="J42" i="18"/>
  <c r="P34"/>
  <c r="AB18"/>
  <c r="AH42"/>
  <c r="AB26"/>
  <c r="AH26"/>
  <c r="V26"/>
  <c r="AB34"/>
  <c r="AB10"/>
  <c r="J18"/>
  <c r="P42" i="1"/>
  <c r="V18" i="18"/>
  <c r="AB42"/>
  <c r="P16"/>
  <c r="P40"/>
  <c r="V32"/>
  <c r="O24" i="1"/>
  <c r="V8" i="18"/>
  <c r="AB16"/>
  <c r="AH24"/>
  <c r="V40"/>
  <c r="AH8"/>
  <c r="AH40"/>
  <c r="J40"/>
  <c r="AB40"/>
  <c r="AH32"/>
  <c r="AB24"/>
  <c r="J8"/>
  <c r="AB32"/>
  <c r="AB8"/>
  <c r="J16"/>
  <c r="J24"/>
  <c r="P32"/>
  <c r="J32"/>
  <c r="V24"/>
  <c r="P8"/>
  <c r="P24"/>
  <c r="AH16"/>
  <c r="V16"/>
  <c r="P24" i="1"/>
  <c r="O14"/>
  <c r="P14"/>
  <c r="AD38" i="18"/>
  <c r="R38"/>
  <c r="AJ14"/>
  <c r="X30"/>
  <c r="L30"/>
  <c r="L22"/>
  <c r="AJ38"/>
  <c r="AJ30"/>
  <c r="AJ22"/>
  <c r="R22"/>
  <c r="X6"/>
  <c r="R30"/>
  <c r="AD14"/>
  <c r="AD30"/>
  <c r="L38"/>
  <c r="X22"/>
  <c r="AJ6"/>
  <c r="L6"/>
  <c r="AD6"/>
  <c r="AD22"/>
  <c r="X38"/>
  <c r="R14"/>
  <c r="L14"/>
  <c r="R6"/>
  <c r="X14"/>
  <c r="Z42"/>
  <c r="AF18"/>
  <c r="T18"/>
  <c r="Z26"/>
  <c r="AF34"/>
  <c r="AL34"/>
  <c r="AF42"/>
  <c r="N42"/>
  <c r="T10"/>
  <c r="Z18"/>
  <c r="P54" i="1"/>
  <c r="AL10" i="18"/>
  <c r="AL42"/>
  <c r="AL26"/>
  <c r="AF26"/>
  <c r="N34"/>
  <c r="Z10"/>
  <c r="O54" i="1"/>
  <c r="N18" i="18"/>
  <c r="AF10"/>
  <c r="T26"/>
  <c r="N26"/>
  <c r="T34"/>
  <c r="AL18"/>
  <c r="T42"/>
  <c r="N10"/>
  <c r="Z34"/>
  <c r="AD32"/>
  <c r="AD24"/>
  <c r="X40"/>
  <c r="AJ8"/>
  <c r="P30" i="1"/>
  <c r="AJ24" i="18"/>
  <c r="L32"/>
  <c r="AD16"/>
  <c r="X8"/>
  <c r="O30" i="1"/>
  <c r="R40" i="18"/>
  <c r="L40"/>
  <c r="X16"/>
  <c r="L16"/>
  <c r="R24"/>
  <c r="L8"/>
  <c r="X32"/>
  <c r="R32"/>
  <c r="AJ40"/>
  <c r="AJ16"/>
  <c r="R16"/>
  <c r="R8"/>
  <c r="AD40"/>
  <c r="AJ32"/>
  <c r="AD8"/>
  <c r="L24"/>
  <c r="X24"/>
  <c r="O10" i="1"/>
  <c r="AD10" s="1"/>
  <c r="P10"/>
  <c r="J38" i="18"/>
  <c r="J6"/>
  <c r="AH14"/>
  <c r="P30"/>
  <c r="AH38"/>
  <c r="AH22"/>
  <c r="J14"/>
  <c r="P6"/>
  <c r="AB38"/>
  <c r="P22"/>
  <c r="AB22"/>
  <c r="V30"/>
  <c r="AH30"/>
  <c r="J30"/>
  <c r="J22"/>
  <c r="P38"/>
  <c r="V38"/>
  <c r="AB6"/>
  <c r="P14"/>
  <c r="V22"/>
  <c r="AB30"/>
  <c r="V14"/>
  <c r="AB14"/>
  <c r="AH6"/>
  <c r="V6"/>
  <c r="AC10" i="1" l="1"/>
  <c r="AE10" s="1"/>
  <c r="AD11"/>
  <c r="AH45" i="19"/>
  <c r="AH35"/>
  <c r="J25"/>
  <c r="V55"/>
  <c r="AB35"/>
  <c r="P55"/>
  <c r="V25"/>
  <c r="AH15"/>
  <c r="V45"/>
  <c r="V35"/>
  <c r="J15"/>
  <c r="J55"/>
  <c r="AB45"/>
  <c r="AH25"/>
  <c r="AB55"/>
  <c r="AH55"/>
  <c r="AE60" i="1"/>
  <c r="AB15" i="19"/>
  <c r="AB25"/>
  <c r="P15"/>
  <c r="P45"/>
  <c r="J45"/>
  <c r="V15"/>
  <c r="P25"/>
  <c r="J35"/>
  <c r="P35"/>
  <c r="AB46" l="1"/>
  <c r="V36"/>
  <c r="AH36"/>
  <c r="V16"/>
  <c r="P6"/>
  <c r="AH26"/>
  <c r="P26"/>
  <c r="V6"/>
  <c r="J36"/>
  <c r="V46"/>
  <c r="V26"/>
  <c r="AH16"/>
  <c r="J16"/>
  <c r="J46"/>
  <c r="AH46"/>
  <c r="AH6"/>
  <c r="P16"/>
  <c r="J26"/>
  <c r="AB26"/>
  <c r="AB16"/>
  <c r="P36"/>
  <c r="P46"/>
  <c r="AB6"/>
  <c r="J6"/>
  <c r="AB36"/>
  <c r="AC11" i="1"/>
  <c r="W36" i="19" s="1"/>
  <c r="AD12" i="1"/>
  <c r="AC12" s="1"/>
  <c r="AC46" i="19" l="1"/>
  <c r="AI46"/>
  <c r="Q46"/>
  <c r="K6"/>
  <c r="K26"/>
  <c r="AI26"/>
  <c r="AC16"/>
  <c r="W6"/>
  <c r="AC6"/>
  <c r="Q6"/>
  <c r="W16"/>
  <c r="W26"/>
  <c r="K46"/>
  <c r="AC36"/>
  <c r="W46"/>
  <c r="AI36"/>
  <c r="AI16"/>
  <c r="Q16"/>
  <c r="AE11" i="1"/>
  <c r="AE12"/>
  <c r="L36" i="19"/>
  <c r="X6"/>
  <c r="AJ6"/>
  <c r="L16"/>
  <c r="AJ36"/>
  <c r="L26"/>
  <c r="AD46"/>
  <c r="R6"/>
  <c r="L6"/>
  <c r="X16"/>
  <c r="R36"/>
  <c r="AD36"/>
  <c r="AD16"/>
  <c r="R26"/>
  <c r="R16"/>
  <c r="X26"/>
  <c r="AJ46"/>
  <c r="AJ26"/>
  <c r="X36"/>
  <c r="R46"/>
  <c r="X46"/>
  <c r="AD6"/>
  <c r="AJ16"/>
  <c r="L46"/>
  <c r="AD26"/>
  <c r="Q26"/>
  <c r="AC26"/>
  <c r="K36"/>
  <c r="Q36"/>
  <c r="AI6"/>
  <c r="K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<sst xmlns="http://schemas.openxmlformats.org/spreadsheetml/2006/main" count="347" uniqueCount="237">
  <si>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</si>
  <si>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</si>
  <si>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</si>
  <si>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</si>
  <si>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</si>
  <si>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</si>
  <si>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</si>
  <si>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</si>
  <si>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</si>
  <si>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</si>
  <si>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</si>
  <si>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</si>
  <si>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</si>
  <si>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</si>
  <si>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</si>
  <si>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</si>
  <si>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</si>
  <si>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</si>
  <si>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</si>
  <si>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</si>
  <si>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</si>
  <si>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</si>
  <si>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</si>
  <si>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</si>
  <si>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</si>
  <si>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</si>
  <si>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</si>
  <si>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</si>
  <si>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</si>
  <si>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</si>
  <si>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</si>
  <si>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</si>
  <si>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</si>
  <si>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</si>
  <si>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</si>
  <si>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</si>
  <si>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</si>
  <si>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</si>
  <si>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</si>
  <si>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</si>
  <si>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</si>
  <si>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</si>
  <si>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</si>
  <si>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</si>
  <si>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</si>
  <si>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</si>
  <si>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</si>
  <si>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</si>
  <si>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</si>
  <si>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</si>
  <si>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</si>
  <si>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</si>
  <si>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</si>
  <si>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</si>
  <si>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</si>
  <si>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</si>
  <si>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</si>
  <si>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</si>
  <si>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</si>
  <si>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</si>
  <si>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</si>
  <si>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</si>
  <si>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</si>
  <si>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</si>
  <si>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</si>
  <si>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</si>
  <si>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</si>
  <si>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</si>
  <si>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</si>
  <si>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</si>
  <si>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</si>
  <si>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</si>
  <si>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</si>
  <si>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</si>
  <si>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</si>
  <si>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</si>
  <si>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</si>
  <si>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</si>
  <si>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</si>
  <si>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</si>
  <si>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</si>
  <si>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</si>
  <si>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</si>
  <si>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</si>
  <si>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</si>
  <si>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</si>
  <si>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</si>
  <si>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</si>
  <si>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</si>
  <si>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</si>
  <si>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</si>
  <si>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</si>
  <si>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</si>
  <si>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</si>
  <si>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</si>
  <si>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</si>
  <si>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</si>
  <si>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</si>
  <si>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</si>
  <si>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</si>
  <si>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</si>
  <si>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</si>
  <si>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</si>
  <si>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</si>
  <si>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</si>
  <si>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</si>
  <si>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</si>
  <si>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</si>
  <si>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</si>
  <si>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</si>
  <si>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</si>
  <si>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</si>
  <si>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</si>
  <si>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</si>
  <si>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</si>
  <si>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</si>
  <si>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</si>
  <si>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</si>
  <si>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</si>
  <si>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</si>
  <si>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</si>
  <si>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</si>
  <si>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</si>
  <si>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</si>
  <si>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</si>
  <si>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</si>
  <si>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</si>
  <si>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</si>
  <si>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</si>
  <si>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</si>
  <si>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</si>
  <si>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</si>
  <si>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</si>
  <si>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</si>
  <si>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</si>
  <si>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</si>
  <si>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</si>
  <si>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</si>
  <si>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</si>
  <si>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</si>
  <si>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</si>
  <si>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</si>
  <si>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</si>
  <si>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</si>
  <si>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</si>
  <si>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</si>
  <si>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</si>
  <si>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</si>
  <si>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</si>
  <si>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</si>
  <si>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</si>
  <si>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</si>
  <si>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</si>
  <si>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</si>
  <si>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</si>
  <si>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</si>
  <si>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</si>
  <si>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</si>
  <si>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</si>
  <si>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</si>
  <si>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</si>
  <si>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</si>
  <si>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</si>
  <si>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</si>
  <si>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</si>
  <si>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</si>
  <si>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</si>
  <si>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</si>
  <si>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</si>
  <si>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</si>
  <si>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</si>
  <si>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</si>
  <si>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</si>
  <si>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</si>
  <si>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</si>
  <si>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</si>
  <si>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</si>
  <si>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</si>
  <si>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</si>
  <si>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</si>
  <si>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</si>
  <si>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</si>
  <si>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</si>
  <si>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</si>
  <si>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</si>
  <si>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</si>
  <si>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</si>
  <si>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</si>
  <si>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</si>
  <si>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</si>
  <si>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</si>
  <si>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</si>
  <si>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</si>
  <si>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</si>
  <si>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</si>
  <si>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</si>
  <si>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</si>
  <si>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</si>
  <si>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</si>
  <si>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</si>
  <si>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</si>
  <si>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</si>
  <si>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</si>
  <si>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</si>
  <si>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</si>
  <si>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</si>
  <si>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</si>
  <si>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</si>
  <si>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</si>
  <si>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</si>
  <si>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</si>
  <si>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</si>
  <si>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</si>
  <si>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</si>
  <si>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</si>
  <si>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 de Riesgo</t>
  </si>
  <si>
    <t>GESTIÓN DEL DESARROLLO ECONÓMICO Y LA COMPETITIVIDAD</t>
  </si>
  <si>
    <t>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t>
  </si>
  <si>
    <t>INICIA CON LA PLANEACIÓN DEL PROCESO, CONTINÚA CON LA CARACTERIZACIÓN DE LA POBLACION OBJETIVO FORMULANDO Y EJECUTANDO ACTIVIDADES DE EMPRENDIMIENTO, EMPLEABILIDAD, SOCIEDADES DE HECHO Y PRODUCTORES AGROPECUARIOS HASTA EL SEGUIMIENTO DE LA FORMULACION Y EJECUCION DE LOS PROYECTOS</t>
  </si>
  <si>
    <t>Los entes de control, realizaran las sanciones que hay a lugar.</t>
  </si>
  <si>
    <t>La baja cobertura para la promoción del desarrollo económico y la competividad para los emprendedores, empresarios y ciudadanos del municipio de Ibagué.</t>
  </si>
  <si>
    <t>Probabilidad de  selección de beneficiarios que no cumplan los requisitos establecidos.</t>
  </si>
  <si>
    <t>Ejecución presupuestal y de campo de los diferentes proyectos y programas</t>
  </si>
  <si>
    <t xml:space="preserve">Cada secretaria involucrada en el proceso, debera realizar un cronograma general de las actividades y/o compromisos del proceso, con el fin de que sirva de insumo para realizar un seguimiento integral </t>
  </si>
  <si>
    <t>SECRETARIA DE DESARROLLO ECONOMICO Y SECRETARIA DE AGRICULTURA Y DESARROLLO RURAL</t>
  </si>
  <si>
    <t>• Desconocimiento e insuficiente capacitación de la normatividad vigente y procesos aplicables.</t>
  </si>
  <si>
    <t>Pérdida de Credibilidad y confianza en la Entidad.</t>
  </si>
  <si>
    <t>Investigaciones administrativas y fiscales.</t>
  </si>
  <si>
    <t xml:space="preserve">Por el desconocimiento de la normatividad, los procesos e interés de funcionarios públicos de favorecer a particulares, surge la posibilidad de recibir o solicitar dádivas para beneficiar a un tercero, lo que conlleva a la pérdida de Credibilidad y confianza en la Entidad, investigaciones administrativas y fiscales, e Incremento en las peticiones, quejas y reclamos (PQRs) </t>
  </si>
  <si>
    <t>Incremento en las peticiones, quejas y reclamos (PQRs)</t>
  </si>
  <si>
    <t>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t>
  </si>
  <si>
    <t>LA RENUENCIA A PUBLICAR Y PROMOVER PERMANENTEMENTE LOS SERVICIOS  Y CONVOCATORIAS, QUE AYUDEN CON  LAS NECESIDADES DE LOS DIFERENTES GRUPOS DE INTERÉS QUE ATIENDEN LAS DEPENDENCIAS, COMO LOS EMPRENDEDORES, EMPRESARIOS Y CIUDADANOS DEL MUNICIPIO DE IBAGUÉ.</t>
  </si>
  <si>
    <t>Posibilidad de perdida economica y reputacional, debido a investigaciones administrativas y fiscales  que los Entes de control realicen,  por la renuencia a promover permanentemente los servicios del proceso Y no gestionar alianzas o proyectos productivos.</t>
  </si>
  <si>
    <t>01/01/2022   31/12/2022</t>
  </si>
  <si>
    <t>Se realizaran trimestral cada una en Las  Secretaría Desarrollo económico (Dirección de emprendimiento, fortalecimiento empresarial y empleo y Dirección de Turismo) y Secretaría de agricultura y desarrollo rural, comite tecnico , para   revisar  los planes de acción y a la ejecución de los mismos. dejando como evidencia un acta y planilla de asistencia.</t>
  </si>
  <si>
    <t xml:space="preserve">  Cuatrimestralmente las Secretaría Desarrollo económico y Secretaría de agricultura y desarrollo rural realizaran socialización, del sigami y  del código de integridad y buen gobierno a las personas que conforman las secretarías y se les recuerda que en el contrato de prestación de servicios queda estipulado que se acogen a este código; dejando como evidencias actas y/o planillas de asistencia interna de la socializaciòn. </t>
  </si>
  <si>
    <r>
      <t xml:space="preserve">Semestralmente las Secretaría Desarrollo económico (Dirección de emprendimiento, fortalecimiento empresarial y empleo y Dirección de Turismo) y Secretaría de agricultura y desarrollo rural, cada una con los </t>
    </r>
    <r>
      <rPr>
        <sz val="11"/>
        <color rgb="FFFF0000"/>
        <rFont val="Arial"/>
        <family val="2"/>
      </rPr>
      <t xml:space="preserve"> </t>
    </r>
    <r>
      <rPr>
        <sz val="11"/>
        <rFont val="Arial"/>
        <family val="2"/>
      </rPr>
      <t>asesores, profesionales  universitarios y contratistas</t>
    </r>
    <r>
      <rPr>
        <sz val="11"/>
        <color theme="1"/>
        <rFont val="Arial"/>
        <family val="2"/>
      </rPr>
      <t xml:space="preserve"> se reuniran dos veces por  vigencia, empezando vigencia y cada vez que se requiera para mirar el avance físico de las metas producto del plan indicativo y generar estrategias para cumplir las mismas.  Las respectivas evidencias de las reuniones son las planillas de asistencia internas y actas.</t>
    </r>
  </si>
</sst>
</file>

<file path=xl/styles.xml><?xml version="1.0" encoding="utf-8"?>
<styleSheet xmlns="http://schemas.openxmlformats.org/spreadsheetml/2006/main">
  <numFmts count="1">
    <numFmt numFmtId="164" formatCode="0.0%"/>
  </numFmts>
  <fonts count="67">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color theme="1"/>
      <name val="Arial"/>
      <family val="2"/>
    </font>
    <font>
      <sz val="14"/>
      <color theme="1"/>
      <name val="Arial"/>
      <family val="2"/>
    </font>
    <font>
      <sz val="11"/>
      <color theme="1"/>
      <name val="Arial"/>
      <family val="2"/>
    </font>
    <font>
      <sz val="12"/>
      <name val="Arial Black"/>
      <family val="2"/>
    </font>
    <font>
      <sz val="11"/>
      <color theme="1"/>
      <name val="Arial Black"/>
      <family val="2"/>
    </font>
    <font>
      <sz val="12"/>
      <color theme="1"/>
      <name val="Arial Black"/>
      <family val="2"/>
    </font>
    <font>
      <sz val="11"/>
      <color rgb="FFFF0000"/>
      <name val="Arial"/>
      <family val="2"/>
    </font>
    <font>
      <sz val="1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theme="4"/>
      </left>
      <right/>
      <top/>
      <bottom/>
      <diagonal/>
    </border>
    <border>
      <left/>
      <right style="dashed">
        <color theme="9" tint="-0.24994659260841701"/>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4" fillId="0" borderId="0" applyFont="0" applyFill="0" applyBorder="0" applyAlignment="0" applyProtection="0"/>
    <xf numFmtId="0" fontId="47" fillId="0" borderId="0"/>
    <xf numFmtId="0" fontId="48" fillId="0" borderId="0"/>
    <xf numFmtId="0" fontId="5" fillId="0" borderId="0"/>
  </cellStyleXfs>
  <cellXfs count="4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Fill="1" applyAlignment="1">
      <alignment vertical="center"/>
    </xf>
    <xf numFmtId="0" fontId="29" fillId="0" borderId="0" xfId="0" applyFont="1" applyFill="1"/>
    <xf numFmtId="0" fontId="27" fillId="0" borderId="0" xfId="0" applyFont="1"/>
    <xf numFmtId="0" fontId="0" fillId="0" borderId="0" xfId="0" pivotButton="1"/>
    <xf numFmtId="0" fontId="12" fillId="0" borderId="0" xfId="0" applyFont="1" applyBorder="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23" fillId="13" borderId="19" xfId="0" applyFont="1" applyFill="1" applyBorder="1" applyAlignment="1" applyProtection="1">
      <alignment horizontal="center" wrapText="1" readingOrder="1"/>
      <protection hidden="1"/>
    </xf>
    <xf numFmtId="0" fontId="0" fillId="3" borderId="0" xfId="0" applyFill="1"/>
    <xf numFmtId="0" fontId="49" fillId="3" borderId="51" xfId="2" applyFont="1" applyFill="1" applyBorder="1" applyProtection="1"/>
    <xf numFmtId="0" fontId="49" fillId="3" borderId="52" xfId="2" applyFont="1" applyFill="1" applyBorder="1" applyProtection="1"/>
    <xf numFmtId="0" fontId="49" fillId="3" borderId="53" xfId="2" applyFont="1" applyFill="1" applyBorder="1" applyProtection="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34" xfId="0" applyFont="1" applyFill="1" applyBorder="1" applyAlignment="1">
      <alignment horizontal="center" vertical="center" wrapText="1" readingOrder="1"/>
    </xf>
    <xf numFmtId="0" fontId="38" fillId="3" borderId="34" xfId="0" applyFont="1" applyFill="1" applyBorder="1" applyAlignment="1">
      <alignment horizontal="justify" vertical="center" wrapText="1" readingOrder="1"/>
    </xf>
    <xf numFmtId="9" fontId="37" fillId="3" borderId="43" xfId="0" applyNumberFormat="1"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8" fillId="3" borderId="33" xfId="0" applyFont="1" applyFill="1" applyBorder="1" applyAlignment="1">
      <alignment horizontal="justify" vertical="center" wrapText="1" readingOrder="1"/>
    </xf>
    <xf numFmtId="9" fontId="37" fillId="3" borderId="38" xfId="0" applyNumberFormat="1"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xf numFmtId="0" fontId="38" fillId="3" borderId="40" xfId="0" applyFont="1" applyFill="1" applyBorder="1" applyAlignment="1">
      <alignment horizontal="justify" vertical="center" wrapText="1" readingOrder="1"/>
    </xf>
    <xf numFmtId="0" fontId="38" fillId="3" borderId="41" xfId="0" applyFont="1" applyFill="1" applyBorder="1" applyAlignment="1">
      <alignment horizontal="center" vertical="center" wrapText="1" readingOrder="1"/>
    </xf>
    <xf numFmtId="0" fontId="46" fillId="3" borderId="0" xfId="0" applyFont="1" applyFill="1"/>
    <xf numFmtId="0" fontId="37" fillId="15" borderId="45" xfId="0" applyFont="1" applyFill="1" applyBorder="1" applyAlignment="1">
      <alignment horizontal="center" vertical="center" wrapText="1" readingOrder="1"/>
    </xf>
    <xf numFmtId="0" fontId="37" fillId="15" borderId="46"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14" xfId="2" applyFont="1" applyFill="1" applyBorder="1" applyProtection="1"/>
    <xf numFmtId="0" fontId="54" fillId="3" borderId="0" xfId="0" applyFont="1" applyFill="1" applyBorder="1" applyAlignment="1" applyProtection="1">
      <alignment horizontal="left" vertical="center" wrapText="1"/>
    </xf>
    <xf numFmtId="0" fontId="55" fillId="3" borderId="0" xfId="0" applyFont="1" applyFill="1" applyBorder="1" applyAlignment="1" applyProtection="1">
      <alignment horizontal="left" vertical="top" wrapText="1"/>
    </xf>
    <xf numFmtId="0" fontId="49" fillId="3" borderId="0" xfId="2" applyFont="1" applyFill="1" applyBorder="1" applyProtection="1"/>
    <xf numFmtId="0" fontId="49" fillId="3" borderId="15" xfId="2" applyFont="1" applyFill="1" applyBorder="1" applyProtection="1"/>
    <xf numFmtId="0" fontId="49" fillId="3" borderId="16" xfId="2" applyFont="1" applyFill="1" applyBorder="1" applyProtection="1"/>
    <xf numFmtId="0" fontId="49" fillId="3" borderId="18" xfId="2" applyFont="1" applyFill="1" applyBorder="1" applyProtection="1"/>
    <xf numFmtId="0" fontId="49" fillId="3" borderId="17" xfId="2" applyFont="1" applyFill="1" applyBorder="1" applyProtection="1"/>
    <xf numFmtId="0" fontId="53" fillId="3" borderId="0" xfId="2" applyFont="1" applyFill="1" applyBorder="1" applyAlignment="1" applyProtection="1">
      <alignment horizontal="left" vertical="center" wrapText="1"/>
    </xf>
    <xf numFmtId="0" fontId="49" fillId="3" borderId="0" xfId="2" applyFont="1" applyFill="1" applyBorder="1" applyAlignment="1" applyProtection="1">
      <alignment horizontal="left" vertical="center" wrapText="1"/>
    </xf>
    <xf numFmtId="0" fontId="49" fillId="3" borderId="0" xfId="2" quotePrefix="1" applyFont="1" applyFill="1" applyBorder="1" applyAlignment="1" applyProtection="1">
      <alignment horizontal="left" vertical="center" wrapText="1"/>
    </xf>
    <xf numFmtId="0" fontId="49" fillId="3" borderId="15" xfId="2" applyFont="1" applyFill="1" applyBorder="1" applyAlignment="1" applyProtection="1"/>
    <xf numFmtId="0" fontId="51" fillId="3" borderId="14" xfId="2" quotePrefix="1" applyFont="1" applyFill="1" applyBorder="1" applyAlignment="1" applyProtection="1">
      <alignment horizontal="left" vertical="top" wrapText="1"/>
    </xf>
    <xf numFmtId="0" fontId="52" fillId="3" borderId="0" xfId="2" quotePrefix="1" applyFont="1" applyFill="1" applyBorder="1" applyAlignment="1" applyProtection="1">
      <alignment horizontal="left" vertical="top" wrapText="1"/>
    </xf>
    <xf numFmtId="0" fontId="52"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35" fillId="0" borderId="2" xfId="0" applyFont="1" applyBorder="1" applyAlignment="1" applyProtection="1">
      <alignment horizontal="center" vertical="top" textRotation="90"/>
      <protection locked="0"/>
    </xf>
    <xf numFmtId="9" fontId="35" fillId="0" borderId="2" xfId="0" applyNumberFormat="1" applyFont="1" applyBorder="1" applyAlignment="1" applyProtection="1">
      <alignment horizontal="center" vertical="top"/>
      <protection hidden="1"/>
    </xf>
    <xf numFmtId="0" fontId="58" fillId="0" borderId="2" xfId="0" applyFont="1" applyFill="1" applyBorder="1" applyAlignment="1" applyProtection="1">
      <alignment horizontal="center" vertical="top" textRotation="90" wrapText="1"/>
      <protection hidden="1"/>
    </xf>
    <xf numFmtId="9" fontId="35" fillId="0" borderId="4" xfId="0" applyNumberFormat="1" applyFont="1" applyBorder="1" applyAlignment="1" applyProtection="1">
      <alignment horizontal="center" vertical="top"/>
      <protection hidden="1"/>
    </xf>
    <xf numFmtId="0" fontId="58" fillId="0" borderId="2" xfId="0" applyFont="1" applyBorder="1" applyAlignment="1" applyProtection="1">
      <alignment horizontal="center" vertical="top" textRotation="90"/>
      <protection hidden="1"/>
    </xf>
    <xf numFmtId="0" fontId="35" fillId="0" borderId="4" xfId="0" applyFont="1" applyBorder="1" applyAlignment="1" applyProtection="1">
      <alignment horizontal="center" vertical="top" textRotation="90"/>
      <protection locked="0"/>
    </xf>
    <xf numFmtId="9" fontId="35"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hidden="1"/>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2" borderId="5" xfId="0" applyFont="1" applyFill="1" applyBorder="1" applyAlignment="1">
      <alignment horizontal="center" vertical="center"/>
    </xf>
    <xf numFmtId="0" fontId="1" fillId="0" borderId="8" xfId="0" applyFont="1" applyBorder="1" applyAlignment="1" applyProtection="1">
      <alignment horizontal="center" vertical="center"/>
    </xf>
    <xf numFmtId="0" fontId="6" fillId="0" borderId="4" xfId="0" applyFont="1" applyBorder="1" applyAlignment="1" applyProtection="1">
      <alignment horizontal="justify" vertical="center"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top" wrapText="1"/>
      <protection locked="0"/>
    </xf>
    <xf numFmtId="164" fontId="1" fillId="0" borderId="2" xfId="1" applyNumberFormat="1" applyFont="1" applyBorder="1" applyAlignment="1">
      <alignment horizontal="center" vertical="center"/>
    </xf>
    <xf numFmtId="0" fontId="4" fillId="2" borderId="8" xfId="0" applyFont="1" applyFill="1" applyBorder="1" applyAlignment="1">
      <alignment horizontal="center" vertical="center"/>
    </xf>
    <xf numFmtId="0" fontId="1" fillId="0" borderId="4" xfId="0" applyFont="1" applyBorder="1" applyAlignment="1" applyProtection="1">
      <alignment vertical="center"/>
    </xf>
    <xf numFmtId="0" fontId="1" fillId="0" borderId="8" xfId="0" applyFont="1" applyBorder="1" applyAlignment="1" applyProtection="1">
      <alignment vertical="center"/>
    </xf>
    <xf numFmtId="0" fontId="6" fillId="0" borderId="4" xfId="0" applyFont="1" applyBorder="1" applyAlignment="1" applyProtection="1">
      <alignment vertical="center" wrapText="1"/>
      <protection locked="0"/>
    </xf>
    <xf numFmtId="0" fontId="1" fillId="0" borderId="4" xfId="0" applyFont="1" applyBorder="1" applyAlignment="1" applyProtection="1">
      <alignment vertical="center" textRotation="90"/>
      <protection locked="0"/>
    </xf>
    <xf numFmtId="0" fontId="4" fillId="0" borderId="4" xfId="0" applyFont="1" applyFill="1" applyBorder="1" applyAlignment="1" applyProtection="1">
      <alignment vertical="center" textRotation="90" wrapText="1"/>
      <protection hidden="1"/>
    </xf>
    <xf numFmtId="9" fontId="1" fillId="0" borderId="4" xfId="0" applyNumberFormat="1" applyFont="1" applyBorder="1" applyAlignment="1" applyProtection="1">
      <alignment vertical="top"/>
      <protection hidden="1"/>
    </xf>
    <xf numFmtId="9" fontId="1" fillId="0" borderId="4" xfId="0" applyNumberFormat="1" applyFont="1" applyFill="1" applyBorder="1" applyAlignment="1" applyProtection="1">
      <alignment vertical="top"/>
      <protection hidden="1"/>
    </xf>
    <xf numFmtId="0" fontId="4" fillId="0" borderId="4" xfId="0" applyFont="1" applyBorder="1" applyAlignment="1" applyProtection="1">
      <alignment vertical="center" textRotation="90"/>
      <protection hidden="1"/>
    </xf>
    <xf numFmtId="0" fontId="61" fillId="0" borderId="0" xfId="0" applyFont="1" applyAlignment="1">
      <alignment wrapText="1"/>
    </xf>
    <xf numFmtId="0" fontId="63" fillId="0" borderId="0" xfId="0" applyFont="1" applyAlignment="1">
      <alignment wrapText="1"/>
    </xf>
    <xf numFmtId="0" fontId="61" fillId="3" borderId="14" xfId="0" applyFont="1" applyFill="1" applyBorder="1" applyAlignment="1">
      <alignment vertical="center" wrapText="1"/>
    </xf>
    <xf numFmtId="0" fontId="59" fillId="0" borderId="0" xfId="0" applyFont="1"/>
    <xf numFmtId="0" fontId="0" fillId="0" borderId="0" xfId="0" applyAlignment="1">
      <alignment wrapText="1"/>
    </xf>
    <xf numFmtId="0" fontId="35" fillId="0" borderId="8" xfId="0" applyFont="1" applyBorder="1" applyAlignment="1" applyProtection="1">
      <alignment horizontal="center" vertical="top" wrapText="1"/>
      <protection locked="0"/>
    </xf>
    <xf numFmtId="0" fontId="35" fillId="0" borderId="5" xfId="0" applyFont="1" applyBorder="1" applyAlignment="1" applyProtection="1">
      <alignment horizontal="center" vertical="top" wrapText="1"/>
      <protection locked="0"/>
    </xf>
    <xf numFmtId="0" fontId="50" fillId="14" borderId="48" xfId="2" applyFont="1" applyFill="1" applyBorder="1" applyAlignment="1" applyProtection="1">
      <alignment horizontal="center" vertical="center" wrapText="1"/>
    </xf>
    <xf numFmtId="0" fontId="50" fillId="14" borderId="49" xfId="2" applyFont="1" applyFill="1" applyBorder="1" applyAlignment="1" applyProtection="1">
      <alignment horizontal="center" vertical="center" wrapText="1"/>
    </xf>
    <xf numFmtId="0" fontId="50" fillId="14" borderId="50" xfId="2" applyFont="1" applyFill="1" applyBorder="1" applyAlignment="1" applyProtection="1">
      <alignment horizontal="center" vertical="center" wrapText="1"/>
    </xf>
    <xf numFmtId="0" fontId="49" fillId="0" borderId="14" xfId="2" quotePrefix="1" applyFont="1" applyBorder="1" applyAlignment="1" applyProtection="1">
      <alignment horizontal="left" vertical="center" wrapText="1"/>
    </xf>
    <xf numFmtId="0" fontId="49" fillId="0" borderId="0" xfId="2" quotePrefix="1" applyFont="1" applyBorder="1" applyAlignment="1" applyProtection="1">
      <alignment horizontal="left" vertical="center" wrapText="1"/>
    </xf>
    <xf numFmtId="0" fontId="49" fillId="0" borderId="15" xfId="2" quotePrefix="1" applyFont="1" applyBorder="1" applyAlignment="1" applyProtection="1">
      <alignment horizontal="left" vertical="center" wrapText="1"/>
    </xf>
    <xf numFmtId="0" fontId="49" fillId="0" borderId="68" xfId="2" quotePrefix="1" applyFont="1" applyBorder="1" applyAlignment="1" applyProtection="1">
      <alignment horizontal="left" vertical="center" wrapText="1"/>
    </xf>
    <xf numFmtId="0" fontId="49" fillId="0" borderId="69" xfId="2" quotePrefix="1" applyFont="1" applyBorder="1" applyAlignment="1" applyProtection="1">
      <alignment horizontal="left" vertical="center" wrapText="1"/>
    </xf>
    <xf numFmtId="0" fontId="49" fillId="0" borderId="70" xfId="2" quotePrefix="1" applyFont="1" applyBorder="1" applyAlignment="1" applyProtection="1">
      <alignment horizontal="left" vertical="center" wrapText="1"/>
    </xf>
    <xf numFmtId="0" fontId="51" fillId="3" borderId="51" xfId="2" quotePrefix="1" applyFont="1" applyFill="1" applyBorder="1" applyAlignment="1" applyProtection="1">
      <alignment horizontal="left" vertical="top" wrapText="1"/>
    </xf>
    <xf numFmtId="0" fontId="52" fillId="3" borderId="52" xfId="2" quotePrefix="1" applyFont="1" applyFill="1" applyBorder="1" applyAlignment="1" applyProtection="1">
      <alignment horizontal="left" vertical="top" wrapText="1"/>
    </xf>
    <xf numFmtId="0" fontId="52" fillId="3" borderId="53" xfId="2" quotePrefix="1" applyFont="1" applyFill="1" applyBorder="1" applyAlignment="1" applyProtection="1">
      <alignment horizontal="left" vertical="top" wrapText="1"/>
    </xf>
    <xf numFmtId="0" fontId="49" fillId="0" borderId="14" xfId="2" quotePrefix="1" applyFont="1" applyBorder="1" applyAlignment="1" applyProtection="1">
      <alignment horizontal="left" vertical="top" wrapText="1"/>
    </xf>
    <xf numFmtId="0" fontId="49" fillId="0" borderId="0" xfId="2" quotePrefix="1" applyFont="1" applyBorder="1" applyAlignment="1" applyProtection="1">
      <alignment horizontal="left" vertical="top" wrapText="1"/>
    </xf>
    <xf numFmtId="0" fontId="49" fillId="0" borderId="15" xfId="2" quotePrefix="1" applyFont="1" applyBorder="1" applyAlignment="1" applyProtection="1">
      <alignment horizontal="left" vertical="top" wrapText="1"/>
    </xf>
    <xf numFmtId="0" fontId="54" fillId="14" borderId="54" xfId="3" applyFont="1" applyFill="1" applyBorder="1" applyAlignment="1" applyProtection="1">
      <alignment horizontal="center" vertical="center" wrapText="1"/>
    </xf>
    <xf numFmtId="0" fontId="54" fillId="14" borderId="55" xfId="3" applyFont="1" applyFill="1" applyBorder="1" applyAlignment="1" applyProtection="1">
      <alignment horizontal="center" vertical="center" wrapText="1"/>
    </xf>
    <xf numFmtId="0" fontId="54" fillId="14" borderId="56" xfId="2" applyFont="1" applyFill="1" applyBorder="1" applyAlignment="1" applyProtection="1">
      <alignment horizontal="center" vertical="center"/>
    </xf>
    <xf numFmtId="0" fontId="54"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4" fillId="3" borderId="58" xfId="3" applyFont="1" applyFill="1" applyBorder="1" applyAlignment="1" applyProtection="1">
      <alignment horizontal="left" vertical="top" wrapText="1" readingOrder="1"/>
    </xf>
    <xf numFmtId="0" fontId="54" fillId="3" borderId="59" xfId="3" applyFont="1" applyFill="1" applyBorder="1" applyAlignment="1" applyProtection="1">
      <alignment horizontal="left" vertical="top" wrapText="1" readingOrder="1"/>
    </xf>
    <xf numFmtId="0" fontId="55" fillId="3" borderId="60" xfId="2" applyFont="1" applyFill="1" applyBorder="1" applyAlignment="1" applyProtection="1">
      <alignment horizontal="justify" vertical="center" wrapText="1"/>
    </xf>
    <xf numFmtId="0" fontId="55" fillId="3" borderId="61" xfId="2" applyFont="1" applyFill="1" applyBorder="1" applyAlignment="1" applyProtection="1">
      <alignment horizontal="justify" vertical="center" wrapText="1"/>
    </xf>
    <xf numFmtId="0" fontId="54" fillId="3" borderId="62" xfId="0" applyFont="1" applyFill="1" applyBorder="1" applyAlignment="1" applyProtection="1">
      <alignment horizontal="left" vertical="center" wrapText="1"/>
    </xf>
    <xf numFmtId="0" fontId="54" fillId="3" borderId="63" xfId="0" applyFont="1" applyFill="1" applyBorder="1" applyAlignment="1" applyProtection="1">
      <alignment horizontal="left" vertical="center" wrapText="1"/>
    </xf>
    <xf numFmtId="0" fontId="55" fillId="3" borderId="64" xfId="2" applyFont="1" applyFill="1" applyBorder="1" applyAlignment="1" applyProtection="1">
      <alignment horizontal="justify" vertical="center" wrapText="1"/>
    </xf>
    <xf numFmtId="0" fontId="55" fillId="3" borderId="65" xfId="2" applyFont="1" applyFill="1" applyBorder="1" applyAlignment="1" applyProtection="1">
      <alignment horizontal="justify" vertical="center" wrapText="1"/>
    </xf>
    <xf numFmtId="0" fontId="49" fillId="3" borderId="14" xfId="2" applyFont="1" applyFill="1" applyBorder="1" applyAlignment="1" applyProtection="1">
      <alignment horizontal="left" vertical="top" wrapText="1"/>
    </xf>
    <xf numFmtId="0" fontId="49" fillId="3" borderId="0" xfId="2" applyFont="1" applyFill="1" applyBorder="1" applyAlignment="1" applyProtection="1">
      <alignment horizontal="left" vertical="top" wrapText="1"/>
    </xf>
    <xf numFmtId="0" fontId="49" fillId="3" borderId="15" xfId="2" applyFont="1" applyFill="1" applyBorder="1" applyAlignment="1" applyProtection="1">
      <alignment horizontal="left" vertical="top" wrapText="1"/>
    </xf>
    <xf numFmtId="0" fontId="54" fillId="3" borderId="71" xfId="0" applyFont="1" applyFill="1" applyBorder="1" applyAlignment="1" applyProtection="1">
      <alignment horizontal="left" vertical="center" wrapText="1"/>
    </xf>
    <xf numFmtId="0" fontId="54" fillId="3" borderId="72" xfId="0" applyFont="1" applyFill="1" applyBorder="1" applyAlignment="1" applyProtection="1">
      <alignment horizontal="left" vertical="center" wrapText="1"/>
    </xf>
    <xf numFmtId="0" fontId="54" fillId="3" borderId="73" xfId="0" applyFont="1" applyFill="1" applyBorder="1" applyAlignment="1" applyProtection="1">
      <alignment horizontal="left" vertical="center" wrapText="1"/>
    </xf>
    <xf numFmtId="0" fontId="54" fillId="3" borderId="74" xfId="0" applyFont="1" applyFill="1" applyBorder="1" applyAlignment="1" applyProtection="1">
      <alignment horizontal="left" vertical="center" wrapText="1"/>
    </xf>
    <xf numFmtId="0" fontId="55" fillId="3" borderId="66" xfId="0" applyFont="1" applyFill="1" applyBorder="1" applyAlignment="1" applyProtection="1">
      <alignment horizontal="justify" vertical="center" wrapText="1"/>
    </xf>
    <xf numFmtId="0" fontId="55" fillId="3" borderId="67" xfId="0" applyFont="1" applyFill="1" applyBorder="1" applyAlignment="1" applyProtection="1">
      <alignment horizontal="justify" vertical="center" wrapText="1"/>
    </xf>
    <xf numFmtId="0" fontId="45" fillId="0" borderId="0" xfId="0" applyFont="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top" wrapText="1"/>
      <protection hidden="1"/>
    </xf>
    <xf numFmtId="0" fontId="58" fillId="0" borderId="8"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64" fillId="0" borderId="4" xfId="0" applyFont="1" applyBorder="1" applyAlignment="1" applyProtection="1">
      <alignment horizontal="center" vertical="center" wrapText="1"/>
      <protection locked="0"/>
    </xf>
    <xf numFmtId="0" fontId="64" fillId="0" borderId="8" xfId="0" applyFont="1" applyBorder="1" applyAlignment="1" applyProtection="1">
      <alignment horizontal="center" vertical="center" wrapText="1"/>
      <protection locked="0"/>
    </xf>
    <xf numFmtId="0" fontId="61" fillId="0" borderId="4" xfId="0" applyFont="1" applyBorder="1" applyAlignment="1" applyProtection="1">
      <alignment horizontal="center" vertical="center" wrapText="1"/>
      <protection locked="0"/>
    </xf>
    <xf numFmtId="0" fontId="61" fillId="0" borderId="8"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62" fillId="0" borderId="8" xfId="0" applyFont="1" applyBorder="1" applyAlignment="1" applyProtection="1">
      <alignment horizontal="center" vertical="center" wrapText="1"/>
      <protection locked="0"/>
    </xf>
    <xf numFmtId="0" fontId="62" fillId="0" borderId="5" xfId="0" applyFont="1" applyBorder="1" applyAlignment="1" applyProtection="1">
      <alignment horizontal="center" vertical="center" wrapText="1"/>
      <protection locked="0"/>
    </xf>
    <xf numFmtId="0" fontId="63" fillId="0" borderId="4" xfId="0" applyFont="1" applyBorder="1" applyAlignment="1" applyProtection="1">
      <alignment horizontal="center" vertical="center" wrapText="1"/>
      <protection locked="0"/>
    </xf>
    <xf numFmtId="0" fontId="63" fillId="0" borderId="8"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xf numFmtId="0" fontId="26" fillId="2" borderId="4" xfId="0" applyFont="1" applyFill="1" applyBorder="1" applyAlignment="1">
      <alignment horizontal="center" vertical="center" textRotation="90"/>
    </xf>
    <xf numFmtId="0" fontId="26"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59" fillId="3" borderId="6" xfId="0" applyFont="1" applyFill="1" applyBorder="1" applyAlignment="1" applyProtection="1">
      <alignment horizontal="left" vertical="center" wrapText="1"/>
      <protection locked="0"/>
    </xf>
    <xf numFmtId="0" fontId="59" fillId="3" borderId="10" xfId="0" applyFont="1" applyFill="1" applyBorder="1" applyAlignment="1" applyProtection="1">
      <alignment horizontal="left" vertical="center" wrapText="1"/>
      <protection locked="0"/>
    </xf>
    <xf numFmtId="0" fontId="59" fillId="3" borderId="7" xfId="0" applyFont="1" applyFill="1" applyBorder="1" applyAlignment="1" applyProtection="1">
      <alignment horizontal="left" vertical="center" wrapText="1"/>
      <protection locked="0"/>
    </xf>
    <xf numFmtId="0" fontId="35" fillId="3" borderId="6" xfId="0" applyFont="1" applyFill="1" applyBorder="1" applyAlignment="1" applyProtection="1">
      <alignment horizontal="center" vertical="center" wrapText="1"/>
      <protection locked="0"/>
    </xf>
    <xf numFmtId="0" fontId="35" fillId="3" borderId="10"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17" fontId="35" fillId="0" borderId="4" xfId="0" applyNumberFormat="1"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4" xfId="0" applyFont="1" applyBorder="1" applyAlignment="1" applyProtection="1">
      <alignment horizontal="center" vertical="top" wrapText="1"/>
      <protection locked="0"/>
    </xf>
    <xf numFmtId="0" fontId="35" fillId="0" borderId="8" xfId="0" applyFont="1" applyBorder="1" applyAlignment="1" applyProtection="1">
      <alignment horizontal="center" vertical="top" wrapText="1"/>
      <protection locked="0"/>
    </xf>
    <xf numFmtId="0" fontId="35" fillId="0" borderId="5" xfId="0" applyFont="1" applyBorder="1" applyAlignment="1" applyProtection="1">
      <alignment horizontal="center" vertical="top" wrapText="1"/>
      <protection locked="0"/>
    </xf>
    <xf numFmtId="0" fontId="60" fillId="3" borderId="6" xfId="0" applyFont="1" applyFill="1" applyBorder="1" applyAlignment="1" applyProtection="1">
      <alignment horizontal="center" vertical="center"/>
      <protection locked="0"/>
    </xf>
    <xf numFmtId="0" fontId="60" fillId="3" borderId="10" xfId="0" applyFont="1" applyFill="1" applyBorder="1" applyAlignment="1" applyProtection="1">
      <alignment horizontal="center" vertical="center"/>
      <protection locked="0"/>
    </xf>
    <xf numFmtId="0" fontId="60" fillId="3" borderId="7" xfId="0" applyFont="1" applyFill="1" applyBorder="1" applyAlignment="1" applyProtection="1">
      <alignment horizontal="center" vertical="center"/>
      <protection locked="0"/>
    </xf>
    <xf numFmtId="0" fontId="1" fillId="3" borderId="0" xfId="0" applyFont="1" applyFill="1" applyBorder="1" applyAlignment="1">
      <alignment horizontal="left" vertical="center"/>
    </xf>
    <xf numFmtId="0" fontId="25" fillId="2" borderId="28"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58" fillId="0" borderId="4" xfId="0" applyFont="1" applyBorder="1" applyAlignment="1" applyProtection="1">
      <alignment horizontal="center" vertical="top"/>
      <protection hidden="1"/>
    </xf>
    <xf numFmtId="0" fontId="58" fillId="0" borderId="8" xfId="0" applyFont="1" applyBorder="1" applyAlignment="1" applyProtection="1">
      <alignment horizontal="center" vertical="top"/>
      <protection hidden="1"/>
    </xf>
    <xf numFmtId="9" fontId="35" fillId="0" borderId="4" xfId="0" applyNumberFormat="1" applyFont="1" applyBorder="1" applyAlignment="1" applyProtection="1">
      <alignment horizontal="center" vertical="top" wrapText="1"/>
      <protection hidden="1"/>
    </xf>
    <xf numFmtId="9" fontId="35" fillId="0" borderId="8" xfId="0" applyNumberFormat="1" applyFont="1" applyBorder="1" applyAlignment="1" applyProtection="1">
      <alignment horizontal="center" vertical="top" wrapText="1"/>
      <protection hidden="1"/>
    </xf>
    <xf numFmtId="9" fontId="35" fillId="0" borderId="4" xfId="0" applyNumberFormat="1" applyFont="1" applyBorder="1" applyAlignment="1" applyProtection="1">
      <alignment horizontal="center" vertical="top" wrapText="1"/>
      <protection locked="0"/>
    </xf>
    <xf numFmtId="9" fontId="35" fillId="0" borderId="8" xfId="0" applyNumberFormat="1" applyFont="1" applyBorder="1" applyAlignment="1" applyProtection="1">
      <alignment horizontal="center" vertical="top" wrapText="1"/>
      <protection locked="0"/>
    </xf>
    <xf numFmtId="0" fontId="61" fillId="3" borderId="30" xfId="0" applyFont="1" applyFill="1" applyBorder="1" applyAlignment="1">
      <alignment horizontal="center" vertical="center" wrapText="1"/>
    </xf>
    <xf numFmtId="0" fontId="61" fillId="3" borderId="76" xfId="0" applyFont="1" applyFill="1" applyBorder="1" applyAlignment="1">
      <alignment horizontal="center" vertical="center" wrapText="1"/>
    </xf>
    <xf numFmtId="0" fontId="25" fillId="0" borderId="0" xfId="0" applyFont="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17" fillId="0" borderId="19"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0" xfId="0" applyFont="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3" fillId="0" borderId="17" xfId="0" applyFont="1" applyBorder="1" applyAlignment="1">
      <alignment horizontal="center" vertical="center"/>
    </xf>
    <xf numFmtId="0" fontId="43" fillId="0" borderId="19" xfId="0" applyFont="1" applyBorder="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Border="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4" xfId="0" applyFont="1" applyBorder="1" applyAlignment="1">
      <alignment horizontal="center" vertical="center" wrapText="1"/>
    </xf>
    <xf numFmtId="0" fontId="43" fillId="0" borderId="0" xfId="0" applyFont="1" applyBorder="1" applyAlignment="1">
      <alignment horizontal="center" vertical="center"/>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Border="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Border="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Border="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24" fillId="0" borderId="0" xfId="0" applyFont="1" applyAlignment="1">
      <alignment horizontal="center" vertical="center"/>
    </xf>
    <xf numFmtId="0" fontId="40" fillId="15" borderId="35" xfId="0" applyFont="1" applyFill="1" applyBorder="1" applyAlignment="1">
      <alignment horizontal="center" vertical="center" wrapText="1" readingOrder="1"/>
    </xf>
    <xf numFmtId="0" fontId="40" fillId="15" borderId="36" xfId="0" applyFont="1" applyFill="1" applyBorder="1" applyAlignment="1">
      <alignment horizontal="center" vertical="center" wrapText="1" readingOrder="1"/>
    </xf>
    <xf numFmtId="0" fontId="40" fillId="15" borderId="47" xfId="0" applyFont="1" applyFill="1" applyBorder="1" applyAlignment="1">
      <alignment horizontal="center" vertical="center" wrapText="1" readingOrder="1"/>
    </xf>
    <xf numFmtId="0" fontId="35" fillId="3" borderId="0" xfId="0" applyFont="1" applyFill="1" applyBorder="1" applyAlignment="1">
      <alignment horizontal="justify" vertical="center" wrapText="1"/>
    </xf>
    <xf numFmtId="0" fontId="37" fillId="15" borderId="44" xfId="0" applyFont="1" applyFill="1" applyBorder="1" applyAlignment="1">
      <alignment horizontal="center" vertical="center" wrapText="1" readingOrder="1"/>
    </xf>
    <xf numFmtId="0" fontId="37" fillId="15" borderId="45" xfId="0" applyFont="1" applyFill="1" applyBorder="1" applyAlignment="1">
      <alignment horizontal="center" vertical="center" wrapText="1" readingOrder="1"/>
    </xf>
    <xf numFmtId="0" fontId="37" fillId="3" borderId="42"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xf numFmtId="0" fontId="59" fillId="0" borderId="75" xfId="0" applyFont="1" applyBorder="1" applyAlignment="1" applyProtection="1">
      <alignment horizontal="left" vertical="center" wrapText="1"/>
      <protection locked="0"/>
    </xf>
    <xf numFmtId="0" fontId="59" fillId="0" borderId="0" xfId="0" applyFont="1" applyBorder="1" applyAlignment="1" applyProtection="1">
      <alignment horizontal="left" vertical="center" wrapText="1"/>
      <protection locked="0"/>
    </xf>
    <xf numFmtId="0" fontId="59" fillId="0" borderId="0" xfId="0" applyFont="1" applyAlignment="1">
      <alignment horizontal="left" wrapText="1"/>
    </xf>
    <xf numFmtId="0" fontId="0" fillId="0" borderId="0" xfId="0" applyAlignment="1">
      <alignment horizontal="center" wrapText="1"/>
    </xf>
    <xf numFmtId="0" fontId="1" fillId="0" borderId="7" xfId="0" applyFont="1" applyBorder="1" applyAlignment="1" applyProtection="1">
      <alignment horizontal="center" vertical="top"/>
      <protection hidden="1"/>
    </xf>
    <xf numFmtId="0" fontId="61" fillId="3" borderId="77" xfId="0" applyFont="1" applyFill="1" applyBorder="1" applyAlignment="1">
      <alignment vertical="center" wrapText="1"/>
    </xf>
    <xf numFmtId="0" fontId="1" fillId="0" borderId="6" xfId="0" applyFont="1" applyBorder="1" applyAlignment="1" applyProtection="1">
      <alignment horizontal="center" vertical="top"/>
    </xf>
    <xf numFmtId="0" fontId="6" fillId="0" borderId="8" xfId="0" applyFont="1" applyBorder="1" applyAlignment="1" applyProtection="1">
      <alignment horizontal="justify" vertical="center" wrapText="1"/>
      <protection locked="0"/>
    </xf>
  </cellXfs>
  <cellStyles count="5">
    <cellStyle name="Normal" xfId="0" builtinId="0"/>
    <cellStyle name="Normal - Style1 2" xfId="2"/>
    <cellStyle name="Normal 2" xfId="4"/>
    <cellStyle name="Normal 2 2" xfId="3"/>
    <cellStyle name="Porcentual" xfId="1" builtinId="5"/>
  </cellStyles>
  <dxfs count="19">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relativeIndent="255"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18" dataDxfId="17">
  <autoFilter ref="B209:C219"/>
  <tableColumns count="2">
    <tableColumn id="1" name="Criterios" dataDxfId="16"/>
    <tableColumn id="2" name="Subcriterios" dataDxfId="1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H45"/>
  <sheetViews>
    <sheetView zoomScale="110" zoomScaleNormal="110" workbookViewId="0">
      <selection activeCell="E13" sqref="E13:F20"/>
    </sheetView>
  </sheetViews>
  <sheetFormatPr baseColWidth="10" defaultColWidth="11.42578125" defaultRowHeight="1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row r="2" spans="2:8" ht="18">
      <c r="B2" s="178" t="s">
        <v>166</v>
      </c>
      <c r="C2" s="179"/>
      <c r="D2" s="179"/>
      <c r="E2" s="179"/>
      <c r="F2" s="179"/>
      <c r="G2" s="179"/>
      <c r="H2" s="180"/>
    </row>
    <row r="3" spans="2:8">
      <c r="B3" s="85"/>
      <c r="C3" s="86"/>
      <c r="D3" s="86"/>
      <c r="E3" s="86"/>
      <c r="F3" s="86"/>
      <c r="G3" s="86"/>
      <c r="H3" s="87"/>
    </row>
    <row r="4" spans="2:8" ht="63" customHeight="1">
      <c r="B4" s="181" t="s">
        <v>209</v>
      </c>
      <c r="C4" s="182"/>
      <c r="D4" s="182"/>
      <c r="E4" s="182"/>
      <c r="F4" s="182"/>
      <c r="G4" s="182"/>
      <c r="H4" s="183"/>
    </row>
    <row r="5" spans="2:8" ht="63" customHeight="1">
      <c r="B5" s="184"/>
      <c r="C5" s="185"/>
      <c r="D5" s="185"/>
      <c r="E5" s="185"/>
      <c r="F5" s="185"/>
      <c r="G5" s="185"/>
      <c r="H5" s="186"/>
    </row>
    <row r="6" spans="2:8" ht="16.5">
      <c r="B6" s="187" t="s">
        <v>164</v>
      </c>
      <c r="C6" s="188"/>
      <c r="D6" s="188"/>
      <c r="E6" s="188"/>
      <c r="F6" s="188"/>
      <c r="G6" s="188"/>
      <c r="H6" s="189"/>
    </row>
    <row r="7" spans="2:8" ht="95.25" customHeight="1">
      <c r="B7" s="197" t="s">
        <v>169</v>
      </c>
      <c r="C7" s="198"/>
      <c r="D7" s="198"/>
      <c r="E7" s="198"/>
      <c r="F7" s="198"/>
      <c r="G7" s="198"/>
      <c r="H7" s="199"/>
    </row>
    <row r="8" spans="2:8" ht="16.5">
      <c r="B8" s="122"/>
      <c r="C8" s="123"/>
      <c r="D8" s="123"/>
      <c r="E8" s="123"/>
      <c r="F8" s="123"/>
      <c r="G8" s="123"/>
      <c r="H8" s="124"/>
    </row>
    <row r="9" spans="2:8" ht="16.5" customHeight="1">
      <c r="B9" s="190" t="s">
        <v>202</v>
      </c>
      <c r="C9" s="191"/>
      <c r="D9" s="191"/>
      <c r="E9" s="191"/>
      <c r="F9" s="191"/>
      <c r="G9" s="191"/>
      <c r="H9" s="192"/>
    </row>
    <row r="10" spans="2:8" ht="44.25" customHeight="1">
      <c r="B10" s="190"/>
      <c r="C10" s="191"/>
      <c r="D10" s="191"/>
      <c r="E10" s="191"/>
      <c r="F10" s="191"/>
      <c r="G10" s="191"/>
      <c r="H10" s="192"/>
    </row>
    <row r="11" spans="2:8" ht="15.75" thickBot="1">
      <c r="B11" s="110"/>
      <c r="C11" s="113"/>
      <c r="D11" s="118"/>
      <c r="E11" s="119"/>
      <c r="F11" s="119"/>
      <c r="G11" s="120"/>
      <c r="H11" s="121"/>
    </row>
    <row r="12" spans="2:8" ht="15.75" thickTop="1">
      <c r="B12" s="110"/>
      <c r="C12" s="193" t="s">
        <v>165</v>
      </c>
      <c r="D12" s="194"/>
      <c r="E12" s="195" t="s">
        <v>203</v>
      </c>
      <c r="F12" s="196"/>
      <c r="G12" s="113"/>
      <c r="H12" s="114"/>
    </row>
    <row r="13" spans="2:8" ht="35.25" customHeight="1">
      <c r="B13" s="110"/>
      <c r="C13" s="200" t="s">
        <v>196</v>
      </c>
      <c r="D13" s="201"/>
      <c r="E13" s="202" t="s">
        <v>201</v>
      </c>
      <c r="F13" s="203"/>
      <c r="G13" s="113"/>
      <c r="H13" s="114"/>
    </row>
    <row r="14" spans="2:8" ht="17.25" customHeight="1">
      <c r="B14" s="110"/>
      <c r="C14" s="200" t="s">
        <v>197</v>
      </c>
      <c r="D14" s="201"/>
      <c r="E14" s="202" t="s">
        <v>199</v>
      </c>
      <c r="F14" s="203"/>
      <c r="G14" s="113"/>
      <c r="H14" s="114"/>
    </row>
    <row r="15" spans="2:8" ht="19.5" customHeight="1">
      <c r="B15" s="110"/>
      <c r="C15" s="200" t="s">
        <v>198</v>
      </c>
      <c r="D15" s="201"/>
      <c r="E15" s="202" t="s">
        <v>200</v>
      </c>
      <c r="F15" s="203"/>
      <c r="G15" s="113"/>
      <c r="H15" s="114"/>
    </row>
    <row r="16" spans="2:8" ht="69.75" customHeight="1">
      <c r="B16" s="110"/>
      <c r="C16" s="200" t="s">
        <v>167</v>
      </c>
      <c r="D16" s="201"/>
      <c r="E16" s="202" t="s">
        <v>168</v>
      </c>
      <c r="F16" s="203"/>
      <c r="G16" s="113"/>
      <c r="H16" s="114"/>
    </row>
    <row r="17" spans="2:8" ht="34.5" customHeight="1">
      <c r="B17" s="110"/>
      <c r="C17" s="204" t="s">
        <v>2</v>
      </c>
      <c r="D17" s="205"/>
      <c r="E17" s="206" t="s">
        <v>210</v>
      </c>
      <c r="F17" s="207"/>
      <c r="G17" s="113"/>
      <c r="H17" s="114"/>
    </row>
    <row r="18" spans="2:8" ht="27.75" customHeight="1">
      <c r="B18" s="110"/>
      <c r="C18" s="204" t="s">
        <v>3</v>
      </c>
      <c r="D18" s="205"/>
      <c r="E18" s="206" t="s">
        <v>211</v>
      </c>
      <c r="F18" s="207"/>
      <c r="G18" s="113"/>
      <c r="H18" s="114"/>
    </row>
    <row r="19" spans="2:8" ht="28.5" customHeight="1">
      <c r="B19" s="110"/>
      <c r="C19" s="204" t="s">
        <v>42</v>
      </c>
      <c r="D19" s="205"/>
      <c r="E19" s="206" t="s">
        <v>212</v>
      </c>
      <c r="F19" s="207"/>
      <c r="G19" s="113"/>
      <c r="H19" s="114"/>
    </row>
    <row r="20" spans="2:8" ht="72.75" customHeight="1">
      <c r="B20" s="110"/>
      <c r="C20" s="204" t="s">
        <v>1</v>
      </c>
      <c r="D20" s="205"/>
      <c r="E20" s="206" t="s">
        <v>213</v>
      </c>
      <c r="F20" s="207"/>
      <c r="G20" s="113"/>
      <c r="H20" s="114"/>
    </row>
    <row r="21" spans="2:8" ht="64.5" customHeight="1">
      <c r="B21" s="110"/>
      <c r="C21" s="204" t="s">
        <v>50</v>
      </c>
      <c r="D21" s="205"/>
      <c r="E21" s="206" t="s">
        <v>171</v>
      </c>
      <c r="F21" s="207"/>
      <c r="G21" s="113"/>
      <c r="H21" s="114"/>
    </row>
    <row r="22" spans="2:8" ht="71.25" customHeight="1">
      <c r="B22" s="110"/>
      <c r="C22" s="204" t="s">
        <v>170</v>
      </c>
      <c r="D22" s="205"/>
      <c r="E22" s="206" t="s">
        <v>172</v>
      </c>
      <c r="F22" s="207"/>
      <c r="G22" s="113"/>
      <c r="H22" s="114"/>
    </row>
    <row r="23" spans="2:8" ht="55.5" customHeight="1">
      <c r="B23" s="110"/>
      <c r="C23" s="211" t="s">
        <v>173</v>
      </c>
      <c r="D23" s="212"/>
      <c r="E23" s="206" t="s">
        <v>174</v>
      </c>
      <c r="F23" s="207"/>
      <c r="G23" s="113"/>
      <c r="H23" s="114"/>
    </row>
    <row r="24" spans="2:8" ht="42" customHeight="1">
      <c r="B24" s="110"/>
      <c r="C24" s="211" t="s">
        <v>48</v>
      </c>
      <c r="D24" s="212"/>
      <c r="E24" s="206" t="s">
        <v>175</v>
      </c>
      <c r="F24" s="207"/>
      <c r="G24" s="113"/>
      <c r="H24" s="114"/>
    </row>
    <row r="25" spans="2:8" ht="59.25" customHeight="1">
      <c r="B25" s="110"/>
      <c r="C25" s="211" t="s">
        <v>163</v>
      </c>
      <c r="D25" s="212"/>
      <c r="E25" s="206" t="s">
        <v>176</v>
      </c>
      <c r="F25" s="207"/>
      <c r="G25" s="113"/>
      <c r="H25" s="114"/>
    </row>
    <row r="26" spans="2:8" ht="23.25" customHeight="1">
      <c r="B26" s="110"/>
      <c r="C26" s="211" t="s">
        <v>12</v>
      </c>
      <c r="D26" s="212"/>
      <c r="E26" s="206" t="s">
        <v>177</v>
      </c>
      <c r="F26" s="207"/>
      <c r="G26" s="113"/>
      <c r="H26" s="114"/>
    </row>
    <row r="27" spans="2:8" ht="30.75" customHeight="1">
      <c r="B27" s="110"/>
      <c r="C27" s="211" t="s">
        <v>181</v>
      </c>
      <c r="D27" s="212"/>
      <c r="E27" s="206" t="s">
        <v>178</v>
      </c>
      <c r="F27" s="207"/>
      <c r="G27" s="113"/>
      <c r="H27" s="114"/>
    </row>
    <row r="28" spans="2:8" ht="35.25" customHeight="1">
      <c r="B28" s="110"/>
      <c r="C28" s="211" t="s">
        <v>182</v>
      </c>
      <c r="D28" s="212"/>
      <c r="E28" s="206" t="s">
        <v>179</v>
      </c>
      <c r="F28" s="207"/>
      <c r="G28" s="113"/>
      <c r="H28" s="114"/>
    </row>
    <row r="29" spans="2:8" ht="33" customHeight="1">
      <c r="B29" s="110"/>
      <c r="C29" s="211" t="s">
        <v>182</v>
      </c>
      <c r="D29" s="212"/>
      <c r="E29" s="206" t="s">
        <v>179</v>
      </c>
      <c r="F29" s="207"/>
      <c r="G29" s="113"/>
      <c r="H29" s="114"/>
    </row>
    <row r="30" spans="2:8" ht="30" customHeight="1">
      <c r="B30" s="110"/>
      <c r="C30" s="211" t="s">
        <v>183</v>
      </c>
      <c r="D30" s="212"/>
      <c r="E30" s="206" t="s">
        <v>180</v>
      </c>
      <c r="F30" s="207"/>
      <c r="G30" s="113"/>
      <c r="H30" s="114"/>
    </row>
    <row r="31" spans="2:8" ht="35.25" customHeight="1">
      <c r="B31" s="110"/>
      <c r="C31" s="211" t="s">
        <v>184</v>
      </c>
      <c r="D31" s="212"/>
      <c r="E31" s="206" t="s">
        <v>185</v>
      </c>
      <c r="F31" s="207"/>
      <c r="G31" s="113"/>
      <c r="H31" s="114"/>
    </row>
    <row r="32" spans="2:8" ht="31.5" customHeight="1">
      <c r="B32" s="110"/>
      <c r="C32" s="211" t="s">
        <v>186</v>
      </c>
      <c r="D32" s="212"/>
      <c r="E32" s="206" t="s">
        <v>187</v>
      </c>
      <c r="F32" s="207"/>
      <c r="G32" s="113"/>
      <c r="H32" s="114"/>
    </row>
    <row r="33" spans="2:8" ht="35.25" customHeight="1">
      <c r="B33" s="110"/>
      <c r="C33" s="211" t="s">
        <v>188</v>
      </c>
      <c r="D33" s="212"/>
      <c r="E33" s="206" t="s">
        <v>189</v>
      </c>
      <c r="F33" s="207"/>
      <c r="G33" s="113"/>
      <c r="H33" s="114"/>
    </row>
    <row r="34" spans="2:8" ht="59.25" customHeight="1">
      <c r="B34" s="110"/>
      <c r="C34" s="211" t="s">
        <v>190</v>
      </c>
      <c r="D34" s="212"/>
      <c r="E34" s="206" t="s">
        <v>191</v>
      </c>
      <c r="F34" s="207"/>
      <c r="G34" s="113"/>
      <c r="H34" s="114"/>
    </row>
    <row r="35" spans="2:8" ht="29.25" customHeight="1">
      <c r="B35" s="110"/>
      <c r="C35" s="211" t="s">
        <v>29</v>
      </c>
      <c r="D35" s="212"/>
      <c r="E35" s="206" t="s">
        <v>192</v>
      </c>
      <c r="F35" s="207"/>
      <c r="G35" s="113"/>
      <c r="H35" s="114"/>
    </row>
    <row r="36" spans="2:8" ht="82.5" customHeight="1">
      <c r="B36" s="110"/>
      <c r="C36" s="211" t="s">
        <v>194</v>
      </c>
      <c r="D36" s="212"/>
      <c r="E36" s="206" t="s">
        <v>193</v>
      </c>
      <c r="F36" s="207"/>
      <c r="G36" s="113"/>
      <c r="H36" s="114"/>
    </row>
    <row r="37" spans="2:8" ht="46.5" customHeight="1">
      <c r="B37" s="110"/>
      <c r="C37" s="211" t="s">
        <v>39</v>
      </c>
      <c r="D37" s="212"/>
      <c r="E37" s="206" t="s">
        <v>195</v>
      </c>
      <c r="F37" s="207"/>
      <c r="G37" s="113"/>
      <c r="H37" s="114"/>
    </row>
    <row r="38" spans="2:8" ht="6.75" customHeight="1" thickBot="1">
      <c r="B38" s="110"/>
      <c r="C38" s="213"/>
      <c r="D38" s="214"/>
      <c r="E38" s="215"/>
      <c r="F38" s="216"/>
      <c r="G38" s="113"/>
      <c r="H38" s="114"/>
    </row>
    <row r="39" spans="2:8" ht="15.75" thickTop="1">
      <c r="B39" s="110"/>
      <c r="C39" s="111"/>
      <c r="D39" s="111"/>
      <c r="E39" s="112"/>
      <c r="F39" s="112"/>
      <c r="G39" s="113"/>
      <c r="H39" s="114"/>
    </row>
    <row r="40" spans="2:8" ht="21" customHeight="1">
      <c r="B40" s="208" t="s">
        <v>204</v>
      </c>
      <c r="C40" s="209"/>
      <c r="D40" s="209"/>
      <c r="E40" s="209"/>
      <c r="F40" s="209"/>
      <c r="G40" s="209"/>
      <c r="H40" s="210"/>
    </row>
    <row r="41" spans="2:8" ht="20.25" customHeight="1">
      <c r="B41" s="208" t="s">
        <v>205</v>
      </c>
      <c r="C41" s="209"/>
      <c r="D41" s="209"/>
      <c r="E41" s="209"/>
      <c r="F41" s="209"/>
      <c r="G41" s="209"/>
      <c r="H41" s="210"/>
    </row>
    <row r="42" spans="2:8" ht="20.25" customHeight="1">
      <c r="B42" s="208" t="s">
        <v>206</v>
      </c>
      <c r="C42" s="209"/>
      <c r="D42" s="209"/>
      <c r="E42" s="209"/>
      <c r="F42" s="209"/>
      <c r="G42" s="209"/>
      <c r="H42" s="210"/>
    </row>
    <row r="43" spans="2:8" ht="20.25" customHeight="1">
      <c r="B43" s="208" t="s">
        <v>207</v>
      </c>
      <c r="C43" s="209"/>
      <c r="D43" s="209"/>
      <c r="E43" s="209"/>
      <c r="F43" s="209"/>
      <c r="G43" s="209"/>
      <c r="H43" s="210"/>
    </row>
    <row r="44" spans="2:8">
      <c r="B44" s="208" t="s">
        <v>208</v>
      </c>
      <c r="C44" s="209"/>
      <c r="D44" s="209"/>
      <c r="E44" s="209"/>
      <c r="F44" s="209"/>
      <c r="G44" s="209"/>
      <c r="H44" s="210"/>
    </row>
    <row r="45" spans="2:8" ht="15.75" thickBot="1">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tabColor theme="6" tint="-0.249977111117893"/>
  </sheetPr>
  <dimension ref="A1:U232"/>
  <sheetViews>
    <sheetView zoomScale="60" zoomScaleNormal="60" workbookViewId="0">
      <selection activeCell="D7" sqref="D7"/>
    </sheetView>
  </sheetViews>
  <sheetFormatPr baseColWidth="10" defaultRowHeight="15"/>
  <cols>
    <col min="2" max="2" width="40.42578125" customWidth="1"/>
    <col min="3" max="3" width="74.85546875" customWidth="1"/>
    <col min="4" max="4" width="135" bestFit="1" customWidth="1"/>
    <col min="5" max="5" width="144.7109375" bestFit="1" customWidth="1"/>
  </cols>
  <sheetData>
    <row r="1" spans="1:21" ht="33.75">
      <c r="A1" s="84"/>
      <c r="B1" s="217" t="s">
        <v>63</v>
      </c>
      <c r="C1" s="217"/>
      <c r="D1" s="217"/>
      <c r="E1" s="84"/>
      <c r="F1" s="84"/>
      <c r="G1" s="84"/>
      <c r="H1" s="84"/>
      <c r="I1" s="84"/>
      <c r="J1" s="84"/>
      <c r="K1" s="84"/>
      <c r="L1" s="84"/>
      <c r="M1" s="84"/>
      <c r="N1" s="84"/>
      <c r="O1" s="84"/>
      <c r="P1" s="84"/>
      <c r="Q1" s="84"/>
      <c r="R1" s="84"/>
      <c r="S1" s="84"/>
      <c r="T1" s="84"/>
      <c r="U1" s="84"/>
    </row>
    <row r="2" spans="1:21">
      <c r="A2" s="84"/>
      <c r="B2" s="84"/>
      <c r="C2" s="84"/>
      <c r="D2" s="84"/>
      <c r="E2" s="84"/>
      <c r="F2" s="84"/>
      <c r="G2" s="84"/>
      <c r="H2" s="84"/>
      <c r="I2" s="84"/>
      <c r="J2" s="84"/>
      <c r="K2" s="84"/>
      <c r="L2" s="84"/>
      <c r="M2" s="84"/>
      <c r="N2" s="84"/>
      <c r="O2" s="84"/>
      <c r="P2" s="84"/>
      <c r="Q2" s="84"/>
      <c r="R2" s="84"/>
      <c r="S2" s="84"/>
      <c r="T2" s="84"/>
      <c r="U2" s="84"/>
    </row>
    <row r="3" spans="1:21" ht="30">
      <c r="A3" s="84"/>
      <c r="B3" s="105"/>
      <c r="C3" s="36" t="s">
        <v>56</v>
      </c>
      <c r="D3" s="36" t="s">
        <v>57</v>
      </c>
      <c r="E3" s="84"/>
      <c r="F3" s="84"/>
      <c r="G3" s="84"/>
      <c r="H3" s="84"/>
      <c r="I3" s="84"/>
      <c r="J3" s="84"/>
      <c r="K3" s="84"/>
      <c r="L3" s="84"/>
      <c r="M3" s="84"/>
      <c r="N3" s="84"/>
      <c r="O3" s="84"/>
      <c r="P3" s="84"/>
      <c r="Q3" s="84"/>
      <c r="R3" s="84"/>
      <c r="S3" s="84"/>
      <c r="T3" s="84"/>
      <c r="U3" s="84"/>
    </row>
    <row r="4" spans="1:21" ht="33.7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c r="A5" s="104" t="s">
        <v>84</v>
      </c>
      <c r="B5" s="40" t="s">
        <v>59</v>
      </c>
      <c r="C5" s="45" t="s">
        <v>93</v>
      </c>
      <c r="D5" s="38" t="s">
        <v>98</v>
      </c>
      <c r="E5" s="84"/>
      <c r="F5" s="84"/>
      <c r="G5" s="84"/>
      <c r="H5" s="84"/>
      <c r="I5" s="84"/>
      <c r="J5" s="84"/>
      <c r="K5" s="84"/>
      <c r="L5" s="84"/>
      <c r="M5" s="84"/>
      <c r="N5" s="84"/>
      <c r="O5" s="84"/>
      <c r="P5" s="84"/>
      <c r="Q5" s="84"/>
      <c r="R5" s="84"/>
      <c r="S5" s="84"/>
      <c r="T5" s="84"/>
      <c r="U5" s="84"/>
    </row>
    <row r="6" spans="1:21" ht="67.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c r="A7" s="104" t="s">
        <v>7</v>
      </c>
      <c r="B7" s="42" t="s">
        <v>61</v>
      </c>
      <c r="C7" s="45" t="s">
        <v>95</v>
      </c>
      <c r="D7" s="38" t="s">
        <v>99</v>
      </c>
      <c r="E7" s="84"/>
      <c r="F7" s="84"/>
      <c r="G7" s="84"/>
      <c r="H7" s="84"/>
      <c r="I7" s="84"/>
      <c r="J7" s="84"/>
      <c r="K7" s="84"/>
      <c r="L7" s="84"/>
      <c r="M7" s="84"/>
      <c r="N7" s="84"/>
      <c r="O7" s="84"/>
      <c r="P7" s="84"/>
      <c r="Q7" s="84"/>
      <c r="R7" s="84"/>
      <c r="S7" s="84"/>
      <c r="T7" s="84"/>
      <c r="U7" s="84"/>
    </row>
    <row r="8" spans="1:21" ht="67.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c r="A9" s="104"/>
      <c r="B9" s="104"/>
      <c r="C9" s="106"/>
      <c r="D9" s="106"/>
      <c r="E9" s="84"/>
      <c r="F9" s="84"/>
      <c r="G9" s="84"/>
      <c r="H9" s="84"/>
      <c r="I9" s="84"/>
      <c r="J9" s="84"/>
      <c r="K9" s="84"/>
      <c r="L9" s="84"/>
      <c r="M9" s="84"/>
      <c r="N9" s="84"/>
      <c r="O9" s="84"/>
      <c r="P9" s="84"/>
      <c r="Q9" s="84"/>
      <c r="R9" s="84"/>
      <c r="S9" s="84"/>
      <c r="T9" s="84"/>
      <c r="U9" s="84"/>
    </row>
    <row r="10" spans="1:21" ht="16.5">
      <c r="A10" s="104"/>
      <c r="B10" s="107"/>
      <c r="C10" s="107"/>
      <c r="D10" s="107"/>
      <c r="E10" s="84"/>
      <c r="F10" s="84"/>
      <c r="G10" s="84"/>
      <c r="H10" s="84"/>
      <c r="I10" s="84"/>
      <c r="J10" s="84"/>
      <c r="K10" s="84"/>
      <c r="L10" s="84"/>
      <c r="M10" s="84"/>
      <c r="N10" s="84"/>
      <c r="O10" s="84"/>
      <c r="P10" s="84"/>
      <c r="Q10" s="84"/>
      <c r="R10" s="84"/>
      <c r="S10" s="84"/>
      <c r="T10" s="84"/>
      <c r="U10" s="84"/>
    </row>
    <row r="11" spans="1:21">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c r="A13" s="104"/>
      <c r="B13" s="104"/>
      <c r="C13" s="104" t="s">
        <v>149</v>
      </c>
      <c r="D13" s="104" t="s">
        <v>155</v>
      </c>
      <c r="E13" s="84"/>
      <c r="F13" s="84"/>
      <c r="G13" s="84"/>
      <c r="H13" s="84"/>
      <c r="I13" s="84"/>
      <c r="J13" s="84"/>
      <c r="K13" s="84"/>
      <c r="L13" s="84"/>
      <c r="M13" s="84"/>
      <c r="N13" s="84"/>
      <c r="O13" s="84"/>
      <c r="P13" s="84"/>
      <c r="Q13" s="84"/>
      <c r="R13" s="84"/>
      <c r="S13" s="84"/>
      <c r="T13" s="84"/>
      <c r="U13" s="84"/>
    </row>
    <row r="14" spans="1:21">
      <c r="A14" s="104"/>
      <c r="B14" s="104"/>
      <c r="C14" s="104" t="s">
        <v>151</v>
      </c>
      <c r="D14" s="104" t="s">
        <v>156</v>
      </c>
      <c r="E14" s="84"/>
      <c r="F14" s="84"/>
      <c r="G14" s="84"/>
      <c r="H14" s="84"/>
      <c r="I14" s="84"/>
      <c r="J14" s="84"/>
      <c r="K14" s="84"/>
      <c r="L14" s="84"/>
      <c r="M14" s="84"/>
      <c r="N14" s="84"/>
      <c r="O14" s="84"/>
      <c r="P14" s="84"/>
      <c r="Q14" s="84"/>
      <c r="R14" s="84"/>
      <c r="S14" s="84"/>
      <c r="T14" s="84"/>
      <c r="U14" s="84"/>
    </row>
    <row r="15" spans="1:21">
      <c r="A15" s="104"/>
      <c r="B15" s="104"/>
      <c r="C15" s="104" t="s">
        <v>152</v>
      </c>
      <c r="D15" s="104" t="s">
        <v>157</v>
      </c>
      <c r="E15" s="84"/>
      <c r="F15" s="84"/>
      <c r="G15" s="84"/>
      <c r="H15" s="84"/>
      <c r="I15" s="84"/>
      <c r="J15" s="84"/>
      <c r="K15" s="84"/>
      <c r="L15" s="84"/>
      <c r="M15" s="84"/>
      <c r="N15" s="84"/>
      <c r="O15" s="84"/>
      <c r="P15" s="84"/>
      <c r="Q15" s="84"/>
      <c r="R15" s="84"/>
      <c r="S15" s="84"/>
      <c r="T15" s="84"/>
      <c r="U15" s="84"/>
    </row>
    <row r="16" spans="1:21">
      <c r="A16" s="104"/>
      <c r="B16" s="104"/>
      <c r="C16" s="104"/>
      <c r="D16" s="104"/>
      <c r="E16" s="84"/>
      <c r="F16" s="84"/>
      <c r="G16" s="84"/>
      <c r="H16" s="84"/>
      <c r="I16" s="84"/>
      <c r="J16" s="84"/>
      <c r="K16" s="84"/>
      <c r="L16" s="84"/>
      <c r="M16" s="84"/>
      <c r="N16" s="84"/>
      <c r="O16" s="84"/>
    </row>
    <row r="17" spans="1:15">
      <c r="A17" s="104"/>
      <c r="B17" s="104"/>
      <c r="C17" s="104"/>
      <c r="D17" s="104"/>
      <c r="E17" s="84"/>
      <c r="F17" s="84"/>
      <c r="G17" s="84"/>
      <c r="H17" s="84"/>
      <c r="I17" s="84"/>
      <c r="J17" s="84"/>
      <c r="K17" s="84"/>
      <c r="L17" s="84"/>
      <c r="M17" s="84"/>
      <c r="N17" s="84"/>
      <c r="O17" s="84"/>
    </row>
    <row r="18" spans="1:15">
      <c r="A18" s="104"/>
      <c r="B18" s="108"/>
      <c r="C18" s="108"/>
      <c r="D18" s="108"/>
      <c r="E18" s="84"/>
      <c r="F18" s="84"/>
      <c r="G18" s="84"/>
      <c r="H18" s="84"/>
      <c r="I18" s="84"/>
      <c r="J18" s="84"/>
      <c r="K18" s="84"/>
      <c r="L18" s="84"/>
      <c r="M18" s="84"/>
      <c r="N18" s="84"/>
      <c r="O18" s="84"/>
    </row>
    <row r="19" spans="1:15">
      <c r="A19" s="104"/>
      <c r="B19" s="108"/>
      <c r="C19" s="108"/>
      <c r="D19" s="108"/>
      <c r="E19" s="84"/>
      <c r="F19" s="84"/>
      <c r="G19" s="84"/>
      <c r="H19" s="84"/>
      <c r="I19" s="84"/>
      <c r="J19" s="84"/>
      <c r="K19" s="84"/>
      <c r="L19" s="84"/>
      <c r="M19" s="84"/>
      <c r="N19" s="84"/>
      <c r="O19" s="84"/>
    </row>
    <row r="20" spans="1:15">
      <c r="A20" s="104"/>
      <c r="B20" s="108"/>
      <c r="C20" s="108"/>
      <c r="D20" s="108"/>
      <c r="E20" s="84"/>
      <c r="F20" s="84"/>
      <c r="G20" s="84"/>
      <c r="H20" s="84"/>
      <c r="I20" s="84"/>
      <c r="J20" s="84"/>
      <c r="K20" s="84"/>
      <c r="L20" s="84"/>
      <c r="M20" s="84"/>
      <c r="N20" s="84"/>
      <c r="O20" s="84"/>
    </row>
    <row r="21" spans="1:15">
      <c r="A21" s="104"/>
      <c r="B21" s="108"/>
      <c r="C21" s="108"/>
      <c r="D21" s="108"/>
      <c r="E21" s="84"/>
      <c r="F21" s="84"/>
      <c r="G21" s="84"/>
      <c r="H21" s="84"/>
      <c r="I21" s="84"/>
      <c r="J21" s="84"/>
      <c r="K21" s="84"/>
      <c r="L21" s="84"/>
      <c r="M21" s="84"/>
      <c r="N21" s="84"/>
      <c r="O21" s="84"/>
    </row>
    <row r="22" spans="1:15" ht="20.25">
      <c r="A22" s="104"/>
      <c r="B22" s="104"/>
      <c r="C22" s="106"/>
      <c r="D22" s="106"/>
      <c r="E22" s="84"/>
      <c r="F22" s="84"/>
      <c r="G22" s="84"/>
      <c r="H22" s="84"/>
      <c r="I22" s="84"/>
      <c r="J22" s="84"/>
      <c r="K22" s="84"/>
      <c r="L22" s="84"/>
      <c r="M22" s="84"/>
      <c r="N22" s="84"/>
      <c r="O22" s="84"/>
    </row>
    <row r="23" spans="1:15" ht="20.25">
      <c r="A23" s="104"/>
      <c r="B23" s="104"/>
      <c r="C23" s="106"/>
      <c r="D23" s="106"/>
      <c r="E23" s="84"/>
      <c r="F23" s="84"/>
      <c r="G23" s="84"/>
      <c r="H23" s="84"/>
      <c r="I23" s="84"/>
      <c r="J23" s="84"/>
      <c r="K23" s="84"/>
      <c r="L23" s="84"/>
      <c r="M23" s="84"/>
      <c r="N23" s="84"/>
      <c r="O23" s="84"/>
    </row>
    <row r="24" spans="1:15" ht="20.25">
      <c r="A24" s="104"/>
      <c r="B24" s="104"/>
      <c r="C24" s="106"/>
      <c r="D24" s="106"/>
      <c r="E24" s="84"/>
      <c r="F24" s="84"/>
      <c r="G24" s="84"/>
      <c r="H24" s="84"/>
      <c r="I24" s="84"/>
      <c r="J24" s="84"/>
      <c r="K24" s="84"/>
      <c r="L24" s="84"/>
      <c r="M24" s="84"/>
      <c r="N24" s="84"/>
      <c r="O24" s="84"/>
    </row>
    <row r="25" spans="1:15" ht="20.25">
      <c r="A25" s="104"/>
      <c r="B25" s="104"/>
      <c r="C25" s="106"/>
      <c r="D25" s="106"/>
      <c r="E25" s="84"/>
      <c r="F25" s="84"/>
      <c r="G25" s="84"/>
      <c r="H25" s="84"/>
      <c r="I25" s="84"/>
      <c r="J25" s="84"/>
      <c r="K25" s="84"/>
      <c r="L25" s="84"/>
      <c r="M25" s="84"/>
      <c r="N25" s="84"/>
      <c r="O25" s="84"/>
    </row>
    <row r="26" spans="1:15" ht="20.25">
      <c r="A26" s="104"/>
      <c r="B26" s="104"/>
      <c r="C26" s="106"/>
      <c r="D26" s="106"/>
      <c r="E26" s="84"/>
      <c r="F26" s="84"/>
      <c r="G26" s="84"/>
      <c r="H26" s="84"/>
      <c r="I26" s="84"/>
      <c r="J26" s="84"/>
      <c r="K26" s="84"/>
      <c r="L26" s="84"/>
      <c r="M26" s="84"/>
      <c r="N26" s="84"/>
      <c r="O26" s="84"/>
    </row>
    <row r="27" spans="1:15" ht="20.25">
      <c r="A27" s="104"/>
      <c r="B27" s="104"/>
      <c r="C27" s="106"/>
      <c r="D27" s="106"/>
      <c r="E27" s="84"/>
      <c r="F27" s="84"/>
      <c r="G27" s="84"/>
      <c r="H27" s="84"/>
      <c r="I27" s="84"/>
      <c r="J27" s="84"/>
      <c r="K27" s="84"/>
      <c r="L27" s="84"/>
      <c r="M27" s="84"/>
      <c r="N27" s="84"/>
      <c r="O27" s="84"/>
    </row>
    <row r="28" spans="1:15" ht="20.25">
      <c r="A28" s="104"/>
      <c r="B28" s="104"/>
      <c r="C28" s="106"/>
      <c r="D28" s="106"/>
      <c r="E28" s="84"/>
      <c r="F28" s="84"/>
      <c r="G28" s="84"/>
      <c r="H28" s="84"/>
      <c r="I28" s="84"/>
      <c r="J28" s="84"/>
      <c r="K28" s="84"/>
      <c r="L28" s="84"/>
      <c r="M28" s="84"/>
      <c r="N28" s="84"/>
      <c r="O28" s="84"/>
    </row>
    <row r="29" spans="1:15" ht="20.25">
      <c r="A29" s="104"/>
      <c r="B29" s="104"/>
      <c r="C29" s="106"/>
      <c r="D29" s="106"/>
      <c r="E29" s="84"/>
      <c r="F29" s="84"/>
      <c r="G29" s="84"/>
      <c r="H29" s="84"/>
      <c r="I29" s="84"/>
      <c r="J29" s="84"/>
      <c r="K29" s="84"/>
      <c r="L29" s="84"/>
      <c r="M29" s="84"/>
      <c r="N29" s="84"/>
      <c r="O29" s="84"/>
    </row>
    <row r="30" spans="1:15" ht="20.25">
      <c r="A30" s="104"/>
      <c r="B30" s="104"/>
      <c r="C30" s="106"/>
      <c r="D30" s="106"/>
      <c r="E30" s="84"/>
      <c r="F30" s="84"/>
      <c r="G30" s="84"/>
      <c r="H30" s="84"/>
      <c r="I30" s="84"/>
      <c r="J30" s="84"/>
      <c r="K30" s="84"/>
      <c r="L30" s="84"/>
      <c r="M30" s="84"/>
      <c r="N30" s="84"/>
      <c r="O30" s="84"/>
    </row>
    <row r="31" spans="1:15" ht="20.25">
      <c r="A31" s="104"/>
      <c r="B31" s="104"/>
      <c r="C31" s="106"/>
      <c r="D31" s="106"/>
      <c r="E31" s="84"/>
      <c r="F31" s="84"/>
      <c r="G31" s="84"/>
      <c r="H31" s="84"/>
      <c r="I31" s="84"/>
      <c r="J31" s="84"/>
      <c r="K31" s="84"/>
      <c r="L31" s="84"/>
      <c r="M31" s="84"/>
      <c r="N31" s="84"/>
      <c r="O31" s="84"/>
    </row>
    <row r="32" spans="1:15" ht="20.25">
      <c r="A32" s="104"/>
      <c r="B32" s="104"/>
      <c r="C32" s="106"/>
      <c r="D32" s="106"/>
      <c r="E32" s="84"/>
      <c r="F32" s="84"/>
      <c r="G32" s="84"/>
      <c r="H32" s="84"/>
      <c r="I32" s="84"/>
      <c r="J32" s="84"/>
      <c r="K32" s="84"/>
      <c r="L32" s="84"/>
      <c r="M32" s="84"/>
      <c r="N32" s="84"/>
      <c r="O32" s="84"/>
    </row>
    <row r="33" spans="1:15" ht="20.25">
      <c r="A33" s="104"/>
      <c r="B33" s="104"/>
      <c r="C33" s="106"/>
      <c r="D33" s="106"/>
      <c r="E33" s="84"/>
      <c r="F33" s="84"/>
      <c r="G33" s="84"/>
      <c r="H33" s="84"/>
      <c r="I33" s="84"/>
      <c r="J33" s="84"/>
      <c r="K33" s="84"/>
      <c r="L33" s="84"/>
      <c r="M33" s="84"/>
      <c r="N33" s="84"/>
      <c r="O33" s="84"/>
    </row>
    <row r="34" spans="1:15" ht="20.25">
      <c r="A34" s="104"/>
      <c r="B34" s="104"/>
      <c r="C34" s="106"/>
      <c r="D34" s="106"/>
      <c r="E34" s="84"/>
      <c r="F34" s="84"/>
      <c r="G34" s="84"/>
      <c r="H34" s="84"/>
      <c r="I34" s="84"/>
      <c r="J34" s="84"/>
      <c r="K34" s="84"/>
      <c r="L34" s="84"/>
      <c r="M34" s="84"/>
      <c r="N34" s="84"/>
      <c r="O34" s="84"/>
    </row>
    <row r="35" spans="1:15" ht="20.25">
      <c r="A35" s="104"/>
      <c r="B35" s="104"/>
      <c r="C35" s="106"/>
      <c r="D35" s="106"/>
      <c r="E35" s="84"/>
      <c r="F35" s="84"/>
      <c r="G35" s="84"/>
      <c r="H35" s="84"/>
      <c r="I35" s="84"/>
      <c r="J35" s="84"/>
      <c r="K35" s="84"/>
      <c r="L35" s="84"/>
      <c r="M35" s="84"/>
      <c r="N35" s="84"/>
      <c r="O35" s="84"/>
    </row>
    <row r="36" spans="1:15" ht="20.25">
      <c r="A36" s="104"/>
      <c r="B36" s="104"/>
      <c r="C36" s="106"/>
      <c r="D36" s="106"/>
      <c r="E36" s="84"/>
      <c r="F36" s="84"/>
      <c r="G36" s="84"/>
      <c r="H36" s="84"/>
      <c r="I36" s="84"/>
      <c r="J36" s="84"/>
      <c r="K36" s="84"/>
      <c r="L36" s="84"/>
      <c r="M36" s="84"/>
      <c r="N36" s="84"/>
      <c r="O36" s="84"/>
    </row>
    <row r="37" spans="1:15" ht="20.25">
      <c r="A37" s="104"/>
      <c r="B37" s="104"/>
      <c r="C37" s="106"/>
      <c r="D37" s="106"/>
      <c r="E37" s="84"/>
      <c r="F37" s="84"/>
      <c r="G37" s="84"/>
      <c r="H37" s="84"/>
      <c r="I37" s="84"/>
      <c r="J37" s="84"/>
      <c r="K37" s="84"/>
      <c r="L37" s="84"/>
      <c r="M37" s="84"/>
      <c r="N37" s="84"/>
      <c r="O37" s="84"/>
    </row>
    <row r="38" spans="1:15" ht="20.25">
      <c r="A38" s="104"/>
      <c r="B38" s="104"/>
      <c r="C38" s="106"/>
      <c r="D38" s="106"/>
      <c r="E38" s="84"/>
      <c r="F38" s="84"/>
      <c r="G38" s="84"/>
      <c r="H38" s="84"/>
      <c r="I38" s="84"/>
      <c r="J38" s="84"/>
      <c r="K38" s="84"/>
      <c r="L38" s="84"/>
      <c r="M38" s="84"/>
      <c r="N38" s="84"/>
      <c r="O38" s="84"/>
    </row>
    <row r="39" spans="1:15" ht="20.25">
      <c r="A39" s="104"/>
      <c r="B39" s="104"/>
      <c r="C39" s="106"/>
      <c r="D39" s="106"/>
      <c r="E39" s="84"/>
      <c r="F39" s="84"/>
      <c r="G39" s="84"/>
      <c r="H39" s="84"/>
      <c r="I39" s="84"/>
      <c r="J39" s="84"/>
      <c r="K39" s="84"/>
      <c r="L39" s="84"/>
      <c r="M39" s="84"/>
      <c r="N39" s="84"/>
      <c r="O39" s="84"/>
    </row>
    <row r="40" spans="1:15" ht="20.25">
      <c r="A40" s="104"/>
      <c r="B40" s="104"/>
      <c r="C40" s="106"/>
      <c r="D40" s="106"/>
      <c r="E40" s="84"/>
      <c r="F40" s="84"/>
      <c r="G40" s="84"/>
      <c r="H40" s="84"/>
      <c r="I40" s="84"/>
      <c r="J40" s="84"/>
      <c r="K40" s="84"/>
      <c r="L40" s="84"/>
      <c r="M40" s="84"/>
      <c r="N40" s="84"/>
      <c r="O40" s="84"/>
    </row>
    <row r="41" spans="1:15" ht="20.25">
      <c r="A41" s="104"/>
      <c r="B41" s="104"/>
      <c r="C41" s="106"/>
      <c r="D41" s="106"/>
      <c r="E41" s="84"/>
      <c r="F41" s="84"/>
      <c r="G41" s="84"/>
      <c r="H41" s="84"/>
      <c r="I41" s="84"/>
      <c r="J41" s="84"/>
      <c r="K41" s="84"/>
      <c r="L41" s="84"/>
      <c r="M41" s="84"/>
      <c r="N41" s="84"/>
      <c r="O41" s="84"/>
    </row>
    <row r="42" spans="1:15" ht="20.25">
      <c r="A42" s="104"/>
      <c r="B42" s="104"/>
      <c r="C42" s="106"/>
      <c r="D42" s="106"/>
      <c r="E42" s="84"/>
      <c r="F42" s="84"/>
      <c r="G42" s="84"/>
      <c r="H42" s="84"/>
      <c r="I42" s="84"/>
      <c r="J42" s="84"/>
      <c r="K42" s="84"/>
      <c r="L42" s="84"/>
      <c r="M42" s="84"/>
      <c r="N42" s="84"/>
      <c r="O42" s="84"/>
    </row>
    <row r="43" spans="1:15" ht="20.25">
      <c r="A43" s="104"/>
      <c r="B43" s="104"/>
      <c r="C43" s="106"/>
      <c r="D43" s="106"/>
      <c r="E43" s="84"/>
      <c r="F43" s="84"/>
      <c r="G43" s="84"/>
      <c r="H43" s="84"/>
      <c r="I43" s="84"/>
      <c r="J43" s="84"/>
      <c r="K43" s="84"/>
      <c r="L43" s="84"/>
      <c r="M43" s="84"/>
      <c r="N43" s="84"/>
      <c r="O43" s="84"/>
    </row>
    <row r="44" spans="1:15" ht="20.25">
      <c r="A44" s="104"/>
      <c r="B44" s="104"/>
      <c r="C44" s="106"/>
      <c r="D44" s="106"/>
      <c r="E44" s="84"/>
      <c r="F44" s="84"/>
      <c r="G44" s="84"/>
      <c r="H44" s="84"/>
      <c r="I44" s="84"/>
      <c r="J44" s="84"/>
      <c r="K44" s="84"/>
      <c r="L44" s="84"/>
      <c r="M44" s="84"/>
      <c r="N44" s="84"/>
      <c r="O44" s="84"/>
    </row>
    <row r="45" spans="1:15" ht="20.25">
      <c r="A45" s="104"/>
      <c r="B45" s="104"/>
      <c r="C45" s="106"/>
      <c r="D45" s="106"/>
      <c r="E45" s="84"/>
      <c r="F45" s="84"/>
      <c r="G45" s="84"/>
      <c r="H45" s="84"/>
      <c r="I45" s="84"/>
      <c r="J45" s="84"/>
      <c r="K45" s="84"/>
      <c r="L45" s="84"/>
      <c r="M45" s="84"/>
      <c r="N45" s="84"/>
      <c r="O45" s="84"/>
    </row>
    <row r="46" spans="1:15" ht="20.25">
      <c r="A46" s="104"/>
      <c r="B46" s="104"/>
      <c r="C46" s="106"/>
      <c r="D46" s="106"/>
      <c r="E46" s="84"/>
      <c r="F46" s="84"/>
      <c r="G46" s="84"/>
      <c r="H46" s="84"/>
      <c r="I46" s="84"/>
      <c r="J46" s="84"/>
      <c r="K46" s="84"/>
      <c r="L46" s="84"/>
      <c r="M46" s="84"/>
      <c r="N46" s="84"/>
      <c r="O46" s="84"/>
    </row>
    <row r="47" spans="1:15" ht="20.25">
      <c r="A47" s="104"/>
      <c r="B47" s="104"/>
      <c r="C47" s="106"/>
      <c r="D47" s="106"/>
      <c r="E47" s="84"/>
      <c r="F47" s="84"/>
      <c r="G47" s="84"/>
      <c r="H47" s="84"/>
      <c r="I47" s="84"/>
      <c r="J47" s="84"/>
      <c r="K47" s="84"/>
      <c r="L47" s="84"/>
      <c r="M47" s="84"/>
      <c r="N47" s="84"/>
      <c r="O47" s="84"/>
    </row>
    <row r="48" spans="1:15" ht="20.25">
      <c r="A48" s="104"/>
      <c r="B48" s="104"/>
      <c r="C48" s="106"/>
      <c r="D48" s="106"/>
      <c r="E48" s="84"/>
      <c r="F48" s="84"/>
      <c r="G48" s="84"/>
      <c r="H48" s="84"/>
      <c r="I48" s="84"/>
      <c r="J48" s="84"/>
      <c r="K48" s="84"/>
      <c r="L48" s="84"/>
      <c r="M48" s="84"/>
      <c r="N48" s="84"/>
      <c r="O48" s="84"/>
    </row>
    <row r="49" spans="1:15" ht="20.25">
      <c r="A49" s="104"/>
      <c r="B49" s="104"/>
      <c r="C49" s="106"/>
      <c r="D49" s="106"/>
      <c r="E49" s="84"/>
      <c r="F49" s="84"/>
      <c r="G49" s="84"/>
      <c r="H49" s="84"/>
      <c r="I49" s="84"/>
      <c r="J49" s="84"/>
      <c r="K49" s="84"/>
      <c r="L49" s="84"/>
      <c r="M49" s="84"/>
      <c r="N49" s="84"/>
      <c r="O49" s="84"/>
    </row>
    <row r="50" spans="1:15" ht="20.25">
      <c r="A50" s="104"/>
      <c r="B50" s="104"/>
      <c r="C50" s="106"/>
      <c r="D50" s="106"/>
      <c r="E50" s="84"/>
      <c r="F50" s="84"/>
      <c r="G50" s="84"/>
      <c r="H50" s="84"/>
      <c r="I50" s="84"/>
      <c r="J50" s="84"/>
      <c r="K50" s="84"/>
      <c r="L50" s="84"/>
      <c r="M50" s="84"/>
      <c r="N50" s="84"/>
      <c r="O50" s="84"/>
    </row>
    <row r="51" spans="1:15" ht="20.25">
      <c r="A51" s="104"/>
      <c r="B51" s="104"/>
      <c r="C51" s="106"/>
      <c r="D51" s="106"/>
      <c r="E51" s="84"/>
      <c r="F51" s="84"/>
      <c r="G51" s="84"/>
      <c r="H51" s="84"/>
      <c r="I51" s="84"/>
      <c r="J51" s="84"/>
      <c r="K51" s="84"/>
      <c r="L51" s="84"/>
      <c r="M51" s="84"/>
      <c r="N51" s="84"/>
      <c r="O51" s="84"/>
    </row>
    <row r="52" spans="1:15" ht="20.25">
      <c r="A52" s="104"/>
      <c r="B52" s="23"/>
      <c r="C52" s="34"/>
      <c r="D52" s="34"/>
    </row>
    <row r="53" spans="1:15" ht="20.25">
      <c r="A53" s="104"/>
      <c r="B53" s="23"/>
      <c r="C53" s="34"/>
      <c r="D53" s="34"/>
    </row>
    <row r="54" spans="1:15" ht="20.25">
      <c r="A54" s="104"/>
      <c r="B54" s="23"/>
      <c r="C54" s="34"/>
      <c r="D54" s="34"/>
    </row>
    <row r="55" spans="1:15" ht="20.25">
      <c r="A55" s="104"/>
      <c r="B55" s="23"/>
      <c r="C55" s="34"/>
      <c r="D55" s="34"/>
    </row>
    <row r="56" spans="1:15" ht="20.25">
      <c r="A56" s="104"/>
      <c r="B56" s="23"/>
      <c r="C56" s="34"/>
      <c r="D56" s="34"/>
    </row>
    <row r="57" spans="1:15" ht="20.25">
      <c r="A57" s="104"/>
      <c r="B57" s="23"/>
      <c r="C57" s="34"/>
      <c r="D57" s="34"/>
    </row>
    <row r="58" spans="1:15" ht="20.25">
      <c r="A58" s="104"/>
      <c r="B58" s="23"/>
      <c r="C58" s="34"/>
      <c r="D58" s="34"/>
    </row>
    <row r="59" spans="1:15" ht="20.25">
      <c r="A59" s="104"/>
      <c r="B59" s="23"/>
      <c r="C59" s="34"/>
      <c r="D59" s="34"/>
    </row>
    <row r="60" spans="1:15" ht="20.25">
      <c r="A60" s="104"/>
      <c r="B60" s="23"/>
      <c r="C60" s="34"/>
      <c r="D60" s="34"/>
    </row>
    <row r="61" spans="1:15" ht="20.25">
      <c r="A61" s="104"/>
      <c r="B61" s="23"/>
      <c r="C61" s="34"/>
      <c r="D61" s="34"/>
    </row>
    <row r="62" spans="1:15" ht="20.25">
      <c r="A62" s="104"/>
      <c r="B62" s="23"/>
      <c r="C62" s="34"/>
      <c r="D62" s="34"/>
    </row>
    <row r="63" spans="1:15" ht="20.25">
      <c r="A63" s="104"/>
      <c r="B63" s="23"/>
      <c r="C63" s="34"/>
      <c r="D63" s="34"/>
    </row>
    <row r="64" spans="1:15" ht="20.25">
      <c r="A64" s="104"/>
      <c r="B64" s="23"/>
      <c r="C64" s="34"/>
      <c r="D64" s="34"/>
    </row>
    <row r="65" spans="1:4" ht="20.25">
      <c r="A65" s="104"/>
      <c r="B65" s="23"/>
      <c r="C65" s="34"/>
      <c r="D65" s="34"/>
    </row>
    <row r="66" spans="1:4" ht="20.25">
      <c r="A66" s="104"/>
      <c r="B66" s="23"/>
      <c r="C66" s="34"/>
      <c r="D66" s="34"/>
    </row>
    <row r="67" spans="1:4" ht="20.25">
      <c r="A67" s="104"/>
      <c r="B67" s="23"/>
      <c r="C67" s="34"/>
      <c r="D67" s="34"/>
    </row>
    <row r="68" spans="1:4" ht="20.25">
      <c r="A68" s="104"/>
      <c r="B68" s="23"/>
      <c r="C68" s="34"/>
      <c r="D68" s="34"/>
    </row>
    <row r="69" spans="1:4" ht="20.25">
      <c r="A69" s="104"/>
      <c r="B69" s="23"/>
      <c r="C69" s="34"/>
      <c r="D69" s="34"/>
    </row>
    <row r="70" spans="1:4" ht="20.25">
      <c r="A70" s="104"/>
      <c r="B70" s="23"/>
      <c r="C70" s="34"/>
      <c r="D70" s="34"/>
    </row>
    <row r="71" spans="1:4" ht="20.25">
      <c r="A71" s="104"/>
      <c r="B71" s="23"/>
      <c r="C71" s="34"/>
      <c r="D71" s="34"/>
    </row>
    <row r="72" spans="1:4" ht="20.25">
      <c r="A72" s="104"/>
      <c r="B72" s="23"/>
      <c r="C72" s="34"/>
      <c r="D72" s="34"/>
    </row>
    <row r="73" spans="1:4" ht="20.25">
      <c r="A73" s="104"/>
      <c r="B73" s="23"/>
      <c r="C73" s="34"/>
      <c r="D73" s="34"/>
    </row>
    <row r="74" spans="1:4" ht="20.25">
      <c r="A74" s="104"/>
      <c r="B74" s="23"/>
      <c r="C74" s="34"/>
      <c r="D74" s="34"/>
    </row>
    <row r="75" spans="1:4" ht="20.25">
      <c r="A75" s="104"/>
      <c r="B75" s="23"/>
      <c r="C75" s="34"/>
      <c r="D75" s="34"/>
    </row>
    <row r="76" spans="1:4" ht="20.25">
      <c r="A76" s="104"/>
      <c r="B76" s="23"/>
      <c r="C76" s="34"/>
      <c r="D76" s="34"/>
    </row>
    <row r="77" spans="1:4" ht="20.25">
      <c r="A77" s="104"/>
      <c r="B77" s="23"/>
      <c r="C77" s="34"/>
      <c r="D77" s="34"/>
    </row>
    <row r="78" spans="1:4" ht="20.25">
      <c r="A78" s="104"/>
      <c r="B78" s="23"/>
      <c r="C78" s="34"/>
      <c r="D78" s="34"/>
    </row>
    <row r="79" spans="1:4" ht="20.25">
      <c r="A79" s="104"/>
      <c r="B79" s="23"/>
      <c r="C79" s="34"/>
      <c r="D79" s="34"/>
    </row>
    <row r="80" spans="1:4" ht="20.25">
      <c r="A80" s="104"/>
      <c r="B80" s="23"/>
      <c r="C80" s="34"/>
      <c r="D80" s="34"/>
    </row>
    <row r="81" spans="1:4" ht="20.25">
      <c r="A81" s="104"/>
      <c r="B81" s="23"/>
      <c r="C81" s="34"/>
      <c r="D81" s="34"/>
    </row>
    <row r="82" spans="1:4" ht="20.25">
      <c r="A82" s="104"/>
      <c r="B82" s="23"/>
      <c r="C82" s="34"/>
      <c r="D82" s="34"/>
    </row>
    <row r="83" spans="1:4" ht="20.25">
      <c r="A83" s="104"/>
      <c r="B83" s="23"/>
      <c r="C83" s="34"/>
      <c r="D83" s="34"/>
    </row>
    <row r="84" spans="1:4" ht="20.25">
      <c r="A84" s="104"/>
      <c r="B84" s="23"/>
      <c r="C84" s="34"/>
      <c r="D84" s="34"/>
    </row>
    <row r="85" spans="1:4" ht="20.25">
      <c r="A85" s="104"/>
      <c r="B85" s="23"/>
      <c r="C85" s="34"/>
      <c r="D85" s="34"/>
    </row>
    <row r="86" spans="1:4" ht="20.25">
      <c r="A86" s="104"/>
      <c r="B86" s="23"/>
      <c r="C86" s="34"/>
      <c r="D86" s="34"/>
    </row>
    <row r="87" spans="1:4" ht="20.25">
      <c r="A87" s="104"/>
      <c r="B87" s="23"/>
      <c r="C87" s="34"/>
      <c r="D87" s="34"/>
    </row>
    <row r="88" spans="1:4" ht="20.25">
      <c r="A88" s="104"/>
      <c r="B88" s="23"/>
      <c r="C88" s="34"/>
      <c r="D88" s="34"/>
    </row>
    <row r="89" spans="1:4" ht="20.25">
      <c r="A89" s="104"/>
      <c r="B89" s="23"/>
      <c r="C89" s="34"/>
      <c r="D89" s="34"/>
    </row>
    <row r="90" spans="1:4" ht="20.25">
      <c r="A90" s="104"/>
      <c r="B90" s="23"/>
      <c r="C90" s="34"/>
      <c r="D90" s="34"/>
    </row>
    <row r="91" spans="1:4" ht="20.25">
      <c r="A91" s="104"/>
      <c r="B91" s="23"/>
      <c r="C91" s="34"/>
      <c r="D91" s="34"/>
    </row>
    <row r="92" spans="1:4" ht="20.25">
      <c r="A92" s="104"/>
      <c r="B92" s="23"/>
      <c r="C92" s="34"/>
      <c r="D92" s="34"/>
    </row>
    <row r="93" spans="1:4" ht="20.25">
      <c r="A93" s="104"/>
      <c r="B93" s="23"/>
      <c r="C93" s="34"/>
      <c r="D93" s="34"/>
    </row>
    <row r="94" spans="1:4" ht="20.25">
      <c r="A94" s="104"/>
      <c r="B94" s="23"/>
      <c r="C94" s="34"/>
      <c r="D94" s="34"/>
    </row>
    <row r="95" spans="1:4" ht="20.25">
      <c r="A95" s="104"/>
      <c r="B95" s="23"/>
      <c r="C95" s="34"/>
      <c r="D95" s="34"/>
    </row>
    <row r="96" spans="1:4" ht="20.25">
      <c r="A96" s="104"/>
      <c r="B96" s="23"/>
      <c r="C96" s="34"/>
      <c r="D96" s="34"/>
    </row>
    <row r="97" spans="1:4" ht="20.25">
      <c r="A97" s="104"/>
      <c r="B97" s="23"/>
      <c r="C97" s="34"/>
      <c r="D97" s="34"/>
    </row>
    <row r="98" spans="1:4" ht="20.25">
      <c r="A98" s="104"/>
      <c r="B98" s="23"/>
      <c r="C98" s="34"/>
      <c r="D98" s="34"/>
    </row>
    <row r="99" spans="1:4" ht="20.25">
      <c r="A99" s="104"/>
      <c r="B99" s="23"/>
      <c r="C99" s="34"/>
      <c r="D99" s="34"/>
    </row>
    <row r="100" spans="1:4" ht="20.25">
      <c r="A100" s="104"/>
      <c r="B100" s="23"/>
      <c r="C100" s="34"/>
      <c r="D100" s="34"/>
    </row>
    <row r="101" spans="1:4" ht="20.25">
      <c r="A101" s="104"/>
      <c r="B101" s="23"/>
      <c r="C101" s="34"/>
      <c r="D101" s="34"/>
    </row>
    <row r="102" spans="1:4" ht="20.25">
      <c r="A102" s="104"/>
      <c r="B102" s="23"/>
      <c r="C102" s="34"/>
      <c r="D102" s="34"/>
    </row>
    <row r="103" spans="1:4" ht="20.25">
      <c r="A103" s="104"/>
      <c r="B103" s="23"/>
      <c r="C103" s="34"/>
      <c r="D103" s="34"/>
    </row>
    <row r="104" spans="1:4" ht="20.25">
      <c r="A104" s="104"/>
      <c r="B104" s="23"/>
      <c r="C104" s="34"/>
      <c r="D104" s="34"/>
    </row>
    <row r="105" spans="1:4" ht="20.25">
      <c r="A105" s="104"/>
      <c r="B105" s="23"/>
      <c r="C105" s="34"/>
      <c r="D105" s="34"/>
    </row>
    <row r="106" spans="1:4" ht="20.25">
      <c r="A106" s="104"/>
      <c r="B106" s="23"/>
      <c r="C106" s="34"/>
      <c r="D106" s="34"/>
    </row>
    <row r="107" spans="1:4" ht="20.25">
      <c r="A107" s="104"/>
      <c r="B107" s="23"/>
      <c r="C107" s="34"/>
      <c r="D107" s="34"/>
    </row>
    <row r="108" spans="1:4" ht="20.25">
      <c r="A108" s="104"/>
      <c r="B108" s="23"/>
      <c r="C108" s="34"/>
      <c r="D108" s="34"/>
    </row>
    <row r="109" spans="1:4" ht="20.25">
      <c r="A109" s="104"/>
      <c r="B109" s="23"/>
      <c r="C109" s="34"/>
      <c r="D109" s="34"/>
    </row>
    <row r="110" spans="1:4" ht="20.25">
      <c r="A110" s="104"/>
      <c r="B110" s="23"/>
      <c r="C110" s="34"/>
      <c r="D110" s="34"/>
    </row>
    <row r="111" spans="1:4" ht="20.25">
      <c r="A111" s="104"/>
      <c r="B111" s="23"/>
      <c r="C111" s="34"/>
      <c r="D111" s="34"/>
    </row>
    <row r="112" spans="1:4" ht="20.25">
      <c r="A112" s="104"/>
      <c r="B112" s="23"/>
      <c r="C112" s="34"/>
      <c r="D112" s="34"/>
    </row>
    <row r="113" spans="1:4" ht="20.25">
      <c r="A113" s="104"/>
      <c r="B113" s="23"/>
      <c r="C113" s="34"/>
      <c r="D113" s="34"/>
    </row>
    <row r="114" spans="1:4" ht="20.25">
      <c r="A114" s="104"/>
      <c r="B114" s="23"/>
      <c r="C114" s="34"/>
      <c r="D114" s="34"/>
    </row>
    <row r="115" spans="1:4" ht="20.25">
      <c r="A115" s="104"/>
      <c r="B115" s="23"/>
      <c r="C115" s="34"/>
      <c r="D115" s="34"/>
    </row>
    <row r="116" spans="1:4" ht="20.25">
      <c r="A116" s="104"/>
      <c r="B116" s="23"/>
      <c r="C116" s="34"/>
      <c r="D116" s="34"/>
    </row>
    <row r="117" spans="1:4" ht="20.25">
      <c r="A117" s="104"/>
      <c r="B117" s="23"/>
      <c r="C117" s="34"/>
      <c r="D117" s="34"/>
    </row>
    <row r="118" spans="1:4" ht="20.25">
      <c r="A118" s="104"/>
      <c r="B118" s="23"/>
      <c r="C118" s="34"/>
      <c r="D118" s="34"/>
    </row>
    <row r="119" spans="1:4" ht="20.25">
      <c r="A119" s="104"/>
      <c r="B119" s="23"/>
      <c r="C119" s="34"/>
      <c r="D119" s="34"/>
    </row>
    <row r="120" spans="1:4" ht="20.25">
      <c r="A120" s="104"/>
      <c r="B120" s="23"/>
      <c r="C120" s="34"/>
      <c r="D120" s="34"/>
    </row>
    <row r="121" spans="1:4" ht="20.25">
      <c r="A121" s="104"/>
      <c r="B121" s="23"/>
      <c r="C121" s="34"/>
      <c r="D121" s="34"/>
    </row>
    <row r="122" spans="1:4" ht="20.25">
      <c r="A122" s="104"/>
      <c r="B122" s="23"/>
      <c r="C122" s="34"/>
      <c r="D122" s="34"/>
    </row>
    <row r="123" spans="1:4" ht="20.25">
      <c r="A123" s="104"/>
      <c r="B123" s="23"/>
      <c r="C123" s="34"/>
      <c r="D123" s="34"/>
    </row>
    <row r="124" spans="1:4" ht="20.25">
      <c r="A124" s="104"/>
      <c r="B124" s="23"/>
      <c r="C124" s="34"/>
      <c r="D124" s="34"/>
    </row>
    <row r="125" spans="1:4" ht="20.25">
      <c r="A125" s="104"/>
      <c r="B125" s="23"/>
      <c r="C125" s="34"/>
      <c r="D125" s="34"/>
    </row>
    <row r="126" spans="1:4" ht="20.25">
      <c r="A126" s="104"/>
      <c r="B126" s="23"/>
      <c r="C126" s="34"/>
      <c r="D126" s="34"/>
    </row>
    <row r="127" spans="1:4" ht="20.25">
      <c r="A127" s="104"/>
      <c r="B127" s="23"/>
      <c r="C127" s="34"/>
      <c r="D127" s="34"/>
    </row>
    <row r="128" spans="1:4" ht="20.25">
      <c r="A128" s="104"/>
      <c r="B128" s="23"/>
      <c r="C128" s="34"/>
      <c r="D128" s="34"/>
    </row>
    <row r="129" spans="1:4" ht="20.25">
      <c r="A129" s="104"/>
      <c r="B129" s="23"/>
      <c r="C129" s="34"/>
      <c r="D129" s="34"/>
    </row>
    <row r="130" spans="1:4" ht="20.25">
      <c r="A130" s="104"/>
      <c r="B130" s="23"/>
      <c r="C130" s="34"/>
      <c r="D130" s="34"/>
    </row>
    <row r="131" spans="1:4" ht="20.25">
      <c r="A131" s="104"/>
      <c r="B131" s="23"/>
      <c r="C131" s="34"/>
      <c r="D131" s="34"/>
    </row>
    <row r="132" spans="1:4" ht="20.25">
      <c r="A132" s="104"/>
      <c r="B132" s="23"/>
      <c r="C132" s="34"/>
      <c r="D132" s="34"/>
    </row>
    <row r="133" spans="1:4" ht="20.25">
      <c r="A133" s="104"/>
      <c r="B133" s="23"/>
      <c r="C133" s="34"/>
      <c r="D133" s="34"/>
    </row>
    <row r="134" spans="1:4" ht="20.25">
      <c r="A134" s="104"/>
      <c r="B134" s="23"/>
      <c r="C134" s="34"/>
      <c r="D134" s="34"/>
    </row>
    <row r="135" spans="1:4" ht="20.25">
      <c r="A135" s="104"/>
      <c r="B135" s="23"/>
      <c r="C135" s="34"/>
      <c r="D135" s="34"/>
    </row>
    <row r="136" spans="1:4" ht="20.25">
      <c r="A136" s="104"/>
      <c r="B136" s="23"/>
      <c r="C136" s="34"/>
      <c r="D136" s="34"/>
    </row>
    <row r="137" spans="1:4" ht="20.25">
      <c r="A137" s="104"/>
      <c r="B137" s="23"/>
      <c r="C137" s="34"/>
      <c r="D137" s="34"/>
    </row>
    <row r="138" spans="1:4" ht="20.25">
      <c r="A138" s="104"/>
      <c r="B138" s="23"/>
      <c r="C138" s="34"/>
      <c r="D138" s="34"/>
    </row>
    <row r="139" spans="1:4" ht="20.25">
      <c r="A139" s="104"/>
      <c r="B139" s="23"/>
      <c r="C139" s="34"/>
      <c r="D139" s="34"/>
    </row>
    <row r="140" spans="1:4" ht="20.25">
      <c r="A140" s="104"/>
      <c r="B140" s="23"/>
      <c r="C140" s="34"/>
      <c r="D140" s="34"/>
    </row>
    <row r="141" spans="1:4" ht="20.25">
      <c r="A141" s="104"/>
      <c r="B141" s="23"/>
      <c r="C141" s="34"/>
      <c r="D141" s="34"/>
    </row>
    <row r="142" spans="1:4" ht="20.25">
      <c r="A142" s="104"/>
      <c r="B142" s="23"/>
      <c r="C142" s="34"/>
      <c r="D142" s="34"/>
    </row>
    <row r="143" spans="1:4" ht="20.25">
      <c r="A143" s="104"/>
      <c r="B143" s="23"/>
      <c r="C143" s="34"/>
      <c r="D143" s="34"/>
    </row>
    <row r="144" spans="1:4" ht="20.25">
      <c r="A144" s="104"/>
      <c r="B144" s="23"/>
      <c r="C144" s="34"/>
      <c r="D144" s="34"/>
    </row>
    <row r="145" spans="1:4" ht="20.25">
      <c r="A145" s="104"/>
      <c r="B145" s="23"/>
      <c r="C145" s="34"/>
      <c r="D145" s="34"/>
    </row>
    <row r="146" spans="1:4" ht="20.25">
      <c r="A146" s="104"/>
      <c r="B146" s="23"/>
      <c r="C146" s="34"/>
      <c r="D146" s="34"/>
    </row>
    <row r="147" spans="1:4" ht="20.25">
      <c r="A147" s="104"/>
      <c r="B147" s="23"/>
      <c r="C147" s="34"/>
      <c r="D147" s="34"/>
    </row>
    <row r="148" spans="1:4" ht="20.25">
      <c r="A148" s="104"/>
      <c r="B148" s="23"/>
      <c r="C148" s="34"/>
      <c r="D148" s="34"/>
    </row>
    <row r="149" spans="1:4" ht="20.25">
      <c r="A149" s="104"/>
      <c r="B149" s="23"/>
      <c r="C149" s="34"/>
      <c r="D149" s="34"/>
    </row>
    <row r="150" spans="1:4" ht="20.25">
      <c r="A150" s="104"/>
      <c r="B150" s="23"/>
      <c r="C150" s="34"/>
      <c r="D150" s="34"/>
    </row>
    <row r="151" spans="1:4" ht="20.25">
      <c r="A151" s="104"/>
      <c r="B151" s="23"/>
      <c r="C151" s="34"/>
      <c r="D151" s="34"/>
    </row>
    <row r="152" spans="1:4" ht="20.25">
      <c r="A152" s="104"/>
      <c r="B152" s="23"/>
      <c r="C152" s="34"/>
      <c r="D152" s="34"/>
    </row>
    <row r="153" spans="1:4" ht="20.25">
      <c r="A153" s="104"/>
      <c r="B153" s="23"/>
      <c r="C153" s="34"/>
      <c r="D153" s="34"/>
    </row>
    <row r="154" spans="1:4" ht="20.25">
      <c r="A154" s="104"/>
      <c r="B154" s="23"/>
      <c r="C154" s="34"/>
      <c r="D154" s="34"/>
    </row>
    <row r="155" spans="1:4" ht="20.25">
      <c r="A155" s="104"/>
      <c r="B155" s="23"/>
      <c r="C155" s="34"/>
      <c r="D155" s="34"/>
    </row>
    <row r="156" spans="1:4" ht="20.25">
      <c r="A156" s="104"/>
      <c r="B156" s="23"/>
      <c r="C156" s="34"/>
      <c r="D156" s="34"/>
    </row>
    <row r="157" spans="1:4" ht="20.25">
      <c r="A157" s="104"/>
      <c r="B157" s="23"/>
      <c r="C157" s="34"/>
      <c r="D157" s="34"/>
    </row>
    <row r="158" spans="1:4" ht="20.25">
      <c r="A158" s="104"/>
      <c r="B158" s="23"/>
      <c r="C158" s="34"/>
      <c r="D158" s="34"/>
    </row>
    <row r="159" spans="1:4" ht="20.25">
      <c r="A159" s="104"/>
      <c r="B159" s="23"/>
      <c r="C159" s="34"/>
      <c r="D159" s="34"/>
    </row>
    <row r="160" spans="1:4" ht="20.25">
      <c r="A160" s="104"/>
      <c r="B160" s="23"/>
      <c r="C160" s="34"/>
      <c r="D160" s="34"/>
    </row>
    <row r="161" spans="1:4" ht="20.25">
      <c r="A161" s="104"/>
      <c r="B161" s="23"/>
      <c r="C161" s="34"/>
      <c r="D161" s="34"/>
    </row>
    <row r="162" spans="1:4" ht="20.25">
      <c r="A162" s="104"/>
      <c r="B162" s="23"/>
      <c r="C162" s="34"/>
      <c r="D162" s="34"/>
    </row>
    <row r="163" spans="1:4" ht="20.25">
      <c r="A163" s="104"/>
      <c r="B163" s="23"/>
      <c r="C163" s="34"/>
      <c r="D163" s="34"/>
    </row>
    <row r="164" spans="1:4" ht="20.25">
      <c r="A164" s="104"/>
      <c r="B164" s="23"/>
      <c r="C164" s="34"/>
      <c r="D164" s="34"/>
    </row>
    <row r="165" spans="1:4" ht="20.25">
      <c r="A165" s="104"/>
      <c r="B165" s="23"/>
      <c r="C165" s="34"/>
      <c r="D165" s="34"/>
    </row>
    <row r="166" spans="1:4" ht="20.25">
      <c r="A166" s="104"/>
      <c r="B166" s="23"/>
      <c r="C166" s="34"/>
      <c r="D166" s="34"/>
    </row>
    <row r="167" spans="1:4" ht="20.25">
      <c r="A167" s="104"/>
      <c r="B167" s="23"/>
      <c r="C167" s="34"/>
      <c r="D167" s="34"/>
    </row>
    <row r="168" spans="1:4" ht="20.25">
      <c r="A168" s="104"/>
      <c r="B168" s="23"/>
      <c r="C168" s="34"/>
      <c r="D168" s="34"/>
    </row>
    <row r="169" spans="1:4" ht="20.25">
      <c r="A169" s="104"/>
      <c r="B169" s="23"/>
      <c r="C169" s="34"/>
      <c r="D169" s="34"/>
    </row>
    <row r="170" spans="1:4" ht="20.25">
      <c r="A170" s="104"/>
      <c r="B170" s="23"/>
      <c r="C170" s="34"/>
      <c r="D170" s="34"/>
    </row>
    <row r="171" spans="1:4" ht="20.25">
      <c r="A171" s="104"/>
      <c r="B171" s="23"/>
      <c r="C171" s="34"/>
      <c r="D171" s="34"/>
    </row>
    <row r="172" spans="1:4" ht="20.25">
      <c r="A172" s="104"/>
      <c r="B172" s="23"/>
      <c r="C172" s="34"/>
      <c r="D172" s="34"/>
    </row>
    <row r="173" spans="1:4" ht="20.25">
      <c r="A173" s="104"/>
      <c r="B173" s="23"/>
      <c r="C173" s="34"/>
      <c r="D173" s="34"/>
    </row>
    <row r="174" spans="1:4" ht="20.25">
      <c r="A174" s="104"/>
      <c r="B174" s="23"/>
      <c r="C174" s="34"/>
      <c r="D174" s="34"/>
    </row>
    <row r="175" spans="1:4" ht="20.25">
      <c r="A175" s="104"/>
      <c r="B175" s="23"/>
      <c r="C175" s="34"/>
      <c r="D175" s="34"/>
    </row>
    <row r="176" spans="1:4" ht="20.25">
      <c r="A176" s="104"/>
      <c r="B176" s="23"/>
      <c r="C176" s="34"/>
      <c r="D176" s="34"/>
    </row>
    <row r="177" spans="1:4" ht="20.25">
      <c r="A177" s="104"/>
      <c r="B177" s="23"/>
      <c r="C177" s="34"/>
      <c r="D177" s="34"/>
    </row>
    <row r="178" spans="1:4" ht="20.25">
      <c r="A178" s="104"/>
      <c r="B178" s="23"/>
      <c r="C178" s="34"/>
      <c r="D178" s="34"/>
    </row>
    <row r="179" spans="1:4" ht="20.25">
      <c r="A179" s="104"/>
      <c r="B179" s="23"/>
      <c r="C179" s="34"/>
      <c r="D179" s="34"/>
    </row>
    <row r="180" spans="1:4" ht="20.25">
      <c r="A180" s="104"/>
      <c r="B180" s="23"/>
      <c r="C180" s="34"/>
      <c r="D180" s="34"/>
    </row>
    <row r="181" spans="1:4" ht="20.25">
      <c r="A181" s="104"/>
      <c r="B181" s="23"/>
      <c r="C181" s="34"/>
      <c r="D181" s="34"/>
    </row>
    <row r="182" spans="1:4" ht="20.25">
      <c r="A182" s="104"/>
      <c r="B182" s="23"/>
      <c r="C182" s="34"/>
      <c r="D182" s="34"/>
    </row>
    <row r="183" spans="1:4" ht="20.25">
      <c r="A183" s="104"/>
      <c r="B183" s="23"/>
      <c r="C183" s="34"/>
      <c r="D183" s="34"/>
    </row>
    <row r="184" spans="1:4" ht="20.25">
      <c r="A184" s="104"/>
      <c r="B184" s="23"/>
      <c r="C184" s="34"/>
      <c r="D184" s="34"/>
    </row>
    <row r="185" spans="1:4" ht="20.25">
      <c r="A185" s="104"/>
      <c r="B185" s="23"/>
      <c r="C185" s="34"/>
      <c r="D185" s="34"/>
    </row>
    <row r="186" spans="1:4" ht="20.25">
      <c r="A186" s="104"/>
      <c r="B186" s="23"/>
      <c r="C186" s="34"/>
      <c r="D186" s="34"/>
    </row>
    <row r="187" spans="1:4" ht="20.25">
      <c r="A187" s="104"/>
      <c r="B187" s="23"/>
      <c r="C187" s="34"/>
      <c r="D187" s="34"/>
    </row>
    <row r="188" spans="1:4" ht="20.25">
      <c r="A188" s="104"/>
      <c r="B188" s="23"/>
      <c r="C188" s="34"/>
      <c r="D188" s="34"/>
    </row>
    <row r="189" spans="1:4" ht="20.25">
      <c r="A189" s="104"/>
      <c r="B189" s="23"/>
      <c r="C189" s="34"/>
      <c r="D189" s="34"/>
    </row>
    <row r="190" spans="1:4" ht="20.25">
      <c r="A190" s="104"/>
      <c r="B190" s="23"/>
      <c r="C190" s="34"/>
      <c r="D190" s="34"/>
    </row>
    <row r="191" spans="1:4" ht="20.25">
      <c r="A191" s="104"/>
      <c r="B191" s="23"/>
      <c r="C191" s="34"/>
      <c r="D191" s="34"/>
    </row>
    <row r="192" spans="1:4" ht="20.25">
      <c r="A192" s="104"/>
      <c r="B192" s="23"/>
      <c r="C192" s="34"/>
      <c r="D192" s="34"/>
    </row>
    <row r="193" spans="1:4" ht="20.25">
      <c r="A193" s="104"/>
      <c r="B193" s="23"/>
      <c r="C193" s="34"/>
      <c r="D193" s="34"/>
    </row>
    <row r="194" spans="1:4" ht="20.25">
      <c r="A194" s="104"/>
      <c r="B194" s="23"/>
      <c r="C194" s="34"/>
      <c r="D194" s="34"/>
    </row>
    <row r="195" spans="1:4" ht="20.25">
      <c r="A195" s="104"/>
      <c r="B195" s="23"/>
      <c r="C195" s="34"/>
      <c r="D195" s="34"/>
    </row>
    <row r="196" spans="1:4" ht="20.25">
      <c r="A196" s="104"/>
      <c r="B196" s="23"/>
      <c r="C196" s="34"/>
      <c r="D196" s="34"/>
    </row>
    <row r="197" spans="1:4" ht="20.25">
      <c r="A197" s="104"/>
      <c r="B197" s="23"/>
      <c r="C197" s="34"/>
      <c r="D197" s="34"/>
    </row>
    <row r="198" spans="1:4" ht="20.25">
      <c r="A198" s="104"/>
      <c r="B198" s="23"/>
      <c r="C198" s="34"/>
      <c r="D198" s="34"/>
    </row>
    <row r="199" spans="1:4" ht="20.25">
      <c r="A199" s="104"/>
      <c r="B199" s="23"/>
      <c r="C199" s="34"/>
      <c r="D199" s="34"/>
    </row>
    <row r="200" spans="1:4" ht="20.25">
      <c r="A200" s="104"/>
      <c r="B200" s="23"/>
      <c r="C200" s="34"/>
      <c r="D200" s="34"/>
    </row>
    <row r="201" spans="1:4" ht="20.25">
      <c r="A201" s="104"/>
      <c r="B201" s="23"/>
      <c r="C201" s="34"/>
      <c r="D201" s="34"/>
    </row>
    <row r="202" spans="1:4" ht="20.25">
      <c r="A202" s="104"/>
      <c r="B202" s="23"/>
      <c r="C202" s="34"/>
      <c r="D202" s="34"/>
    </row>
    <row r="203" spans="1:4" ht="20.25">
      <c r="A203" s="104"/>
      <c r="B203" s="23"/>
      <c r="C203" s="34"/>
      <c r="D203" s="34"/>
    </row>
    <row r="204" spans="1:4" ht="20.25">
      <c r="A204" s="104"/>
      <c r="B204" s="23"/>
      <c r="C204" s="34"/>
      <c r="D204" s="34"/>
    </row>
    <row r="205" spans="1:4" ht="20.25">
      <c r="A205" s="104"/>
      <c r="B205" s="23"/>
      <c r="C205" s="34"/>
      <c r="D205" s="34"/>
    </row>
    <row r="206" spans="1:4" ht="20.25">
      <c r="A206" s="104"/>
      <c r="B206" s="23"/>
      <c r="C206" s="34"/>
      <c r="D206" s="34"/>
    </row>
    <row r="207" spans="1:4" ht="20.25">
      <c r="A207" s="104"/>
      <c r="B207" s="23"/>
      <c r="C207" s="34"/>
      <c r="D207" s="34"/>
    </row>
    <row r="208" spans="1:4">
      <c r="A208" s="84"/>
      <c r="B208" s="23"/>
      <c r="C208" s="23"/>
      <c r="D208" s="23"/>
    </row>
    <row r="209" spans="1:8" ht="20.25">
      <c r="A209" s="84"/>
      <c r="B209" s="30" t="s">
        <v>88</v>
      </c>
      <c r="C209" s="30" t="s">
        <v>145</v>
      </c>
      <c r="D209" s="33" t="s">
        <v>88</v>
      </c>
      <c r="E209" s="33" t="s">
        <v>145</v>
      </c>
    </row>
    <row r="210" spans="1:8" ht="21">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c r="A211" s="84"/>
      <c r="B211" s="31" t="s">
        <v>90</v>
      </c>
      <c r="C211" s="31" t="s">
        <v>93</v>
      </c>
      <c r="E211" t="s">
        <v>58</v>
      </c>
      <c r="F211" t="str">
        <f t="shared" ref="F211:F221" si="0">IF(NOT(ISBLANK(D211)),D211,IF(NOT(ISBLANK(E211)),"     "&amp;E211,FALSE))</f>
        <v xml:space="preserve">     Afectación menor a 10 SMLMV .</v>
      </c>
    </row>
    <row r="212" spans="1:8" ht="21">
      <c r="A212" s="84"/>
      <c r="B212" s="31" t="s">
        <v>90</v>
      </c>
      <c r="C212" s="31" t="s">
        <v>94</v>
      </c>
      <c r="E212" t="s">
        <v>93</v>
      </c>
      <c r="F212" t="str">
        <f t="shared" si="0"/>
        <v xml:space="preserve">     Entre 10 y 50 SMLMV </v>
      </c>
    </row>
    <row r="213" spans="1:8" ht="21">
      <c r="A213" s="84"/>
      <c r="B213" s="31" t="s">
        <v>90</v>
      </c>
      <c r="C213" s="31" t="s">
        <v>95</v>
      </c>
      <c r="E213" t="s">
        <v>94</v>
      </c>
      <c r="F213" t="str">
        <f t="shared" si="0"/>
        <v xml:space="preserve">     Entre 50 y 100 SMLMV </v>
      </c>
    </row>
    <row r="214" spans="1:8" ht="21">
      <c r="A214" s="84"/>
      <c r="B214" s="31" t="s">
        <v>90</v>
      </c>
      <c r="C214" s="31" t="s">
        <v>96</v>
      </c>
      <c r="E214" t="s">
        <v>95</v>
      </c>
      <c r="F214" t="str">
        <f t="shared" si="0"/>
        <v xml:space="preserve">     Entre 100 y 500 SMLMV </v>
      </c>
    </row>
    <row r="215" spans="1:8" ht="21">
      <c r="A215" s="84"/>
      <c r="B215" s="31" t="s">
        <v>57</v>
      </c>
      <c r="C215" s="31" t="s">
        <v>97</v>
      </c>
      <c r="E215" t="s">
        <v>96</v>
      </c>
      <c r="F215" t="str">
        <f t="shared" si="0"/>
        <v xml:space="preserve">     Mayor a 500 SMLMV </v>
      </c>
    </row>
    <row r="216" spans="1:8" ht="21">
      <c r="A216" s="84"/>
      <c r="B216" s="31" t="s">
        <v>57</v>
      </c>
      <c r="C216" s="31" t="s">
        <v>98</v>
      </c>
      <c r="D216" t="s">
        <v>57</v>
      </c>
      <c r="F216" t="str">
        <f t="shared" si="0"/>
        <v>Pérdida Reputacional</v>
      </c>
    </row>
    <row r="217" spans="1:8" ht="21">
      <c r="A217" s="84"/>
      <c r="B217" s="31" t="s">
        <v>57</v>
      </c>
      <c r="C217" s="31" t="s">
        <v>100</v>
      </c>
      <c r="E217" t="s">
        <v>97</v>
      </c>
      <c r="F217" t="str">
        <f t="shared" si="0"/>
        <v xml:space="preserve">     El riesgo afecta la imagen de alguna área de la organización</v>
      </c>
    </row>
    <row r="218" spans="1:8" ht="21">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c r="A219" s="84"/>
      <c r="B219" s="31" t="s">
        <v>57</v>
      </c>
      <c r="C219" s="31" t="s">
        <v>118</v>
      </c>
      <c r="E219" t="s">
        <v>100</v>
      </c>
      <c r="F219" t="str">
        <f t="shared" si="0"/>
        <v xml:space="preserve">     El riesgo afecta la imagen de la entidad con algunos usuarios de relevancia frente al logro de los objetivos</v>
      </c>
    </row>
    <row r="220" spans="1:8">
      <c r="A220" s="84"/>
      <c r="B220" s="32"/>
      <c r="C220" s="32"/>
      <c r="E220" t="s">
        <v>99</v>
      </c>
      <c r="F220" t="str">
        <f t="shared" si="0"/>
        <v xml:space="preserve">     El riesgo afecta la imagen de de la entidad con efecto publicitario sostenido a nivel de sector administrativo, nivel departamental o municipal</v>
      </c>
    </row>
    <row r="221" spans="1:8">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c r="A222" s="84"/>
      <c r="B222" s="32" t="e">
        <f ca="1"/>
        <v>#NAME?</v>
      </c>
      <c r="C222" s="32"/>
    </row>
    <row r="223" spans="1:8">
      <c r="B223" s="32" t="e">
        <f ca="1"/>
        <v>#NAME?</v>
      </c>
      <c r="C223" s="32"/>
      <c r="F223" s="35" t="s">
        <v>147</v>
      </c>
    </row>
    <row r="224" spans="1:8">
      <c r="B224" s="22"/>
      <c r="C224" s="22"/>
      <c r="F224" s="35" t="s">
        <v>148</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sheetPr>
    <tabColor rgb="FF002060"/>
  </sheetPr>
  <dimension ref="A1:BR68"/>
  <sheetViews>
    <sheetView tabSelected="1" topLeftCell="Q10" workbookViewId="0">
      <selection activeCell="S11" sqref="S11"/>
    </sheetView>
  </sheetViews>
  <sheetFormatPr baseColWidth="10" defaultColWidth="11.42578125" defaultRowHeight="16.5"/>
  <cols>
    <col min="1" max="1" width="4" style="2" bestFit="1" customWidth="1"/>
    <col min="2" max="2" width="17.85546875" style="2" customWidth="1"/>
    <col min="3" max="3" width="13.140625" style="2" customWidth="1"/>
    <col min="4" max="4" width="27" style="2" customWidth="1"/>
    <col min="5" max="5" width="30.28515625" style="2" customWidth="1"/>
    <col min="6" max="6" width="33" style="1" customWidth="1"/>
    <col min="7" max="7" width="35" style="1" customWidth="1"/>
    <col min="8" max="8" width="14.42578125" style="5" customWidth="1"/>
    <col min="9" max="9" width="14.28515625" style="1" customWidth="1"/>
    <col min="10" max="10" width="12" style="1" customWidth="1"/>
    <col min="11" max="11" width="6.28515625" style="1" bestFit="1" customWidth="1"/>
    <col min="12" max="12" width="21.42578125" style="1" customWidth="1"/>
    <col min="13" max="13" width="13.5703125" style="1" hidden="1" customWidth="1"/>
    <col min="14" max="14" width="17.5703125" style="1" customWidth="1"/>
    <col min="15" max="15" width="6.28515625" style="1" bestFit="1" customWidth="1"/>
    <col min="16" max="16" width="16" style="1" customWidth="1"/>
    <col min="17" max="17" width="5.85546875" style="1" customWidth="1"/>
    <col min="18" max="18" width="55"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7.5703125" style="1" customWidth="1"/>
    <col min="26" max="26" width="38.28515625" style="1" hidden="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3" style="1" customWidth="1"/>
    <col min="34" max="34" width="18.85546875" style="1" customWidth="1"/>
    <col min="35" max="35" width="16.85546875" style="1" customWidth="1"/>
    <col min="36" max="36" width="14.85546875" style="1" customWidth="1"/>
    <col min="37" max="37" width="18.5703125" style="1" customWidth="1"/>
    <col min="38" max="38" width="21" style="1" customWidth="1"/>
    <col min="39" max="16384" width="11.42578125" style="1"/>
  </cols>
  <sheetData>
    <row r="1" spans="1:70" ht="16.5" customHeight="1">
      <c r="A1" s="292" t="s">
        <v>144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4"/>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c r="A2" s="295"/>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7"/>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c r="A4" s="240" t="s">
        <v>43</v>
      </c>
      <c r="B4" s="241"/>
      <c r="C4" s="288" t="s">
        <v>216</v>
      </c>
      <c r="D4" s="289"/>
      <c r="E4" s="289"/>
      <c r="F4" s="289"/>
      <c r="G4" s="289"/>
      <c r="H4" s="289"/>
      <c r="I4" s="289"/>
      <c r="J4" s="289"/>
      <c r="K4" s="289"/>
      <c r="L4" s="289"/>
      <c r="M4" s="289"/>
      <c r="N4" s="289"/>
      <c r="O4" s="289"/>
      <c r="P4" s="290"/>
      <c r="Q4" s="291"/>
      <c r="R4" s="291"/>
      <c r="S4" s="291"/>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55.5" customHeight="1">
      <c r="A5" s="240" t="s">
        <v>130</v>
      </c>
      <c r="B5" s="241"/>
      <c r="C5" s="248" t="s">
        <v>217</v>
      </c>
      <c r="D5" s="249"/>
      <c r="E5" s="249"/>
      <c r="F5" s="249"/>
      <c r="G5" s="249"/>
      <c r="H5" s="249"/>
      <c r="I5" s="249"/>
      <c r="J5" s="249"/>
      <c r="K5" s="249"/>
      <c r="L5" s="249"/>
      <c r="M5" s="249"/>
      <c r="N5" s="249"/>
      <c r="O5" s="249"/>
      <c r="P5" s="250"/>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c r="A6" s="240" t="s">
        <v>44</v>
      </c>
      <c r="B6" s="241"/>
      <c r="C6" s="251" t="s">
        <v>218</v>
      </c>
      <c r="D6" s="252"/>
      <c r="E6" s="252"/>
      <c r="F6" s="252"/>
      <c r="G6" s="252"/>
      <c r="H6" s="252"/>
      <c r="I6" s="252"/>
      <c r="J6" s="252"/>
      <c r="K6" s="252"/>
      <c r="L6" s="252"/>
      <c r="M6" s="252"/>
      <c r="N6" s="252"/>
      <c r="O6" s="252"/>
      <c r="P6" s="253"/>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c r="A7" s="298" t="s">
        <v>139</v>
      </c>
      <c r="B7" s="299"/>
      <c r="C7" s="299"/>
      <c r="D7" s="299"/>
      <c r="E7" s="299"/>
      <c r="F7" s="299"/>
      <c r="G7" s="299"/>
      <c r="H7" s="299"/>
      <c r="I7" s="300"/>
      <c r="J7" s="298" t="s">
        <v>140</v>
      </c>
      <c r="K7" s="299"/>
      <c r="L7" s="299"/>
      <c r="M7" s="299"/>
      <c r="N7" s="299"/>
      <c r="O7" s="299"/>
      <c r="P7" s="300"/>
      <c r="Q7" s="298" t="s">
        <v>141</v>
      </c>
      <c r="R7" s="299"/>
      <c r="S7" s="299"/>
      <c r="T7" s="299"/>
      <c r="U7" s="299"/>
      <c r="V7" s="299"/>
      <c r="W7" s="299"/>
      <c r="X7" s="299"/>
      <c r="Y7" s="300"/>
      <c r="Z7" s="298" t="s">
        <v>142</v>
      </c>
      <c r="AA7" s="299"/>
      <c r="AB7" s="299"/>
      <c r="AC7" s="299"/>
      <c r="AD7" s="299"/>
      <c r="AE7" s="299"/>
      <c r="AF7" s="300"/>
      <c r="AG7" s="298" t="s">
        <v>34</v>
      </c>
      <c r="AH7" s="299"/>
      <c r="AI7" s="299"/>
      <c r="AJ7" s="299"/>
      <c r="AK7" s="299"/>
      <c r="AL7" s="300"/>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c r="A8" s="242" t="s">
        <v>0</v>
      </c>
      <c r="B8" s="245" t="s">
        <v>2</v>
      </c>
      <c r="C8" s="219" t="s">
        <v>3</v>
      </c>
      <c r="D8" s="219" t="s">
        <v>42</v>
      </c>
      <c r="E8" s="218" t="s">
        <v>214</v>
      </c>
      <c r="F8" s="244" t="s">
        <v>1</v>
      </c>
      <c r="G8" s="162"/>
      <c r="H8" s="218" t="s">
        <v>50</v>
      </c>
      <c r="I8" s="219" t="s">
        <v>135</v>
      </c>
      <c r="J8" s="301" t="s">
        <v>33</v>
      </c>
      <c r="K8" s="302" t="s">
        <v>5</v>
      </c>
      <c r="L8" s="218" t="s">
        <v>87</v>
      </c>
      <c r="M8" s="218" t="s">
        <v>92</v>
      </c>
      <c r="N8" s="304" t="s">
        <v>45</v>
      </c>
      <c r="O8" s="302" t="s">
        <v>5</v>
      </c>
      <c r="P8" s="219" t="s">
        <v>48</v>
      </c>
      <c r="Q8" s="246" t="s">
        <v>11</v>
      </c>
      <c r="R8" s="239" t="s">
        <v>163</v>
      </c>
      <c r="S8" s="218" t="s">
        <v>12</v>
      </c>
      <c r="T8" s="239" t="s">
        <v>8</v>
      </c>
      <c r="U8" s="239"/>
      <c r="V8" s="239"/>
      <c r="W8" s="239"/>
      <c r="X8" s="239"/>
      <c r="Y8" s="239"/>
      <c r="Z8" s="254" t="s">
        <v>138</v>
      </c>
      <c r="AA8" s="254" t="s">
        <v>46</v>
      </c>
      <c r="AB8" s="254" t="s">
        <v>5</v>
      </c>
      <c r="AC8" s="254" t="s">
        <v>47</v>
      </c>
      <c r="AD8" s="254" t="s">
        <v>5</v>
      </c>
      <c r="AE8" s="254" t="s">
        <v>49</v>
      </c>
      <c r="AF8" s="246" t="s">
        <v>29</v>
      </c>
      <c r="AG8" s="239" t="s">
        <v>34</v>
      </c>
      <c r="AH8" s="239" t="s">
        <v>35</v>
      </c>
      <c r="AI8" s="239" t="s">
        <v>36</v>
      </c>
      <c r="AJ8" s="239" t="s">
        <v>38</v>
      </c>
      <c r="AK8" s="239" t="s">
        <v>37</v>
      </c>
      <c r="AL8" s="239" t="s">
        <v>39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thickBot="1">
      <c r="A9" s="243"/>
      <c r="B9" s="245"/>
      <c r="C9" s="239"/>
      <c r="D9" s="239"/>
      <c r="E9" s="219"/>
      <c r="F9" s="245"/>
      <c r="G9" s="156" t="s">
        <v>215</v>
      </c>
      <c r="H9" s="219"/>
      <c r="I9" s="239"/>
      <c r="J9" s="219"/>
      <c r="K9" s="303"/>
      <c r="L9" s="219"/>
      <c r="M9" s="219"/>
      <c r="N9" s="303"/>
      <c r="O9" s="303"/>
      <c r="P9" s="239"/>
      <c r="Q9" s="247"/>
      <c r="R9" s="218"/>
      <c r="S9" s="219"/>
      <c r="T9" s="7" t="s">
        <v>13</v>
      </c>
      <c r="U9" s="7" t="s">
        <v>17</v>
      </c>
      <c r="V9" s="7" t="s">
        <v>28</v>
      </c>
      <c r="W9" s="7" t="s">
        <v>18</v>
      </c>
      <c r="X9" s="7" t="s">
        <v>21</v>
      </c>
      <c r="Y9" s="7" t="s">
        <v>24</v>
      </c>
      <c r="Z9" s="254"/>
      <c r="AA9" s="254"/>
      <c r="AB9" s="254"/>
      <c r="AC9" s="254"/>
      <c r="AD9" s="254"/>
      <c r="AE9" s="254"/>
      <c r="AF9" s="247"/>
      <c r="AG9" s="239"/>
      <c r="AH9" s="239"/>
      <c r="AI9" s="239"/>
      <c r="AJ9" s="239"/>
      <c r="AK9" s="239"/>
      <c r="AL9" s="239"/>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125.25" customHeight="1" thickBot="1">
      <c r="A10" s="228">
        <v>1</v>
      </c>
      <c r="B10" s="230" t="s">
        <v>134</v>
      </c>
      <c r="C10" s="230" t="s">
        <v>219</v>
      </c>
      <c r="D10" s="232" t="s">
        <v>231</v>
      </c>
      <c r="E10" s="237" t="s">
        <v>220</v>
      </c>
      <c r="F10" s="234" t="s">
        <v>232</v>
      </c>
      <c r="G10" s="234" t="s">
        <v>222</v>
      </c>
      <c r="H10" s="220" t="s">
        <v>123</v>
      </c>
      <c r="I10" s="223">
        <v>365</v>
      </c>
      <c r="J10" s="226" t="str">
        <f>IF(I10&lt;=0,"",IF(I10&lt;=2,"Muy Baja",IF(I10&lt;=24,"Baja",IF(I10&lt;=500,"Media",IF(I10&lt;=5000,"Alta","Muy Alta")))))</f>
        <v>Media</v>
      </c>
      <c r="K10" s="314">
        <f>IF(J10="","",IF(J10="Muy Baja",0.2,IF(J10="Baja",0.4,IF(J10="Media",0.6,IF(J10="Alta",0.8,IF(J10="Muy Alta",1,))))))</f>
        <v>0.6</v>
      </c>
      <c r="L10" s="316" t="s">
        <v>156</v>
      </c>
      <c r="M10" s="314"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26" t="str">
        <f ca="1">IF(OR(M10='Tabla Impacto'!$C$11,M10='Tabla Impacto'!$D$11),"Leve",IF(OR(M10='Tabla Impacto'!$C$12,M10='Tabla Impacto'!$D$12),"Menor",IF(OR(M10='Tabla Impacto'!$C$13,M10='Tabla Impacto'!$D$13),"Moderado",IF(OR(M10='Tabla Impacto'!$C$14,M10='Tabla Impacto'!$D$14),"Mayor",IF(OR(M10='Tabla Impacto'!$C$15,M10='Tabla Impacto'!$D$15),"Catastrófico","")))))</f>
        <v>Mayor</v>
      </c>
      <c r="O10" s="314">
        <f ca="1">IF(N10="","",IF(N10="Leve",0.2,IF(N10="Menor",0.4,IF(N10="Moderado",0.6,IF(N10="Mayor",0.8,IF(N10="Catastrófico",1,))))))</f>
        <v>0.8</v>
      </c>
      <c r="P10" s="312"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25">
        <v>1</v>
      </c>
      <c r="R10" s="476" t="s">
        <v>234</v>
      </c>
      <c r="S10" s="475" t="str">
        <f>IF(OR(T10="Preventivo",T10="Detectivo"),"Probabilidad",IF(T10="Correctivo","Impacto",""))</f>
        <v>Probabilidad</v>
      </c>
      <c r="T10" s="141" t="s">
        <v>15</v>
      </c>
      <c r="U10" s="141" t="s">
        <v>9</v>
      </c>
      <c r="V10" s="142" t="str">
        <f>IF(AND(T10="Preventivo",U10="Automático"),"50%",IF(AND(T10="Preventivo",U10="Manual"),"40%",IF(AND(T10="Detectivo",U10="Automático"),"40%",IF(AND(T10="Detectivo",U10="Manual"),"30%",IF(AND(T10="Correctivo",U10="Automático"),"35%",IF(AND(T10="Correctivo",U10="Manual"),"25%",""))))))</f>
        <v>30%</v>
      </c>
      <c r="W10" s="141" t="s">
        <v>20</v>
      </c>
      <c r="X10" s="141" t="s">
        <v>22</v>
      </c>
      <c r="Y10" s="141" t="s">
        <v>119</v>
      </c>
      <c r="Z10" s="130">
        <f>IFERROR(IF(S10="Probabilidad",(K10-(+K10*V10)),IF(S10="Impacto",K10,"")),"")</f>
        <v>0.42</v>
      </c>
      <c r="AA10" s="143" t="str">
        <f>IFERROR(IF(Z10="","",IF(Z10&lt;=0.2,"Muy Baja",IF(Z10&lt;=0.4,"Baja",IF(Z10&lt;=0.6,"Media",IF(Z10&lt;=0.8,"Alta","Muy Alta"))))),"")</f>
        <v>Media</v>
      </c>
      <c r="AB10" s="144">
        <f>+Z10</f>
        <v>0.42</v>
      </c>
      <c r="AC10" s="143" t="str">
        <f ca="1">IFERROR(IF(AD10="","",IF(AD10&lt;=0.2,"Leve",IF(AD10&lt;=0.4,"Menor",IF(AD10&lt;=0.6,"Moderado",IF(AD10&lt;=0.8,"Mayor","Catastrófico"))))),"")</f>
        <v>Mayor</v>
      </c>
      <c r="AD10" s="144">
        <f ca="1">IFERROR(IF(S10="Impacto",(O10-(+O10*V10)),IF(S10="Probabilidad",O10,"")),"")</f>
        <v>0.8</v>
      </c>
      <c r="AE10" s="145"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146" t="s">
        <v>136</v>
      </c>
      <c r="AG10" s="311" t="s">
        <v>223</v>
      </c>
      <c r="AH10" s="311" t="s">
        <v>224</v>
      </c>
      <c r="AI10" s="282" t="s">
        <v>233</v>
      </c>
      <c r="AJ10" s="282"/>
      <c r="AK10" s="318"/>
      <c r="AL10" s="285"/>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152.25" customHeight="1" thickBot="1">
      <c r="A11" s="229"/>
      <c r="B11" s="231"/>
      <c r="C11" s="231"/>
      <c r="D11" s="233"/>
      <c r="E11" s="238"/>
      <c r="F11" s="235"/>
      <c r="G11" s="235"/>
      <c r="H11" s="221"/>
      <c r="I11" s="224"/>
      <c r="J11" s="227"/>
      <c r="K11" s="315"/>
      <c r="L11" s="317"/>
      <c r="M11" s="315">
        <f ca="1">IF(NOT(ISERROR(MATCH(L11,_xlfn.ANCHORARRAY(F18),0))),K20&amp;"Por favor no seleccionar los criterios de impacto",L11)</f>
        <v>0</v>
      </c>
      <c r="N11" s="227"/>
      <c r="O11" s="315"/>
      <c r="P11" s="313"/>
      <c r="Q11" s="125">
        <v>2</v>
      </c>
      <c r="R11" s="173" t="s">
        <v>236</v>
      </c>
      <c r="S11" s="127" t="str">
        <f>IF(OR(T11="Preventivo",T11="Detectivo"),"Probabilidad",IF(T11="Correctivo","Impacto",""))</f>
        <v>Probabilidad</v>
      </c>
      <c r="T11" s="141" t="s">
        <v>14</v>
      </c>
      <c r="U11" s="141" t="s">
        <v>9</v>
      </c>
      <c r="V11" s="142" t="str">
        <f t="shared" ref="V11:V13" si="0">IF(AND(T11="Preventivo",U11="Automático"),"50%",IF(AND(T11="Preventivo",U11="Manual"),"40%",IF(AND(T11="Detectivo",U11="Automático"),"40%",IF(AND(T11="Detectivo",U11="Manual"),"30%",IF(AND(T11="Correctivo",U11="Automático"),"35%",IF(AND(T11="Correctivo",U11="Manual"),"25%",""))))))</f>
        <v>40%</v>
      </c>
      <c r="W11" s="141" t="s">
        <v>20</v>
      </c>
      <c r="X11" s="141" t="s">
        <v>22</v>
      </c>
      <c r="Y11" s="141" t="s">
        <v>119</v>
      </c>
      <c r="Z11" s="130">
        <f>IFERROR(IF(AND(S10="Probabilidad",S11="Probabilidad"),(AB10-(+AB10*V11)),IF(S11="Probabilidad",(K10-(+K10*V11)),IF(S11="Impacto",AB10,""))),"")</f>
        <v>0.252</v>
      </c>
      <c r="AA11" s="143" t="str">
        <f t="shared" ref="AA11:AA65" si="1">IFERROR(IF(Z11="","",IF(Z11&lt;=0.2,"Muy Baja",IF(Z11&lt;=0.4,"Baja",IF(Z11&lt;=0.6,"Media",IF(Z11&lt;=0.8,"Alta","Muy Alta"))))),"")</f>
        <v>Baja</v>
      </c>
      <c r="AB11" s="144">
        <f t="shared" ref="AB11:AB13" si="2">+Z11</f>
        <v>0.252</v>
      </c>
      <c r="AC11" s="143" t="str">
        <f t="shared" ref="AC11:AC65" ca="1" si="3">IFERROR(IF(AD11="","",IF(AD11&lt;=0.2,"Leve",IF(AD11&lt;=0.4,"Menor",IF(AD11&lt;=0.6,"Moderado",IF(AD11&lt;=0.8,"Mayor","Catastrófico"))))),"")</f>
        <v>Mayor</v>
      </c>
      <c r="AD11" s="147">
        <f ca="1">IFERROR(IF(AND(S10="Impacto",S11="Impacto"),(AD10-(+AD10*V11)),IF(S11="Impacto",(O10-(+O10*V11)),IF(S11="Probabilidad",AD10,""))),"")</f>
        <v>0.8</v>
      </c>
      <c r="AE11" s="145" t="str">
        <f t="shared" ref="AE11:AE12" ca="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146"/>
      <c r="AG11" s="283"/>
      <c r="AH11" s="283"/>
      <c r="AI11" s="283"/>
      <c r="AJ11" s="283"/>
      <c r="AK11" s="319"/>
      <c r="AL11" s="286"/>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120" customHeight="1" thickBot="1">
      <c r="A12" s="229"/>
      <c r="B12" s="231"/>
      <c r="C12" s="231"/>
      <c r="D12" s="233"/>
      <c r="E12" s="172" t="s">
        <v>221</v>
      </c>
      <c r="F12" s="235"/>
      <c r="G12" s="235"/>
      <c r="H12" s="221"/>
      <c r="I12" s="224"/>
      <c r="J12" s="227"/>
      <c r="K12" s="315"/>
      <c r="L12" s="317"/>
      <c r="M12" s="315">
        <f ca="1">IF(NOT(ISERROR(MATCH(L12,_xlfn.ANCHORARRAY(F19),0))),K21&amp;"Por favor no seleccionar los criterios de impacto",L12)</f>
        <v>0</v>
      </c>
      <c r="N12" s="227"/>
      <c r="O12" s="315"/>
      <c r="P12" s="313"/>
      <c r="Q12" s="477">
        <v>3</v>
      </c>
      <c r="R12" s="476" t="s">
        <v>235</v>
      </c>
      <c r="S12" s="475" t="str">
        <f>IF(OR(T12="Preventivo",T12="Detectivo"),"Probabilidad",IF(T12="Correctivo","Impacto",""))</f>
        <v>Probabilidad</v>
      </c>
      <c r="T12" s="128" t="s">
        <v>14</v>
      </c>
      <c r="U12" s="128" t="s">
        <v>9</v>
      </c>
      <c r="V12" s="129" t="str">
        <f t="shared" si="0"/>
        <v>40%</v>
      </c>
      <c r="W12" s="128" t="s">
        <v>20</v>
      </c>
      <c r="X12" s="128" t="s">
        <v>22</v>
      </c>
      <c r="Y12" s="128" t="s">
        <v>119</v>
      </c>
      <c r="Z12" s="130">
        <f>IFERROR(IF(AND(S11="Probabilidad",S12="Probabilidad"),(AB11-(+AB11*V12)),IF(AND(S11="Impacto",S12="Probabilidad"),(AB10-(+AB10*V12)),IF(S12="Impacto",AB11,""))),"")</f>
        <v>0.1512</v>
      </c>
      <c r="AA12" s="131" t="str">
        <f t="shared" si="1"/>
        <v>Muy Baja</v>
      </c>
      <c r="AB12" s="132">
        <f t="shared" si="2"/>
        <v>0.1512</v>
      </c>
      <c r="AC12" s="131" t="str">
        <f t="shared" ca="1" si="3"/>
        <v>Mayor</v>
      </c>
      <c r="AD12" s="140">
        <f ca="1">IFERROR(IF(AND(S11="Impacto",S12="Impacto"),(AD11-(+AD11*V12)),IF(AND(S11="Probabilidad",S12="Impacto"),(AD10-(+AD10*V12)),IF(S12="Probabilidad",AD11,""))),"")</f>
        <v>0.8</v>
      </c>
      <c r="AE12" s="133" t="str">
        <f t="shared" ca="1" si="4"/>
        <v>Alto</v>
      </c>
      <c r="AF12" s="134"/>
      <c r="AG12" s="283"/>
      <c r="AH12" s="283"/>
      <c r="AI12" s="283"/>
      <c r="AJ12" s="283"/>
      <c r="AK12" s="176"/>
      <c r="AL12" s="286"/>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94.5" customHeight="1">
      <c r="A13" s="229"/>
      <c r="B13" s="231"/>
      <c r="C13" s="231"/>
      <c r="D13" s="233"/>
      <c r="E13" s="171"/>
      <c r="F13" s="236"/>
      <c r="G13" s="236"/>
      <c r="H13" s="222"/>
      <c r="I13" s="225"/>
      <c r="J13" s="227"/>
      <c r="K13" s="315"/>
      <c r="L13" s="317"/>
      <c r="M13" s="315">
        <f ca="1">IF(NOT(ISERROR(MATCH(L13,_xlfn.ANCHORARRAY(F20),0))),K22&amp;"Por favor no seleccionar los criterios de impacto",L13)</f>
        <v>0</v>
      </c>
      <c r="N13" s="227"/>
      <c r="O13" s="315"/>
      <c r="P13" s="313"/>
      <c r="Q13" s="125">
        <v>4</v>
      </c>
      <c r="R13" s="478"/>
      <c r="S13" s="127" t="str">
        <f t="shared" ref="S13" si="5">IF(OR(T13="Preventivo",T13="Detectivo"),"Probabilidad",IF(T13="Correctivo","Impacto",""))</f>
        <v/>
      </c>
      <c r="T13" s="128"/>
      <c r="U13" s="128"/>
      <c r="V13" s="129" t="str">
        <f t="shared" si="0"/>
        <v/>
      </c>
      <c r="W13" s="128"/>
      <c r="X13" s="128"/>
      <c r="Y13" s="128"/>
      <c r="Z13" s="130" t="str">
        <f t="shared" ref="Z13" si="6">IFERROR(IF(AND(S12="Probabilidad",S13="Probabilidad"),(AB12-(+AB12*V13)),IF(AND(S12="Impacto",S13="Probabilidad"),(AB11-(+AB11*V13)),IF(S13="Impacto",AB12,""))),"")</f>
        <v/>
      </c>
      <c r="AA13" s="131" t="str">
        <f t="shared" si="1"/>
        <v/>
      </c>
      <c r="AB13" s="132" t="str">
        <f t="shared" si="2"/>
        <v/>
      </c>
      <c r="AC13" s="131" t="str">
        <f t="shared" si="3"/>
        <v/>
      </c>
      <c r="AD13" s="140" t="str">
        <f t="shared" ref="AD13" si="7">IFERROR(IF(AND(S12="Impacto",S13="Impacto"),(AD12-(+AD12*V13)),IF(AND(S12="Probabilidad",S13="Impacto"),(AD11-(+AD11*V13)),IF(S13="Probabilidad",AD12,""))),"")</f>
        <v/>
      </c>
      <c r="AE13" s="133" t="str">
        <f>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134"/>
      <c r="AG13" s="284"/>
      <c r="AH13" s="284"/>
      <c r="AI13" s="284"/>
      <c r="AJ13" s="284"/>
      <c r="AK13" s="177"/>
      <c r="AL13" s="287"/>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67.5" customHeight="1">
      <c r="A14" s="163">
        <v>2</v>
      </c>
      <c r="B14" s="305"/>
      <c r="C14" s="305"/>
      <c r="D14" s="305"/>
      <c r="E14" s="159"/>
      <c r="F14" s="308"/>
      <c r="G14" s="308"/>
      <c r="H14" s="258"/>
      <c r="I14" s="264"/>
      <c r="J14" s="267" t="str">
        <f>IF(I14&lt;=0,"",IF(I14&lt;=2,"Muy Baja",IF(I14&lt;=24,"Baja",IF(I14&lt;=500,"Media",IF(I14&lt;=5000,"Alta","Muy Alta")))))</f>
        <v/>
      </c>
      <c r="K14" s="270" t="str">
        <f>IF(J14="","",IF(J14="Muy Baja",0.2,IF(J14="Baja",0.4,IF(J14="Media",0.6,IF(J14="Alta",0.8,IF(J14="Muy Alta",1,))))))</f>
        <v/>
      </c>
      <c r="L14" s="276"/>
      <c r="M14" s="270">
        <f ca="1">IF(NOT(ISERROR(MATCH(L14,'Tabla Impacto'!$B$221:$B$223,0))),'Tabla Impacto'!$F$223&amp;"Por favor no seleccionar los criterios de impacto(Afectación Económica o presupuestal y Pérdida Reputacional)",L14)</f>
        <v>0</v>
      </c>
      <c r="N14" s="267" t="str">
        <f ca="1">IF(OR(M14='Tabla Impacto'!$C$11,M14='Tabla Impacto'!$D$11),"Leve",IF(OR(M14='Tabla Impacto'!$C$12,M14='Tabla Impacto'!$D$12),"Menor",IF(OR(M14='Tabla Impacto'!$C$13,M14='Tabla Impacto'!$D$13),"Moderado",IF(OR(M14='Tabla Impacto'!$C$14,M14='Tabla Impacto'!$D$14),"Mayor",IF(OR(M14='Tabla Impacto'!$C$15,M14='Tabla Impacto'!$D$15),"Catastrófico","")))))</f>
        <v/>
      </c>
      <c r="O14" s="270" t="str">
        <f ca="1">IF(N14="","",IF(N14="Leve",0.2,IF(N14="Menor",0.4,IF(N14="Moderado",0.6,IF(N14="Mayor",0.8,IF(N14="Catastrófico",1,))))))</f>
        <v/>
      </c>
      <c r="P14" s="273" t="str">
        <f ca="1">IF(OR(AND(J14="Muy Baja",N14="Leve"),AND(J14="Muy Baja",N14="Menor"),AND(J14="Baja",N14="Leve")),"Bajo",IF(OR(AND(J14="Muy baja",N14="Moderado"),AND(J14="Baja",N14="Menor"),AND(J14="Baja",N14="Moderado"),AND(J14="Media",N14="Leve"),AND(J14="Media",N14="Menor"),AND(J14="Media",N14="Moderado"),AND(J14="Alta",N14="Leve"),AND(J14="Alta",N14="Menor")),"Moderado",IF(OR(AND(J14="Muy Baja",N14="Mayor"),AND(J14="Baja",N14="Mayor"),AND(J14="Media",N14="Mayor"),AND(J14="Alta",N14="Moderado"),AND(J14="Alta",N14="Mayor"),AND(J14="Muy Alta",N14="Leve"),AND(J14="Muy Alta",N14="Menor"),AND(J14="Muy Alta",N14="Moderado"),AND(J14="Muy Alta",N14="Mayor")),"Alto",IF(OR(AND(J14="Muy Baja",N14="Catastrófico"),AND(J14="Baja",N14="Catastrófico"),AND(J14="Media",N14="Catastrófico"),AND(J14="Alta",N14="Catastrófico"),AND(J14="Muy Alta",N14="Catastrófico")),"Extremo",""))))</f>
        <v/>
      </c>
      <c r="Q14" s="125">
        <v>1</v>
      </c>
      <c r="R14" s="165"/>
      <c r="S14" s="165" t="str">
        <f>IF(OR(T14="Preventivo",T14="Detectivo"),"Probabilidad",IF(T14="Correctivo","Impacto",""))</f>
        <v/>
      </c>
      <c r="T14" s="128"/>
      <c r="U14" s="166"/>
      <c r="V14" s="166" t="str">
        <f>IF(AND(T14="Preventivo",U14="Automático"),"50%",IF(AND(T14="Preventivo",U14="Manual"),"40%",IF(AND(T14="Detectivo",U14="Automático"),"40%",IF(AND(T14="Detectivo",U14="Manual"),"30%",IF(AND(T14="Correctivo",U14="Automático"),"35%",IF(AND(T14="Correctivo",U14="Manual"),"25%",""))))))</f>
        <v/>
      </c>
      <c r="W14" s="166"/>
      <c r="X14" s="166"/>
      <c r="Y14" s="166"/>
      <c r="Z14" s="161" t="str">
        <f>IFERROR(IF(S14="Probabilidad",(K14-(+K14*V14)),IF(S14="Impacto",K14,"")),"")</f>
        <v/>
      </c>
      <c r="AA14" s="167" t="str">
        <f>IFERROR(IF(Z14="","",IF(Z14&lt;=0.2,"Muy Baja",IF(Z14&lt;=0.4,"Baja",IF(Z14&lt;=0.6,"Media",IF(Z14&lt;=0.8,"Alta","Muy Alta"))))),"")</f>
        <v/>
      </c>
      <c r="AB14" s="168" t="str">
        <f>+Z14</f>
        <v/>
      </c>
      <c r="AC14" s="167" t="str">
        <f>IFERROR(IF(AD14="","",IF(AD14&lt;=0.2,"Leve",IF(AD14&lt;=0.4,"Menor",IF(AD14&lt;=0.6,"Moderado",IF(AD14&lt;=0.8,"Mayor","Catastrófico"))))),"")</f>
        <v/>
      </c>
      <c r="AD14" s="169" t="str">
        <f>IFERROR(IF(S14="Impacto",(O14-(+O14*V14)),IF(S14="Probabilidad",O14,"")),"")</f>
        <v/>
      </c>
      <c r="AE14" s="170" t="str">
        <f>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166"/>
      <c r="AG14" s="151"/>
      <c r="AH14" s="151"/>
      <c r="AI14" s="151"/>
      <c r="AJ14" s="151"/>
      <c r="AK14" s="151"/>
      <c r="AL14" s="151"/>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41.25" customHeight="1">
      <c r="A15" s="164"/>
      <c r="B15" s="306"/>
      <c r="C15" s="306"/>
      <c r="D15" s="306"/>
      <c r="E15" s="160"/>
      <c r="F15" s="309"/>
      <c r="G15" s="309"/>
      <c r="H15" s="259"/>
      <c r="I15" s="265"/>
      <c r="J15" s="268"/>
      <c r="K15" s="271"/>
      <c r="L15" s="277"/>
      <c r="M15" s="271">
        <f ca="1">IF(NOT(ISERROR(MATCH(L15,_xlfn.ANCHORARRAY(F25),0))),K27&amp;"Por favor no seleccionar los criterios de impacto",L15)</f>
        <v>0</v>
      </c>
      <c r="N15" s="268"/>
      <c r="O15" s="271"/>
      <c r="P15" s="274"/>
      <c r="Q15" s="125">
        <v>2</v>
      </c>
      <c r="R15" s="165"/>
      <c r="S15" s="165" t="str">
        <f>IF(OR(T15="Preventivo",T15="Detectivo"),"Probabilidad",IF(T15="Correctivo","Impacto",""))</f>
        <v/>
      </c>
      <c r="T15" s="128"/>
      <c r="U15" s="166"/>
      <c r="V15" s="166" t="str">
        <f t="shared" ref="V15:V17" si="8">IF(AND(T15="Preventivo",U15="Automático"),"50%",IF(AND(T15="Preventivo",U15="Manual"),"40%",IF(AND(T15="Detectivo",U15="Automático"),"40%",IF(AND(T15="Detectivo",U15="Manual"),"30%",IF(AND(T15="Correctivo",U15="Automático"),"35%",IF(AND(T15="Correctivo",U15="Manual"),"25%",""))))))</f>
        <v/>
      </c>
      <c r="W15" s="166"/>
      <c r="X15" s="166"/>
      <c r="Y15" s="166"/>
      <c r="Z15" s="161" t="str">
        <f>IFERROR(IF(S15="Probabilidad",(K15-(+K15*V15)),IF(S15="Impacto",K15,"")),"")</f>
        <v/>
      </c>
      <c r="AA15" s="167" t="str">
        <f t="shared" ref="AA15:AA17" si="9">IFERROR(IF(Z15="","",IF(Z15&lt;=0.2,"Muy Baja",IF(Z15&lt;=0.4,"Baja",IF(Z15&lt;=0.6,"Media",IF(Z15&lt;=0.8,"Alta","Muy Alta"))))),"")</f>
        <v/>
      </c>
      <c r="AB15" s="168" t="str">
        <f t="shared" ref="AB15:AB17" si="10">+Z15</f>
        <v/>
      </c>
      <c r="AC15" s="167" t="str">
        <f t="shared" ref="AC15:AC17" si="11">IFERROR(IF(AD15="","",IF(AD15&lt;=0.2,"Leve",IF(AD15&lt;=0.4,"Menor",IF(AD15&lt;=0.6,"Moderado",IF(AD15&lt;=0.8,"Mayor","Catastrófico"))))),"")</f>
        <v/>
      </c>
      <c r="AD15" s="169" t="str">
        <f>IFERROR(IF(S15="Impacto",(O15-(+O15*V15)),IF(S15="Probabilidad",O15,"")),"")</f>
        <v/>
      </c>
      <c r="AE15" s="170" t="str">
        <f t="shared" ref="AE15:AE17" si="12">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
      </c>
      <c r="AF15" s="166"/>
      <c r="AG15" s="135"/>
      <c r="AH15" s="136"/>
      <c r="AI15" s="137"/>
      <c r="AJ15" s="137"/>
      <c r="AK15" s="135"/>
      <c r="AL15" s="136"/>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41.25" customHeight="1">
      <c r="A16" s="157">
        <v>3</v>
      </c>
      <c r="B16" s="306"/>
      <c r="C16" s="306"/>
      <c r="D16" s="306"/>
      <c r="E16" s="160"/>
      <c r="F16" s="309"/>
      <c r="G16" s="309"/>
      <c r="H16" s="259"/>
      <c r="I16" s="265"/>
      <c r="J16" s="268"/>
      <c r="K16" s="271"/>
      <c r="L16" s="277"/>
      <c r="M16" s="152"/>
      <c r="N16" s="268"/>
      <c r="O16" s="271"/>
      <c r="P16" s="274"/>
      <c r="Q16" s="125">
        <v>3</v>
      </c>
      <c r="R16" s="126"/>
      <c r="S16" s="127"/>
      <c r="T16" s="128"/>
      <c r="U16" s="166"/>
      <c r="V16" s="166" t="str">
        <f t="shared" si="8"/>
        <v/>
      </c>
      <c r="W16" s="166"/>
      <c r="X16" s="166"/>
      <c r="Y16" s="166"/>
      <c r="Z16" s="161" t="str">
        <f>IFERROR(IF(S16="Probabilidad",(K16-(+K16*V16)),IF(S16="Impacto",K16,"")),"")</f>
        <v/>
      </c>
      <c r="AA16" s="167" t="str">
        <f t="shared" si="9"/>
        <v/>
      </c>
      <c r="AB16" s="168" t="str">
        <f t="shared" si="10"/>
        <v/>
      </c>
      <c r="AC16" s="167" t="str">
        <f t="shared" si="11"/>
        <v/>
      </c>
      <c r="AD16" s="169" t="str">
        <f>IFERROR(IF(S16="Impacto",(O16-(+O16*V16)),IF(S16="Probabilidad",O16,"")),"")</f>
        <v/>
      </c>
      <c r="AE16" s="170" t="str">
        <f t="shared" si="12"/>
        <v/>
      </c>
      <c r="AF16" s="166"/>
      <c r="AG16" s="135"/>
      <c r="AH16" s="136"/>
      <c r="AI16" s="137"/>
      <c r="AJ16" s="137"/>
      <c r="AK16" s="135"/>
      <c r="AL16" s="136"/>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41.25" customHeight="1">
      <c r="A17" s="157">
        <v>4</v>
      </c>
      <c r="B17" s="307"/>
      <c r="C17" s="307"/>
      <c r="D17" s="307"/>
      <c r="E17" s="160"/>
      <c r="F17" s="310"/>
      <c r="G17" s="310"/>
      <c r="H17" s="260"/>
      <c r="I17" s="266"/>
      <c r="J17" s="269"/>
      <c r="K17" s="272"/>
      <c r="L17" s="278"/>
      <c r="M17" s="152"/>
      <c r="N17" s="269"/>
      <c r="O17" s="272"/>
      <c r="P17" s="275"/>
      <c r="Q17" s="125">
        <v>4</v>
      </c>
      <c r="R17" s="158"/>
      <c r="S17" s="127"/>
      <c r="T17" s="128"/>
      <c r="U17" s="166"/>
      <c r="V17" s="166" t="str">
        <f t="shared" si="8"/>
        <v/>
      </c>
      <c r="W17" s="166"/>
      <c r="X17" s="166"/>
      <c r="Y17" s="166"/>
      <c r="Z17" s="161" t="str">
        <f>IFERROR(IF(S17="Probabilidad",(K17-(+K17*V17)),IF(S17="Impacto",K17,"")),"")</f>
        <v/>
      </c>
      <c r="AA17" s="167" t="str">
        <f t="shared" si="9"/>
        <v/>
      </c>
      <c r="AB17" s="168" t="str">
        <f t="shared" si="10"/>
        <v/>
      </c>
      <c r="AC17" s="167" t="str">
        <f t="shared" si="11"/>
        <v/>
      </c>
      <c r="AD17" s="169" t="str">
        <f>IFERROR(IF(S17="Impacto",(O17-(+O17*V17)),IF(S17="Probabilidad",O17,"")),"")</f>
        <v/>
      </c>
      <c r="AE17" s="170" t="str">
        <f t="shared" si="12"/>
        <v/>
      </c>
      <c r="AF17" s="166"/>
      <c r="AG17" s="135"/>
      <c r="AH17" s="136"/>
      <c r="AI17" s="137"/>
      <c r="AJ17" s="137"/>
      <c r="AK17" s="135"/>
      <c r="AL17" s="136"/>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30.75" customHeight="1">
      <c r="A18" s="255">
        <v>3</v>
      </c>
      <c r="B18" s="258"/>
      <c r="C18" s="258"/>
      <c r="D18" s="258"/>
      <c r="E18" s="148"/>
      <c r="F18" s="261"/>
      <c r="G18" s="261"/>
      <c r="H18" s="258"/>
      <c r="I18" s="264"/>
      <c r="J18" s="267" t="str">
        <f>IF(I18&lt;=0,"",IF(I18&lt;=2,"Muy Baja",IF(I18&lt;=24,"Baja",IF(I18&lt;=500,"Media",IF(I18&lt;=5000,"Alta","Muy Alta")))))</f>
        <v/>
      </c>
      <c r="K18" s="270" t="str">
        <f>IF(J18="","",IF(J18="Muy Baja",0.2,IF(J18="Baja",0.4,IF(J18="Media",0.6,IF(J18="Alta",0.8,IF(J18="Muy Alta",1,))))))</f>
        <v/>
      </c>
      <c r="L18" s="276"/>
      <c r="M18" s="270">
        <f ca="1">IF(NOT(ISERROR(MATCH(L18,'Tabla Impacto'!$B$221:$B$223,0))),'Tabla Impacto'!$F$223&amp;"Por favor no seleccionar los criterios de impacto(Afectación Económica o presupuestal y Pérdida Reputacional)",L18)</f>
        <v>0</v>
      </c>
      <c r="N18" s="267" t="str">
        <f ca="1">IF(OR(M18='Tabla Impacto'!$C$11,M18='Tabla Impacto'!$D$11),"Leve",IF(OR(M18='Tabla Impacto'!$C$12,M18='Tabla Impacto'!$D$12),"Menor",IF(OR(M18='Tabla Impacto'!$C$13,M18='Tabla Impacto'!$D$13),"Moderado",IF(OR(M18='Tabla Impacto'!$C$14,M18='Tabla Impacto'!$D$14),"Mayor",IF(OR(M18='Tabla Impacto'!$C$15,M18='Tabla Impacto'!$D$15),"Catastrófico","")))))</f>
        <v/>
      </c>
      <c r="O18" s="270" t="str">
        <f ca="1">IF(N18="","",IF(N18="Leve",0.2,IF(N18="Menor",0.4,IF(N18="Moderado",0.6,IF(N18="Mayor",0.8,IF(N18="Catastrófico",1,))))))</f>
        <v/>
      </c>
      <c r="P18" s="273" t="str">
        <f ca="1">IF(OR(AND(J18="Muy Baja",N18="Leve"),AND(J18="Muy Baja",N18="Menor"),AND(J18="Baja",N18="Leve")),"Bajo",IF(OR(AND(J18="Muy baja",N18="Moderado"),AND(J18="Baja",N18="Menor"),AND(J18="Baja",N18="Moderado"),AND(J18="Media",N18="Leve"),AND(J18="Media",N18="Menor"),AND(J18="Media",N18="Moderado"),AND(J18="Alta",N18="Leve"),AND(J18="Alta",N18="Menor")),"Moderado",IF(OR(AND(J18="Muy Baja",N18="Mayor"),AND(J18="Baja",N18="Mayor"),AND(J18="Media",N18="Mayor"),AND(J18="Alta",N18="Moderado"),AND(J18="Alta",N18="Mayor"),AND(J18="Muy Alta",N18="Leve"),AND(J18="Muy Alta",N18="Menor"),AND(J18="Muy Alta",N18="Moderado"),AND(J18="Muy Alta",N18="Mayor")),"Alto",IF(OR(AND(J18="Muy Baja",N18="Catastrófico"),AND(J18="Baja",N18="Catastrófico"),AND(J18="Media",N18="Catastrófico"),AND(J18="Alta",N18="Catastrófico"),AND(J18="Muy Alta",N18="Catastrófico")),"Extremo",""))))</f>
        <v/>
      </c>
      <c r="Q18" s="125">
        <v>1</v>
      </c>
      <c r="R18" s="126"/>
      <c r="S18" s="127" t="str">
        <f>IF(OR(T18="Preventivo",T18="Detectivo"),"Probabilidad",IF(T18="Correctivo","Impacto",""))</f>
        <v/>
      </c>
      <c r="T18" s="128"/>
      <c r="U18" s="128"/>
      <c r="V18" s="129" t="str">
        <f>IF(AND(T18="Preventivo",U18="Automático"),"50%",IF(AND(T18="Preventivo",U18="Manual"),"40%",IF(AND(T18="Detectivo",U18="Automático"),"40%",IF(AND(T18="Detectivo",U18="Manual"),"30%",IF(AND(T18="Correctivo",U18="Automático"),"35%",IF(AND(T18="Correctivo",U18="Manual"),"25%",""))))))</f>
        <v/>
      </c>
      <c r="W18" s="128"/>
      <c r="X18" s="128"/>
      <c r="Y18" s="128"/>
      <c r="Z18" s="130" t="str">
        <f>IFERROR(IF(S18="Probabilidad",(K18-(+K18*V18)),IF(S18="Impacto",K18,"")),"")</f>
        <v/>
      </c>
      <c r="AA18" s="131" t="str">
        <f>IFERROR(IF(Z18="","",IF(Z18&lt;=0.2,"Muy Baja",IF(Z18&lt;=0.4,"Baja",IF(Z18&lt;=0.6,"Media",IF(Z18&lt;=0.8,"Alta","Muy Alta"))))),"")</f>
        <v/>
      </c>
      <c r="AB18" s="132" t="str">
        <f>+Z18</f>
        <v/>
      </c>
      <c r="AC18" s="131" t="str">
        <f>IFERROR(IF(AD18="","",IF(AD18&lt;=0.2,"Leve",IF(AD18&lt;=0.4,"Menor",IF(AD18&lt;=0.6,"Moderado",IF(AD18&lt;=0.8,"Mayor","Catastrófico"))))),"")</f>
        <v/>
      </c>
      <c r="AD18" s="140" t="str">
        <f>IFERROR(IF(S18="Impacto",(O18-(+O18*V18)),IF(S18="Probabilidad",O18,"")),"")</f>
        <v/>
      </c>
      <c r="AE18" s="133" t="str">
        <f>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134"/>
      <c r="AG18" s="135"/>
      <c r="AH18" s="136"/>
      <c r="AI18" s="137"/>
      <c r="AJ18" s="137"/>
      <c r="AK18" s="135"/>
      <c r="AL18" s="136"/>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6.25" customHeight="1">
      <c r="A19" s="256"/>
      <c r="B19" s="259"/>
      <c r="C19" s="259"/>
      <c r="D19" s="259"/>
      <c r="E19" s="149"/>
      <c r="F19" s="262"/>
      <c r="G19" s="262"/>
      <c r="H19" s="259"/>
      <c r="I19" s="265"/>
      <c r="J19" s="268"/>
      <c r="K19" s="271"/>
      <c r="L19" s="277"/>
      <c r="M19" s="271">
        <f ca="1">IF(NOT(ISERROR(MATCH(L19,_xlfn.ANCHORARRAY(F30),0))),K32&amp;"Por favor no seleccionar los criterios de impacto",L19)</f>
        <v>0</v>
      </c>
      <c r="N19" s="268"/>
      <c r="O19" s="271"/>
      <c r="P19" s="274"/>
      <c r="Q19" s="125">
        <v>2</v>
      </c>
      <c r="R19" s="126"/>
      <c r="S19" s="127" t="str">
        <f>IF(OR(T19="Preventivo",T19="Detectivo"),"Probabilidad",IF(T19="Correctivo","Impacto",""))</f>
        <v/>
      </c>
      <c r="T19" s="128"/>
      <c r="U19" s="128"/>
      <c r="V19" s="129" t="str">
        <f t="shared" ref="V19:V23" si="13">IF(AND(T19="Preventivo",U19="Automático"),"50%",IF(AND(T19="Preventivo",U19="Manual"),"40%",IF(AND(T19="Detectivo",U19="Automático"),"40%",IF(AND(T19="Detectivo",U19="Manual"),"30%",IF(AND(T19="Correctivo",U19="Automático"),"35%",IF(AND(T19="Correctivo",U19="Manual"),"25%",""))))))</f>
        <v/>
      </c>
      <c r="W19" s="128"/>
      <c r="X19" s="128"/>
      <c r="Y19" s="128"/>
      <c r="Z19" s="139" t="str">
        <f>IFERROR(IF(AND(S18="Probabilidad",S19="Probabilidad"),(AB18-(+AB18*V19)),IF(S19="Probabilidad",(K18-(+K18*V19)),IF(S19="Impacto",AB18,""))),"")</f>
        <v/>
      </c>
      <c r="AA19" s="131" t="str">
        <f t="shared" si="1"/>
        <v/>
      </c>
      <c r="AB19" s="132" t="str">
        <f t="shared" ref="AB19:AB23" si="14">+Z19</f>
        <v/>
      </c>
      <c r="AC19" s="131" t="str">
        <f t="shared" si="3"/>
        <v/>
      </c>
      <c r="AD19" s="140" t="str">
        <f>IFERROR(IF(AND(S18="Impacto",S19="Impacto"),(AD18-(+AD18*V19)),IF(S19="Impacto",(O18-(+O18*V19)),IF(S19="Probabilidad",AD18,""))),"")</f>
        <v/>
      </c>
      <c r="AE19" s="133" t="str">
        <f t="shared" ref="AE19:AE20" si="15">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34"/>
      <c r="AG19" s="135"/>
      <c r="AH19" s="136"/>
      <c r="AI19" s="137"/>
      <c r="AJ19" s="137"/>
      <c r="AK19" s="135"/>
      <c r="AL19" s="13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6.25" customHeight="1">
      <c r="A20" s="256"/>
      <c r="B20" s="259"/>
      <c r="C20" s="259"/>
      <c r="D20" s="259"/>
      <c r="E20" s="149"/>
      <c r="F20" s="262"/>
      <c r="G20" s="262"/>
      <c r="H20" s="259"/>
      <c r="I20" s="265"/>
      <c r="J20" s="268"/>
      <c r="K20" s="271"/>
      <c r="L20" s="277"/>
      <c r="M20" s="271">
        <f ca="1">IF(NOT(ISERROR(MATCH(L20,_xlfn.ANCHORARRAY(F31),0))),K33&amp;"Por favor no seleccionar los criterios de impacto",L20)</f>
        <v>0</v>
      </c>
      <c r="N20" s="268"/>
      <c r="O20" s="271"/>
      <c r="P20" s="274"/>
      <c r="Q20" s="125">
        <v>3</v>
      </c>
      <c r="R20" s="138"/>
      <c r="S20" s="127" t="str">
        <f>IF(OR(T20="Preventivo",T20="Detectivo"),"Probabilidad",IF(T20="Correctivo","Impacto",""))</f>
        <v/>
      </c>
      <c r="T20" s="128"/>
      <c r="U20" s="128"/>
      <c r="V20" s="129" t="str">
        <f t="shared" si="13"/>
        <v/>
      </c>
      <c r="W20" s="128"/>
      <c r="X20" s="128"/>
      <c r="Y20" s="128"/>
      <c r="Z20" s="130" t="str">
        <f>IFERROR(IF(AND(S19="Probabilidad",S20="Probabilidad"),(AB19-(+AB19*V20)),IF(AND(S19="Impacto",S20="Probabilidad"),(AB18-(+AB18*V20)),IF(S20="Impacto",AB19,""))),"")</f>
        <v/>
      </c>
      <c r="AA20" s="131" t="str">
        <f t="shared" si="1"/>
        <v/>
      </c>
      <c r="AB20" s="132" t="str">
        <f t="shared" si="14"/>
        <v/>
      </c>
      <c r="AC20" s="131" t="str">
        <f t="shared" si="3"/>
        <v/>
      </c>
      <c r="AD20" s="140" t="str">
        <f>IFERROR(IF(AND(S19="Impacto",S20="Impacto"),(AD19-(+AD19*V20)),IF(AND(S19="Probabilidad",S20="Impacto"),(AD18-(+AD18*V20)),IF(S20="Probabilidad",AD19,""))),"")</f>
        <v/>
      </c>
      <c r="AE20" s="133" t="str">
        <f t="shared" si="15"/>
        <v/>
      </c>
      <c r="AF20" s="134"/>
      <c r="AG20" s="135"/>
      <c r="AH20" s="136"/>
      <c r="AI20" s="137"/>
      <c r="AJ20" s="137"/>
      <c r="AK20" s="135"/>
      <c r="AL20" s="13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6.25" customHeight="1">
      <c r="A21" s="256"/>
      <c r="B21" s="259"/>
      <c r="C21" s="259"/>
      <c r="D21" s="259"/>
      <c r="E21" s="149"/>
      <c r="F21" s="262"/>
      <c r="G21" s="262"/>
      <c r="H21" s="259"/>
      <c r="I21" s="265"/>
      <c r="J21" s="268"/>
      <c r="K21" s="271"/>
      <c r="L21" s="277"/>
      <c r="M21" s="271">
        <f ca="1">IF(NOT(ISERROR(MATCH(L21,_xlfn.ANCHORARRAY(F32),0))),K34&amp;"Por favor no seleccionar los criterios de impacto",L21)</f>
        <v>0</v>
      </c>
      <c r="N21" s="268"/>
      <c r="O21" s="271"/>
      <c r="P21" s="274"/>
      <c r="Q21" s="125">
        <v>4</v>
      </c>
      <c r="R21" s="126"/>
      <c r="S21" s="127" t="str">
        <f t="shared" ref="S21:S23" si="16">IF(OR(T21="Preventivo",T21="Detectivo"),"Probabilidad",IF(T21="Correctivo","Impacto",""))</f>
        <v/>
      </c>
      <c r="T21" s="128"/>
      <c r="U21" s="128"/>
      <c r="V21" s="129" t="str">
        <f t="shared" si="13"/>
        <v/>
      </c>
      <c r="W21" s="128"/>
      <c r="X21" s="128"/>
      <c r="Y21" s="128"/>
      <c r="Z21" s="130" t="str">
        <f t="shared" ref="Z21:Z23" si="17">IFERROR(IF(AND(S20="Probabilidad",S21="Probabilidad"),(AB20-(+AB20*V21)),IF(AND(S20="Impacto",S21="Probabilidad"),(AB19-(+AB19*V21)),IF(S21="Impacto",AB20,""))),"")</f>
        <v/>
      </c>
      <c r="AA21" s="131" t="str">
        <f t="shared" si="1"/>
        <v/>
      </c>
      <c r="AB21" s="132" t="str">
        <f t="shared" si="14"/>
        <v/>
      </c>
      <c r="AC21" s="131" t="str">
        <f t="shared" si="3"/>
        <v/>
      </c>
      <c r="AD21" s="140" t="str">
        <f t="shared" ref="AD21:AD23" si="18">IFERROR(IF(AND(S20="Impacto",S21="Impacto"),(AD20-(+AD20*V21)),IF(AND(S20="Probabilidad",S21="Impacto"),(AD19-(+AD19*V21)),IF(S21="Probabilidad",AD20,""))),"")</f>
        <v/>
      </c>
      <c r="AE21" s="133" t="str">
        <f>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134"/>
      <c r="AG21" s="135"/>
      <c r="AH21" s="136"/>
      <c r="AI21" s="137"/>
      <c r="AJ21" s="137"/>
      <c r="AK21" s="135"/>
      <c r="AL21" s="13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26.25" customHeight="1">
      <c r="A22" s="256"/>
      <c r="B22" s="259"/>
      <c r="C22" s="259"/>
      <c r="D22" s="259"/>
      <c r="E22" s="149"/>
      <c r="F22" s="262"/>
      <c r="G22" s="262"/>
      <c r="H22" s="259"/>
      <c r="I22" s="265"/>
      <c r="J22" s="268"/>
      <c r="K22" s="271"/>
      <c r="L22" s="277"/>
      <c r="M22" s="271">
        <f ca="1">IF(NOT(ISERROR(MATCH(L22,_xlfn.ANCHORARRAY(F33),0))),K35&amp;"Por favor no seleccionar los criterios de impacto",L22)</f>
        <v>0</v>
      </c>
      <c r="N22" s="268"/>
      <c r="O22" s="271"/>
      <c r="P22" s="274"/>
      <c r="Q22" s="125">
        <v>5</v>
      </c>
      <c r="R22" s="126"/>
      <c r="S22" s="127" t="str">
        <f t="shared" si="16"/>
        <v/>
      </c>
      <c r="T22" s="128"/>
      <c r="U22" s="128"/>
      <c r="V22" s="129" t="str">
        <f t="shared" si="13"/>
        <v/>
      </c>
      <c r="W22" s="128"/>
      <c r="X22" s="128"/>
      <c r="Y22" s="128"/>
      <c r="Z22" s="130" t="str">
        <f t="shared" si="17"/>
        <v/>
      </c>
      <c r="AA22" s="131" t="str">
        <f t="shared" si="1"/>
        <v/>
      </c>
      <c r="AB22" s="132" t="str">
        <f t="shared" si="14"/>
        <v/>
      </c>
      <c r="AC22" s="131" t="str">
        <f t="shared" si="3"/>
        <v/>
      </c>
      <c r="AD22" s="140" t="str">
        <f t="shared" si="18"/>
        <v/>
      </c>
      <c r="AE22" s="133" t="str">
        <f t="shared" ref="AE22:AE23" si="19">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34"/>
      <c r="AG22" s="135"/>
      <c r="AH22" s="136"/>
      <c r="AI22" s="137"/>
      <c r="AJ22" s="137"/>
      <c r="AK22" s="135"/>
      <c r="AL22" s="13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c r="A23" s="257"/>
      <c r="B23" s="260"/>
      <c r="C23" s="260"/>
      <c r="D23" s="260"/>
      <c r="E23" s="150"/>
      <c r="F23" s="263"/>
      <c r="G23" s="263"/>
      <c r="H23" s="260"/>
      <c r="I23" s="266"/>
      <c r="J23" s="269"/>
      <c r="K23" s="272"/>
      <c r="L23" s="278"/>
      <c r="M23" s="272">
        <f ca="1">IF(NOT(ISERROR(MATCH(L23,_xlfn.ANCHORARRAY(F34),0))),K36&amp;"Por favor no seleccionar los criterios de impacto",L23)</f>
        <v>0</v>
      </c>
      <c r="N23" s="269"/>
      <c r="O23" s="272"/>
      <c r="P23" s="275"/>
      <c r="Q23" s="125">
        <v>6</v>
      </c>
      <c r="R23" s="126"/>
      <c r="S23" s="127" t="str">
        <f t="shared" si="16"/>
        <v/>
      </c>
      <c r="T23" s="128"/>
      <c r="U23" s="128"/>
      <c r="V23" s="129" t="str">
        <f t="shared" si="13"/>
        <v/>
      </c>
      <c r="W23" s="128"/>
      <c r="X23" s="128"/>
      <c r="Y23" s="128"/>
      <c r="Z23" s="130" t="str">
        <f t="shared" si="17"/>
        <v/>
      </c>
      <c r="AA23" s="131" t="str">
        <f t="shared" si="1"/>
        <v/>
      </c>
      <c r="AB23" s="132" t="str">
        <f t="shared" si="14"/>
        <v/>
      </c>
      <c r="AC23" s="131" t="str">
        <f t="shared" si="3"/>
        <v/>
      </c>
      <c r="AD23" s="140" t="str">
        <f t="shared" si="18"/>
        <v/>
      </c>
      <c r="AE23" s="133" t="str">
        <f t="shared" si="19"/>
        <v/>
      </c>
      <c r="AF23" s="134"/>
      <c r="AG23" s="135"/>
      <c r="AH23" s="136"/>
      <c r="AI23" s="137"/>
      <c r="AJ23" s="137"/>
      <c r="AK23" s="135"/>
      <c r="AL23" s="13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c r="A24" s="255">
        <v>4</v>
      </c>
      <c r="B24" s="258"/>
      <c r="C24" s="258"/>
      <c r="D24" s="258"/>
      <c r="E24" s="148"/>
      <c r="F24" s="261"/>
      <c r="G24" s="261"/>
      <c r="H24" s="258"/>
      <c r="I24" s="264"/>
      <c r="J24" s="267" t="str">
        <f>IF(I24&lt;=0,"",IF(I24&lt;=2,"Muy Baja",IF(I24&lt;=24,"Baja",IF(I24&lt;=500,"Media",IF(I24&lt;=5000,"Alta","Muy Alta")))))</f>
        <v/>
      </c>
      <c r="K24" s="270" t="str">
        <f>IF(J24="","",IF(J24="Muy Baja",0.2,IF(J24="Baja",0.4,IF(J24="Media",0.6,IF(J24="Alta",0.8,IF(J24="Muy Alta",1,))))))</f>
        <v/>
      </c>
      <c r="L24" s="276"/>
      <c r="M24" s="270">
        <f ca="1">IF(NOT(ISERROR(MATCH(L24,'Tabla Impacto'!$B$221:$B$223,0))),'Tabla Impacto'!$F$223&amp;"Por favor no seleccionar los criterios de impacto(Afectación Económica o presupuestal y Pérdida Reputacional)",L24)</f>
        <v>0</v>
      </c>
      <c r="N24" s="267" t="str">
        <f ca="1">IF(OR(M24='Tabla Impacto'!$C$11,M24='Tabla Impacto'!$D$11),"Leve",IF(OR(M24='Tabla Impacto'!$C$12,M24='Tabla Impacto'!$D$12),"Menor",IF(OR(M24='Tabla Impacto'!$C$13,M24='Tabla Impacto'!$D$13),"Moderado",IF(OR(M24='Tabla Impacto'!$C$14,M24='Tabla Impacto'!$D$14),"Mayor",IF(OR(M24='Tabla Impacto'!$C$15,M24='Tabla Impacto'!$D$15),"Catastrófico","")))))</f>
        <v/>
      </c>
      <c r="O24" s="270" t="str">
        <f ca="1">IF(N24="","",IF(N24="Leve",0.2,IF(N24="Menor",0.4,IF(N24="Moderado",0.6,IF(N24="Mayor",0.8,IF(N24="Catastrófico",1,))))))</f>
        <v/>
      </c>
      <c r="P24" s="273" t="str">
        <f ca="1">IF(OR(AND(J24="Muy Baja",N24="Leve"),AND(J24="Muy Baja",N24="Menor"),AND(J24="Baja",N24="Leve")),"Bajo",IF(OR(AND(J24="Muy baja",N24="Moderado"),AND(J24="Baja",N24="Menor"),AND(J24="Baja",N24="Moderado"),AND(J24="Media",N24="Leve"),AND(J24="Media",N24="Menor"),AND(J24="Media",N24="Moderado"),AND(J24="Alta",N24="Leve"),AND(J24="Alta",N24="Menor")),"Moderado",IF(OR(AND(J24="Muy Baja",N24="Mayor"),AND(J24="Baja",N24="Mayor"),AND(J24="Media",N24="Mayor"),AND(J24="Alta",N24="Moderado"),AND(J24="Alta",N24="Mayor"),AND(J24="Muy Alta",N24="Leve"),AND(J24="Muy Alta",N24="Menor"),AND(J24="Muy Alta",N24="Moderado"),AND(J24="Muy Alta",N24="Mayor")),"Alto",IF(OR(AND(J24="Muy Baja",N24="Catastrófico"),AND(J24="Baja",N24="Catastrófico"),AND(J24="Media",N24="Catastrófico"),AND(J24="Alta",N24="Catastrófico"),AND(J24="Muy Alta",N24="Catastrófico")),"Extremo",""))))</f>
        <v/>
      </c>
      <c r="Q24" s="125">
        <v>1</v>
      </c>
      <c r="R24" s="126"/>
      <c r="S24" s="127" t="str">
        <f>IF(OR(T24="Preventivo",T24="Detectivo"),"Probabilidad",IF(T24="Correctivo","Impacto",""))</f>
        <v/>
      </c>
      <c r="T24" s="128"/>
      <c r="U24" s="128"/>
      <c r="V24" s="129" t="str">
        <f>IF(AND(T24="Preventivo",U24="Automático"),"50%",IF(AND(T24="Preventivo",U24="Manual"),"40%",IF(AND(T24="Detectivo",U24="Automático"),"40%",IF(AND(T24="Detectivo",U24="Manual"),"30%",IF(AND(T24="Correctivo",U24="Automático"),"35%",IF(AND(T24="Correctivo",U24="Manual"),"25%",""))))))</f>
        <v/>
      </c>
      <c r="W24" s="128"/>
      <c r="X24" s="128"/>
      <c r="Y24" s="128"/>
      <c r="Z24" s="130" t="str">
        <f>IFERROR(IF(S24="Probabilidad",(K24-(+K24*V24)),IF(S24="Impacto",K24,"")),"")</f>
        <v/>
      </c>
      <c r="AA24" s="131" t="str">
        <f>IFERROR(IF(Z24="","",IF(Z24&lt;=0.2,"Muy Baja",IF(Z24&lt;=0.4,"Baja",IF(Z24&lt;=0.6,"Media",IF(Z24&lt;=0.8,"Alta","Muy Alta"))))),"")</f>
        <v/>
      </c>
      <c r="AB24" s="132" t="str">
        <f>+Z24</f>
        <v/>
      </c>
      <c r="AC24" s="131" t="str">
        <f>IFERROR(IF(AD24="","",IF(AD24&lt;=0.2,"Leve",IF(AD24&lt;=0.4,"Menor",IF(AD24&lt;=0.6,"Moderado",IF(AD24&lt;=0.8,"Mayor","Catastrófico"))))),"")</f>
        <v/>
      </c>
      <c r="AD24" s="140" t="str">
        <f>IFERROR(IF(S24="Impacto",(O24-(+O24*V24)),IF(S24="Probabilidad",O24,"")),"")</f>
        <v/>
      </c>
      <c r="AE24" s="133" t="str">
        <f>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134"/>
      <c r="AG24" s="135"/>
      <c r="AH24" s="136"/>
      <c r="AI24" s="137"/>
      <c r="AJ24" s="137"/>
      <c r="AK24" s="135"/>
      <c r="AL24" s="13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c r="A25" s="256"/>
      <c r="B25" s="259"/>
      <c r="C25" s="259"/>
      <c r="D25" s="259"/>
      <c r="E25" s="149"/>
      <c r="F25" s="262"/>
      <c r="G25" s="262"/>
      <c r="H25" s="259"/>
      <c r="I25" s="265"/>
      <c r="J25" s="268"/>
      <c r="K25" s="271"/>
      <c r="L25" s="277"/>
      <c r="M25" s="271">
        <f ca="1">IF(NOT(ISERROR(MATCH(L25,_xlfn.ANCHORARRAY(F36),0))),K38&amp;"Por favor no seleccionar los criterios de impacto",L25)</f>
        <v>0</v>
      </c>
      <c r="N25" s="268"/>
      <c r="O25" s="271"/>
      <c r="P25" s="274"/>
      <c r="Q25" s="125">
        <v>2</v>
      </c>
      <c r="R25" s="126"/>
      <c r="S25" s="127" t="str">
        <f>IF(OR(T25="Preventivo",T25="Detectivo"),"Probabilidad",IF(T25="Correctivo","Impacto",""))</f>
        <v/>
      </c>
      <c r="T25" s="128"/>
      <c r="U25" s="128"/>
      <c r="V25" s="129" t="str">
        <f t="shared" ref="V25:V29" si="20">IF(AND(T25="Preventivo",U25="Automático"),"50%",IF(AND(T25="Preventivo",U25="Manual"),"40%",IF(AND(T25="Detectivo",U25="Automático"),"40%",IF(AND(T25="Detectivo",U25="Manual"),"30%",IF(AND(T25="Correctivo",U25="Automático"),"35%",IF(AND(T25="Correctivo",U25="Manual"),"25%",""))))))</f>
        <v/>
      </c>
      <c r="W25" s="128"/>
      <c r="X25" s="128"/>
      <c r="Y25" s="128"/>
      <c r="Z25" s="130" t="str">
        <f>IFERROR(IF(AND(S24="Probabilidad",S25="Probabilidad"),(AB24-(+AB24*V25)),IF(S25="Probabilidad",(K24-(+K24*V25)),IF(S25="Impacto",AB24,""))),"")</f>
        <v/>
      </c>
      <c r="AA25" s="131" t="str">
        <f t="shared" si="1"/>
        <v/>
      </c>
      <c r="AB25" s="132" t="str">
        <f t="shared" ref="AB25:AB29" si="21">+Z25</f>
        <v/>
      </c>
      <c r="AC25" s="131" t="str">
        <f t="shared" si="3"/>
        <v/>
      </c>
      <c r="AD25" s="140" t="str">
        <f>IFERROR(IF(AND(S24="Impacto",S25="Impacto"),(AD24-(+AD24*V25)),IF(S25="Impacto",(O24-(+O24*V25)),IF(S25="Probabilidad",AD24,""))),"")</f>
        <v/>
      </c>
      <c r="AE25" s="133" t="str">
        <f t="shared" ref="AE25:AE26" si="22">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34"/>
      <c r="AG25" s="135"/>
      <c r="AH25" s="136"/>
      <c r="AI25" s="137"/>
      <c r="AJ25" s="137"/>
      <c r="AK25" s="135"/>
      <c r="AL25" s="13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c r="A26" s="256"/>
      <c r="B26" s="259"/>
      <c r="C26" s="259"/>
      <c r="D26" s="259"/>
      <c r="E26" s="149"/>
      <c r="F26" s="262"/>
      <c r="G26" s="262"/>
      <c r="H26" s="259"/>
      <c r="I26" s="265"/>
      <c r="J26" s="268"/>
      <c r="K26" s="271"/>
      <c r="L26" s="277"/>
      <c r="M26" s="271">
        <f ca="1">IF(NOT(ISERROR(MATCH(L26,_xlfn.ANCHORARRAY(F37),0))),K39&amp;"Por favor no seleccionar los criterios de impacto",L26)</f>
        <v>0</v>
      </c>
      <c r="N26" s="268"/>
      <c r="O26" s="271"/>
      <c r="P26" s="274"/>
      <c r="Q26" s="125">
        <v>3</v>
      </c>
      <c r="R26" s="138"/>
      <c r="S26" s="127" t="str">
        <f>IF(OR(T26="Preventivo",T26="Detectivo"),"Probabilidad",IF(T26="Correctivo","Impacto",""))</f>
        <v/>
      </c>
      <c r="T26" s="128"/>
      <c r="U26" s="128"/>
      <c r="V26" s="129" t="str">
        <f t="shared" si="20"/>
        <v/>
      </c>
      <c r="W26" s="128"/>
      <c r="X26" s="128"/>
      <c r="Y26" s="128"/>
      <c r="Z26" s="130" t="str">
        <f>IFERROR(IF(AND(S25="Probabilidad",S26="Probabilidad"),(AB25-(+AB25*V26)),IF(AND(S25="Impacto",S26="Probabilidad"),(AB24-(+AB24*V26)),IF(S26="Impacto",AB25,""))),"")</f>
        <v/>
      </c>
      <c r="AA26" s="131" t="str">
        <f t="shared" si="1"/>
        <v/>
      </c>
      <c r="AB26" s="132" t="str">
        <f t="shared" si="21"/>
        <v/>
      </c>
      <c r="AC26" s="131" t="str">
        <f t="shared" si="3"/>
        <v/>
      </c>
      <c r="AD26" s="140" t="str">
        <f>IFERROR(IF(AND(S25="Impacto",S26="Impacto"),(AD25-(+AD25*V26)),IF(AND(S25="Probabilidad",S26="Impacto"),(AD24-(+AD24*V26)),IF(S26="Probabilidad",AD25,""))),"")</f>
        <v/>
      </c>
      <c r="AE26" s="133" t="str">
        <f t="shared" si="22"/>
        <v/>
      </c>
      <c r="AF26" s="134"/>
      <c r="AG26" s="135"/>
      <c r="AH26" s="136"/>
      <c r="AI26" s="137"/>
      <c r="AJ26" s="137"/>
      <c r="AK26" s="135"/>
      <c r="AL26" s="13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c r="A27" s="256"/>
      <c r="B27" s="259"/>
      <c r="C27" s="259"/>
      <c r="D27" s="259"/>
      <c r="E27" s="149"/>
      <c r="F27" s="262"/>
      <c r="G27" s="262"/>
      <c r="H27" s="259"/>
      <c r="I27" s="265"/>
      <c r="J27" s="268"/>
      <c r="K27" s="271"/>
      <c r="L27" s="277"/>
      <c r="M27" s="271">
        <f ca="1">IF(NOT(ISERROR(MATCH(L27,_xlfn.ANCHORARRAY(F38),0))),K40&amp;"Por favor no seleccionar los criterios de impacto",L27)</f>
        <v>0</v>
      </c>
      <c r="N27" s="268"/>
      <c r="O27" s="271"/>
      <c r="P27" s="274"/>
      <c r="Q27" s="125">
        <v>4</v>
      </c>
      <c r="R27" s="126"/>
      <c r="S27" s="127" t="str">
        <f t="shared" ref="S27:S29" si="23">IF(OR(T27="Preventivo",T27="Detectivo"),"Probabilidad",IF(T27="Correctivo","Impacto",""))</f>
        <v/>
      </c>
      <c r="T27" s="128"/>
      <c r="U27" s="128"/>
      <c r="V27" s="129" t="str">
        <f t="shared" si="20"/>
        <v/>
      </c>
      <c r="W27" s="128"/>
      <c r="X27" s="128"/>
      <c r="Y27" s="128"/>
      <c r="Z27" s="130" t="str">
        <f t="shared" ref="Z27:Z29" si="24">IFERROR(IF(AND(S26="Probabilidad",S27="Probabilidad"),(AB26-(+AB26*V27)),IF(AND(S26="Impacto",S27="Probabilidad"),(AB25-(+AB25*V27)),IF(S27="Impacto",AB26,""))),"")</f>
        <v/>
      </c>
      <c r="AA27" s="131" t="str">
        <f t="shared" si="1"/>
        <v/>
      </c>
      <c r="AB27" s="132" t="str">
        <f t="shared" si="21"/>
        <v/>
      </c>
      <c r="AC27" s="131" t="str">
        <f t="shared" si="3"/>
        <v/>
      </c>
      <c r="AD27" s="140" t="str">
        <f t="shared" ref="AD27:AD29" si="25">IFERROR(IF(AND(S26="Impacto",S27="Impacto"),(AD26-(+AD26*V27)),IF(AND(S26="Probabilidad",S27="Impacto"),(AD25-(+AD25*V27)),IF(S27="Probabilidad",AD26,""))),"")</f>
        <v/>
      </c>
      <c r="AE27" s="133" t="str">
        <f>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
      </c>
      <c r="AF27" s="134"/>
      <c r="AG27" s="135"/>
      <c r="AH27" s="136"/>
      <c r="AI27" s="137"/>
      <c r="AJ27" s="137"/>
      <c r="AK27" s="135"/>
      <c r="AL27" s="13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c r="A28" s="256"/>
      <c r="B28" s="259"/>
      <c r="C28" s="259"/>
      <c r="D28" s="259"/>
      <c r="E28" s="149"/>
      <c r="F28" s="262"/>
      <c r="G28" s="262"/>
      <c r="H28" s="259"/>
      <c r="I28" s="265"/>
      <c r="J28" s="268"/>
      <c r="K28" s="271"/>
      <c r="L28" s="277"/>
      <c r="M28" s="271">
        <f ca="1">IF(NOT(ISERROR(MATCH(L28,_xlfn.ANCHORARRAY(F39),0))),K41&amp;"Por favor no seleccionar los criterios de impacto",L28)</f>
        <v>0</v>
      </c>
      <c r="N28" s="268"/>
      <c r="O28" s="271"/>
      <c r="P28" s="274"/>
      <c r="Q28" s="125">
        <v>5</v>
      </c>
      <c r="R28" s="126"/>
      <c r="S28" s="127" t="str">
        <f t="shared" si="23"/>
        <v/>
      </c>
      <c r="T28" s="128"/>
      <c r="U28" s="128"/>
      <c r="V28" s="129" t="str">
        <f t="shared" si="20"/>
        <v/>
      </c>
      <c r="W28" s="128"/>
      <c r="X28" s="128"/>
      <c r="Y28" s="128"/>
      <c r="Z28" s="139" t="str">
        <f t="shared" si="24"/>
        <v/>
      </c>
      <c r="AA28" s="131" t="str">
        <f>IFERROR(IF(Z28="","",IF(Z28&lt;=0.2,"Muy Baja",IF(Z28&lt;=0.4,"Baja",IF(Z28&lt;=0.6,"Media",IF(Z28&lt;=0.8,"Alta","Muy Alta"))))),"")</f>
        <v/>
      </c>
      <c r="AB28" s="132" t="str">
        <f t="shared" si="21"/>
        <v/>
      </c>
      <c r="AC28" s="131" t="str">
        <f t="shared" si="3"/>
        <v/>
      </c>
      <c r="AD28" s="140" t="str">
        <f t="shared" si="25"/>
        <v/>
      </c>
      <c r="AE28" s="133" t="str">
        <f t="shared" ref="AE28:AE29" si="26">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34"/>
      <c r="AG28" s="135"/>
      <c r="AH28" s="136"/>
      <c r="AI28" s="137"/>
      <c r="AJ28" s="137"/>
      <c r="AK28" s="135"/>
      <c r="AL28" s="13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c r="A29" s="257"/>
      <c r="B29" s="260"/>
      <c r="C29" s="260"/>
      <c r="D29" s="260"/>
      <c r="E29" s="150"/>
      <c r="F29" s="263"/>
      <c r="G29" s="263"/>
      <c r="H29" s="260"/>
      <c r="I29" s="266"/>
      <c r="J29" s="269"/>
      <c r="K29" s="272"/>
      <c r="L29" s="278"/>
      <c r="M29" s="272">
        <f ca="1">IF(NOT(ISERROR(MATCH(L29,_xlfn.ANCHORARRAY(F40),0))),K42&amp;"Por favor no seleccionar los criterios de impacto",L29)</f>
        <v>0</v>
      </c>
      <c r="N29" s="269"/>
      <c r="O29" s="272"/>
      <c r="P29" s="275"/>
      <c r="Q29" s="125">
        <v>6</v>
      </c>
      <c r="R29" s="126"/>
      <c r="S29" s="127" t="str">
        <f t="shared" si="23"/>
        <v/>
      </c>
      <c r="T29" s="128"/>
      <c r="U29" s="128"/>
      <c r="V29" s="129" t="str">
        <f t="shared" si="20"/>
        <v/>
      </c>
      <c r="W29" s="128"/>
      <c r="X29" s="128"/>
      <c r="Y29" s="128"/>
      <c r="Z29" s="130" t="str">
        <f t="shared" si="24"/>
        <v/>
      </c>
      <c r="AA29" s="131" t="str">
        <f t="shared" si="1"/>
        <v/>
      </c>
      <c r="AB29" s="132" t="str">
        <f t="shared" si="21"/>
        <v/>
      </c>
      <c r="AC29" s="131" t="str">
        <f t="shared" si="3"/>
        <v/>
      </c>
      <c r="AD29" s="140" t="str">
        <f t="shared" si="25"/>
        <v/>
      </c>
      <c r="AE29" s="133" t="str">
        <f t="shared" si="26"/>
        <v/>
      </c>
      <c r="AF29" s="134"/>
      <c r="AG29" s="135"/>
      <c r="AH29" s="136"/>
      <c r="AI29" s="137"/>
      <c r="AJ29" s="137"/>
      <c r="AK29" s="135"/>
      <c r="AL29" s="13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c r="A30" s="255">
        <v>5</v>
      </c>
      <c r="B30" s="258"/>
      <c r="C30" s="258"/>
      <c r="D30" s="258"/>
      <c r="E30" s="148"/>
      <c r="F30" s="261"/>
      <c r="G30" s="153"/>
      <c r="H30" s="258"/>
      <c r="I30" s="264"/>
      <c r="J30" s="267" t="str">
        <f>IF(I30&lt;=0,"",IF(I30&lt;=2,"Muy Baja",IF(I30&lt;=24,"Baja",IF(I30&lt;=500,"Media",IF(I30&lt;=5000,"Alta","Muy Alta")))))</f>
        <v/>
      </c>
      <c r="K30" s="270" t="str">
        <f>IF(J30="","",IF(J30="Muy Baja",0.2,IF(J30="Baja",0.4,IF(J30="Media",0.6,IF(J30="Alta",0.8,IF(J30="Muy Alta",1,))))))</f>
        <v/>
      </c>
      <c r="L30" s="276"/>
      <c r="M30" s="270">
        <f ca="1">IF(NOT(ISERROR(MATCH(L30,'Tabla Impacto'!$B$221:$B$223,0))),'Tabla Impacto'!$F$223&amp;"Por favor no seleccionar los criterios de impacto(Afectación Económica o presupuestal y Pérdida Reputacional)",L30)</f>
        <v>0</v>
      </c>
      <c r="N30" s="267" t="str">
        <f ca="1">IF(OR(M30='Tabla Impacto'!$C$11,M30='Tabla Impacto'!$D$11),"Leve",IF(OR(M30='Tabla Impacto'!$C$12,M30='Tabla Impacto'!$D$12),"Menor",IF(OR(M30='Tabla Impacto'!$C$13,M30='Tabla Impacto'!$D$13),"Moderado",IF(OR(M30='Tabla Impacto'!$C$14,M30='Tabla Impacto'!$D$14),"Mayor",IF(OR(M30='Tabla Impacto'!$C$15,M30='Tabla Impacto'!$D$15),"Catastrófico","")))))</f>
        <v/>
      </c>
      <c r="O30" s="270" t="str">
        <f ca="1">IF(N30="","",IF(N30="Leve",0.2,IF(N30="Menor",0.4,IF(N30="Moderado",0.6,IF(N30="Mayor",0.8,IF(N30="Catastrófico",1,))))))</f>
        <v/>
      </c>
      <c r="P30" s="273" t="str">
        <f ca="1">IF(OR(AND(J30="Muy Baja",N30="Leve"),AND(J30="Muy Baja",N30="Menor"),AND(J30="Baja",N30="Leve")),"Bajo",IF(OR(AND(J30="Muy baja",N30="Moderado"),AND(J30="Baja",N30="Menor"),AND(J30="Baja",N30="Moderado"),AND(J30="Media",N30="Leve"),AND(J30="Media",N30="Menor"),AND(J30="Media",N30="Moderado"),AND(J30="Alta",N30="Leve"),AND(J30="Alta",N30="Menor")),"Moderado",IF(OR(AND(J30="Muy Baja",N30="Mayor"),AND(J30="Baja",N30="Mayor"),AND(J30="Media",N30="Mayor"),AND(J30="Alta",N30="Moderado"),AND(J30="Alta",N30="Mayor"),AND(J30="Muy Alta",N30="Leve"),AND(J30="Muy Alta",N30="Menor"),AND(J30="Muy Alta",N30="Moderado"),AND(J30="Muy Alta",N30="Mayor")),"Alto",IF(OR(AND(J30="Muy Baja",N30="Catastrófico"),AND(J30="Baja",N30="Catastrófico"),AND(J30="Media",N30="Catastrófico"),AND(J30="Alta",N30="Catastrófico"),AND(J30="Muy Alta",N30="Catastrófico")),"Extremo",""))))</f>
        <v/>
      </c>
      <c r="Q30" s="125">
        <v>1</v>
      </c>
      <c r="R30" s="126"/>
      <c r="S30" s="127" t="str">
        <f>IF(OR(T30="Preventivo",T30="Detectivo"),"Probabilidad",IF(T30="Correctivo","Impacto",""))</f>
        <v/>
      </c>
      <c r="T30" s="128"/>
      <c r="U30" s="128"/>
      <c r="V30" s="129" t="str">
        <f>IF(AND(T30="Preventivo",U30="Automático"),"50%",IF(AND(T30="Preventivo",U30="Manual"),"40%",IF(AND(T30="Detectivo",U30="Automático"),"40%",IF(AND(T30="Detectivo",U30="Manual"),"30%",IF(AND(T30="Correctivo",U30="Automático"),"35%",IF(AND(T30="Correctivo",U30="Manual"),"25%",""))))))</f>
        <v/>
      </c>
      <c r="W30" s="128"/>
      <c r="X30" s="128"/>
      <c r="Y30" s="128"/>
      <c r="Z30" s="130" t="str">
        <f>IFERROR(IF(S30="Probabilidad",(K30-(+K30*V30)),IF(S30="Impacto",K30,"")),"")</f>
        <v/>
      </c>
      <c r="AA30" s="131" t="str">
        <f>IFERROR(IF(Z30="","",IF(Z30&lt;=0.2,"Muy Baja",IF(Z30&lt;=0.4,"Baja",IF(Z30&lt;=0.6,"Media",IF(Z30&lt;=0.8,"Alta","Muy Alta"))))),"")</f>
        <v/>
      </c>
      <c r="AB30" s="132" t="str">
        <f>+Z30</f>
        <v/>
      </c>
      <c r="AC30" s="131" t="str">
        <f>IFERROR(IF(AD30="","",IF(AD30&lt;=0.2,"Leve",IF(AD30&lt;=0.4,"Menor",IF(AD30&lt;=0.6,"Moderado",IF(AD30&lt;=0.8,"Mayor","Catastrófico"))))),"")</f>
        <v/>
      </c>
      <c r="AD30" s="140" t="str">
        <f>IFERROR(IF(S30="Impacto",(O30-(+O30*V30)),IF(S30="Probabilidad",O30,"")),"")</f>
        <v/>
      </c>
      <c r="AE30" s="133" t="str">
        <f>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134"/>
      <c r="AG30" s="135"/>
      <c r="AH30" s="136"/>
      <c r="AI30" s="137"/>
      <c r="AJ30" s="137"/>
      <c r="AK30" s="135"/>
      <c r="AL30" s="13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c r="A31" s="256"/>
      <c r="B31" s="259"/>
      <c r="C31" s="259"/>
      <c r="D31" s="259"/>
      <c r="E31" s="149"/>
      <c r="F31" s="262"/>
      <c r="G31" s="154"/>
      <c r="H31" s="259"/>
      <c r="I31" s="265"/>
      <c r="J31" s="268"/>
      <c r="K31" s="271"/>
      <c r="L31" s="277"/>
      <c r="M31" s="271">
        <f ca="1">IF(NOT(ISERROR(MATCH(L31,_xlfn.ANCHORARRAY(F42),0))),K44&amp;"Por favor no seleccionar los criterios de impacto",L31)</f>
        <v>0</v>
      </c>
      <c r="N31" s="268"/>
      <c r="O31" s="271"/>
      <c r="P31" s="274"/>
      <c r="Q31" s="125">
        <v>2</v>
      </c>
      <c r="R31" s="126"/>
      <c r="S31" s="127" t="str">
        <f>IF(OR(T31="Preventivo",T31="Detectivo"),"Probabilidad",IF(T31="Correctivo","Impacto",""))</f>
        <v/>
      </c>
      <c r="T31" s="128"/>
      <c r="U31" s="128"/>
      <c r="V31" s="129" t="str">
        <f t="shared" ref="V31:V35" si="27">IF(AND(T31="Preventivo",U31="Automático"),"50%",IF(AND(T31="Preventivo",U31="Manual"),"40%",IF(AND(T31="Detectivo",U31="Automático"),"40%",IF(AND(T31="Detectivo",U31="Manual"),"30%",IF(AND(T31="Correctivo",U31="Automático"),"35%",IF(AND(T31="Correctivo",U31="Manual"),"25%",""))))))</f>
        <v/>
      </c>
      <c r="W31" s="128"/>
      <c r="X31" s="128"/>
      <c r="Y31" s="128"/>
      <c r="Z31" s="130" t="str">
        <f>IFERROR(IF(AND(S30="Probabilidad",S31="Probabilidad"),(AB30-(+AB30*V31)),IF(S31="Probabilidad",(K30-(+K30*V31)),IF(S31="Impacto",AB30,""))),"")</f>
        <v/>
      </c>
      <c r="AA31" s="131" t="str">
        <f t="shared" si="1"/>
        <v/>
      </c>
      <c r="AB31" s="132" t="str">
        <f t="shared" ref="AB31:AB35" si="28">+Z31</f>
        <v/>
      </c>
      <c r="AC31" s="131" t="str">
        <f t="shared" si="3"/>
        <v/>
      </c>
      <c r="AD31" s="140" t="str">
        <f>IFERROR(IF(AND(S30="Impacto",S31="Impacto"),(AD30-(+AD30*V31)),IF(S31="Impacto",(O30-(+O30*V31)),IF(S31="Probabilidad",AD30,""))),"")</f>
        <v/>
      </c>
      <c r="AE31" s="133" t="str">
        <f t="shared" ref="AE31:AE32" si="29">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134"/>
      <c r="AG31" s="135"/>
      <c r="AH31" s="136"/>
      <c r="AI31" s="137"/>
      <c r="AJ31" s="137"/>
      <c r="AK31" s="135"/>
      <c r="AL31" s="13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c r="A32" s="256"/>
      <c r="B32" s="259"/>
      <c r="C32" s="259"/>
      <c r="D32" s="259"/>
      <c r="E32" s="149"/>
      <c r="F32" s="262"/>
      <c r="G32" s="154"/>
      <c r="H32" s="259"/>
      <c r="I32" s="265"/>
      <c r="J32" s="268"/>
      <c r="K32" s="271"/>
      <c r="L32" s="277"/>
      <c r="M32" s="271">
        <f ca="1">IF(NOT(ISERROR(MATCH(L32,_xlfn.ANCHORARRAY(F43),0))),K45&amp;"Por favor no seleccionar los criterios de impacto",L32)</f>
        <v>0</v>
      </c>
      <c r="N32" s="268"/>
      <c r="O32" s="271"/>
      <c r="P32" s="274"/>
      <c r="Q32" s="125">
        <v>3</v>
      </c>
      <c r="R32" s="138"/>
      <c r="S32" s="127" t="str">
        <f>IF(OR(T32="Preventivo",T32="Detectivo"),"Probabilidad",IF(T32="Correctivo","Impacto",""))</f>
        <v/>
      </c>
      <c r="T32" s="128"/>
      <c r="U32" s="128"/>
      <c r="V32" s="129" t="str">
        <f t="shared" si="27"/>
        <v/>
      </c>
      <c r="W32" s="128"/>
      <c r="X32" s="128"/>
      <c r="Y32" s="128"/>
      <c r="Z32" s="130" t="str">
        <f>IFERROR(IF(AND(S31="Probabilidad",S32="Probabilidad"),(AB31-(+AB31*V32)),IF(AND(S31="Impacto",S32="Probabilidad"),(AB30-(+AB30*V32)),IF(S32="Impacto",AB31,""))),"")</f>
        <v/>
      </c>
      <c r="AA32" s="131" t="str">
        <f t="shared" si="1"/>
        <v/>
      </c>
      <c r="AB32" s="132" t="str">
        <f t="shared" si="28"/>
        <v/>
      </c>
      <c r="AC32" s="131" t="str">
        <f t="shared" si="3"/>
        <v/>
      </c>
      <c r="AD32" s="140" t="str">
        <f>IFERROR(IF(AND(S31="Impacto",S32="Impacto"),(AD31-(+AD31*V32)),IF(AND(S31="Probabilidad",S32="Impacto"),(AD30-(+AD30*V32)),IF(S32="Probabilidad",AD31,""))),"")</f>
        <v/>
      </c>
      <c r="AE32" s="133" t="str">
        <f t="shared" si="29"/>
        <v/>
      </c>
      <c r="AF32" s="134"/>
      <c r="AG32" s="135"/>
      <c r="AH32" s="136"/>
      <c r="AI32" s="137"/>
      <c r="AJ32" s="137"/>
      <c r="AK32" s="135"/>
      <c r="AL32" s="13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c r="A33" s="256"/>
      <c r="B33" s="259"/>
      <c r="C33" s="259"/>
      <c r="D33" s="259"/>
      <c r="E33" s="149"/>
      <c r="F33" s="262"/>
      <c r="G33" s="154"/>
      <c r="H33" s="259"/>
      <c r="I33" s="265"/>
      <c r="J33" s="268"/>
      <c r="K33" s="271"/>
      <c r="L33" s="277"/>
      <c r="M33" s="271">
        <f ca="1">IF(NOT(ISERROR(MATCH(L33,_xlfn.ANCHORARRAY(F44),0))),K46&amp;"Por favor no seleccionar los criterios de impacto",L33)</f>
        <v>0</v>
      </c>
      <c r="N33" s="268"/>
      <c r="O33" s="271"/>
      <c r="P33" s="274"/>
      <c r="Q33" s="125">
        <v>4</v>
      </c>
      <c r="R33" s="126"/>
      <c r="S33" s="127" t="str">
        <f t="shared" ref="S33:S35" si="30">IF(OR(T33="Preventivo",T33="Detectivo"),"Probabilidad",IF(T33="Correctivo","Impacto",""))</f>
        <v/>
      </c>
      <c r="T33" s="128"/>
      <c r="U33" s="128"/>
      <c r="V33" s="129" t="str">
        <f t="shared" si="27"/>
        <v/>
      </c>
      <c r="W33" s="128"/>
      <c r="X33" s="128"/>
      <c r="Y33" s="128"/>
      <c r="Z33" s="130" t="str">
        <f t="shared" ref="Z33:Z35" si="31">IFERROR(IF(AND(S32="Probabilidad",S33="Probabilidad"),(AB32-(+AB32*V33)),IF(AND(S32="Impacto",S33="Probabilidad"),(AB31-(+AB31*V33)),IF(S33="Impacto",AB32,""))),"")</f>
        <v/>
      </c>
      <c r="AA33" s="131" t="str">
        <f t="shared" si="1"/>
        <v/>
      </c>
      <c r="AB33" s="132" t="str">
        <f t="shared" si="28"/>
        <v/>
      </c>
      <c r="AC33" s="131" t="str">
        <f t="shared" si="3"/>
        <v/>
      </c>
      <c r="AD33" s="140" t="str">
        <f t="shared" ref="AD33:AD35" si="32">IFERROR(IF(AND(S32="Impacto",S33="Impacto"),(AD32-(+AD32*V33)),IF(AND(S32="Probabilidad",S33="Impacto"),(AD31-(+AD31*V33)),IF(S33="Probabilidad",AD32,""))),"")</f>
        <v/>
      </c>
      <c r="AE33" s="133" t="str">
        <f>IFERROR(IF(OR(AND(AA33="Muy Baja",AC33="Leve"),AND(AA33="Muy Baja",AC33="Menor"),AND(AA33="Baja",AC33="Leve")),"Bajo",IF(OR(AND(AA33="Muy baja",AC33="Moderado"),AND(AA33="Baja",AC33="Menor"),AND(AA33="Baja",AC33="Moderado"),AND(AA33="Media",AC33="Leve"),AND(AA33="Media",AC33="Menor"),AND(AA33="Media",AC33="Moderado"),AND(AA33="Alta",AC33="Leve"),AND(AA33="Alta",AC33="Menor")),"Moderado",IF(OR(AND(AA33="Muy Baja",AC33="Mayor"),AND(AA33="Baja",AC33="Mayor"),AND(AA33="Media",AC33="Mayor"),AND(AA33="Alta",AC33="Moderado"),AND(AA33="Alta",AC33="Mayor"),AND(AA33="Muy Alta",AC33="Leve"),AND(AA33="Muy Alta",AC33="Menor"),AND(AA33="Muy Alta",AC33="Moderado"),AND(AA33="Muy Alta",AC33="Mayor")),"Alto",IF(OR(AND(AA33="Muy Baja",AC33="Catastrófico"),AND(AA33="Baja",AC33="Catastrófico"),AND(AA33="Media",AC33="Catastrófico"),AND(AA33="Alta",AC33="Catastrófico"),AND(AA33="Muy Alta",AC33="Catastrófico")),"Extremo","")))),"")</f>
        <v/>
      </c>
      <c r="AF33" s="134"/>
      <c r="AG33" s="135"/>
      <c r="AH33" s="136"/>
      <c r="AI33" s="137"/>
      <c r="AJ33" s="137"/>
      <c r="AK33" s="135"/>
      <c r="AL33" s="13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c r="A34" s="256"/>
      <c r="B34" s="259"/>
      <c r="C34" s="259"/>
      <c r="D34" s="259"/>
      <c r="E34" s="149"/>
      <c r="F34" s="262"/>
      <c r="G34" s="154"/>
      <c r="H34" s="259"/>
      <c r="I34" s="265"/>
      <c r="J34" s="268"/>
      <c r="K34" s="271"/>
      <c r="L34" s="277"/>
      <c r="M34" s="271">
        <f ca="1">IF(NOT(ISERROR(MATCH(L34,_xlfn.ANCHORARRAY(F45),0))),K47&amp;"Por favor no seleccionar los criterios de impacto",L34)</f>
        <v>0</v>
      </c>
      <c r="N34" s="268"/>
      <c r="O34" s="271"/>
      <c r="P34" s="274"/>
      <c r="Q34" s="125">
        <v>5</v>
      </c>
      <c r="R34" s="126"/>
      <c r="S34" s="127" t="str">
        <f t="shared" si="30"/>
        <v/>
      </c>
      <c r="T34" s="128"/>
      <c r="U34" s="128"/>
      <c r="V34" s="129" t="str">
        <f t="shared" si="27"/>
        <v/>
      </c>
      <c r="W34" s="128"/>
      <c r="X34" s="128"/>
      <c r="Y34" s="128"/>
      <c r="Z34" s="130" t="str">
        <f t="shared" si="31"/>
        <v/>
      </c>
      <c r="AA34" s="131" t="str">
        <f t="shared" si="1"/>
        <v/>
      </c>
      <c r="AB34" s="132" t="str">
        <f t="shared" si="28"/>
        <v/>
      </c>
      <c r="AC34" s="131" t="str">
        <f t="shared" si="3"/>
        <v/>
      </c>
      <c r="AD34" s="140" t="str">
        <f t="shared" si="32"/>
        <v/>
      </c>
      <c r="AE34" s="133" t="str">
        <f t="shared" ref="AE34:AE35" si="33">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34"/>
      <c r="AG34" s="135"/>
      <c r="AH34" s="136"/>
      <c r="AI34" s="137"/>
      <c r="AJ34" s="137"/>
      <c r="AK34" s="135"/>
      <c r="AL34" s="13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c r="A35" s="257"/>
      <c r="B35" s="260"/>
      <c r="C35" s="260"/>
      <c r="D35" s="260"/>
      <c r="E35" s="150"/>
      <c r="F35" s="263"/>
      <c r="G35" s="155"/>
      <c r="H35" s="260"/>
      <c r="I35" s="266"/>
      <c r="J35" s="269"/>
      <c r="K35" s="272"/>
      <c r="L35" s="278"/>
      <c r="M35" s="272">
        <f ca="1">IF(NOT(ISERROR(MATCH(L35,_xlfn.ANCHORARRAY(F46),0))),K48&amp;"Por favor no seleccionar los criterios de impacto",L35)</f>
        <v>0</v>
      </c>
      <c r="N35" s="269"/>
      <c r="O35" s="272"/>
      <c r="P35" s="275"/>
      <c r="Q35" s="125">
        <v>6</v>
      </c>
      <c r="R35" s="126"/>
      <c r="S35" s="127" t="str">
        <f t="shared" si="30"/>
        <v/>
      </c>
      <c r="T35" s="128"/>
      <c r="U35" s="128"/>
      <c r="V35" s="129" t="str">
        <f t="shared" si="27"/>
        <v/>
      </c>
      <c r="W35" s="128"/>
      <c r="X35" s="128"/>
      <c r="Y35" s="128"/>
      <c r="Z35" s="130" t="str">
        <f t="shared" si="31"/>
        <v/>
      </c>
      <c r="AA35" s="131" t="str">
        <f t="shared" si="1"/>
        <v/>
      </c>
      <c r="AB35" s="132" t="str">
        <f t="shared" si="28"/>
        <v/>
      </c>
      <c r="AC35" s="131" t="str">
        <f t="shared" si="3"/>
        <v/>
      </c>
      <c r="AD35" s="140" t="str">
        <f t="shared" si="32"/>
        <v/>
      </c>
      <c r="AE35" s="133" t="str">
        <f t="shared" si="33"/>
        <v/>
      </c>
      <c r="AF35" s="134"/>
      <c r="AG35" s="135"/>
      <c r="AH35" s="136"/>
      <c r="AI35" s="137"/>
      <c r="AJ35" s="137"/>
      <c r="AK35" s="135"/>
      <c r="AL35" s="13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c r="A36" s="255">
        <v>6</v>
      </c>
      <c r="B36" s="258"/>
      <c r="C36" s="258"/>
      <c r="D36" s="258"/>
      <c r="E36" s="148"/>
      <c r="F36" s="261"/>
      <c r="G36" s="153"/>
      <c r="H36" s="258"/>
      <c r="I36" s="264"/>
      <c r="J36" s="267" t="str">
        <f>IF(I36&lt;=0,"",IF(I36&lt;=2,"Muy Baja",IF(I36&lt;=24,"Baja",IF(I36&lt;=500,"Media",IF(I36&lt;=5000,"Alta","Muy Alta")))))</f>
        <v/>
      </c>
      <c r="K36" s="270" t="str">
        <f>IF(J36="","",IF(J36="Muy Baja",0.2,IF(J36="Baja",0.4,IF(J36="Media",0.6,IF(J36="Alta",0.8,IF(J36="Muy Alta",1,))))))</f>
        <v/>
      </c>
      <c r="L36" s="276"/>
      <c r="M36" s="270">
        <f ca="1">IF(NOT(ISERROR(MATCH(L36,'Tabla Impacto'!$B$221:$B$223,0))),'Tabla Impacto'!$F$223&amp;"Por favor no seleccionar los criterios de impacto(Afectación Económica o presupuestal y Pérdida Reputacional)",L36)</f>
        <v>0</v>
      </c>
      <c r="N36" s="267" t="str">
        <f ca="1">IF(OR(M36='Tabla Impacto'!$C$11,M36='Tabla Impacto'!$D$11),"Leve",IF(OR(M36='Tabla Impacto'!$C$12,M36='Tabla Impacto'!$D$12),"Menor",IF(OR(M36='Tabla Impacto'!$C$13,M36='Tabla Impacto'!$D$13),"Moderado",IF(OR(M36='Tabla Impacto'!$C$14,M36='Tabla Impacto'!$D$14),"Mayor",IF(OR(M36='Tabla Impacto'!$C$15,M36='Tabla Impacto'!$D$15),"Catastrófico","")))))</f>
        <v/>
      </c>
      <c r="O36" s="270" t="str">
        <f ca="1">IF(N36="","",IF(N36="Leve",0.2,IF(N36="Menor",0.4,IF(N36="Moderado",0.6,IF(N36="Mayor",0.8,IF(N36="Catastrófico",1,))))))</f>
        <v/>
      </c>
      <c r="P36" s="273" t="str">
        <f ca="1">IF(OR(AND(J36="Muy Baja",N36="Leve"),AND(J36="Muy Baja",N36="Menor"),AND(J36="Baja",N36="Leve")),"Bajo",IF(OR(AND(J36="Muy baja",N36="Moderado"),AND(J36="Baja",N36="Menor"),AND(J36="Baja",N36="Moderado"),AND(J36="Media",N36="Leve"),AND(J36="Media",N36="Menor"),AND(J36="Media",N36="Moderado"),AND(J36="Alta",N36="Leve"),AND(J36="Alta",N36="Menor")),"Moderado",IF(OR(AND(J36="Muy Baja",N36="Mayor"),AND(J36="Baja",N36="Mayor"),AND(J36="Media",N36="Mayor"),AND(J36="Alta",N36="Moderado"),AND(J36="Alta",N36="Mayor"),AND(J36="Muy Alta",N36="Leve"),AND(J36="Muy Alta",N36="Menor"),AND(J36="Muy Alta",N36="Moderado"),AND(J36="Muy Alta",N36="Mayor")),"Alto",IF(OR(AND(J36="Muy Baja",N36="Catastrófico"),AND(J36="Baja",N36="Catastrófico"),AND(J36="Media",N36="Catastrófico"),AND(J36="Alta",N36="Catastrófico"),AND(J36="Muy Alta",N36="Catastrófico")),"Extremo",""))))</f>
        <v/>
      </c>
      <c r="Q36" s="125">
        <v>1</v>
      </c>
      <c r="R36" s="126"/>
      <c r="S36" s="127" t="str">
        <f>IF(OR(T36="Preventivo",T36="Detectivo"),"Probabilidad",IF(T36="Correctivo","Impacto",""))</f>
        <v/>
      </c>
      <c r="T36" s="128"/>
      <c r="U36" s="128"/>
      <c r="V36" s="129" t="str">
        <f>IF(AND(T36="Preventivo",U36="Automático"),"50%",IF(AND(T36="Preventivo",U36="Manual"),"40%",IF(AND(T36="Detectivo",U36="Automático"),"40%",IF(AND(T36="Detectivo",U36="Manual"),"30%",IF(AND(T36="Correctivo",U36="Automático"),"35%",IF(AND(T36="Correctivo",U36="Manual"),"25%",""))))))</f>
        <v/>
      </c>
      <c r="W36" s="128"/>
      <c r="X36" s="128"/>
      <c r="Y36" s="128"/>
      <c r="Z36" s="130" t="str">
        <f>IFERROR(IF(S36="Probabilidad",(K36-(+K36*V36)),IF(S36="Impacto",K36,"")),"")</f>
        <v/>
      </c>
      <c r="AA36" s="131" t="str">
        <f>IFERROR(IF(Z36="","",IF(Z36&lt;=0.2,"Muy Baja",IF(Z36&lt;=0.4,"Baja",IF(Z36&lt;=0.6,"Media",IF(Z36&lt;=0.8,"Alta","Muy Alta"))))),"")</f>
        <v/>
      </c>
      <c r="AB36" s="132" t="str">
        <f>+Z36</f>
        <v/>
      </c>
      <c r="AC36" s="131" t="str">
        <f>IFERROR(IF(AD36="","",IF(AD36&lt;=0.2,"Leve",IF(AD36&lt;=0.4,"Menor",IF(AD36&lt;=0.6,"Moderado",IF(AD36&lt;=0.8,"Mayor","Catastrófico"))))),"")</f>
        <v/>
      </c>
      <c r="AD36" s="140" t="str">
        <f>IFERROR(IF(S36="Impacto",(O36-(+O36*V36)),IF(S36="Probabilidad",O36,"")),"")</f>
        <v/>
      </c>
      <c r="AE36" s="133" t="str">
        <f>IFERROR(IF(OR(AND(AA36="Muy Baja",AC36="Leve"),AND(AA36="Muy Baja",AC36="Menor"),AND(AA36="Baja",AC36="Leve")),"Bajo",IF(OR(AND(AA36="Muy baja",AC36="Moderado"),AND(AA36="Baja",AC36="Menor"),AND(AA36="Baja",AC36="Moderado"),AND(AA36="Media",AC36="Leve"),AND(AA36="Media",AC36="Menor"),AND(AA36="Media",AC36="Moderado"),AND(AA36="Alta",AC36="Leve"),AND(AA36="Alta",AC36="Menor")),"Moderado",IF(OR(AND(AA36="Muy Baja",AC36="Mayor"),AND(AA36="Baja",AC36="Mayor"),AND(AA36="Media",AC36="Mayor"),AND(AA36="Alta",AC36="Moderado"),AND(AA36="Alta",AC36="Mayor"),AND(AA36="Muy Alta",AC36="Leve"),AND(AA36="Muy Alta",AC36="Menor"),AND(AA36="Muy Alta",AC36="Moderado"),AND(AA36="Muy Alta",AC36="Mayor")),"Alto",IF(OR(AND(AA36="Muy Baja",AC36="Catastrófico"),AND(AA36="Baja",AC36="Catastrófico"),AND(AA36="Media",AC36="Catastrófico"),AND(AA36="Alta",AC36="Catastrófico"),AND(AA36="Muy Alta",AC36="Catastrófico")),"Extremo","")))),"")</f>
        <v/>
      </c>
      <c r="AF36" s="134"/>
      <c r="AG36" s="135"/>
      <c r="AH36" s="136"/>
      <c r="AI36" s="137"/>
      <c r="AJ36" s="137"/>
      <c r="AK36" s="135"/>
      <c r="AL36" s="13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c r="A37" s="256"/>
      <c r="B37" s="259"/>
      <c r="C37" s="259"/>
      <c r="D37" s="259"/>
      <c r="E37" s="149"/>
      <c r="F37" s="262"/>
      <c r="G37" s="154"/>
      <c r="H37" s="259"/>
      <c r="I37" s="265"/>
      <c r="J37" s="268"/>
      <c r="K37" s="271"/>
      <c r="L37" s="277"/>
      <c r="M37" s="271">
        <f ca="1">IF(NOT(ISERROR(MATCH(L37,_xlfn.ANCHORARRAY(F48),0))),K50&amp;"Por favor no seleccionar los criterios de impacto",L37)</f>
        <v>0</v>
      </c>
      <c r="N37" s="268"/>
      <c r="O37" s="271"/>
      <c r="P37" s="274"/>
      <c r="Q37" s="125">
        <v>2</v>
      </c>
      <c r="R37" s="126"/>
      <c r="S37" s="127" t="str">
        <f>IF(OR(T37="Preventivo",T37="Detectivo"),"Probabilidad",IF(T37="Correctivo","Impacto",""))</f>
        <v/>
      </c>
      <c r="T37" s="128"/>
      <c r="U37" s="128"/>
      <c r="V37" s="129" t="str">
        <f t="shared" ref="V37:V41" si="34">IF(AND(T37="Preventivo",U37="Automático"),"50%",IF(AND(T37="Preventivo",U37="Manual"),"40%",IF(AND(T37="Detectivo",U37="Automático"),"40%",IF(AND(T37="Detectivo",U37="Manual"),"30%",IF(AND(T37="Correctivo",U37="Automático"),"35%",IF(AND(T37="Correctivo",U37="Manual"),"25%",""))))))</f>
        <v/>
      </c>
      <c r="W37" s="128"/>
      <c r="X37" s="128"/>
      <c r="Y37" s="128"/>
      <c r="Z37" s="130" t="str">
        <f>IFERROR(IF(AND(S36="Probabilidad",S37="Probabilidad"),(AB36-(+AB36*V37)),IF(S37="Probabilidad",(K36-(+K36*V37)),IF(S37="Impacto",AB36,""))),"")</f>
        <v/>
      </c>
      <c r="AA37" s="131" t="str">
        <f t="shared" si="1"/>
        <v/>
      </c>
      <c r="AB37" s="132" t="str">
        <f t="shared" ref="AB37:AB41" si="35">+Z37</f>
        <v/>
      </c>
      <c r="AC37" s="131" t="str">
        <f t="shared" si="3"/>
        <v/>
      </c>
      <c r="AD37" s="140" t="str">
        <f>IFERROR(IF(AND(S36="Impacto",S37="Impacto"),(AD36-(+AD36*V37)),IF(S37="Impacto",(O36-(+O36*V37)),IF(S37="Probabilidad",AD36,""))),"")</f>
        <v/>
      </c>
      <c r="AE37" s="133" t="str">
        <f t="shared" ref="AE37:AE38" si="36">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134"/>
      <c r="AG37" s="135"/>
      <c r="AH37" s="136"/>
      <c r="AI37" s="137"/>
      <c r="AJ37" s="137"/>
      <c r="AK37" s="135"/>
      <c r="AL37" s="13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c r="A38" s="256"/>
      <c r="B38" s="259"/>
      <c r="C38" s="259"/>
      <c r="D38" s="259"/>
      <c r="E38" s="149"/>
      <c r="F38" s="262"/>
      <c r="G38" s="154"/>
      <c r="H38" s="259"/>
      <c r="I38" s="265"/>
      <c r="J38" s="268"/>
      <c r="K38" s="271"/>
      <c r="L38" s="277"/>
      <c r="M38" s="271">
        <f ca="1">IF(NOT(ISERROR(MATCH(L38,_xlfn.ANCHORARRAY(F49),0))),K51&amp;"Por favor no seleccionar los criterios de impacto",L38)</f>
        <v>0</v>
      </c>
      <c r="N38" s="268"/>
      <c r="O38" s="271"/>
      <c r="P38" s="274"/>
      <c r="Q38" s="125">
        <v>3</v>
      </c>
      <c r="R38" s="138"/>
      <c r="S38" s="127" t="str">
        <f>IF(OR(T38="Preventivo",T38="Detectivo"),"Probabilidad",IF(T38="Correctivo","Impacto",""))</f>
        <v/>
      </c>
      <c r="T38" s="128"/>
      <c r="U38" s="128"/>
      <c r="V38" s="129" t="str">
        <f t="shared" si="34"/>
        <v/>
      </c>
      <c r="W38" s="128"/>
      <c r="X38" s="128"/>
      <c r="Y38" s="128"/>
      <c r="Z38" s="130" t="str">
        <f>IFERROR(IF(AND(S37="Probabilidad",S38="Probabilidad"),(AB37-(+AB37*V38)),IF(AND(S37="Impacto",S38="Probabilidad"),(AB36-(+AB36*V38)),IF(S38="Impacto",AB37,""))),"")</f>
        <v/>
      </c>
      <c r="AA38" s="131" t="str">
        <f t="shared" si="1"/>
        <v/>
      </c>
      <c r="AB38" s="132" t="str">
        <f t="shared" si="35"/>
        <v/>
      </c>
      <c r="AC38" s="131" t="str">
        <f t="shared" si="3"/>
        <v/>
      </c>
      <c r="AD38" s="140" t="str">
        <f>IFERROR(IF(AND(S37="Impacto",S38="Impacto"),(AD37-(+AD37*V38)),IF(AND(S37="Probabilidad",S38="Impacto"),(AD36-(+AD36*V38)),IF(S38="Probabilidad",AD37,""))),"")</f>
        <v/>
      </c>
      <c r="AE38" s="133" t="str">
        <f t="shared" si="36"/>
        <v/>
      </c>
      <c r="AF38" s="134"/>
      <c r="AG38" s="135"/>
      <c r="AH38" s="136"/>
      <c r="AI38" s="137"/>
      <c r="AJ38" s="137"/>
      <c r="AK38" s="135"/>
      <c r="AL38" s="13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c r="A39" s="256"/>
      <c r="B39" s="259"/>
      <c r="C39" s="259"/>
      <c r="D39" s="259"/>
      <c r="E39" s="149"/>
      <c r="F39" s="262"/>
      <c r="G39" s="154"/>
      <c r="H39" s="259"/>
      <c r="I39" s="265"/>
      <c r="J39" s="268"/>
      <c r="K39" s="271"/>
      <c r="L39" s="277"/>
      <c r="M39" s="271">
        <f ca="1">IF(NOT(ISERROR(MATCH(L39,_xlfn.ANCHORARRAY(F50),0))),K52&amp;"Por favor no seleccionar los criterios de impacto",L39)</f>
        <v>0</v>
      </c>
      <c r="N39" s="268"/>
      <c r="O39" s="271"/>
      <c r="P39" s="274"/>
      <c r="Q39" s="125">
        <v>4</v>
      </c>
      <c r="R39" s="126"/>
      <c r="S39" s="127" t="str">
        <f t="shared" ref="S39:S41" si="37">IF(OR(T39="Preventivo",T39="Detectivo"),"Probabilidad",IF(T39="Correctivo","Impacto",""))</f>
        <v/>
      </c>
      <c r="T39" s="128"/>
      <c r="U39" s="128"/>
      <c r="V39" s="129" t="str">
        <f t="shared" si="34"/>
        <v/>
      </c>
      <c r="W39" s="128"/>
      <c r="X39" s="128"/>
      <c r="Y39" s="128"/>
      <c r="Z39" s="130" t="str">
        <f t="shared" ref="Z39:Z41" si="38">IFERROR(IF(AND(S38="Probabilidad",S39="Probabilidad"),(AB38-(+AB38*V39)),IF(AND(S38="Impacto",S39="Probabilidad"),(AB37-(+AB37*V39)),IF(S39="Impacto",AB38,""))),"")</f>
        <v/>
      </c>
      <c r="AA39" s="131" t="str">
        <f t="shared" si="1"/>
        <v/>
      </c>
      <c r="AB39" s="132" t="str">
        <f t="shared" si="35"/>
        <v/>
      </c>
      <c r="AC39" s="131" t="str">
        <f t="shared" si="3"/>
        <v/>
      </c>
      <c r="AD39" s="140" t="str">
        <f t="shared" ref="AD39:AD41" si="39">IFERROR(IF(AND(S38="Impacto",S39="Impacto"),(AD38-(+AD38*V39)),IF(AND(S38="Probabilidad",S39="Impacto"),(AD37-(+AD37*V39)),IF(S39="Probabilidad",AD38,""))),"")</f>
        <v/>
      </c>
      <c r="AE39" s="133" t="str">
        <f>IFERROR(IF(OR(AND(AA39="Muy Baja",AC39="Leve"),AND(AA39="Muy Baja",AC39="Menor"),AND(AA39="Baja",AC39="Leve")),"Bajo",IF(OR(AND(AA39="Muy baja",AC39="Moderado"),AND(AA39="Baja",AC39="Menor"),AND(AA39="Baja",AC39="Moderado"),AND(AA39="Media",AC39="Leve"),AND(AA39="Media",AC39="Menor"),AND(AA39="Media",AC39="Moderado"),AND(AA39="Alta",AC39="Leve"),AND(AA39="Alta",AC39="Menor")),"Moderado",IF(OR(AND(AA39="Muy Baja",AC39="Mayor"),AND(AA39="Baja",AC39="Mayor"),AND(AA39="Media",AC39="Mayor"),AND(AA39="Alta",AC39="Moderado"),AND(AA39="Alta",AC39="Mayor"),AND(AA39="Muy Alta",AC39="Leve"),AND(AA39="Muy Alta",AC39="Menor"),AND(AA39="Muy Alta",AC39="Moderado"),AND(AA39="Muy Alta",AC39="Mayor")),"Alto",IF(OR(AND(AA39="Muy Baja",AC39="Catastrófico"),AND(AA39="Baja",AC39="Catastrófico"),AND(AA39="Media",AC39="Catastrófico"),AND(AA39="Alta",AC39="Catastrófico"),AND(AA39="Muy Alta",AC39="Catastrófico")),"Extremo","")))),"")</f>
        <v/>
      </c>
      <c r="AF39" s="134"/>
      <c r="AG39" s="135"/>
      <c r="AH39" s="136"/>
      <c r="AI39" s="137"/>
      <c r="AJ39" s="137"/>
      <c r="AK39" s="135"/>
      <c r="AL39" s="13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c r="A40" s="256"/>
      <c r="B40" s="259"/>
      <c r="C40" s="259"/>
      <c r="D40" s="259"/>
      <c r="E40" s="149"/>
      <c r="F40" s="262"/>
      <c r="G40" s="154"/>
      <c r="H40" s="259"/>
      <c r="I40" s="265"/>
      <c r="J40" s="268"/>
      <c r="K40" s="271"/>
      <c r="L40" s="277"/>
      <c r="M40" s="271">
        <f ca="1">IF(NOT(ISERROR(MATCH(L40,_xlfn.ANCHORARRAY(F51),0))),K53&amp;"Por favor no seleccionar los criterios de impacto",L40)</f>
        <v>0</v>
      </c>
      <c r="N40" s="268"/>
      <c r="O40" s="271"/>
      <c r="P40" s="274"/>
      <c r="Q40" s="125">
        <v>5</v>
      </c>
      <c r="R40" s="126"/>
      <c r="S40" s="127" t="str">
        <f t="shared" si="37"/>
        <v/>
      </c>
      <c r="T40" s="128"/>
      <c r="U40" s="128"/>
      <c r="V40" s="129" t="str">
        <f t="shared" si="34"/>
        <v/>
      </c>
      <c r="W40" s="128"/>
      <c r="X40" s="128"/>
      <c r="Y40" s="128"/>
      <c r="Z40" s="130" t="str">
        <f t="shared" si="38"/>
        <v/>
      </c>
      <c r="AA40" s="131" t="str">
        <f t="shared" si="1"/>
        <v/>
      </c>
      <c r="AB40" s="132" t="str">
        <f t="shared" si="35"/>
        <v/>
      </c>
      <c r="AC40" s="131" t="str">
        <f t="shared" si="3"/>
        <v/>
      </c>
      <c r="AD40" s="140" t="str">
        <f t="shared" si="39"/>
        <v/>
      </c>
      <c r="AE40" s="133" t="str">
        <f t="shared" ref="AE40" si="40">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34"/>
      <c r="AG40" s="135"/>
      <c r="AH40" s="136"/>
      <c r="AI40" s="137"/>
      <c r="AJ40" s="137"/>
      <c r="AK40" s="135"/>
      <c r="AL40" s="13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c r="A41" s="257"/>
      <c r="B41" s="260"/>
      <c r="C41" s="260"/>
      <c r="D41" s="260"/>
      <c r="E41" s="150"/>
      <c r="F41" s="263"/>
      <c r="G41" s="155"/>
      <c r="H41" s="260"/>
      <c r="I41" s="266"/>
      <c r="J41" s="269"/>
      <c r="K41" s="272"/>
      <c r="L41" s="278"/>
      <c r="M41" s="272">
        <f ca="1">IF(NOT(ISERROR(MATCH(L41,_xlfn.ANCHORARRAY(F52),0))),K54&amp;"Por favor no seleccionar los criterios de impacto",L41)</f>
        <v>0</v>
      </c>
      <c r="N41" s="269"/>
      <c r="O41" s="272"/>
      <c r="P41" s="275"/>
      <c r="Q41" s="125">
        <v>6</v>
      </c>
      <c r="R41" s="126"/>
      <c r="S41" s="127" t="str">
        <f t="shared" si="37"/>
        <v/>
      </c>
      <c r="T41" s="128"/>
      <c r="U41" s="128"/>
      <c r="V41" s="129" t="str">
        <f t="shared" si="34"/>
        <v/>
      </c>
      <c r="W41" s="128"/>
      <c r="X41" s="128"/>
      <c r="Y41" s="128"/>
      <c r="Z41" s="130" t="str">
        <f t="shared" si="38"/>
        <v/>
      </c>
      <c r="AA41" s="131" t="str">
        <f t="shared" si="1"/>
        <v/>
      </c>
      <c r="AB41" s="132" t="str">
        <f t="shared" si="35"/>
        <v/>
      </c>
      <c r="AC41" s="131" t="str">
        <f>IFERROR(IF(AD41="","",IF(AD41&lt;=0.2,"Leve",IF(AD41&lt;=0.4,"Menor",IF(AD41&lt;=0.6,"Moderado",IF(AD41&lt;=0.8,"Mayor","Catastrófico"))))),"")</f>
        <v/>
      </c>
      <c r="AD41" s="140" t="str">
        <f t="shared" si="39"/>
        <v/>
      </c>
      <c r="AE41" s="133" t="str">
        <f>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34"/>
      <c r="AG41" s="135"/>
      <c r="AH41" s="136"/>
      <c r="AI41" s="137"/>
      <c r="AJ41" s="137"/>
      <c r="AK41" s="135"/>
      <c r="AL41" s="13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c r="A42" s="255">
        <v>7</v>
      </c>
      <c r="B42" s="258"/>
      <c r="C42" s="258"/>
      <c r="D42" s="258"/>
      <c r="E42" s="148"/>
      <c r="F42" s="261"/>
      <c r="G42" s="153"/>
      <c r="H42" s="258"/>
      <c r="I42" s="264"/>
      <c r="J42" s="267" t="str">
        <f>IF(I42&lt;=0,"",IF(I42&lt;=2,"Muy Baja",IF(I42&lt;=24,"Baja",IF(I42&lt;=500,"Media",IF(I42&lt;=5000,"Alta","Muy Alta")))))</f>
        <v/>
      </c>
      <c r="K42" s="270" t="str">
        <f>IF(J42="","",IF(J42="Muy Baja",0.2,IF(J42="Baja",0.4,IF(J42="Media",0.6,IF(J42="Alta",0.8,IF(J42="Muy Alta",1,))))))</f>
        <v/>
      </c>
      <c r="L42" s="276"/>
      <c r="M42" s="270">
        <f ca="1">IF(NOT(ISERROR(MATCH(L42,'Tabla Impacto'!$B$221:$B$223,0))),'Tabla Impacto'!$F$223&amp;"Por favor no seleccionar los criterios de impacto(Afectación Económica o presupuestal y Pérdida Reputacional)",L42)</f>
        <v>0</v>
      </c>
      <c r="N42" s="267" t="str">
        <f ca="1">IF(OR(M42='Tabla Impacto'!$C$11,M42='Tabla Impacto'!$D$11),"Leve",IF(OR(M42='Tabla Impacto'!$C$12,M42='Tabla Impacto'!$D$12),"Menor",IF(OR(M42='Tabla Impacto'!$C$13,M42='Tabla Impacto'!$D$13),"Moderado",IF(OR(M42='Tabla Impacto'!$C$14,M42='Tabla Impacto'!$D$14),"Mayor",IF(OR(M42='Tabla Impacto'!$C$15,M42='Tabla Impacto'!$D$15),"Catastrófico","")))))</f>
        <v/>
      </c>
      <c r="O42" s="270" t="str">
        <f ca="1">IF(N42="","",IF(N42="Leve",0.2,IF(N42="Menor",0.4,IF(N42="Moderado",0.6,IF(N42="Mayor",0.8,IF(N42="Catastrófico",1,))))))</f>
        <v/>
      </c>
      <c r="P42" s="273" t="str">
        <f ca="1">IF(OR(AND(J42="Muy Baja",N42="Leve"),AND(J42="Muy Baja",N42="Menor"),AND(J42="Baja",N42="Leve")),"Bajo",IF(OR(AND(J42="Muy baja",N42="Moderado"),AND(J42="Baja",N42="Menor"),AND(J42="Baja",N42="Moderado"),AND(J42="Media",N42="Leve"),AND(J42="Media",N42="Menor"),AND(J42="Media",N42="Moderado"),AND(J42="Alta",N42="Leve"),AND(J42="Alta",N42="Menor")),"Moderado",IF(OR(AND(J42="Muy Baja",N42="Mayor"),AND(J42="Baja",N42="Mayor"),AND(J42="Media",N42="Mayor"),AND(J42="Alta",N42="Moderado"),AND(J42="Alta",N42="Mayor"),AND(J42="Muy Alta",N42="Leve"),AND(J42="Muy Alta",N42="Menor"),AND(J42="Muy Alta",N42="Moderado"),AND(J42="Muy Alta",N42="Mayor")),"Alto",IF(OR(AND(J42="Muy Baja",N42="Catastrófico"),AND(J42="Baja",N42="Catastrófico"),AND(J42="Media",N42="Catastrófico"),AND(J42="Alta",N42="Catastrófico"),AND(J42="Muy Alta",N42="Catastrófico")),"Extremo",""))))</f>
        <v/>
      </c>
      <c r="Q42" s="125">
        <v>1</v>
      </c>
      <c r="R42" s="126"/>
      <c r="S42" s="127" t="str">
        <f>IF(OR(T42="Preventivo",T42="Detectivo"),"Probabilidad",IF(T42="Correctivo","Impacto",""))</f>
        <v/>
      </c>
      <c r="T42" s="128"/>
      <c r="U42" s="128"/>
      <c r="V42" s="129" t="str">
        <f>IF(AND(T42="Preventivo",U42="Automático"),"50%",IF(AND(T42="Preventivo",U42="Manual"),"40%",IF(AND(T42="Detectivo",U42="Automático"),"40%",IF(AND(T42="Detectivo",U42="Manual"),"30%",IF(AND(T42="Correctivo",U42="Automático"),"35%",IF(AND(T42="Correctivo",U42="Manual"),"25%",""))))))</f>
        <v/>
      </c>
      <c r="W42" s="128"/>
      <c r="X42" s="128"/>
      <c r="Y42" s="128"/>
      <c r="Z42" s="130" t="str">
        <f>IFERROR(IF(S42="Probabilidad",(K42-(+K42*V42)),IF(S42="Impacto",K42,"")),"")</f>
        <v/>
      </c>
      <c r="AA42" s="131" t="str">
        <f>IFERROR(IF(Z42="","",IF(Z42&lt;=0.2,"Muy Baja",IF(Z42&lt;=0.4,"Baja",IF(Z42&lt;=0.6,"Media",IF(Z42&lt;=0.8,"Alta","Muy Alta"))))),"")</f>
        <v/>
      </c>
      <c r="AB42" s="132" t="str">
        <f>+Z42</f>
        <v/>
      </c>
      <c r="AC42" s="131" t="str">
        <f>IFERROR(IF(AD42="","",IF(AD42&lt;=0.2,"Leve",IF(AD42&lt;=0.4,"Menor",IF(AD42&lt;=0.6,"Moderado",IF(AD42&lt;=0.8,"Mayor","Catastrófico"))))),"")</f>
        <v/>
      </c>
      <c r="AD42" s="140" t="str">
        <f>IFERROR(IF(S42="Impacto",(O42-(+O42*V42)),IF(S42="Probabilidad",O42,"")),"")</f>
        <v/>
      </c>
      <c r="AE42" s="133" t="str">
        <f>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
      </c>
      <c r="AF42" s="134"/>
      <c r="AG42" s="135"/>
      <c r="AH42" s="136"/>
      <c r="AI42" s="137"/>
      <c r="AJ42" s="137"/>
      <c r="AK42" s="135"/>
      <c r="AL42" s="13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c r="A43" s="256"/>
      <c r="B43" s="259"/>
      <c r="C43" s="259"/>
      <c r="D43" s="259"/>
      <c r="E43" s="149"/>
      <c r="F43" s="262"/>
      <c r="G43" s="154"/>
      <c r="H43" s="259"/>
      <c r="I43" s="265"/>
      <c r="J43" s="268"/>
      <c r="K43" s="271"/>
      <c r="L43" s="277"/>
      <c r="M43" s="271">
        <f ca="1">IF(NOT(ISERROR(MATCH(L43,_xlfn.ANCHORARRAY(F54),0))),K56&amp;"Por favor no seleccionar los criterios de impacto",L43)</f>
        <v>0</v>
      </c>
      <c r="N43" s="268"/>
      <c r="O43" s="271"/>
      <c r="P43" s="274"/>
      <c r="Q43" s="125">
        <v>2</v>
      </c>
      <c r="R43" s="126"/>
      <c r="S43" s="127" t="str">
        <f>IF(OR(T43="Preventivo",T43="Detectivo"),"Probabilidad",IF(T43="Correctivo","Impacto",""))</f>
        <v/>
      </c>
      <c r="T43" s="128"/>
      <c r="U43" s="128"/>
      <c r="V43" s="129" t="str">
        <f t="shared" ref="V43:V47" si="41">IF(AND(T43="Preventivo",U43="Automático"),"50%",IF(AND(T43="Preventivo",U43="Manual"),"40%",IF(AND(T43="Detectivo",U43="Automático"),"40%",IF(AND(T43="Detectivo",U43="Manual"),"30%",IF(AND(T43="Correctivo",U43="Automático"),"35%",IF(AND(T43="Correctivo",U43="Manual"),"25%",""))))))</f>
        <v/>
      </c>
      <c r="W43" s="128"/>
      <c r="X43" s="128"/>
      <c r="Y43" s="128"/>
      <c r="Z43" s="130" t="str">
        <f>IFERROR(IF(AND(S42="Probabilidad",S43="Probabilidad"),(AB42-(+AB42*V43)),IF(S43="Probabilidad",(K42-(+K42*V43)),IF(S43="Impacto",AB42,""))),"")</f>
        <v/>
      </c>
      <c r="AA43" s="131" t="str">
        <f t="shared" si="1"/>
        <v/>
      </c>
      <c r="AB43" s="132" t="str">
        <f t="shared" ref="AB43:AB47" si="42">+Z43</f>
        <v/>
      </c>
      <c r="AC43" s="131" t="str">
        <f t="shared" si="3"/>
        <v/>
      </c>
      <c r="AD43" s="140" t="str">
        <f>IFERROR(IF(AND(S42="Impacto",S43="Impacto"),(AD42-(+AD42*V43)),IF(S43="Impacto",(O42-(+O42*V43)),IF(S43="Probabilidad",AD42,""))),"")</f>
        <v/>
      </c>
      <c r="AE43" s="133" t="str">
        <f t="shared" ref="AE43:AE44" si="43">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134"/>
      <c r="AG43" s="135"/>
      <c r="AH43" s="136"/>
      <c r="AI43" s="137"/>
      <c r="AJ43" s="137"/>
      <c r="AK43" s="135"/>
      <c r="AL43" s="13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c r="A44" s="256"/>
      <c r="B44" s="259"/>
      <c r="C44" s="259"/>
      <c r="D44" s="259"/>
      <c r="E44" s="149"/>
      <c r="F44" s="262"/>
      <c r="G44" s="154"/>
      <c r="H44" s="259"/>
      <c r="I44" s="265"/>
      <c r="J44" s="268"/>
      <c r="K44" s="271"/>
      <c r="L44" s="277"/>
      <c r="M44" s="271">
        <f ca="1">IF(NOT(ISERROR(MATCH(L44,_xlfn.ANCHORARRAY(F55),0))),K57&amp;"Por favor no seleccionar los criterios de impacto",L44)</f>
        <v>0</v>
      </c>
      <c r="N44" s="268"/>
      <c r="O44" s="271"/>
      <c r="P44" s="274"/>
      <c r="Q44" s="125">
        <v>3</v>
      </c>
      <c r="R44" s="138"/>
      <c r="S44" s="127" t="str">
        <f>IF(OR(T44="Preventivo",T44="Detectivo"),"Probabilidad",IF(T44="Correctivo","Impacto",""))</f>
        <v/>
      </c>
      <c r="T44" s="128"/>
      <c r="U44" s="128"/>
      <c r="V44" s="129" t="str">
        <f t="shared" si="41"/>
        <v/>
      </c>
      <c r="W44" s="128"/>
      <c r="X44" s="128"/>
      <c r="Y44" s="128"/>
      <c r="Z44" s="130" t="str">
        <f>IFERROR(IF(AND(S43="Probabilidad",S44="Probabilidad"),(AB43-(+AB43*V44)),IF(AND(S43="Impacto",S44="Probabilidad"),(AB42-(+AB42*V44)),IF(S44="Impacto",AB43,""))),"")</f>
        <v/>
      </c>
      <c r="AA44" s="131" t="str">
        <f t="shared" si="1"/>
        <v/>
      </c>
      <c r="AB44" s="132" t="str">
        <f t="shared" si="42"/>
        <v/>
      </c>
      <c r="AC44" s="131" t="str">
        <f t="shared" si="3"/>
        <v/>
      </c>
      <c r="AD44" s="140" t="str">
        <f>IFERROR(IF(AND(S43="Impacto",S44="Impacto"),(AD43-(+AD43*V44)),IF(AND(S43="Probabilidad",S44="Impacto"),(AD42-(+AD42*V44)),IF(S44="Probabilidad",AD43,""))),"")</f>
        <v/>
      </c>
      <c r="AE44" s="133" t="str">
        <f t="shared" si="43"/>
        <v/>
      </c>
      <c r="AF44" s="134"/>
      <c r="AG44" s="135"/>
      <c r="AH44" s="136"/>
      <c r="AI44" s="137"/>
      <c r="AJ44" s="137"/>
      <c r="AK44" s="135"/>
      <c r="AL44" s="13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c r="A45" s="256"/>
      <c r="B45" s="259"/>
      <c r="C45" s="259"/>
      <c r="D45" s="259"/>
      <c r="E45" s="149"/>
      <c r="F45" s="262"/>
      <c r="G45" s="154"/>
      <c r="H45" s="259"/>
      <c r="I45" s="265"/>
      <c r="J45" s="268"/>
      <c r="K45" s="271"/>
      <c r="L45" s="277"/>
      <c r="M45" s="271">
        <f ca="1">IF(NOT(ISERROR(MATCH(L45,_xlfn.ANCHORARRAY(F56),0))),K58&amp;"Por favor no seleccionar los criterios de impacto",L45)</f>
        <v>0</v>
      </c>
      <c r="N45" s="268"/>
      <c r="O45" s="271"/>
      <c r="P45" s="274"/>
      <c r="Q45" s="125">
        <v>4</v>
      </c>
      <c r="R45" s="126"/>
      <c r="S45" s="127" t="str">
        <f t="shared" ref="S45:S47" si="44">IF(OR(T45="Preventivo",T45="Detectivo"),"Probabilidad",IF(T45="Correctivo","Impacto",""))</f>
        <v/>
      </c>
      <c r="T45" s="128"/>
      <c r="U45" s="128"/>
      <c r="V45" s="129" t="str">
        <f t="shared" si="41"/>
        <v/>
      </c>
      <c r="W45" s="128"/>
      <c r="X45" s="128"/>
      <c r="Y45" s="128"/>
      <c r="Z45" s="130" t="str">
        <f t="shared" ref="Z45:Z47" si="45">IFERROR(IF(AND(S44="Probabilidad",S45="Probabilidad"),(AB44-(+AB44*V45)),IF(AND(S44="Impacto",S45="Probabilidad"),(AB43-(+AB43*V45)),IF(S45="Impacto",AB44,""))),"")</f>
        <v/>
      </c>
      <c r="AA45" s="131" t="str">
        <f t="shared" si="1"/>
        <v/>
      </c>
      <c r="AB45" s="132" t="str">
        <f t="shared" si="42"/>
        <v/>
      </c>
      <c r="AC45" s="131" t="str">
        <f t="shared" si="3"/>
        <v/>
      </c>
      <c r="AD45" s="140" t="str">
        <f t="shared" ref="AD45:AD47" si="46">IFERROR(IF(AND(S44="Impacto",S45="Impacto"),(AD44-(+AD44*V45)),IF(AND(S44="Probabilidad",S45="Impacto"),(AD43-(+AD43*V45)),IF(S45="Probabilidad",AD44,""))),"")</f>
        <v/>
      </c>
      <c r="AE45" s="133" t="str">
        <f>IFERROR(IF(OR(AND(AA45="Muy Baja",AC45="Leve"),AND(AA45="Muy Baja",AC45="Menor"),AND(AA45="Baja",AC45="Leve")),"Bajo",IF(OR(AND(AA45="Muy baja",AC45="Moderado"),AND(AA45="Baja",AC45="Menor"),AND(AA45="Baja",AC45="Moderado"),AND(AA45="Media",AC45="Leve"),AND(AA45="Media",AC45="Menor"),AND(AA45="Media",AC45="Moderado"),AND(AA45="Alta",AC45="Leve"),AND(AA45="Alta",AC45="Menor")),"Moderado",IF(OR(AND(AA45="Muy Baja",AC45="Mayor"),AND(AA45="Baja",AC45="Mayor"),AND(AA45="Media",AC45="Mayor"),AND(AA45="Alta",AC45="Moderado"),AND(AA45="Alta",AC45="Mayor"),AND(AA45="Muy Alta",AC45="Leve"),AND(AA45="Muy Alta",AC45="Menor"),AND(AA45="Muy Alta",AC45="Moderado"),AND(AA45="Muy Alta",AC45="Mayor")),"Alto",IF(OR(AND(AA45="Muy Baja",AC45="Catastrófico"),AND(AA45="Baja",AC45="Catastrófico"),AND(AA45="Media",AC45="Catastrófico"),AND(AA45="Alta",AC45="Catastrófico"),AND(AA45="Muy Alta",AC45="Catastrófico")),"Extremo","")))),"")</f>
        <v/>
      </c>
      <c r="AF45" s="134"/>
      <c r="AG45" s="135"/>
      <c r="AH45" s="136"/>
      <c r="AI45" s="137"/>
      <c r="AJ45" s="137"/>
      <c r="AK45" s="135"/>
      <c r="AL45" s="13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c r="A46" s="256"/>
      <c r="B46" s="259"/>
      <c r="C46" s="259"/>
      <c r="D46" s="259"/>
      <c r="E46" s="149"/>
      <c r="F46" s="262"/>
      <c r="G46" s="154"/>
      <c r="H46" s="259"/>
      <c r="I46" s="265"/>
      <c r="J46" s="268"/>
      <c r="K46" s="271"/>
      <c r="L46" s="277"/>
      <c r="M46" s="271">
        <f ca="1">IF(NOT(ISERROR(MATCH(L46,_xlfn.ANCHORARRAY(F57),0))),K59&amp;"Por favor no seleccionar los criterios de impacto",L46)</f>
        <v>0</v>
      </c>
      <c r="N46" s="268"/>
      <c r="O46" s="271"/>
      <c r="P46" s="274"/>
      <c r="Q46" s="125">
        <v>5</v>
      </c>
      <c r="R46" s="126"/>
      <c r="S46" s="127" t="str">
        <f t="shared" si="44"/>
        <v/>
      </c>
      <c r="T46" s="128"/>
      <c r="U46" s="128"/>
      <c r="V46" s="129" t="str">
        <f t="shared" si="41"/>
        <v/>
      </c>
      <c r="W46" s="128"/>
      <c r="X46" s="128"/>
      <c r="Y46" s="128"/>
      <c r="Z46" s="130" t="str">
        <f t="shared" si="45"/>
        <v/>
      </c>
      <c r="AA46" s="131" t="str">
        <f t="shared" si="1"/>
        <v/>
      </c>
      <c r="AB46" s="132" t="str">
        <f t="shared" si="42"/>
        <v/>
      </c>
      <c r="AC46" s="131" t="str">
        <f t="shared" si="3"/>
        <v/>
      </c>
      <c r="AD46" s="140" t="str">
        <f t="shared" si="46"/>
        <v/>
      </c>
      <c r="AE46" s="133" t="str">
        <f t="shared" ref="AE46:AE47" si="47">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34"/>
      <c r="AG46" s="135"/>
      <c r="AH46" s="136"/>
      <c r="AI46" s="137"/>
      <c r="AJ46" s="137"/>
      <c r="AK46" s="135"/>
      <c r="AL46" s="13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c r="A47" s="257"/>
      <c r="B47" s="260"/>
      <c r="C47" s="260"/>
      <c r="D47" s="260"/>
      <c r="E47" s="150"/>
      <c r="F47" s="263"/>
      <c r="G47" s="155"/>
      <c r="H47" s="260"/>
      <c r="I47" s="266"/>
      <c r="J47" s="269"/>
      <c r="K47" s="272"/>
      <c r="L47" s="278"/>
      <c r="M47" s="272">
        <f ca="1">IF(NOT(ISERROR(MATCH(L47,_xlfn.ANCHORARRAY(F58),0))),K60&amp;"Por favor no seleccionar los criterios de impacto",L47)</f>
        <v>0</v>
      </c>
      <c r="N47" s="269"/>
      <c r="O47" s="272"/>
      <c r="P47" s="275"/>
      <c r="Q47" s="125">
        <v>6</v>
      </c>
      <c r="R47" s="126"/>
      <c r="S47" s="127" t="str">
        <f t="shared" si="44"/>
        <v/>
      </c>
      <c r="T47" s="128"/>
      <c r="U47" s="128"/>
      <c r="V47" s="129" t="str">
        <f t="shared" si="41"/>
        <v/>
      </c>
      <c r="W47" s="128"/>
      <c r="X47" s="128"/>
      <c r="Y47" s="128"/>
      <c r="Z47" s="130" t="str">
        <f t="shared" si="45"/>
        <v/>
      </c>
      <c r="AA47" s="131" t="str">
        <f t="shared" si="1"/>
        <v/>
      </c>
      <c r="AB47" s="132" t="str">
        <f t="shared" si="42"/>
        <v/>
      </c>
      <c r="AC47" s="131" t="str">
        <f t="shared" si="3"/>
        <v/>
      </c>
      <c r="AD47" s="140" t="str">
        <f t="shared" si="46"/>
        <v/>
      </c>
      <c r="AE47" s="133" t="str">
        <f t="shared" si="47"/>
        <v/>
      </c>
      <c r="AF47" s="134"/>
      <c r="AG47" s="135"/>
      <c r="AH47" s="136"/>
      <c r="AI47" s="137"/>
      <c r="AJ47" s="137"/>
      <c r="AK47" s="135"/>
      <c r="AL47" s="13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c r="A48" s="255">
        <v>8</v>
      </c>
      <c r="B48" s="258"/>
      <c r="C48" s="258"/>
      <c r="D48" s="258"/>
      <c r="E48" s="148"/>
      <c r="F48" s="261"/>
      <c r="G48" s="153"/>
      <c r="H48" s="258"/>
      <c r="I48" s="264"/>
      <c r="J48" s="267" t="str">
        <f>IF(I48&lt;=0,"",IF(I48&lt;=2,"Muy Baja",IF(I48&lt;=24,"Baja",IF(I48&lt;=500,"Media",IF(I48&lt;=5000,"Alta","Muy Alta")))))</f>
        <v/>
      </c>
      <c r="K48" s="270" t="str">
        <f>IF(J48="","",IF(J48="Muy Baja",0.2,IF(J48="Baja",0.4,IF(J48="Media",0.6,IF(J48="Alta",0.8,IF(J48="Muy Alta",1,))))))</f>
        <v/>
      </c>
      <c r="L48" s="276"/>
      <c r="M48" s="270">
        <f ca="1">IF(NOT(ISERROR(MATCH(L48,'Tabla Impacto'!$B$221:$B$223,0))),'Tabla Impacto'!$F$223&amp;"Por favor no seleccionar los criterios de impacto(Afectación Económica o presupuestal y Pérdida Reputacional)",L48)</f>
        <v>0</v>
      </c>
      <c r="N48" s="267" t="str">
        <f ca="1">IF(OR(M48='Tabla Impacto'!$C$11,M48='Tabla Impacto'!$D$11),"Leve",IF(OR(M48='Tabla Impacto'!$C$12,M48='Tabla Impacto'!$D$12),"Menor",IF(OR(M48='Tabla Impacto'!$C$13,M48='Tabla Impacto'!$D$13),"Moderado",IF(OR(M48='Tabla Impacto'!$C$14,M48='Tabla Impacto'!$D$14),"Mayor",IF(OR(M48='Tabla Impacto'!$C$15,M48='Tabla Impacto'!$D$15),"Catastrófico","")))))</f>
        <v/>
      </c>
      <c r="O48" s="270" t="str">
        <f ca="1">IF(N48="","",IF(N48="Leve",0.2,IF(N48="Menor",0.4,IF(N48="Moderado",0.6,IF(N48="Mayor",0.8,IF(N48="Catastrófico",1,))))))</f>
        <v/>
      </c>
      <c r="P48" s="273" t="str">
        <f ca="1">IF(OR(AND(J48="Muy Baja",N48="Leve"),AND(J48="Muy Baja",N48="Menor"),AND(J48="Baja",N48="Leve")),"Bajo",IF(OR(AND(J48="Muy baja",N48="Moderado"),AND(J48="Baja",N48="Menor"),AND(J48="Baja",N48="Moderado"),AND(J48="Media",N48="Leve"),AND(J48="Media",N48="Menor"),AND(J48="Media",N48="Moderado"),AND(J48="Alta",N48="Leve"),AND(J48="Alta",N48="Menor")),"Moderado",IF(OR(AND(J48="Muy Baja",N48="Mayor"),AND(J48="Baja",N48="Mayor"),AND(J48="Media",N48="Mayor"),AND(J48="Alta",N48="Moderado"),AND(J48="Alta",N48="Mayor"),AND(J48="Muy Alta",N48="Leve"),AND(J48="Muy Alta",N48="Menor"),AND(J48="Muy Alta",N48="Moderado"),AND(J48="Muy Alta",N48="Mayor")),"Alto",IF(OR(AND(J48="Muy Baja",N48="Catastrófico"),AND(J48="Baja",N48="Catastrófico"),AND(J48="Media",N48="Catastrófico"),AND(J48="Alta",N48="Catastrófico"),AND(J48="Muy Alta",N48="Catastrófico")),"Extremo",""))))</f>
        <v/>
      </c>
      <c r="Q48" s="125">
        <v>1</v>
      </c>
      <c r="R48" s="126"/>
      <c r="S48" s="127" t="str">
        <f>IF(OR(T48="Preventivo",T48="Detectivo"),"Probabilidad",IF(T48="Correctivo","Impacto",""))</f>
        <v/>
      </c>
      <c r="T48" s="128"/>
      <c r="U48" s="128"/>
      <c r="V48" s="129" t="str">
        <f>IF(AND(T48="Preventivo",U48="Automático"),"50%",IF(AND(T48="Preventivo",U48="Manual"),"40%",IF(AND(T48="Detectivo",U48="Automático"),"40%",IF(AND(T48="Detectivo",U48="Manual"),"30%",IF(AND(T48="Correctivo",U48="Automático"),"35%",IF(AND(T48="Correctivo",U48="Manual"),"25%",""))))))</f>
        <v/>
      </c>
      <c r="W48" s="128"/>
      <c r="X48" s="128"/>
      <c r="Y48" s="128"/>
      <c r="Z48" s="130" t="str">
        <f>IFERROR(IF(S48="Probabilidad",(K48-(+K48*V48)),IF(S48="Impacto",K48,"")),"")</f>
        <v/>
      </c>
      <c r="AA48" s="131" t="str">
        <f>IFERROR(IF(Z48="","",IF(Z48&lt;=0.2,"Muy Baja",IF(Z48&lt;=0.4,"Baja",IF(Z48&lt;=0.6,"Media",IF(Z48&lt;=0.8,"Alta","Muy Alta"))))),"")</f>
        <v/>
      </c>
      <c r="AB48" s="132" t="str">
        <f>+Z48</f>
        <v/>
      </c>
      <c r="AC48" s="131" t="str">
        <f>IFERROR(IF(AD48="","",IF(AD48&lt;=0.2,"Leve",IF(AD48&lt;=0.4,"Menor",IF(AD48&lt;=0.6,"Moderado",IF(AD48&lt;=0.8,"Mayor","Catastrófico"))))),"")</f>
        <v/>
      </c>
      <c r="AD48" s="140" t="str">
        <f>IFERROR(IF(S48="Impacto",(O48-(+O48*V48)),IF(S48="Probabilidad",O48,"")),"")</f>
        <v/>
      </c>
      <c r="AE48" s="133" t="str">
        <f>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34"/>
      <c r="AG48" s="135"/>
      <c r="AH48" s="136"/>
      <c r="AI48" s="137"/>
      <c r="AJ48" s="137"/>
      <c r="AK48" s="135"/>
      <c r="AL48" s="13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c r="A49" s="256"/>
      <c r="B49" s="259"/>
      <c r="C49" s="259"/>
      <c r="D49" s="259"/>
      <c r="E49" s="149"/>
      <c r="F49" s="262"/>
      <c r="G49" s="154"/>
      <c r="H49" s="259"/>
      <c r="I49" s="265"/>
      <c r="J49" s="268"/>
      <c r="K49" s="271"/>
      <c r="L49" s="277"/>
      <c r="M49" s="271">
        <f ca="1">IF(NOT(ISERROR(MATCH(L49,_xlfn.ANCHORARRAY(F60),0))),K62&amp;"Por favor no seleccionar los criterios de impacto",L49)</f>
        <v>0</v>
      </c>
      <c r="N49" s="268"/>
      <c r="O49" s="271"/>
      <c r="P49" s="274"/>
      <c r="Q49" s="125">
        <v>2</v>
      </c>
      <c r="R49" s="126"/>
      <c r="S49" s="127" t="str">
        <f>IF(OR(T49="Preventivo",T49="Detectivo"),"Probabilidad",IF(T49="Correctivo","Impacto",""))</f>
        <v/>
      </c>
      <c r="T49" s="128"/>
      <c r="U49" s="128"/>
      <c r="V49" s="129" t="str">
        <f t="shared" ref="V49:V53" si="48">IF(AND(T49="Preventivo",U49="Automático"),"50%",IF(AND(T49="Preventivo",U49="Manual"),"40%",IF(AND(T49="Detectivo",U49="Automático"),"40%",IF(AND(T49="Detectivo",U49="Manual"),"30%",IF(AND(T49="Correctivo",U49="Automático"),"35%",IF(AND(T49="Correctivo",U49="Manual"),"25%",""))))))</f>
        <v/>
      </c>
      <c r="W49" s="128"/>
      <c r="X49" s="128"/>
      <c r="Y49" s="128"/>
      <c r="Z49" s="130" t="str">
        <f>IFERROR(IF(AND(S48="Probabilidad",S49="Probabilidad"),(AB48-(+AB48*V49)),IF(S49="Probabilidad",(K48-(+K48*V49)),IF(S49="Impacto",AB48,""))),"")</f>
        <v/>
      </c>
      <c r="AA49" s="131" t="str">
        <f t="shared" si="1"/>
        <v/>
      </c>
      <c r="AB49" s="132" t="str">
        <f t="shared" ref="AB49:AB53" si="49">+Z49</f>
        <v/>
      </c>
      <c r="AC49" s="131" t="str">
        <f t="shared" si="3"/>
        <v/>
      </c>
      <c r="AD49" s="140" t="str">
        <f>IFERROR(IF(AND(S48="Impacto",S49="Impacto"),(AD48-(+AD48*V49)),IF(S49="Impacto",(O48-(+O48*V49)),IF(S49="Probabilidad",AD48,""))),"")</f>
        <v/>
      </c>
      <c r="AE49" s="133" t="str">
        <f t="shared" ref="AE49:AE50" si="50">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34"/>
      <c r="AG49" s="135"/>
      <c r="AH49" s="136"/>
      <c r="AI49" s="137"/>
      <c r="AJ49" s="137"/>
      <c r="AK49" s="135"/>
      <c r="AL49" s="13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c r="A50" s="256"/>
      <c r="B50" s="259"/>
      <c r="C50" s="259"/>
      <c r="D50" s="259"/>
      <c r="E50" s="149"/>
      <c r="F50" s="262"/>
      <c r="G50" s="154"/>
      <c r="H50" s="259"/>
      <c r="I50" s="265"/>
      <c r="J50" s="268"/>
      <c r="K50" s="271"/>
      <c r="L50" s="277"/>
      <c r="M50" s="271">
        <f ca="1">IF(NOT(ISERROR(MATCH(L50,_xlfn.ANCHORARRAY(F61),0))),K63&amp;"Por favor no seleccionar los criterios de impacto",L50)</f>
        <v>0</v>
      </c>
      <c r="N50" s="268"/>
      <c r="O50" s="271"/>
      <c r="P50" s="274"/>
      <c r="Q50" s="125">
        <v>3</v>
      </c>
      <c r="R50" s="138"/>
      <c r="S50" s="127" t="str">
        <f>IF(OR(T50="Preventivo",T50="Detectivo"),"Probabilidad",IF(T50="Correctivo","Impacto",""))</f>
        <v/>
      </c>
      <c r="T50" s="128"/>
      <c r="U50" s="128"/>
      <c r="V50" s="129" t="str">
        <f t="shared" si="48"/>
        <v/>
      </c>
      <c r="W50" s="128"/>
      <c r="X50" s="128"/>
      <c r="Y50" s="128"/>
      <c r="Z50" s="130" t="str">
        <f>IFERROR(IF(AND(S49="Probabilidad",S50="Probabilidad"),(AB49-(+AB49*V50)),IF(AND(S49="Impacto",S50="Probabilidad"),(AB48-(+AB48*V50)),IF(S50="Impacto",AB49,""))),"")</f>
        <v/>
      </c>
      <c r="AA50" s="131" t="str">
        <f t="shared" si="1"/>
        <v/>
      </c>
      <c r="AB50" s="132" t="str">
        <f t="shared" si="49"/>
        <v/>
      </c>
      <c r="AC50" s="131" t="str">
        <f t="shared" si="3"/>
        <v/>
      </c>
      <c r="AD50" s="140" t="str">
        <f>IFERROR(IF(AND(S49="Impacto",S50="Impacto"),(AD49-(+AD49*V50)),IF(AND(S49="Probabilidad",S50="Impacto"),(AD48-(+AD48*V50)),IF(S50="Probabilidad",AD49,""))),"")</f>
        <v/>
      </c>
      <c r="AE50" s="133" t="str">
        <f t="shared" si="50"/>
        <v/>
      </c>
      <c r="AF50" s="134"/>
      <c r="AG50" s="135"/>
      <c r="AH50" s="136"/>
      <c r="AI50" s="137"/>
      <c r="AJ50" s="137"/>
      <c r="AK50" s="135"/>
      <c r="AL50" s="13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c r="A51" s="256"/>
      <c r="B51" s="259"/>
      <c r="C51" s="259"/>
      <c r="D51" s="259"/>
      <c r="E51" s="149"/>
      <c r="F51" s="262"/>
      <c r="G51" s="154"/>
      <c r="H51" s="259"/>
      <c r="I51" s="265"/>
      <c r="J51" s="268"/>
      <c r="K51" s="271"/>
      <c r="L51" s="277"/>
      <c r="M51" s="271">
        <f ca="1">IF(NOT(ISERROR(MATCH(L51,_xlfn.ANCHORARRAY(F62),0))),K64&amp;"Por favor no seleccionar los criterios de impacto",L51)</f>
        <v>0</v>
      </c>
      <c r="N51" s="268"/>
      <c r="O51" s="271"/>
      <c r="P51" s="274"/>
      <c r="Q51" s="125">
        <v>4</v>
      </c>
      <c r="R51" s="126"/>
      <c r="S51" s="127" t="str">
        <f t="shared" ref="S51:S53" si="51">IF(OR(T51="Preventivo",T51="Detectivo"),"Probabilidad",IF(T51="Correctivo","Impacto",""))</f>
        <v/>
      </c>
      <c r="T51" s="128"/>
      <c r="U51" s="128"/>
      <c r="V51" s="129" t="str">
        <f t="shared" si="48"/>
        <v/>
      </c>
      <c r="W51" s="128"/>
      <c r="X51" s="128"/>
      <c r="Y51" s="128"/>
      <c r="Z51" s="130" t="str">
        <f t="shared" ref="Z51:Z53" si="52">IFERROR(IF(AND(S50="Probabilidad",S51="Probabilidad"),(AB50-(+AB50*V51)),IF(AND(S50="Impacto",S51="Probabilidad"),(AB49-(+AB49*V51)),IF(S51="Impacto",AB50,""))),"")</f>
        <v/>
      </c>
      <c r="AA51" s="131" t="str">
        <f t="shared" si="1"/>
        <v/>
      </c>
      <c r="AB51" s="132" t="str">
        <f t="shared" si="49"/>
        <v/>
      </c>
      <c r="AC51" s="131" t="str">
        <f t="shared" si="3"/>
        <v/>
      </c>
      <c r="AD51" s="140" t="str">
        <f t="shared" ref="AD51:AD53" si="53">IFERROR(IF(AND(S50="Impacto",S51="Impacto"),(AD50-(+AD50*V51)),IF(AND(S50="Probabilidad",S51="Impacto"),(AD49-(+AD49*V51)),IF(S51="Probabilidad",AD50,""))),"")</f>
        <v/>
      </c>
      <c r="AE51" s="133" t="str">
        <f>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34"/>
      <c r="AG51" s="135"/>
      <c r="AH51" s="136"/>
      <c r="AI51" s="137"/>
      <c r="AJ51" s="137"/>
      <c r="AK51" s="135"/>
      <c r="AL51" s="13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c r="A52" s="256"/>
      <c r="B52" s="259"/>
      <c r="C52" s="259"/>
      <c r="D52" s="259"/>
      <c r="E52" s="149"/>
      <c r="F52" s="262"/>
      <c r="G52" s="154"/>
      <c r="H52" s="259"/>
      <c r="I52" s="265"/>
      <c r="J52" s="268"/>
      <c r="K52" s="271"/>
      <c r="L52" s="277"/>
      <c r="M52" s="271">
        <f ca="1">IF(NOT(ISERROR(MATCH(L52,_xlfn.ANCHORARRAY(F63),0))),K65&amp;"Por favor no seleccionar los criterios de impacto",L52)</f>
        <v>0</v>
      </c>
      <c r="N52" s="268"/>
      <c r="O52" s="271"/>
      <c r="P52" s="274"/>
      <c r="Q52" s="125">
        <v>5</v>
      </c>
      <c r="R52" s="126"/>
      <c r="S52" s="127" t="str">
        <f t="shared" si="51"/>
        <v/>
      </c>
      <c r="T52" s="128"/>
      <c r="U52" s="128"/>
      <c r="V52" s="129" t="str">
        <f t="shared" si="48"/>
        <v/>
      </c>
      <c r="W52" s="128"/>
      <c r="X52" s="128"/>
      <c r="Y52" s="128"/>
      <c r="Z52" s="130" t="str">
        <f t="shared" si="52"/>
        <v/>
      </c>
      <c r="AA52" s="131" t="str">
        <f t="shared" si="1"/>
        <v/>
      </c>
      <c r="AB52" s="132" t="str">
        <f t="shared" si="49"/>
        <v/>
      </c>
      <c r="AC52" s="131" t="str">
        <f t="shared" si="3"/>
        <v/>
      </c>
      <c r="AD52" s="140" t="str">
        <f t="shared" si="53"/>
        <v/>
      </c>
      <c r="AE52" s="133" t="str">
        <f t="shared" ref="AE52:AE53" si="54">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34"/>
      <c r="AG52" s="135"/>
      <c r="AH52" s="136"/>
      <c r="AI52" s="137"/>
      <c r="AJ52" s="137"/>
      <c r="AK52" s="135"/>
      <c r="AL52" s="13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c r="A53" s="257"/>
      <c r="B53" s="260"/>
      <c r="C53" s="260"/>
      <c r="D53" s="260"/>
      <c r="E53" s="150"/>
      <c r="F53" s="263"/>
      <c r="G53" s="155"/>
      <c r="H53" s="260"/>
      <c r="I53" s="266"/>
      <c r="J53" s="269"/>
      <c r="K53" s="272"/>
      <c r="L53" s="278"/>
      <c r="M53" s="272">
        <f ca="1">IF(NOT(ISERROR(MATCH(L53,_xlfn.ANCHORARRAY(F64),0))),K66&amp;"Por favor no seleccionar los criterios de impacto",L53)</f>
        <v>0</v>
      </c>
      <c r="N53" s="269"/>
      <c r="O53" s="272"/>
      <c r="P53" s="275"/>
      <c r="Q53" s="125">
        <v>6</v>
      </c>
      <c r="R53" s="126"/>
      <c r="S53" s="127" t="str">
        <f t="shared" si="51"/>
        <v/>
      </c>
      <c r="T53" s="128"/>
      <c r="U53" s="128"/>
      <c r="V53" s="129" t="str">
        <f t="shared" si="48"/>
        <v/>
      </c>
      <c r="W53" s="128"/>
      <c r="X53" s="128"/>
      <c r="Y53" s="128"/>
      <c r="Z53" s="130" t="str">
        <f t="shared" si="52"/>
        <v/>
      </c>
      <c r="AA53" s="131" t="str">
        <f t="shared" si="1"/>
        <v/>
      </c>
      <c r="AB53" s="132" t="str">
        <f t="shared" si="49"/>
        <v/>
      </c>
      <c r="AC53" s="131" t="str">
        <f t="shared" si="3"/>
        <v/>
      </c>
      <c r="AD53" s="140" t="str">
        <f t="shared" si="53"/>
        <v/>
      </c>
      <c r="AE53" s="133" t="str">
        <f t="shared" si="54"/>
        <v/>
      </c>
      <c r="AF53" s="134"/>
      <c r="AG53" s="135"/>
      <c r="AH53" s="136"/>
      <c r="AI53" s="137"/>
      <c r="AJ53" s="137"/>
      <c r="AK53" s="135"/>
      <c r="AL53" s="13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c r="A54" s="255">
        <v>9</v>
      </c>
      <c r="B54" s="258"/>
      <c r="C54" s="258"/>
      <c r="D54" s="258"/>
      <c r="E54" s="148"/>
      <c r="F54" s="261"/>
      <c r="G54" s="153"/>
      <c r="H54" s="258"/>
      <c r="I54" s="264"/>
      <c r="J54" s="267" t="str">
        <f>IF(I54&lt;=0,"",IF(I54&lt;=2,"Muy Baja",IF(I54&lt;=24,"Baja",IF(I54&lt;=500,"Media",IF(I54&lt;=5000,"Alta","Muy Alta")))))</f>
        <v/>
      </c>
      <c r="K54" s="270" t="str">
        <f>IF(J54="","",IF(J54="Muy Baja",0.2,IF(J54="Baja",0.4,IF(J54="Media",0.6,IF(J54="Alta",0.8,IF(J54="Muy Alta",1,))))))</f>
        <v/>
      </c>
      <c r="L54" s="276"/>
      <c r="M54" s="270">
        <f ca="1">IF(NOT(ISERROR(MATCH(L54,'Tabla Impacto'!$B$221:$B$223,0))),'Tabla Impacto'!$F$223&amp;"Por favor no seleccionar los criterios de impacto(Afectación Económica o presupuestal y Pérdida Reputacional)",L54)</f>
        <v>0</v>
      </c>
      <c r="N54" s="267" t="str">
        <f ca="1">IF(OR(M54='Tabla Impacto'!$C$11,M54='Tabla Impacto'!$D$11),"Leve",IF(OR(M54='Tabla Impacto'!$C$12,M54='Tabla Impacto'!$D$12),"Menor",IF(OR(M54='Tabla Impacto'!$C$13,M54='Tabla Impacto'!$D$13),"Moderado",IF(OR(M54='Tabla Impacto'!$C$14,M54='Tabla Impacto'!$D$14),"Mayor",IF(OR(M54='Tabla Impacto'!$C$15,M54='Tabla Impacto'!$D$15),"Catastrófico","")))))</f>
        <v/>
      </c>
      <c r="O54" s="270" t="str">
        <f ca="1">IF(N54="","",IF(N54="Leve",0.2,IF(N54="Menor",0.4,IF(N54="Moderado",0.6,IF(N54="Mayor",0.8,IF(N54="Catastrófico",1,))))))</f>
        <v/>
      </c>
      <c r="P54" s="273" t="str">
        <f ca="1">IF(OR(AND(J54="Muy Baja",N54="Leve"),AND(J54="Muy Baja",N54="Menor"),AND(J54="Baja",N54="Leve")),"Bajo",IF(OR(AND(J54="Muy baja",N54="Moderado"),AND(J54="Baja",N54="Menor"),AND(J54="Baja",N54="Moderado"),AND(J54="Media",N54="Leve"),AND(J54="Media",N54="Menor"),AND(J54="Media",N54="Moderado"),AND(J54="Alta",N54="Leve"),AND(J54="Alta",N54="Menor")),"Moderado",IF(OR(AND(J54="Muy Baja",N54="Mayor"),AND(J54="Baja",N54="Mayor"),AND(J54="Media",N54="Mayor"),AND(J54="Alta",N54="Moderado"),AND(J54="Alta",N54="Mayor"),AND(J54="Muy Alta",N54="Leve"),AND(J54="Muy Alta",N54="Menor"),AND(J54="Muy Alta",N54="Moderado"),AND(J54="Muy Alta",N54="Mayor")),"Alto",IF(OR(AND(J54="Muy Baja",N54="Catastrófico"),AND(J54="Baja",N54="Catastrófico"),AND(J54="Media",N54="Catastrófico"),AND(J54="Alta",N54="Catastrófico"),AND(J54="Muy Alta",N54="Catastrófico")),"Extremo",""))))</f>
        <v/>
      </c>
      <c r="Q54" s="125">
        <v>1</v>
      </c>
      <c r="R54" s="126"/>
      <c r="S54" s="127" t="str">
        <f>IF(OR(T54="Preventivo",T54="Detectivo"),"Probabilidad",IF(T54="Correctivo","Impacto",""))</f>
        <v/>
      </c>
      <c r="T54" s="128"/>
      <c r="U54" s="128"/>
      <c r="V54" s="129" t="str">
        <f>IF(AND(T54="Preventivo",U54="Automático"),"50%",IF(AND(T54="Preventivo",U54="Manual"),"40%",IF(AND(T54="Detectivo",U54="Automático"),"40%",IF(AND(T54="Detectivo",U54="Manual"),"30%",IF(AND(T54="Correctivo",U54="Automático"),"35%",IF(AND(T54="Correctivo",U54="Manual"),"25%",""))))))</f>
        <v/>
      </c>
      <c r="W54" s="128"/>
      <c r="X54" s="128"/>
      <c r="Y54" s="128"/>
      <c r="Z54" s="130" t="str">
        <f>IFERROR(IF(S54="Probabilidad",(K54-(+K54*V54)),IF(S54="Impacto",K54,"")),"")</f>
        <v/>
      </c>
      <c r="AA54" s="131" t="str">
        <f>IFERROR(IF(Z54="","",IF(Z54&lt;=0.2,"Muy Baja",IF(Z54&lt;=0.4,"Baja",IF(Z54&lt;=0.6,"Media",IF(Z54&lt;=0.8,"Alta","Muy Alta"))))),"")</f>
        <v/>
      </c>
      <c r="AB54" s="132" t="str">
        <f>+Z54</f>
        <v/>
      </c>
      <c r="AC54" s="131" t="str">
        <f>IFERROR(IF(AD54="","",IF(AD54&lt;=0.2,"Leve",IF(AD54&lt;=0.4,"Menor",IF(AD54&lt;=0.6,"Moderado",IF(AD54&lt;=0.8,"Mayor","Catastrófico"))))),"")</f>
        <v/>
      </c>
      <c r="AD54" s="140" t="str">
        <f>IFERROR(IF(S54="Impacto",(O54-(+O54*V54)),IF(S54="Probabilidad",O54,"")),"")</f>
        <v/>
      </c>
      <c r="AE54" s="133" t="str">
        <f>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34"/>
      <c r="AG54" s="135"/>
      <c r="AH54" s="136"/>
      <c r="AI54" s="137"/>
      <c r="AJ54" s="137"/>
      <c r="AK54" s="135"/>
      <c r="AL54" s="13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c r="A55" s="256"/>
      <c r="B55" s="259"/>
      <c r="C55" s="259"/>
      <c r="D55" s="259"/>
      <c r="E55" s="149"/>
      <c r="F55" s="262"/>
      <c r="G55" s="154"/>
      <c r="H55" s="259"/>
      <c r="I55" s="265"/>
      <c r="J55" s="268"/>
      <c r="K55" s="271"/>
      <c r="L55" s="277"/>
      <c r="M55" s="271">
        <f ca="1">IF(NOT(ISERROR(MATCH(L55,_xlfn.ANCHORARRAY(F66),0))),K68&amp;"Por favor no seleccionar los criterios de impacto",L55)</f>
        <v>0</v>
      </c>
      <c r="N55" s="268"/>
      <c r="O55" s="271"/>
      <c r="P55" s="274"/>
      <c r="Q55" s="125">
        <v>2</v>
      </c>
      <c r="R55" s="126"/>
      <c r="S55" s="127" t="str">
        <f>IF(OR(T55="Preventivo",T55="Detectivo"),"Probabilidad",IF(T55="Correctivo","Impacto",""))</f>
        <v/>
      </c>
      <c r="T55" s="128"/>
      <c r="U55" s="128"/>
      <c r="V55" s="129" t="str">
        <f t="shared" ref="V55:V59" si="55">IF(AND(T55="Preventivo",U55="Automático"),"50%",IF(AND(T55="Preventivo",U55="Manual"),"40%",IF(AND(T55="Detectivo",U55="Automático"),"40%",IF(AND(T55="Detectivo",U55="Manual"),"30%",IF(AND(T55="Correctivo",U55="Automático"),"35%",IF(AND(T55="Correctivo",U55="Manual"),"25%",""))))))</f>
        <v/>
      </c>
      <c r="W55" s="128"/>
      <c r="X55" s="128"/>
      <c r="Y55" s="128"/>
      <c r="Z55" s="130" t="str">
        <f>IFERROR(IF(AND(S54="Probabilidad",S55="Probabilidad"),(AB54-(+AB54*V55)),IF(S55="Probabilidad",(K54-(+K54*V55)),IF(S55="Impacto",AB54,""))),"")</f>
        <v/>
      </c>
      <c r="AA55" s="131" t="str">
        <f t="shared" si="1"/>
        <v/>
      </c>
      <c r="AB55" s="132" t="str">
        <f t="shared" ref="AB55:AB59" si="56">+Z55</f>
        <v/>
      </c>
      <c r="AC55" s="131" t="str">
        <f t="shared" si="3"/>
        <v/>
      </c>
      <c r="AD55" s="140" t="str">
        <f>IFERROR(IF(AND(S54="Impacto",S55="Impacto"),(AD54-(+AD54*V55)),IF(S55="Impacto",(O54-(+O54*V55)),IF(S55="Probabilidad",AD54,""))),"")</f>
        <v/>
      </c>
      <c r="AE55" s="133" t="str">
        <f t="shared" ref="AE55:AE56" si="57">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34"/>
      <c r="AG55" s="135"/>
      <c r="AH55" s="136"/>
      <c r="AI55" s="137"/>
      <c r="AJ55" s="137"/>
      <c r="AK55" s="135"/>
      <c r="AL55" s="13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c r="A56" s="256"/>
      <c r="B56" s="259"/>
      <c r="C56" s="259"/>
      <c r="D56" s="259"/>
      <c r="E56" s="149"/>
      <c r="F56" s="262"/>
      <c r="G56" s="154"/>
      <c r="H56" s="259"/>
      <c r="I56" s="265"/>
      <c r="J56" s="268"/>
      <c r="K56" s="271"/>
      <c r="L56" s="277"/>
      <c r="M56" s="271">
        <f ca="1">IF(NOT(ISERROR(MATCH(L56,_xlfn.ANCHORARRAY(F67),0))),K69&amp;"Por favor no seleccionar los criterios de impacto",L56)</f>
        <v>0</v>
      </c>
      <c r="N56" s="268"/>
      <c r="O56" s="271"/>
      <c r="P56" s="274"/>
      <c r="Q56" s="125">
        <v>3</v>
      </c>
      <c r="R56" s="138"/>
      <c r="S56" s="127" t="str">
        <f>IF(OR(T56="Preventivo",T56="Detectivo"),"Probabilidad",IF(T56="Correctivo","Impacto",""))</f>
        <v/>
      </c>
      <c r="T56" s="128"/>
      <c r="U56" s="128"/>
      <c r="V56" s="129" t="str">
        <f t="shared" si="55"/>
        <v/>
      </c>
      <c r="W56" s="128"/>
      <c r="X56" s="128"/>
      <c r="Y56" s="128"/>
      <c r="Z56" s="130" t="str">
        <f>IFERROR(IF(AND(S55="Probabilidad",S56="Probabilidad"),(AB55-(+AB55*V56)),IF(AND(S55="Impacto",S56="Probabilidad"),(AB54-(+AB54*V56)),IF(S56="Impacto",AB55,""))),"")</f>
        <v/>
      </c>
      <c r="AA56" s="131" t="str">
        <f t="shared" si="1"/>
        <v/>
      </c>
      <c r="AB56" s="132" t="str">
        <f t="shared" si="56"/>
        <v/>
      </c>
      <c r="AC56" s="131" t="str">
        <f t="shared" si="3"/>
        <v/>
      </c>
      <c r="AD56" s="140" t="str">
        <f>IFERROR(IF(AND(S55="Impacto",S56="Impacto"),(AD55-(+AD55*V56)),IF(AND(S55="Probabilidad",S56="Impacto"),(AD54-(+AD54*V56)),IF(S56="Probabilidad",AD55,""))),"")</f>
        <v/>
      </c>
      <c r="AE56" s="133" t="str">
        <f t="shared" si="57"/>
        <v/>
      </c>
      <c r="AF56" s="134"/>
      <c r="AG56" s="135"/>
      <c r="AH56" s="136"/>
      <c r="AI56" s="137"/>
      <c r="AJ56" s="137"/>
      <c r="AK56" s="135"/>
      <c r="AL56" s="13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c r="A57" s="256"/>
      <c r="B57" s="259"/>
      <c r="C57" s="259"/>
      <c r="D57" s="259"/>
      <c r="E57" s="149"/>
      <c r="F57" s="262"/>
      <c r="G57" s="154"/>
      <c r="H57" s="259"/>
      <c r="I57" s="265"/>
      <c r="J57" s="268"/>
      <c r="K57" s="271"/>
      <c r="L57" s="277"/>
      <c r="M57" s="271">
        <f ca="1">IF(NOT(ISERROR(MATCH(L57,_xlfn.ANCHORARRAY(F68),0))),K70&amp;"Por favor no seleccionar los criterios de impacto",L57)</f>
        <v>0</v>
      </c>
      <c r="N57" s="268"/>
      <c r="O57" s="271"/>
      <c r="P57" s="274"/>
      <c r="Q57" s="125">
        <v>4</v>
      </c>
      <c r="R57" s="126"/>
      <c r="S57" s="127" t="str">
        <f t="shared" ref="S57:S59" si="58">IF(OR(T57="Preventivo",T57="Detectivo"),"Probabilidad",IF(T57="Correctivo","Impacto",""))</f>
        <v/>
      </c>
      <c r="T57" s="128"/>
      <c r="U57" s="128"/>
      <c r="V57" s="129" t="str">
        <f t="shared" si="55"/>
        <v/>
      </c>
      <c r="W57" s="128"/>
      <c r="X57" s="128"/>
      <c r="Y57" s="128"/>
      <c r="Z57" s="130" t="str">
        <f t="shared" ref="Z57:Z59" si="59">IFERROR(IF(AND(S56="Probabilidad",S57="Probabilidad"),(AB56-(+AB56*V57)),IF(AND(S56="Impacto",S57="Probabilidad"),(AB55-(+AB55*V57)),IF(S57="Impacto",AB56,""))),"")</f>
        <v/>
      </c>
      <c r="AA57" s="131" t="str">
        <f t="shared" si="1"/>
        <v/>
      </c>
      <c r="AB57" s="132" t="str">
        <f t="shared" si="56"/>
        <v/>
      </c>
      <c r="AC57" s="131" t="str">
        <f t="shared" si="3"/>
        <v/>
      </c>
      <c r="AD57" s="140" t="str">
        <f t="shared" ref="AD57:AD59" si="60">IFERROR(IF(AND(S56="Impacto",S57="Impacto"),(AD56-(+AD56*V57)),IF(AND(S56="Probabilidad",S57="Impacto"),(AD55-(+AD55*V57)),IF(S57="Probabilidad",AD56,""))),"")</f>
        <v/>
      </c>
      <c r="AE57" s="133" t="str">
        <f>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34"/>
      <c r="AG57" s="135"/>
      <c r="AH57" s="136"/>
      <c r="AI57" s="137"/>
      <c r="AJ57" s="137"/>
      <c r="AK57" s="135"/>
      <c r="AL57" s="13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c r="A58" s="256"/>
      <c r="B58" s="259"/>
      <c r="C58" s="259"/>
      <c r="D58" s="259"/>
      <c r="E58" s="149"/>
      <c r="F58" s="262"/>
      <c r="G58" s="154"/>
      <c r="H58" s="259"/>
      <c r="I58" s="265"/>
      <c r="J58" s="268"/>
      <c r="K58" s="271"/>
      <c r="L58" s="277"/>
      <c r="M58" s="271">
        <f ca="1">IF(NOT(ISERROR(MATCH(L58,_xlfn.ANCHORARRAY(F69),0))),K71&amp;"Por favor no seleccionar los criterios de impacto",L58)</f>
        <v>0</v>
      </c>
      <c r="N58" s="268"/>
      <c r="O58" s="271"/>
      <c r="P58" s="274"/>
      <c r="Q58" s="125">
        <v>5</v>
      </c>
      <c r="R58" s="126"/>
      <c r="S58" s="127" t="str">
        <f t="shared" si="58"/>
        <v/>
      </c>
      <c r="T58" s="128"/>
      <c r="U58" s="128"/>
      <c r="V58" s="129" t="str">
        <f t="shared" si="55"/>
        <v/>
      </c>
      <c r="W58" s="128"/>
      <c r="X58" s="128"/>
      <c r="Y58" s="128"/>
      <c r="Z58" s="130" t="str">
        <f t="shared" si="59"/>
        <v/>
      </c>
      <c r="AA58" s="131" t="str">
        <f t="shared" si="1"/>
        <v/>
      </c>
      <c r="AB58" s="132" t="str">
        <f t="shared" si="56"/>
        <v/>
      </c>
      <c r="AC58" s="131" t="str">
        <f t="shared" si="3"/>
        <v/>
      </c>
      <c r="AD58" s="140" t="str">
        <f t="shared" si="60"/>
        <v/>
      </c>
      <c r="AE58" s="133" t="str">
        <f t="shared" ref="AE58:AE59" si="61">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34"/>
      <c r="AG58" s="135"/>
      <c r="AH58" s="136"/>
      <c r="AI58" s="137"/>
      <c r="AJ58" s="137"/>
      <c r="AK58" s="135"/>
      <c r="AL58" s="13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c r="A59" s="257"/>
      <c r="B59" s="260"/>
      <c r="C59" s="260"/>
      <c r="D59" s="260"/>
      <c r="E59" s="150"/>
      <c r="F59" s="263"/>
      <c r="G59" s="155"/>
      <c r="H59" s="260"/>
      <c r="I59" s="266"/>
      <c r="J59" s="269"/>
      <c r="K59" s="272"/>
      <c r="L59" s="278"/>
      <c r="M59" s="272">
        <f ca="1">IF(NOT(ISERROR(MATCH(L59,_xlfn.ANCHORARRAY(F70),0))),K72&amp;"Por favor no seleccionar los criterios de impacto",L59)</f>
        <v>0</v>
      </c>
      <c r="N59" s="269"/>
      <c r="O59" s="272"/>
      <c r="P59" s="275"/>
      <c r="Q59" s="125">
        <v>6</v>
      </c>
      <c r="R59" s="126"/>
      <c r="S59" s="127" t="str">
        <f t="shared" si="58"/>
        <v/>
      </c>
      <c r="T59" s="128"/>
      <c r="U59" s="128"/>
      <c r="V59" s="129" t="str">
        <f t="shared" si="55"/>
        <v/>
      </c>
      <c r="W59" s="128"/>
      <c r="X59" s="128"/>
      <c r="Y59" s="128"/>
      <c r="Z59" s="130" t="str">
        <f t="shared" si="59"/>
        <v/>
      </c>
      <c r="AA59" s="131" t="str">
        <f t="shared" si="1"/>
        <v/>
      </c>
      <c r="AB59" s="132" t="str">
        <f t="shared" si="56"/>
        <v/>
      </c>
      <c r="AC59" s="131" t="str">
        <f t="shared" si="3"/>
        <v/>
      </c>
      <c r="AD59" s="140" t="str">
        <f t="shared" si="60"/>
        <v/>
      </c>
      <c r="AE59" s="133" t="str">
        <f t="shared" si="61"/>
        <v/>
      </c>
      <c r="AF59" s="134"/>
      <c r="AG59" s="135"/>
      <c r="AH59" s="136"/>
      <c r="AI59" s="137"/>
      <c r="AJ59" s="137"/>
      <c r="AK59" s="135"/>
      <c r="AL59" s="13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19.5" customHeight="1">
      <c r="A60" s="255">
        <v>10</v>
      </c>
      <c r="B60" s="258"/>
      <c r="C60" s="258"/>
      <c r="D60" s="258"/>
      <c r="E60" s="148"/>
      <c r="F60" s="261"/>
      <c r="G60" s="153"/>
      <c r="H60" s="258"/>
      <c r="I60" s="264"/>
      <c r="J60" s="267" t="str">
        <f>IF(I60&lt;=0,"",IF(I60&lt;=2,"Muy Baja",IF(I60&lt;=24,"Baja",IF(I60&lt;=500,"Media",IF(I60&lt;=5000,"Alta","Muy Alta")))))</f>
        <v/>
      </c>
      <c r="K60" s="270" t="str">
        <f>IF(J60="","",IF(J60="Muy Baja",0.2,IF(J60="Baja",0.4,IF(J60="Media",0.6,IF(J60="Alta",0.8,IF(J60="Muy Alta",1,))))))</f>
        <v/>
      </c>
      <c r="L60" s="276"/>
      <c r="M60" s="270">
        <f ca="1">IF(NOT(ISERROR(MATCH(L60,'Tabla Impacto'!$B$221:$B$223,0))),'Tabla Impacto'!$F$223&amp;"Por favor no seleccionar los criterios de impacto(Afectación Económica o presupuestal y Pérdida Reputacional)",L60)</f>
        <v>0</v>
      </c>
      <c r="N60" s="267" t="str">
        <f ca="1">IF(OR(M60='Tabla Impacto'!$C$11,M60='Tabla Impacto'!$D$11),"Leve",IF(OR(M60='Tabla Impacto'!$C$12,M60='Tabla Impacto'!$D$12),"Menor",IF(OR(M60='Tabla Impacto'!$C$13,M60='Tabla Impacto'!$D$13),"Moderado",IF(OR(M60='Tabla Impacto'!$C$14,M60='Tabla Impacto'!$D$14),"Mayor",IF(OR(M60='Tabla Impacto'!$C$15,M60='Tabla Impacto'!$D$15),"Catastrófico","")))))</f>
        <v/>
      </c>
      <c r="O60" s="270" t="str">
        <f ca="1">IF(N60="","",IF(N60="Leve",0.2,IF(N60="Menor",0.4,IF(N60="Moderado",0.6,IF(N60="Mayor",0.8,IF(N60="Catastrófico",1,))))))</f>
        <v/>
      </c>
      <c r="P60" s="273" t="str">
        <f ca="1">IF(OR(AND(J60="Muy Baja",N60="Leve"),AND(J60="Muy Baja",N60="Menor"),AND(J60="Baja",N60="Leve")),"Bajo",IF(OR(AND(J60="Muy baja",N60="Moderado"),AND(J60="Baja",N60="Menor"),AND(J60="Baja",N60="Moderado"),AND(J60="Media",N60="Leve"),AND(J60="Media",N60="Menor"),AND(J60="Media",N60="Moderado"),AND(J60="Alta",N60="Leve"),AND(J60="Alta",N60="Menor")),"Moderado",IF(OR(AND(J60="Muy Baja",N60="Mayor"),AND(J60="Baja",N60="Mayor"),AND(J60="Media",N60="Mayor"),AND(J60="Alta",N60="Moderado"),AND(J60="Alta",N60="Mayor"),AND(J60="Muy Alta",N60="Leve"),AND(J60="Muy Alta",N60="Menor"),AND(J60="Muy Alta",N60="Moderado"),AND(J60="Muy Alta",N60="Mayor")),"Alto",IF(OR(AND(J60="Muy Baja",N60="Catastrófico"),AND(J60="Baja",N60="Catastrófico"),AND(J60="Media",N60="Catastrófico"),AND(J60="Alta",N60="Catastrófico"),AND(J60="Muy Alta",N60="Catastrófico")),"Extremo",""))))</f>
        <v/>
      </c>
      <c r="Q60" s="125">
        <v>1</v>
      </c>
      <c r="R60" s="126"/>
      <c r="S60" s="127" t="str">
        <f>IF(OR(T60="Preventivo",T60="Detectivo"),"Probabilidad",IF(T60="Correctivo","Impacto",""))</f>
        <v/>
      </c>
      <c r="T60" s="128"/>
      <c r="U60" s="128"/>
      <c r="V60" s="129" t="str">
        <f>IF(AND(T60="Preventivo",U60="Automático"),"50%",IF(AND(T60="Preventivo",U60="Manual"),"40%",IF(AND(T60="Detectivo",U60="Automático"),"40%",IF(AND(T60="Detectivo",U60="Manual"),"30%",IF(AND(T60="Correctivo",U60="Automático"),"35%",IF(AND(T60="Correctivo",U60="Manual"),"25%",""))))))</f>
        <v/>
      </c>
      <c r="W60" s="128"/>
      <c r="X60" s="128"/>
      <c r="Y60" s="128"/>
      <c r="Z60" s="130" t="str">
        <f>IFERROR(IF(S60="Probabilidad",(K60-(+K60*V60)),IF(S60="Impacto",K60,"")),"")</f>
        <v/>
      </c>
      <c r="AA60" s="131" t="str">
        <f>IFERROR(IF(Z60="","",IF(Z60&lt;=0.2,"Muy Baja",IF(Z60&lt;=0.4,"Baja",IF(Z60&lt;=0.6,"Media",IF(Z60&lt;=0.8,"Alta","Muy Alta"))))),"")</f>
        <v/>
      </c>
      <c r="AB60" s="132" t="str">
        <f>+Z60</f>
        <v/>
      </c>
      <c r="AC60" s="131" t="str">
        <f>IFERROR(IF(AD60="","",IF(AD60&lt;=0.2,"Leve",IF(AD60&lt;=0.4,"Menor",IF(AD60&lt;=0.6,"Moderado",IF(AD60&lt;=0.8,"Mayor","Catastrófico"))))),"")</f>
        <v/>
      </c>
      <c r="AD60" s="140" t="str">
        <f>IFERROR(IF(S60="Impacto",(O60-(+O60*V60)),IF(S60="Probabilidad",O60,"")),"")</f>
        <v/>
      </c>
      <c r="AE60" s="133" t="str">
        <f>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34"/>
      <c r="AG60" s="135"/>
      <c r="AH60" s="136"/>
      <c r="AI60" s="137"/>
      <c r="AJ60" s="137"/>
      <c r="AK60" s="135"/>
      <c r="AL60" s="13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9.5" customHeight="1">
      <c r="A61" s="256"/>
      <c r="B61" s="259"/>
      <c r="C61" s="259"/>
      <c r="D61" s="259"/>
      <c r="E61" s="149"/>
      <c r="F61" s="262"/>
      <c r="G61" s="154"/>
      <c r="H61" s="259"/>
      <c r="I61" s="265"/>
      <c r="J61" s="268"/>
      <c r="K61" s="271"/>
      <c r="L61" s="277"/>
      <c r="M61" s="271">
        <f ca="1">IF(NOT(ISERROR(MATCH(L61,_xlfn.ANCHORARRAY(F72),0))),K74&amp;"Por favor no seleccionar los criterios de impacto",L61)</f>
        <v>0</v>
      </c>
      <c r="N61" s="268"/>
      <c r="O61" s="271"/>
      <c r="P61" s="274"/>
      <c r="Q61" s="125">
        <v>2</v>
      </c>
      <c r="R61" s="126"/>
      <c r="S61" s="127" t="str">
        <f>IF(OR(T61="Preventivo",T61="Detectivo"),"Probabilidad",IF(T61="Correctivo","Impacto",""))</f>
        <v/>
      </c>
      <c r="T61" s="128"/>
      <c r="U61" s="128"/>
      <c r="V61" s="129" t="str">
        <f t="shared" ref="V61:V65" si="62">IF(AND(T61="Preventivo",U61="Automático"),"50%",IF(AND(T61="Preventivo",U61="Manual"),"40%",IF(AND(T61="Detectivo",U61="Automático"),"40%",IF(AND(T61="Detectivo",U61="Manual"),"30%",IF(AND(T61="Correctivo",U61="Automático"),"35%",IF(AND(T61="Correctivo",U61="Manual"),"25%",""))))))</f>
        <v/>
      </c>
      <c r="W61" s="128"/>
      <c r="X61" s="128"/>
      <c r="Y61" s="128"/>
      <c r="Z61" s="130" t="str">
        <f>IFERROR(IF(AND(S60="Probabilidad",S61="Probabilidad"),(AB60-(+AB60*V61)),IF(S61="Probabilidad",(K60-(+K60*V61)),IF(S61="Impacto",AB60,""))),"")</f>
        <v/>
      </c>
      <c r="AA61" s="131" t="str">
        <f t="shared" si="1"/>
        <v/>
      </c>
      <c r="AB61" s="132" t="str">
        <f t="shared" ref="AB61:AB65" si="63">+Z61</f>
        <v/>
      </c>
      <c r="AC61" s="131" t="str">
        <f t="shared" si="3"/>
        <v/>
      </c>
      <c r="AD61" s="140" t="str">
        <f>IFERROR(IF(AND(S60="Impacto",S61="Impacto"),(AD60-(+AD60*V61)),IF(S61="Impacto",(O60-(+O60*V61)),IF(S61="Probabilidad",AD60,""))),"")</f>
        <v/>
      </c>
      <c r="AE61" s="133" t="str">
        <f t="shared" ref="AE61:AE62" si="64">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34"/>
      <c r="AG61" s="135"/>
      <c r="AH61" s="136"/>
      <c r="AI61" s="137"/>
      <c r="AJ61" s="137"/>
      <c r="AK61" s="135"/>
      <c r="AL61" s="136"/>
    </row>
    <row r="62" spans="1:70" ht="19.5" customHeight="1">
      <c r="A62" s="256"/>
      <c r="B62" s="259"/>
      <c r="C62" s="259"/>
      <c r="D62" s="259"/>
      <c r="E62" s="149"/>
      <c r="F62" s="262"/>
      <c r="G62" s="154"/>
      <c r="H62" s="259"/>
      <c r="I62" s="265"/>
      <c r="J62" s="268"/>
      <c r="K62" s="271"/>
      <c r="L62" s="277"/>
      <c r="M62" s="271">
        <f ca="1">IF(NOT(ISERROR(MATCH(L62,_xlfn.ANCHORARRAY(F73),0))),K75&amp;"Por favor no seleccionar los criterios de impacto",L62)</f>
        <v>0</v>
      </c>
      <c r="N62" s="268"/>
      <c r="O62" s="271"/>
      <c r="P62" s="274"/>
      <c r="Q62" s="125">
        <v>3</v>
      </c>
      <c r="R62" s="138"/>
      <c r="S62" s="127" t="str">
        <f>IF(OR(T62="Preventivo",T62="Detectivo"),"Probabilidad",IF(T62="Correctivo","Impacto",""))</f>
        <v/>
      </c>
      <c r="T62" s="128"/>
      <c r="U62" s="128"/>
      <c r="V62" s="129" t="str">
        <f t="shared" si="62"/>
        <v/>
      </c>
      <c r="W62" s="128"/>
      <c r="X62" s="128"/>
      <c r="Y62" s="128"/>
      <c r="Z62" s="130" t="str">
        <f>IFERROR(IF(AND(S61="Probabilidad",S62="Probabilidad"),(AB61-(+AB61*V62)),IF(AND(S61="Impacto",S62="Probabilidad"),(AB60-(+AB60*V62)),IF(S62="Impacto",AB61,""))),"")</f>
        <v/>
      </c>
      <c r="AA62" s="131" t="str">
        <f t="shared" si="1"/>
        <v/>
      </c>
      <c r="AB62" s="132" t="str">
        <f t="shared" si="63"/>
        <v/>
      </c>
      <c r="AC62" s="131" t="str">
        <f t="shared" si="3"/>
        <v/>
      </c>
      <c r="AD62" s="140" t="str">
        <f>IFERROR(IF(AND(S61="Impacto",S62="Impacto"),(AD61-(+AD61*V62)),IF(AND(S61="Probabilidad",S62="Impacto"),(AD60-(+AD60*V62)),IF(S62="Probabilidad",AD61,""))),"")</f>
        <v/>
      </c>
      <c r="AE62" s="133" t="str">
        <f t="shared" si="64"/>
        <v/>
      </c>
      <c r="AF62" s="134"/>
      <c r="AG62" s="135"/>
      <c r="AH62" s="136"/>
      <c r="AI62" s="137"/>
      <c r="AJ62" s="137"/>
      <c r="AK62" s="135"/>
      <c r="AL62" s="136"/>
    </row>
    <row r="63" spans="1:70" ht="19.5" customHeight="1">
      <c r="A63" s="256"/>
      <c r="B63" s="259"/>
      <c r="C63" s="259"/>
      <c r="D63" s="259"/>
      <c r="E63" s="149"/>
      <c r="F63" s="262"/>
      <c r="G63" s="154"/>
      <c r="H63" s="259"/>
      <c r="I63" s="265"/>
      <c r="J63" s="268"/>
      <c r="K63" s="271"/>
      <c r="L63" s="277"/>
      <c r="M63" s="271">
        <f ca="1">IF(NOT(ISERROR(MATCH(L63,_xlfn.ANCHORARRAY(F74),0))),K76&amp;"Por favor no seleccionar los criterios de impacto",L63)</f>
        <v>0</v>
      </c>
      <c r="N63" s="268"/>
      <c r="O63" s="271"/>
      <c r="P63" s="274"/>
      <c r="Q63" s="125">
        <v>4</v>
      </c>
      <c r="R63" s="126"/>
      <c r="S63" s="127" t="str">
        <f t="shared" ref="S63:S65" si="65">IF(OR(T63="Preventivo",T63="Detectivo"),"Probabilidad",IF(T63="Correctivo","Impacto",""))</f>
        <v/>
      </c>
      <c r="T63" s="128"/>
      <c r="U63" s="128"/>
      <c r="V63" s="129" t="str">
        <f t="shared" si="62"/>
        <v/>
      </c>
      <c r="W63" s="128"/>
      <c r="X63" s="128"/>
      <c r="Y63" s="128"/>
      <c r="Z63" s="130" t="str">
        <f t="shared" ref="Z63:Z65" si="66">IFERROR(IF(AND(S62="Probabilidad",S63="Probabilidad"),(AB62-(+AB62*V63)),IF(AND(S62="Impacto",S63="Probabilidad"),(AB61-(+AB61*V63)),IF(S63="Impacto",AB62,""))),"")</f>
        <v/>
      </c>
      <c r="AA63" s="131" t="str">
        <f t="shared" si="1"/>
        <v/>
      </c>
      <c r="AB63" s="132" t="str">
        <f t="shared" si="63"/>
        <v/>
      </c>
      <c r="AC63" s="131" t="str">
        <f t="shared" si="3"/>
        <v/>
      </c>
      <c r="AD63" s="140" t="str">
        <f t="shared" ref="AD63:AD65" si="67">IFERROR(IF(AND(S62="Impacto",S63="Impacto"),(AD62-(+AD62*V63)),IF(AND(S62="Probabilidad",S63="Impacto"),(AD61-(+AD61*V63)),IF(S63="Probabilidad",AD62,""))),"")</f>
        <v/>
      </c>
      <c r="AE63" s="133" t="str">
        <f>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34"/>
      <c r="AG63" s="135"/>
      <c r="AH63" s="136"/>
      <c r="AI63" s="137"/>
      <c r="AJ63" s="137"/>
      <c r="AK63" s="135"/>
      <c r="AL63" s="136"/>
    </row>
    <row r="64" spans="1:70" ht="19.5" customHeight="1">
      <c r="A64" s="256"/>
      <c r="B64" s="259"/>
      <c r="C64" s="259"/>
      <c r="D64" s="259"/>
      <c r="E64" s="149"/>
      <c r="F64" s="262"/>
      <c r="G64" s="154"/>
      <c r="H64" s="259"/>
      <c r="I64" s="265"/>
      <c r="J64" s="268"/>
      <c r="K64" s="271"/>
      <c r="L64" s="277"/>
      <c r="M64" s="271">
        <f ca="1">IF(NOT(ISERROR(MATCH(L64,_xlfn.ANCHORARRAY(F75),0))),K77&amp;"Por favor no seleccionar los criterios de impacto",L64)</f>
        <v>0</v>
      </c>
      <c r="N64" s="268"/>
      <c r="O64" s="271"/>
      <c r="P64" s="274"/>
      <c r="Q64" s="125">
        <v>5</v>
      </c>
      <c r="R64" s="126"/>
      <c r="S64" s="127" t="str">
        <f t="shared" si="65"/>
        <v/>
      </c>
      <c r="T64" s="128"/>
      <c r="U64" s="128"/>
      <c r="V64" s="129" t="str">
        <f t="shared" si="62"/>
        <v/>
      </c>
      <c r="W64" s="128"/>
      <c r="X64" s="128"/>
      <c r="Y64" s="128"/>
      <c r="Z64" s="130" t="str">
        <f t="shared" si="66"/>
        <v/>
      </c>
      <c r="AA64" s="131" t="str">
        <f t="shared" si="1"/>
        <v/>
      </c>
      <c r="AB64" s="132" t="str">
        <f t="shared" si="63"/>
        <v/>
      </c>
      <c r="AC64" s="131" t="str">
        <f t="shared" si="3"/>
        <v/>
      </c>
      <c r="AD64" s="140" t="str">
        <f t="shared" si="67"/>
        <v/>
      </c>
      <c r="AE64" s="133" t="str">
        <f t="shared" ref="AE64:AE65" si="68">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34"/>
      <c r="AG64" s="135"/>
      <c r="AH64" s="136"/>
      <c r="AI64" s="137"/>
      <c r="AJ64" s="137"/>
      <c r="AK64" s="135"/>
      <c r="AL64" s="136"/>
    </row>
    <row r="65" spans="1:38" ht="19.5" customHeight="1">
      <c r="A65" s="257"/>
      <c r="B65" s="260"/>
      <c r="C65" s="260"/>
      <c r="D65" s="260"/>
      <c r="E65" s="150"/>
      <c r="F65" s="263"/>
      <c r="G65" s="155"/>
      <c r="H65" s="260"/>
      <c r="I65" s="266"/>
      <c r="J65" s="269"/>
      <c r="K65" s="272"/>
      <c r="L65" s="278"/>
      <c r="M65" s="272">
        <f ca="1">IF(NOT(ISERROR(MATCH(L65,_xlfn.ANCHORARRAY(F76),0))),K78&amp;"Por favor no seleccionar los criterios de impacto",L65)</f>
        <v>0</v>
      </c>
      <c r="N65" s="269"/>
      <c r="O65" s="272"/>
      <c r="P65" s="275"/>
      <c r="Q65" s="125">
        <v>6</v>
      </c>
      <c r="R65" s="126"/>
      <c r="S65" s="127" t="str">
        <f t="shared" si="65"/>
        <v/>
      </c>
      <c r="T65" s="128"/>
      <c r="U65" s="128"/>
      <c r="V65" s="129" t="str">
        <f t="shared" si="62"/>
        <v/>
      </c>
      <c r="W65" s="128"/>
      <c r="X65" s="128"/>
      <c r="Y65" s="128"/>
      <c r="Z65" s="130" t="str">
        <f t="shared" si="66"/>
        <v/>
      </c>
      <c r="AA65" s="131" t="str">
        <f t="shared" si="1"/>
        <v/>
      </c>
      <c r="AB65" s="132" t="str">
        <f t="shared" si="63"/>
        <v/>
      </c>
      <c r="AC65" s="131" t="str">
        <f t="shared" si="3"/>
        <v/>
      </c>
      <c r="AD65" s="140" t="str">
        <f t="shared" si="67"/>
        <v/>
      </c>
      <c r="AE65" s="133" t="str">
        <f t="shared" si="68"/>
        <v/>
      </c>
      <c r="AF65" s="134"/>
      <c r="AG65" s="135"/>
      <c r="AH65" s="136"/>
      <c r="AI65" s="137"/>
      <c r="AJ65" s="137"/>
      <c r="AK65" s="135"/>
      <c r="AL65" s="136"/>
    </row>
    <row r="66" spans="1:38" ht="49.5" customHeight="1">
      <c r="A66" s="6"/>
      <c r="B66" s="279" t="s">
        <v>131</v>
      </c>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1"/>
    </row>
    <row r="68" spans="1:38">
      <c r="A68" s="1"/>
      <c r="B68" s="24" t="s">
        <v>143</v>
      </c>
      <c r="C68" s="1"/>
      <c r="D68" s="1"/>
      <c r="E68" s="1"/>
      <c r="H68" s="1"/>
    </row>
  </sheetData>
  <dataConsolidate/>
  <mergeCells count="196">
    <mergeCell ref="O18:O23"/>
    <mergeCell ref="P18:P23"/>
    <mergeCell ref="L24:L29"/>
    <mergeCell ref="M24:M29"/>
    <mergeCell ref="N24:N29"/>
    <mergeCell ref="O24:O29"/>
    <mergeCell ref="P24:P29"/>
    <mergeCell ref="L18:L23"/>
    <mergeCell ref="M18:M23"/>
    <mergeCell ref="N18:N23"/>
    <mergeCell ref="B14:B17"/>
    <mergeCell ref="D14:D17"/>
    <mergeCell ref="F14:F17"/>
    <mergeCell ref="G14:G17"/>
    <mergeCell ref="H14:H17"/>
    <mergeCell ref="I14:I17"/>
    <mergeCell ref="J14:J17"/>
    <mergeCell ref="AG10:AG13"/>
    <mergeCell ref="AH10:AH13"/>
    <mergeCell ref="M14:M15"/>
    <mergeCell ref="P10:P13"/>
    <mergeCell ref="K10:K13"/>
    <mergeCell ref="L10:L13"/>
    <mergeCell ref="M10:M13"/>
    <mergeCell ref="N10:N13"/>
    <mergeCell ref="O10:O13"/>
    <mergeCell ref="K14:K17"/>
    <mergeCell ref="L14:L17"/>
    <mergeCell ref="N14:N17"/>
    <mergeCell ref="O14:O17"/>
    <mergeCell ref="P14:P17"/>
    <mergeCell ref="G10:G13"/>
    <mergeCell ref="C14:C17"/>
    <mergeCell ref="AI10:AI13"/>
    <mergeCell ref="AJ10:AJ13"/>
    <mergeCell ref="AL10:AL13"/>
    <mergeCell ref="C4:P4"/>
    <mergeCell ref="Q4:S4"/>
    <mergeCell ref="A1:AL2"/>
    <mergeCell ref="A7:I7"/>
    <mergeCell ref="J7:P7"/>
    <mergeCell ref="Q7:Y7"/>
    <mergeCell ref="Z7:AF7"/>
    <mergeCell ref="AG7:AL7"/>
    <mergeCell ref="AC8:AC9"/>
    <mergeCell ref="AA8:AA9"/>
    <mergeCell ref="AB8:AB9"/>
    <mergeCell ref="I8:I9"/>
    <mergeCell ref="J8:J9"/>
    <mergeCell ref="K8:K9"/>
    <mergeCell ref="N8:N9"/>
    <mergeCell ref="O8:O9"/>
    <mergeCell ref="B8:B9"/>
    <mergeCell ref="P8:P9"/>
    <mergeCell ref="AG8:AG9"/>
    <mergeCell ref="AL8:AL9"/>
    <mergeCell ref="AK10:AK11"/>
    <mergeCell ref="B66:AL66"/>
    <mergeCell ref="O54:O59"/>
    <mergeCell ref="P54:P59"/>
    <mergeCell ref="A60:A65"/>
    <mergeCell ref="B60:B65"/>
    <mergeCell ref="C60:C65"/>
    <mergeCell ref="D60:D65"/>
    <mergeCell ref="F60:F65"/>
    <mergeCell ref="H60:H65"/>
    <mergeCell ref="I60:I65"/>
    <mergeCell ref="J60:J65"/>
    <mergeCell ref="K60:K65"/>
    <mergeCell ref="L60:L65"/>
    <mergeCell ref="M60:M65"/>
    <mergeCell ref="N60:N65"/>
    <mergeCell ref="O60:O65"/>
    <mergeCell ref="P60:P65"/>
    <mergeCell ref="L54:L59"/>
    <mergeCell ref="M54:M59"/>
    <mergeCell ref="N54:N59"/>
    <mergeCell ref="A54:A59"/>
    <mergeCell ref="B54:B59"/>
    <mergeCell ref="C54:C59"/>
    <mergeCell ref="D54:D59"/>
    <mergeCell ref="F54:F59"/>
    <mergeCell ref="H54:H59"/>
    <mergeCell ref="I54:I59"/>
    <mergeCell ref="J54:J59"/>
    <mergeCell ref="K54:K59"/>
    <mergeCell ref="O42:O47"/>
    <mergeCell ref="P42:P47"/>
    <mergeCell ref="H48:H53"/>
    <mergeCell ref="I48:I53"/>
    <mergeCell ref="J48:J53"/>
    <mergeCell ref="K48:K53"/>
    <mergeCell ref="L48:L53"/>
    <mergeCell ref="H42:H47"/>
    <mergeCell ref="I42:I47"/>
    <mergeCell ref="J42:J47"/>
    <mergeCell ref="K42:K47"/>
    <mergeCell ref="M48:M53"/>
    <mergeCell ref="N48:N53"/>
    <mergeCell ref="O48:O53"/>
    <mergeCell ref="P48:P53"/>
    <mergeCell ref="K30:K35"/>
    <mergeCell ref="L30:L35"/>
    <mergeCell ref="I36:I41"/>
    <mergeCell ref="J36:J41"/>
    <mergeCell ref="K36:K41"/>
    <mergeCell ref="M30:M35"/>
    <mergeCell ref="N30:N35"/>
    <mergeCell ref="A48:A53"/>
    <mergeCell ref="B48:B53"/>
    <mergeCell ref="C48:C53"/>
    <mergeCell ref="D48:D53"/>
    <mergeCell ref="F48:F53"/>
    <mergeCell ref="A42:A47"/>
    <mergeCell ref="B42:B47"/>
    <mergeCell ref="C42:C47"/>
    <mergeCell ref="D42:D47"/>
    <mergeCell ref="F42:F47"/>
    <mergeCell ref="O30:O35"/>
    <mergeCell ref="P30:P35"/>
    <mergeCell ref="O36:O41"/>
    <mergeCell ref="P36:P41"/>
    <mergeCell ref="L42:L47"/>
    <mergeCell ref="M42:M47"/>
    <mergeCell ref="N42:N47"/>
    <mergeCell ref="A30:A35"/>
    <mergeCell ref="B30:B35"/>
    <mergeCell ref="C30:C35"/>
    <mergeCell ref="A36:A41"/>
    <mergeCell ref="B36:B41"/>
    <mergeCell ref="C36:C41"/>
    <mergeCell ref="D36:D41"/>
    <mergeCell ref="F36:F41"/>
    <mergeCell ref="H36:H41"/>
    <mergeCell ref="D30:D35"/>
    <mergeCell ref="F30:F35"/>
    <mergeCell ref="L36:L41"/>
    <mergeCell ref="M36:M41"/>
    <mergeCell ref="N36:N41"/>
    <mergeCell ref="H30:H35"/>
    <mergeCell ref="I30:I35"/>
    <mergeCell ref="J30:J35"/>
    <mergeCell ref="A24:A29"/>
    <mergeCell ref="B24:B29"/>
    <mergeCell ref="C24:C29"/>
    <mergeCell ref="D24:D29"/>
    <mergeCell ref="F24:F29"/>
    <mergeCell ref="H24:H29"/>
    <mergeCell ref="I24:I29"/>
    <mergeCell ref="J24:J29"/>
    <mergeCell ref="K24:K29"/>
    <mergeCell ref="G24:G29"/>
    <mergeCell ref="A18:A23"/>
    <mergeCell ref="B18:B23"/>
    <mergeCell ref="C18:C23"/>
    <mergeCell ref="D18:D23"/>
    <mergeCell ref="F18:F23"/>
    <mergeCell ref="H18:H23"/>
    <mergeCell ref="I18:I23"/>
    <mergeCell ref="J18:J23"/>
    <mergeCell ref="K18:K23"/>
    <mergeCell ref="G18:G23"/>
    <mergeCell ref="AK8:AK9"/>
    <mergeCell ref="AJ8:AJ9"/>
    <mergeCell ref="AI8:AI9"/>
    <mergeCell ref="AH8:AH9"/>
    <mergeCell ref="A4:B4"/>
    <mergeCell ref="A5:B5"/>
    <mergeCell ref="A6:B6"/>
    <mergeCell ref="A8:A9"/>
    <mergeCell ref="H8:H9"/>
    <mergeCell ref="F8:F9"/>
    <mergeCell ref="D8:D9"/>
    <mergeCell ref="C8:C9"/>
    <mergeCell ref="AF8:AF9"/>
    <mergeCell ref="C5:P5"/>
    <mergeCell ref="C6:P6"/>
    <mergeCell ref="Q8:Q9"/>
    <mergeCell ref="AE8:AE9"/>
    <mergeCell ref="AD8:AD9"/>
    <mergeCell ref="Z8:Z9"/>
    <mergeCell ref="R8:R9"/>
    <mergeCell ref="L8:L9"/>
    <mergeCell ref="M8:M9"/>
    <mergeCell ref="S8:S9"/>
    <mergeCell ref="T8:Y8"/>
    <mergeCell ref="E8:E9"/>
    <mergeCell ref="H10:H13"/>
    <mergeCell ref="I10:I13"/>
    <mergeCell ref="J10:J13"/>
    <mergeCell ref="A10:A13"/>
    <mergeCell ref="B10:B13"/>
    <mergeCell ref="C10:C13"/>
    <mergeCell ref="D10:D13"/>
    <mergeCell ref="F10:F13"/>
    <mergeCell ref="E10:E11"/>
  </mergeCells>
  <conditionalFormatting sqref="AA10:AA65 J10 J14 J54 J18 J24 J30 J36 J42 J48 J60">
    <cfRule type="cellIs" dxfId="14" priority="319" operator="equal">
      <formula>"Muy Alta"</formula>
    </cfRule>
    <cfRule type="cellIs" dxfId="13" priority="320" operator="equal">
      <formula>"Alta"</formula>
    </cfRule>
    <cfRule type="cellIs" dxfId="12" priority="321" operator="equal">
      <formula>"Media"</formula>
    </cfRule>
    <cfRule type="cellIs" dxfId="11" priority="322" operator="equal">
      <formula>"Baja"</formula>
    </cfRule>
    <cfRule type="cellIs" dxfId="10" priority="323" operator="equal">
      <formula>"Muy Baja"</formula>
    </cfRule>
  </conditionalFormatting>
  <conditionalFormatting sqref="AC10:AC65 N10 N14 N18 N24 N30 N36 N42 N48 N54 N60">
    <cfRule type="cellIs" dxfId="9" priority="314" operator="equal">
      <formula>"Catastrófico"</formula>
    </cfRule>
    <cfRule type="cellIs" dxfId="8" priority="315" operator="equal">
      <formula>"Mayor"</formula>
    </cfRule>
    <cfRule type="cellIs" dxfId="7" priority="316" operator="equal">
      <formula>"Moderado"</formula>
    </cfRule>
    <cfRule type="cellIs" dxfId="6" priority="317" operator="equal">
      <formula>"Menor"</formula>
    </cfRule>
    <cfRule type="cellIs" dxfId="5" priority="318" operator="equal">
      <formula>"Leve"</formula>
    </cfRule>
  </conditionalFormatting>
  <conditionalFormatting sqref="AE10:AE65 P10 P14 P18 P24 P30 P36 P42 P48 P54 P60">
    <cfRule type="cellIs" dxfId="4" priority="310" operator="equal">
      <formula>"Extremo"</formula>
    </cfRule>
    <cfRule type="cellIs" dxfId="3" priority="311" operator="equal">
      <formula>"Alto"</formula>
    </cfRule>
    <cfRule type="cellIs" dxfId="2" priority="312" operator="equal">
      <formula>"Moderado"</formula>
    </cfRule>
    <cfRule type="cellIs" dxfId="1" priority="313" operator="equal">
      <formula>"Bajo"</formula>
    </cfRule>
  </conditionalFormatting>
  <conditionalFormatting sqref="M10:M65">
    <cfRule type="containsText" dxfId="0" priority="1" operator="containsText" text="❌">
      <formula>NOT(ISERROR(SEARCH("❌",M10)))</formula>
    </cfRule>
  </conditionalFormatting>
  <pageMargins left="0.7" right="0.7" top="0.75" bottom="0.75" header="0.3" footer="0.3"/>
  <pageSetup orientation="portrait" r:id="rId1"/>
  <ignoredErrors>
    <ignoredError sqref="AD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AL10:AL11 AL13:AL14 AL18:AL19 AL21:AL22 AL24:AL25 AL27:AL28 AL30:AL31 AL33:AL34 AL36:AL37 AL39:AL40 AL42:AL43 AL45:AL46 AL48:AL49 AL51:AL52 AL54:AL55 AL57:AL58 AL60:AL61 AL63:AL64</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 AG14:AG65</xm:sqref>
        </x14:dataValidation>
        <x14:dataValidation type="list" allowBlank="1" showInputMessage="1" showErrorMessage="1">
          <x14:formula1>
            <xm:f>'Tabla Valoración controles'!$D$4:$D$6</xm:f>
          </x14:formula1>
          <xm:sqref>T10:T65</xm:sqref>
        </x14:dataValidation>
        <x14:dataValidation type="list" allowBlank="1" showInputMessage="1" showErrorMessage="1">
          <x14:formula1>
            <xm:f>'Opciones Tratamiento'!$B$2:$B$5</xm:f>
          </x14:formula1>
          <xm:sqref>AF10:AF65</xm:sqref>
        </x14:dataValidation>
        <x14:dataValidation type="list" allowBlank="1" showInputMessage="1" showErrorMessage="1">
          <x14:formula1>
            <xm:f>'Tabla Valoración controles'!$D$7:$D$8</xm:f>
          </x14:formula1>
          <xm:sqref>U10:U65</xm:sqref>
        </x14:dataValidation>
        <x14:dataValidation type="list" allowBlank="1" showInputMessage="1" showErrorMessage="1">
          <x14:formula1>
            <xm:f>'Tabla Valoración controles'!$D$9:$D$10</xm:f>
          </x14:formula1>
          <xm:sqref>W10:W65</xm:sqref>
        </x14:dataValidation>
        <x14:dataValidation type="list" allowBlank="1" showInputMessage="1" showErrorMessage="1">
          <x14:formula1>
            <xm:f>'Tabla Valoración controles'!$D$11:$D$12</xm:f>
          </x14:formula1>
          <xm:sqref>X10:X65</xm:sqref>
        </x14:dataValidation>
        <x14:dataValidation type="list" allowBlank="1" showInputMessage="1" showErrorMessage="1">
          <x14:formula1>
            <xm:f>'Tabla Valoración controles'!$D$13:$D$14</xm:f>
          </x14:formula1>
          <xm:sqref>Y10:Y65</xm:sqref>
        </x14:dataValidation>
        <x14:dataValidation type="list" allowBlank="1" showInputMessage="1" showErrorMessage="1">
          <x14:formula1>
            <xm:f>'Opciones Tratamiento'!$B$13:$B$19</xm:f>
          </x14:formula1>
          <xm:sqref>H10:H14 H18:H65</xm:sqref>
        </x14:dataValidation>
        <x14:dataValidation type="list" allowBlank="1" showInputMessage="1" showErrorMessage="1">
          <x14:formula1>
            <xm:f>'Opciones Tratamiento'!$E$2:$E$4</xm:f>
          </x14:formula1>
          <xm:sqref>B10:B14 B18:B65</xm:sqref>
        </x14:dataValidation>
        <x14:dataValidation type="list" allowBlank="1" showInputMessage="1" showErrorMessage="1">
          <x14:formula1>
            <xm:f>'Tabla Impacto'!$F$210:$F$221</xm:f>
          </x14:formula1>
          <xm:sqref>L10:L14 L18:L65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AJ10:AJ65</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AK10:AK65</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election activeCell="A14" sqref="A14"/>
    </sheetView>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U140"/>
  <sheetViews>
    <sheetView zoomScale="40" zoomScaleNormal="40" workbookViewId="0">
      <selection activeCell="P77" sqref="P77"/>
    </sheetView>
  </sheetViews>
  <sheetFormatPr baseColWidth="10" defaultRowHeight="15"/>
  <cols>
    <col min="2" max="39" width="5.7109375" customWidth="1"/>
    <col min="41" max="46" width="5.7109375" customWidth="1"/>
  </cols>
  <sheetData>
    <row r="1" spans="1:99">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c r="A2" s="84"/>
      <c r="B2" s="320" t="s">
        <v>161</v>
      </c>
      <c r="C2" s="320"/>
      <c r="D2" s="320"/>
      <c r="E2" s="320"/>
      <c r="F2" s="320"/>
      <c r="G2" s="320"/>
      <c r="H2" s="320"/>
      <c r="I2" s="320"/>
      <c r="J2" s="358" t="s">
        <v>2</v>
      </c>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c r="A3" s="84"/>
      <c r="B3" s="320"/>
      <c r="C3" s="320"/>
      <c r="D3" s="320"/>
      <c r="E3" s="320"/>
      <c r="F3" s="320"/>
      <c r="G3" s="320"/>
      <c r="H3" s="320"/>
      <c r="I3" s="320"/>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c r="A4" s="84"/>
      <c r="B4" s="320"/>
      <c r="C4" s="320"/>
      <c r="D4" s="320"/>
      <c r="E4" s="320"/>
      <c r="F4" s="320"/>
      <c r="G4" s="320"/>
      <c r="H4" s="320"/>
      <c r="I4" s="320"/>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c r="A6" s="84"/>
      <c r="B6" s="370" t="s">
        <v>4</v>
      </c>
      <c r="C6" s="370"/>
      <c r="D6" s="371"/>
      <c r="E6" s="359" t="s">
        <v>116</v>
      </c>
      <c r="F6" s="360"/>
      <c r="G6" s="360"/>
      <c r="H6" s="360"/>
      <c r="I6" s="361"/>
      <c r="J6" s="355" t="str">
        <f ca="1">IF(AND('Mapa final'!$J$10="Muy Alta",'Mapa final'!$N$10="Leve"),CONCATENATE("R",'Mapa final'!$A$10),"")</f>
        <v/>
      </c>
      <c r="K6" s="356"/>
      <c r="L6" s="356" t="str">
        <f ca="1">IF(AND('Mapa final'!$J$14="Muy Alta",'Mapa final'!$N$14="Leve"),CONCATENATE("R",'Mapa final'!$A$14),"")</f>
        <v/>
      </c>
      <c r="M6" s="356"/>
      <c r="N6" s="356" t="str">
        <f ca="1">IF(AND('Mapa final'!$J$18="Muy Alta",'Mapa final'!$N$18="Leve"),CONCATENATE("R",'Mapa final'!$A$18),"")</f>
        <v/>
      </c>
      <c r="O6" s="357"/>
      <c r="P6" s="355" t="str">
        <f ca="1">IF(AND('Mapa final'!$J$10="Muy Alta",'Mapa final'!$N$10="Menor"),CONCATENATE("R",'Mapa final'!$A$10),"")</f>
        <v/>
      </c>
      <c r="Q6" s="356"/>
      <c r="R6" s="356" t="str">
        <f ca="1">IF(AND('Mapa final'!$J$14="Muy Alta",'Mapa final'!$N$14="Menor"),CONCATENATE("R",'Mapa final'!$A$14),"")</f>
        <v/>
      </c>
      <c r="S6" s="356"/>
      <c r="T6" s="356" t="str">
        <f ca="1">IF(AND('Mapa final'!$J$18="Muy Alta",'Mapa final'!$N$18="Menor"),CONCATENATE("R",'Mapa final'!$A$18),"")</f>
        <v/>
      </c>
      <c r="U6" s="357"/>
      <c r="V6" s="355" t="str">
        <f ca="1">IF(AND('Mapa final'!$J$10="Muy Alta",'Mapa final'!$N$10="Moderado"),CONCATENATE("R",'Mapa final'!$A$10),"")</f>
        <v/>
      </c>
      <c r="W6" s="356"/>
      <c r="X6" s="356" t="str">
        <f ca="1">IF(AND('Mapa final'!$J$14="Muy Alta",'Mapa final'!$N$14="Moderado"),CONCATENATE("R",'Mapa final'!$A$14),"")</f>
        <v/>
      </c>
      <c r="Y6" s="356"/>
      <c r="Z6" s="356" t="str">
        <f ca="1">IF(AND('Mapa final'!$J$18="Muy Alta",'Mapa final'!$N$18="Moderado"),CONCATENATE("R",'Mapa final'!$A$18),"")</f>
        <v/>
      </c>
      <c r="AA6" s="357"/>
      <c r="AB6" s="355" t="str">
        <f ca="1">IF(AND('Mapa final'!$J$10="Muy Alta",'Mapa final'!$N$10="Mayor"),CONCATENATE("R",'Mapa final'!$A$10),"")</f>
        <v/>
      </c>
      <c r="AC6" s="356"/>
      <c r="AD6" s="356" t="str">
        <f ca="1">IF(AND('Mapa final'!$J$14="Muy Alta",'Mapa final'!$N$14="Mayor"),CONCATENATE("R",'Mapa final'!$A$14),"")</f>
        <v/>
      </c>
      <c r="AE6" s="356"/>
      <c r="AF6" s="356" t="str">
        <f ca="1">IF(AND('Mapa final'!$J$18="Muy Alta",'Mapa final'!$N$18="Mayor"),CONCATENATE("R",'Mapa final'!$A$18),"")</f>
        <v/>
      </c>
      <c r="AG6" s="357"/>
      <c r="AH6" s="345" t="str">
        <f ca="1">IF(AND('Mapa final'!$J$10="Muy Alta",'Mapa final'!$N$10="Catastrófico"),CONCATENATE("R",'Mapa final'!$A$10),"")</f>
        <v/>
      </c>
      <c r="AI6" s="346"/>
      <c r="AJ6" s="346" t="str">
        <f ca="1">IF(AND('Mapa final'!$J$14="Muy Alta",'Mapa final'!$N$14="Catastrófico"),CONCATENATE("R",'Mapa final'!$A$14),"")</f>
        <v/>
      </c>
      <c r="AK6" s="346"/>
      <c r="AL6" s="346" t="str">
        <f ca="1">IF(AND('Mapa final'!$J$18="Muy Alta",'Mapa final'!$N$18="Catastrófico"),CONCATENATE("R",'Mapa final'!$A$18),"")</f>
        <v/>
      </c>
      <c r="AM6" s="347"/>
      <c r="AO6" s="372" t="s">
        <v>79</v>
      </c>
      <c r="AP6" s="373"/>
      <c r="AQ6" s="373"/>
      <c r="AR6" s="373"/>
      <c r="AS6" s="373"/>
      <c r="AT6" s="37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c r="A7" s="84"/>
      <c r="B7" s="370"/>
      <c r="C7" s="370"/>
      <c r="D7" s="371"/>
      <c r="E7" s="362"/>
      <c r="F7" s="363"/>
      <c r="G7" s="363"/>
      <c r="H7" s="363"/>
      <c r="I7" s="364"/>
      <c r="J7" s="348"/>
      <c r="K7" s="349"/>
      <c r="L7" s="349"/>
      <c r="M7" s="349"/>
      <c r="N7" s="349"/>
      <c r="O7" s="351"/>
      <c r="P7" s="348"/>
      <c r="Q7" s="349"/>
      <c r="R7" s="349"/>
      <c r="S7" s="349"/>
      <c r="T7" s="349"/>
      <c r="U7" s="351"/>
      <c r="V7" s="348"/>
      <c r="W7" s="349"/>
      <c r="X7" s="349"/>
      <c r="Y7" s="349"/>
      <c r="Z7" s="349"/>
      <c r="AA7" s="351"/>
      <c r="AB7" s="348"/>
      <c r="AC7" s="349"/>
      <c r="AD7" s="349"/>
      <c r="AE7" s="349"/>
      <c r="AF7" s="349"/>
      <c r="AG7" s="351"/>
      <c r="AH7" s="339"/>
      <c r="AI7" s="340"/>
      <c r="AJ7" s="340"/>
      <c r="AK7" s="340"/>
      <c r="AL7" s="340"/>
      <c r="AM7" s="341"/>
      <c r="AN7" s="84"/>
      <c r="AO7" s="375"/>
      <c r="AP7" s="376"/>
      <c r="AQ7" s="376"/>
      <c r="AR7" s="376"/>
      <c r="AS7" s="376"/>
      <c r="AT7" s="377"/>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c r="A8" s="84"/>
      <c r="B8" s="370"/>
      <c r="C8" s="370"/>
      <c r="D8" s="371"/>
      <c r="E8" s="362"/>
      <c r="F8" s="363"/>
      <c r="G8" s="363"/>
      <c r="H8" s="363"/>
      <c r="I8" s="364"/>
      <c r="J8" s="348" t="str">
        <f ca="1">IF(AND('Mapa final'!$J$24="Muy Alta",'Mapa final'!$N$24="Leve"),CONCATENATE("R",'Mapa final'!$A$24),"")</f>
        <v/>
      </c>
      <c r="K8" s="349"/>
      <c r="L8" s="350" t="str">
        <f ca="1">IF(AND('Mapa final'!$J$30="Muy Alta",'Mapa final'!$N$30="Leve"),CONCATENATE("R",'Mapa final'!$A$30),"")</f>
        <v/>
      </c>
      <c r="M8" s="350"/>
      <c r="N8" s="350" t="str">
        <f ca="1">IF(AND('Mapa final'!$J$36="Muy Alta",'Mapa final'!$N$36="Leve"),CONCATENATE("R",'Mapa final'!$A$36),"")</f>
        <v/>
      </c>
      <c r="O8" s="351"/>
      <c r="P8" s="348" t="str">
        <f ca="1">IF(AND('Mapa final'!$J$24="Muy Alta",'Mapa final'!$N$24="Menor"),CONCATENATE("R",'Mapa final'!$A$24),"")</f>
        <v/>
      </c>
      <c r="Q8" s="349"/>
      <c r="R8" s="350" t="str">
        <f ca="1">IF(AND('Mapa final'!$J$30="Muy Alta",'Mapa final'!$N$30="Menor"),CONCATENATE("R",'Mapa final'!$A$30),"")</f>
        <v/>
      </c>
      <c r="S8" s="350"/>
      <c r="T8" s="350" t="str">
        <f ca="1">IF(AND('Mapa final'!$J$36="Muy Alta",'Mapa final'!$N$36="Menor"),CONCATENATE("R",'Mapa final'!$A$36),"")</f>
        <v/>
      </c>
      <c r="U8" s="351"/>
      <c r="V8" s="348" t="str">
        <f ca="1">IF(AND('Mapa final'!$J$24="Muy Alta",'Mapa final'!$N$24="Moderado"),CONCATENATE("R",'Mapa final'!$A$24),"")</f>
        <v/>
      </c>
      <c r="W8" s="349"/>
      <c r="X8" s="350" t="str">
        <f ca="1">IF(AND('Mapa final'!$J$30="Muy Alta",'Mapa final'!$N$30="Moderado"),CONCATENATE("R",'Mapa final'!$A$30),"")</f>
        <v/>
      </c>
      <c r="Y8" s="350"/>
      <c r="Z8" s="350" t="str">
        <f ca="1">IF(AND('Mapa final'!$J$36="Muy Alta",'Mapa final'!$N$36="Moderado"),CONCATENATE("R",'Mapa final'!$A$36),"")</f>
        <v/>
      </c>
      <c r="AA8" s="351"/>
      <c r="AB8" s="348" t="str">
        <f ca="1">IF(AND('Mapa final'!$J$24="Muy Alta",'Mapa final'!$N$24="Mayor"),CONCATENATE("R",'Mapa final'!$A$24),"")</f>
        <v/>
      </c>
      <c r="AC8" s="349"/>
      <c r="AD8" s="350" t="str">
        <f ca="1">IF(AND('Mapa final'!$J$30="Muy Alta",'Mapa final'!$N$30="Mayor"),CONCATENATE("R",'Mapa final'!$A$30),"")</f>
        <v/>
      </c>
      <c r="AE8" s="350"/>
      <c r="AF8" s="350" t="str">
        <f ca="1">IF(AND('Mapa final'!$J$36="Muy Alta",'Mapa final'!$N$36="Mayor"),CONCATENATE("R",'Mapa final'!$A$36),"")</f>
        <v/>
      </c>
      <c r="AG8" s="351"/>
      <c r="AH8" s="339" t="str">
        <f ca="1">IF(AND('Mapa final'!$J$24="Muy Alta",'Mapa final'!$N$24="Catastrófico"),CONCATENATE("R",'Mapa final'!$A$24),"")</f>
        <v/>
      </c>
      <c r="AI8" s="340"/>
      <c r="AJ8" s="340" t="str">
        <f ca="1">IF(AND('Mapa final'!$J$30="Muy Alta",'Mapa final'!$N$30="Catastrófico"),CONCATENATE("R",'Mapa final'!$A$30),"")</f>
        <v/>
      </c>
      <c r="AK8" s="340"/>
      <c r="AL8" s="340" t="str">
        <f ca="1">IF(AND('Mapa final'!$J$36="Muy Alta",'Mapa final'!$N$36="Catastrófico"),CONCATENATE("R",'Mapa final'!$A$36),"")</f>
        <v/>
      </c>
      <c r="AM8" s="341"/>
      <c r="AN8" s="84"/>
      <c r="AO8" s="375"/>
      <c r="AP8" s="376"/>
      <c r="AQ8" s="376"/>
      <c r="AR8" s="376"/>
      <c r="AS8" s="376"/>
      <c r="AT8" s="377"/>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c r="A9" s="84"/>
      <c r="B9" s="370"/>
      <c r="C9" s="370"/>
      <c r="D9" s="371"/>
      <c r="E9" s="362"/>
      <c r="F9" s="363"/>
      <c r="G9" s="363"/>
      <c r="H9" s="363"/>
      <c r="I9" s="364"/>
      <c r="J9" s="348"/>
      <c r="K9" s="349"/>
      <c r="L9" s="350"/>
      <c r="M9" s="350"/>
      <c r="N9" s="350"/>
      <c r="O9" s="351"/>
      <c r="P9" s="348"/>
      <c r="Q9" s="349"/>
      <c r="R9" s="350"/>
      <c r="S9" s="350"/>
      <c r="T9" s="350"/>
      <c r="U9" s="351"/>
      <c r="V9" s="348"/>
      <c r="W9" s="349"/>
      <c r="X9" s="350"/>
      <c r="Y9" s="350"/>
      <c r="Z9" s="350"/>
      <c r="AA9" s="351"/>
      <c r="AB9" s="348"/>
      <c r="AC9" s="349"/>
      <c r="AD9" s="350"/>
      <c r="AE9" s="350"/>
      <c r="AF9" s="350"/>
      <c r="AG9" s="351"/>
      <c r="AH9" s="339"/>
      <c r="AI9" s="340"/>
      <c r="AJ9" s="340"/>
      <c r="AK9" s="340"/>
      <c r="AL9" s="340"/>
      <c r="AM9" s="341"/>
      <c r="AN9" s="84"/>
      <c r="AO9" s="375"/>
      <c r="AP9" s="376"/>
      <c r="AQ9" s="376"/>
      <c r="AR9" s="376"/>
      <c r="AS9" s="376"/>
      <c r="AT9" s="377"/>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c r="A10" s="84"/>
      <c r="B10" s="370"/>
      <c r="C10" s="370"/>
      <c r="D10" s="371"/>
      <c r="E10" s="362"/>
      <c r="F10" s="363"/>
      <c r="G10" s="363"/>
      <c r="H10" s="363"/>
      <c r="I10" s="364"/>
      <c r="J10" s="348" t="str">
        <f ca="1">IF(AND('Mapa final'!$J$42="Muy Alta",'Mapa final'!$N$42="Leve"),CONCATENATE("R",'Mapa final'!$A$42),"")</f>
        <v/>
      </c>
      <c r="K10" s="349"/>
      <c r="L10" s="350" t="str">
        <f ca="1">IF(AND('Mapa final'!$J$48="Muy Alta",'Mapa final'!$N$48="Leve"),CONCATENATE("R",'Mapa final'!$A$48),"")</f>
        <v/>
      </c>
      <c r="M10" s="350"/>
      <c r="N10" s="350" t="str">
        <f ca="1">IF(AND('Mapa final'!$J$54="Muy Alta",'Mapa final'!$N$54="Leve"),CONCATENATE("R",'Mapa final'!$A$54),"")</f>
        <v/>
      </c>
      <c r="O10" s="351"/>
      <c r="P10" s="348" t="str">
        <f ca="1">IF(AND('Mapa final'!$J$42="Muy Alta",'Mapa final'!$N$42="Menor"),CONCATENATE("R",'Mapa final'!$A$42),"")</f>
        <v/>
      </c>
      <c r="Q10" s="349"/>
      <c r="R10" s="350" t="str">
        <f ca="1">IF(AND('Mapa final'!$J$48="Muy Alta",'Mapa final'!$N$48="Menor"),CONCATENATE("R",'Mapa final'!$A$48),"")</f>
        <v/>
      </c>
      <c r="S10" s="350"/>
      <c r="T10" s="350" t="str">
        <f ca="1">IF(AND('Mapa final'!$J$54="Muy Alta",'Mapa final'!$N$54="Menor"),CONCATENATE("R",'Mapa final'!$A$54),"")</f>
        <v/>
      </c>
      <c r="U10" s="351"/>
      <c r="V10" s="348" t="str">
        <f ca="1">IF(AND('Mapa final'!$J$42="Muy Alta",'Mapa final'!$N$42="Moderado"),CONCATENATE("R",'Mapa final'!$A$42),"")</f>
        <v/>
      </c>
      <c r="W10" s="349"/>
      <c r="X10" s="350" t="str">
        <f ca="1">IF(AND('Mapa final'!$J$48="Muy Alta",'Mapa final'!$N$48="Moderado"),CONCATENATE("R",'Mapa final'!$A$48),"")</f>
        <v/>
      </c>
      <c r="Y10" s="350"/>
      <c r="Z10" s="350" t="str">
        <f ca="1">IF(AND('Mapa final'!$J$54="Muy Alta",'Mapa final'!$N$54="Moderado"),CONCATENATE("R",'Mapa final'!$A$54),"")</f>
        <v/>
      </c>
      <c r="AA10" s="351"/>
      <c r="AB10" s="348" t="str">
        <f ca="1">IF(AND('Mapa final'!$J$42="Muy Alta",'Mapa final'!$N$42="Mayor"),CONCATENATE("R",'Mapa final'!$A$42),"")</f>
        <v/>
      </c>
      <c r="AC10" s="349"/>
      <c r="AD10" s="350" t="str">
        <f ca="1">IF(AND('Mapa final'!$J$48="Muy Alta",'Mapa final'!$N$48="Mayor"),CONCATENATE("R",'Mapa final'!$A$48),"")</f>
        <v/>
      </c>
      <c r="AE10" s="350"/>
      <c r="AF10" s="350" t="str">
        <f ca="1">IF(AND('Mapa final'!$J$54="Muy Alta",'Mapa final'!$N$54="Mayor"),CONCATENATE("R",'Mapa final'!$A$54),"")</f>
        <v/>
      </c>
      <c r="AG10" s="351"/>
      <c r="AH10" s="339" t="str">
        <f ca="1">IF(AND('Mapa final'!$J$42="Muy Alta",'Mapa final'!$N$42="Catastrófico"),CONCATENATE("R",'Mapa final'!$A$42),"")</f>
        <v/>
      </c>
      <c r="AI10" s="340"/>
      <c r="AJ10" s="340" t="str">
        <f ca="1">IF(AND('Mapa final'!$J$48="Muy Alta",'Mapa final'!$N$48="Catastrófico"),CONCATENATE("R",'Mapa final'!$A$48),"")</f>
        <v/>
      </c>
      <c r="AK10" s="340"/>
      <c r="AL10" s="340" t="str">
        <f ca="1">IF(AND('Mapa final'!$J$54="Muy Alta",'Mapa final'!$N$54="Catastrófico"),CONCATENATE("R",'Mapa final'!$A$54),"")</f>
        <v/>
      </c>
      <c r="AM10" s="341"/>
      <c r="AN10" s="84"/>
      <c r="AO10" s="375"/>
      <c r="AP10" s="376"/>
      <c r="AQ10" s="376"/>
      <c r="AR10" s="376"/>
      <c r="AS10" s="376"/>
      <c r="AT10" s="377"/>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c r="A11" s="84"/>
      <c r="B11" s="370"/>
      <c r="C11" s="370"/>
      <c r="D11" s="371"/>
      <c r="E11" s="362"/>
      <c r="F11" s="363"/>
      <c r="G11" s="363"/>
      <c r="H11" s="363"/>
      <c r="I11" s="364"/>
      <c r="J11" s="348"/>
      <c r="K11" s="349"/>
      <c r="L11" s="350"/>
      <c r="M11" s="350"/>
      <c r="N11" s="350"/>
      <c r="O11" s="351"/>
      <c r="P11" s="348"/>
      <c r="Q11" s="349"/>
      <c r="R11" s="350"/>
      <c r="S11" s="350"/>
      <c r="T11" s="350"/>
      <c r="U11" s="351"/>
      <c r="V11" s="348"/>
      <c r="W11" s="349"/>
      <c r="X11" s="350"/>
      <c r="Y11" s="350"/>
      <c r="Z11" s="350"/>
      <c r="AA11" s="351"/>
      <c r="AB11" s="348"/>
      <c r="AC11" s="349"/>
      <c r="AD11" s="350"/>
      <c r="AE11" s="350"/>
      <c r="AF11" s="350"/>
      <c r="AG11" s="351"/>
      <c r="AH11" s="339"/>
      <c r="AI11" s="340"/>
      <c r="AJ11" s="340"/>
      <c r="AK11" s="340"/>
      <c r="AL11" s="340"/>
      <c r="AM11" s="341"/>
      <c r="AN11" s="84"/>
      <c r="AO11" s="375"/>
      <c r="AP11" s="376"/>
      <c r="AQ11" s="376"/>
      <c r="AR11" s="376"/>
      <c r="AS11" s="376"/>
      <c r="AT11" s="377"/>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c r="A12" s="84"/>
      <c r="B12" s="370"/>
      <c r="C12" s="370"/>
      <c r="D12" s="371"/>
      <c r="E12" s="362"/>
      <c r="F12" s="363"/>
      <c r="G12" s="363"/>
      <c r="H12" s="363"/>
      <c r="I12" s="364"/>
      <c r="J12" s="348" t="str">
        <f ca="1">IF(AND('Mapa final'!$J$60="Muy Alta",'Mapa final'!$N$60="Leve"),CONCATENATE("R",'Mapa final'!$A$60),"")</f>
        <v/>
      </c>
      <c r="K12" s="349"/>
      <c r="L12" s="350" t="str">
        <f>IF(AND('Mapa final'!$J$66="Muy Alta",'Mapa final'!$N$66="Leve"),CONCATENATE("R",'Mapa final'!$A$66),"")</f>
        <v/>
      </c>
      <c r="M12" s="350"/>
      <c r="N12" s="350" t="str">
        <f>IF(AND('Mapa final'!$J$72="Muy Alta",'Mapa final'!$N$72="Leve"),CONCATENATE("R",'Mapa final'!$A$72),"")</f>
        <v/>
      </c>
      <c r="O12" s="351"/>
      <c r="P12" s="348" t="str">
        <f ca="1">IF(AND('Mapa final'!$J$60="Muy Alta",'Mapa final'!$N$60="Menor"),CONCATENATE("R",'Mapa final'!$A$60),"")</f>
        <v/>
      </c>
      <c r="Q12" s="349"/>
      <c r="R12" s="350" t="str">
        <f>IF(AND('Mapa final'!$J$66="Muy Alta",'Mapa final'!$N$66="Menor"),CONCATENATE("R",'Mapa final'!$A$66),"")</f>
        <v/>
      </c>
      <c r="S12" s="350"/>
      <c r="T12" s="350" t="str">
        <f>IF(AND('Mapa final'!$J$72="Muy Alta",'Mapa final'!$N$72="Menor"),CONCATENATE("R",'Mapa final'!$A$72),"")</f>
        <v/>
      </c>
      <c r="U12" s="351"/>
      <c r="V12" s="348" t="str">
        <f ca="1">IF(AND('Mapa final'!$J$60="Muy Alta",'Mapa final'!$N$60="Moderado"),CONCATENATE("R",'Mapa final'!$A$60),"")</f>
        <v/>
      </c>
      <c r="W12" s="349"/>
      <c r="X12" s="350" t="str">
        <f>IF(AND('Mapa final'!$J$66="Muy Alta",'Mapa final'!$N$66="Moderado"),CONCATENATE("R",'Mapa final'!$A$66),"")</f>
        <v/>
      </c>
      <c r="Y12" s="350"/>
      <c r="Z12" s="350" t="str">
        <f>IF(AND('Mapa final'!$J$72="Muy Alta",'Mapa final'!$N$72="Moderado"),CONCATENATE("R",'Mapa final'!$A$72),"")</f>
        <v/>
      </c>
      <c r="AA12" s="351"/>
      <c r="AB12" s="348" t="str">
        <f ca="1">IF(AND('Mapa final'!$J$60="Muy Alta",'Mapa final'!$N$60="Mayor"),CONCATENATE("R",'Mapa final'!$A$60),"")</f>
        <v/>
      </c>
      <c r="AC12" s="349"/>
      <c r="AD12" s="350" t="str">
        <f>IF(AND('Mapa final'!$J$66="Muy Alta",'Mapa final'!$N$66="Mayor"),CONCATENATE("R",'Mapa final'!$A$66),"")</f>
        <v/>
      </c>
      <c r="AE12" s="350"/>
      <c r="AF12" s="350" t="str">
        <f>IF(AND('Mapa final'!$J$72="Muy Alta",'Mapa final'!$N$72="Mayor"),CONCATENATE("R",'Mapa final'!$A$72),"")</f>
        <v/>
      </c>
      <c r="AG12" s="351"/>
      <c r="AH12" s="339" t="str">
        <f ca="1">IF(AND('Mapa final'!$J$60="Muy Alta",'Mapa final'!$N$60="Catastrófico"),CONCATENATE("R",'Mapa final'!$A$60),"")</f>
        <v/>
      </c>
      <c r="AI12" s="340"/>
      <c r="AJ12" s="340" t="str">
        <f>IF(AND('Mapa final'!$J$66="Muy Alta",'Mapa final'!$N$66="Catastrófico"),CONCATENATE("R",'Mapa final'!$A$66),"")</f>
        <v/>
      </c>
      <c r="AK12" s="340"/>
      <c r="AL12" s="340" t="str">
        <f>IF(AND('Mapa final'!$J$72="Muy Alta",'Mapa final'!$N$72="Catastrófico"),CONCATENATE("R",'Mapa final'!$A$72),"")</f>
        <v/>
      </c>
      <c r="AM12" s="341"/>
      <c r="AN12" s="84"/>
      <c r="AO12" s="375"/>
      <c r="AP12" s="376"/>
      <c r="AQ12" s="376"/>
      <c r="AR12" s="376"/>
      <c r="AS12" s="376"/>
      <c r="AT12" s="377"/>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c r="A13" s="84"/>
      <c r="B13" s="370"/>
      <c r="C13" s="370"/>
      <c r="D13" s="371"/>
      <c r="E13" s="365"/>
      <c r="F13" s="366"/>
      <c r="G13" s="366"/>
      <c r="H13" s="366"/>
      <c r="I13" s="367"/>
      <c r="J13" s="348"/>
      <c r="K13" s="349"/>
      <c r="L13" s="349"/>
      <c r="M13" s="349"/>
      <c r="N13" s="349"/>
      <c r="O13" s="351"/>
      <c r="P13" s="348"/>
      <c r="Q13" s="349"/>
      <c r="R13" s="349"/>
      <c r="S13" s="349"/>
      <c r="T13" s="349"/>
      <c r="U13" s="351"/>
      <c r="V13" s="348"/>
      <c r="W13" s="349"/>
      <c r="X13" s="349"/>
      <c r="Y13" s="349"/>
      <c r="Z13" s="349"/>
      <c r="AA13" s="351"/>
      <c r="AB13" s="348"/>
      <c r="AC13" s="349"/>
      <c r="AD13" s="349"/>
      <c r="AE13" s="349"/>
      <c r="AF13" s="349"/>
      <c r="AG13" s="351"/>
      <c r="AH13" s="342"/>
      <c r="AI13" s="343"/>
      <c r="AJ13" s="343"/>
      <c r="AK13" s="343"/>
      <c r="AL13" s="343"/>
      <c r="AM13" s="344"/>
      <c r="AN13" s="84"/>
      <c r="AO13" s="378"/>
      <c r="AP13" s="379"/>
      <c r="AQ13" s="379"/>
      <c r="AR13" s="379"/>
      <c r="AS13" s="379"/>
      <c r="AT13" s="38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c r="A14" s="84"/>
      <c r="B14" s="370"/>
      <c r="C14" s="370"/>
      <c r="D14" s="371"/>
      <c r="E14" s="359" t="s">
        <v>115</v>
      </c>
      <c r="F14" s="360"/>
      <c r="G14" s="360"/>
      <c r="H14" s="360"/>
      <c r="I14" s="360"/>
      <c r="J14" s="336" t="str">
        <f ca="1">IF(AND('Mapa final'!$J$10="Alta",'Mapa final'!$N$10="Leve"),CONCATENATE("R",'Mapa final'!$A$10),"")</f>
        <v/>
      </c>
      <c r="K14" s="337"/>
      <c r="L14" s="337" t="str">
        <f ca="1">IF(AND('Mapa final'!$J$14="Alta",'Mapa final'!$N$14="Leve"),CONCATENATE("R",'Mapa final'!$A$14),"")</f>
        <v/>
      </c>
      <c r="M14" s="337"/>
      <c r="N14" s="337" t="str">
        <f ca="1">IF(AND('Mapa final'!$J$18="Alta",'Mapa final'!$N$18="Leve"),CONCATENATE("R",'Mapa final'!$A$18),"")</f>
        <v/>
      </c>
      <c r="O14" s="338"/>
      <c r="P14" s="336" t="str">
        <f ca="1">IF(AND('Mapa final'!$J$10="Alta",'Mapa final'!$N$10="Menor"),CONCATENATE("R",'Mapa final'!$A$10),"")</f>
        <v/>
      </c>
      <c r="Q14" s="337"/>
      <c r="R14" s="337" t="str">
        <f ca="1">IF(AND('Mapa final'!$J$14="Alta",'Mapa final'!$N$14="Menor"),CONCATENATE("R",'Mapa final'!$A$14),"")</f>
        <v/>
      </c>
      <c r="S14" s="337"/>
      <c r="T14" s="337" t="str">
        <f ca="1">IF(AND('Mapa final'!$J$18="Alta",'Mapa final'!$N$18="Menor"),CONCATENATE("R",'Mapa final'!$A$18),"")</f>
        <v/>
      </c>
      <c r="U14" s="338"/>
      <c r="V14" s="355" t="str">
        <f ca="1">IF(AND('Mapa final'!$J$10="Alta",'Mapa final'!$N$10="Moderado"),CONCATENATE("R",'Mapa final'!$A$10),"")</f>
        <v/>
      </c>
      <c r="W14" s="356"/>
      <c r="X14" s="356" t="str">
        <f ca="1">IF(AND('Mapa final'!$J$14="Alta",'Mapa final'!$N$14="Moderado"),CONCATENATE("R",'Mapa final'!$A$14),"")</f>
        <v/>
      </c>
      <c r="Y14" s="356"/>
      <c r="Z14" s="356" t="str">
        <f ca="1">IF(AND('Mapa final'!$J$18="Alta",'Mapa final'!$N$18="Moderado"),CONCATENATE("R",'Mapa final'!$A$18),"")</f>
        <v/>
      </c>
      <c r="AA14" s="357"/>
      <c r="AB14" s="355" t="str">
        <f ca="1">IF(AND('Mapa final'!$J$10="Alta",'Mapa final'!$N$10="Mayor"),CONCATENATE("R",'Mapa final'!$A$10),"")</f>
        <v/>
      </c>
      <c r="AC14" s="356"/>
      <c r="AD14" s="356" t="str">
        <f ca="1">IF(AND('Mapa final'!$J$14="Alta",'Mapa final'!$N$14="Mayor"),CONCATENATE("R",'Mapa final'!$A$14),"")</f>
        <v/>
      </c>
      <c r="AE14" s="356"/>
      <c r="AF14" s="356" t="str">
        <f ca="1">IF(AND('Mapa final'!$J$18="Alta",'Mapa final'!$N$18="Mayor"),CONCATENATE("R",'Mapa final'!$A$18),"")</f>
        <v/>
      </c>
      <c r="AG14" s="357"/>
      <c r="AH14" s="345" t="str">
        <f ca="1">IF(AND('Mapa final'!$J$10="Alta",'Mapa final'!$N$10="Catastrófico"),CONCATENATE("R",'Mapa final'!$A$10),"")</f>
        <v/>
      </c>
      <c r="AI14" s="346"/>
      <c r="AJ14" s="346" t="str">
        <f ca="1">IF(AND('Mapa final'!$J$14="Alta",'Mapa final'!$N$14="Catastrófico"),CONCATENATE("R",'Mapa final'!$A$14),"")</f>
        <v/>
      </c>
      <c r="AK14" s="346"/>
      <c r="AL14" s="346" t="str">
        <f ca="1">IF(AND('Mapa final'!$J$18="Alta",'Mapa final'!$N$18="Catastrófico"),CONCATENATE("R",'Mapa final'!$A$18),"")</f>
        <v/>
      </c>
      <c r="AM14" s="347"/>
      <c r="AN14" s="84"/>
      <c r="AO14" s="381" t="s">
        <v>80</v>
      </c>
      <c r="AP14" s="382"/>
      <c r="AQ14" s="382"/>
      <c r="AR14" s="382"/>
      <c r="AS14" s="382"/>
      <c r="AT14" s="383"/>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c r="A15" s="84"/>
      <c r="B15" s="370"/>
      <c r="C15" s="370"/>
      <c r="D15" s="371"/>
      <c r="E15" s="362"/>
      <c r="F15" s="363"/>
      <c r="G15" s="363"/>
      <c r="H15" s="363"/>
      <c r="I15" s="368"/>
      <c r="J15" s="330"/>
      <c r="K15" s="331"/>
      <c r="L15" s="331"/>
      <c r="M15" s="331"/>
      <c r="N15" s="331"/>
      <c r="O15" s="332"/>
      <c r="P15" s="330"/>
      <c r="Q15" s="331"/>
      <c r="R15" s="331"/>
      <c r="S15" s="331"/>
      <c r="T15" s="331"/>
      <c r="U15" s="332"/>
      <c r="V15" s="348"/>
      <c r="W15" s="349"/>
      <c r="X15" s="349"/>
      <c r="Y15" s="349"/>
      <c r="Z15" s="349"/>
      <c r="AA15" s="351"/>
      <c r="AB15" s="348"/>
      <c r="AC15" s="349"/>
      <c r="AD15" s="349"/>
      <c r="AE15" s="349"/>
      <c r="AF15" s="349"/>
      <c r="AG15" s="351"/>
      <c r="AH15" s="339"/>
      <c r="AI15" s="340"/>
      <c r="AJ15" s="340"/>
      <c r="AK15" s="340"/>
      <c r="AL15" s="340"/>
      <c r="AM15" s="341"/>
      <c r="AN15" s="84"/>
      <c r="AO15" s="384"/>
      <c r="AP15" s="385"/>
      <c r="AQ15" s="385"/>
      <c r="AR15" s="385"/>
      <c r="AS15" s="385"/>
      <c r="AT15" s="386"/>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c r="A16" s="84"/>
      <c r="B16" s="370"/>
      <c r="C16" s="370"/>
      <c r="D16" s="371"/>
      <c r="E16" s="362"/>
      <c r="F16" s="363"/>
      <c r="G16" s="363"/>
      <c r="H16" s="363"/>
      <c r="I16" s="368"/>
      <c r="J16" s="330" t="str">
        <f ca="1">IF(AND('Mapa final'!$J$24="Alta",'Mapa final'!$N$24="Leve"),CONCATENATE("R",'Mapa final'!$A$24),"")</f>
        <v/>
      </c>
      <c r="K16" s="331"/>
      <c r="L16" s="331" t="str">
        <f ca="1">IF(AND('Mapa final'!$J$30="Alta",'Mapa final'!$N$30="Leve"),CONCATENATE("R",'Mapa final'!$A$30),"")</f>
        <v/>
      </c>
      <c r="M16" s="331"/>
      <c r="N16" s="331" t="str">
        <f ca="1">IF(AND('Mapa final'!$J$36="Alta",'Mapa final'!$N$36="Leve"),CONCATENATE("R",'Mapa final'!$A$36),"")</f>
        <v/>
      </c>
      <c r="O16" s="332"/>
      <c r="P16" s="330" t="str">
        <f ca="1">IF(AND('Mapa final'!$J$24="Alta",'Mapa final'!$N$24="Menor"),CONCATENATE("R",'Mapa final'!$A$24),"")</f>
        <v/>
      </c>
      <c r="Q16" s="331"/>
      <c r="R16" s="331" t="str">
        <f ca="1">IF(AND('Mapa final'!$J$30="Alta",'Mapa final'!$N$30="Menor"),CONCATENATE("R",'Mapa final'!$A$30),"")</f>
        <v/>
      </c>
      <c r="S16" s="331"/>
      <c r="T16" s="331" t="str">
        <f ca="1">IF(AND('Mapa final'!$J$36="Alta",'Mapa final'!$N$36="Menor"),CONCATENATE("R",'Mapa final'!$A$36),"")</f>
        <v/>
      </c>
      <c r="U16" s="332"/>
      <c r="V16" s="348" t="str">
        <f ca="1">IF(AND('Mapa final'!$J$24="Alta",'Mapa final'!$N$24="Moderado"),CONCATENATE("R",'Mapa final'!$A$24),"")</f>
        <v/>
      </c>
      <c r="W16" s="349"/>
      <c r="X16" s="350" t="str">
        <f ca="1">IF(AND('Mapa final'!$J$30="Alta",'Mapa final'!$N$30="Moderado"),CONCATENATE("R",'Mapa final'!$A$30),"")</f>
        <v/>
      </c>
      <c r="Y16" s="350"/>
      <c r="Z16" s="350" t="str">
        <f ca="1">IF(AND('Mapa final'!$J$36="Alta",'Mapa final'!$N$36="Moderado"),CONCATENATE("R",'Mapa final'!$A$36),"")</f>
        <v/>
      </c>
      <c r="AA16" s="351"/>
      <c r="AB16" s="348" t="str">
        <f ca="1">IF(AND('Mapa final'!$J$24="Alta",'Mapa final'!$N$24="Mayor"),CONCATENATE("R",'Mapa final'!$A$24),"")</f>
        <v/>
      </c>
      <c r="AC16" s="349"/>
      <c r="AD16" s="350" t="str">
        <f ca="1">IF(AND('Mapa final'!$J$30="Alta",'Mapa final'!$N$30="Mayor"),CONCATENATE("R",'Mapa final'!$A$30),"")</f>
        <v/>
      </c>
      <c r="AE16" s="350"/>
      <c r="AF16" s="350" t="str">
        <f ca="1">IF(AND('Mapa final'!$J$36="Alta",'Mapa final'!$N$36="Mayor"),CONCATENATE("R",'Mapa final'!$A$36),"")</f>
        <v/>
      </c>
      <c r="AG16" s="351"/>
      <c r="AH16" s="339" t="str">
        <f ca="1">IF(AND('Mapa final'!$J$24="Alta",'Mapa final'!$N$24="Catastrófico"),CONCATENATE("R",'Mapa final'!$A$24),"")</f>
        <v/>
      </c>
      <c r="AI16" s="340"/>
      <c r="AJ16" s="340" t="str">
        <f ca="1">IF(AND('Mapa final'!$J$30="Alta",'Mapa final'!$N$30="Catastrófico"),CONCATENATE("R",'Mapa final'!$A$30),"")</f>
        <v/>
      </c>
      <c r="AK16" s="340"/>
      <c r="AL16" s="340" t="str">
        <f ca="1">IF(AND('Mapa final'!$J$36="Alta",'Mapa final'!$N$36="Catastrófico"),CONCATENATE("R",'Mapa final'!$A$36),"")</f>
        <v/>
      </c>
      <c r="AM16" s="341"/>
      <c r="AN16" s="84"/>
      <c r="AO16" s="384"/>
      <c r="AP16" s="385"/>
      <c r="AQ16" s="385"/>
      <c r="AR16" s="385"/>
      <c r="AS16" s="385"/>
      <c r="AT16" s="386"/>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c r="A17" s="84"/>
      <c r="B17" s="370"/>
      <c r="C17" s="370"/>
      <c r="D17" s="371"/>
      <c r="E17" s="362"/>
      <c r="F17" s="363"/>
      <c r="G17" s="363"/>
      <c r="H17" s="363"/>
      <c r="I17" s="368"/>
      <c r="J17" s="330"/>
      <c r="K17" s="331"/>
      <c r="L17" s="331"/>
      <c r="M17" s="331"/>
      <c r="N17" s="331"/>
      <c r="O17" s="332"/>
      <c r="P17" s="330"/>
      <c r="Q17" s="331"/>
      <c r="R17" s="331"/>
      <c r="S17" s="331"/>
      <c r="T17" s="331"/>
      <c r="U17" s="332"/>
      <c r="V17" s="348"/>
      <c r="W17" s="349"/>
      <c r="X17" s="350"/>
      <c r="Y17" s="350"/>
      <c r="Z17" s="350"/>
      <c r="AA17" s="351"/>
      <c r="AB17" s="348"/>
      <c r="AC17" s="349"/>
      <c r="AD17" s="350"/>
      <c r="AE17" s="350"/>
      <c r="AF17" s="350"/>
      <c r="AG17" s="351"/>
      <c r="AH17" s="339"/>
      <c r="AI17" s="340"/>
      <c r="AJ17" s="340"/>
      <c r="AK17" s="340"/>
      <c r="AL17" s="340"/>
      <c r="AM17" s="341"/>
      <c r="AN17" s="84"/>
      <c r="AO17" s="384"/>
      <c r="AP17" s="385"/>
      <c r="AQ17" s="385"/>
      <c r="AR17" s="385"/>
      <c r="AS17" s="385"/>
      <c r="AT17" s="386"/>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c r="A18" s="84"/>
      <c r="B18" s="370"/>
      <c r="C18" s="370"/>
      <c r="D18" s="371"/>
      <c r="E18" s="362"/>
      <c r="F18" s="363"/>
      <c r="G18" s="363"/>
      <c r="H18" s="363"/>
      <c r="I18" s="368"/>
      <c r="J18" s="330" t="str">
        <f ca="1">IF(AND('Mapa final'!$J$42="Alta",'Mapa final'!$N$42="Leve"),CONCATENATE("R",'Mapa final'!$A$42),"")</f>
        <v/>
      </c>
      <c r="K18" s="331"/>
      <c r="L18" s="331" t="str">
        <f ca="1">IF(AND('Mapa final'!$J$48="Alta",'Mapa final'!$N$48="Leve"),CONCATENATE("R",'Mapa final'!$A$48),"")</f>
        <v/>
      </c>
      <c r="M18" s="331"/>
      <c r="N18" s="331" t="str">
        <f ca="1">IF(AND('Mapa final'!$J$54="Alta",'Mapa final'!$N$54="Leve"),CONCATENATE("R",'Mapa final'!$A$54),"")</f>
        <v/>
      </c>
      <c r="O18" s="332"/>
      <c r="P18" s="330" t="str">
        <f ca="1">IF(AND('Mapa final'!$J$42="Alta",'Mapa final'!$N$42="Menor"),CONCATENATE("R",'Mapa final'!$A$42),"")</f>
        <v/>
      </c>
      <c r="Q18" s="331"/>
      <c r="R18" s="331" t="str">
        <f ca="1">IF(AND('Mapa final'!$J$48="Alta",'Mapa final'!$N$48="Menor"),CONCATENATE("R",'Mapa final'!$A$48),"")</f>
        <v/>
      </c>
      <c r="S18" s="331"/>
      <c r="T18" s="331" t="str">
        <f ca="1">IF(AND('Mapa final'!$J$54="Alta",'Mapa final'!$N$54="Menor"),CONCATENATE("R",'Mapa final'!$A$54),"")</f>
        <v/>
      </c>
      <c r="U18" s="332"/>
      <c r="V18" s="348" t="str">
        <f ca="1">IF(AND('Mapa final'!$J$42="Alta",'Mapa final'!$N$42="Moderado"),CONCATENATE("R",'Mapa final'!$A$42),"")</f>
        <v/>
      </c>
      <c r="W18" s="349"/>
      <c r="X18" s="350" t="str">
        <f ca="1">IF(AND('Mapa final'!$J$48="Alta",'Mapa final'!$N$48="Moderado"),CONCATENATE("R",'Mapa final'!$A$48),"")</f>
        <v/>
      </c>
      <c r="Y18" s="350"/>
      <c r="Z18" s="350" t="str">
        <f ca="1">IF(AND('Mapa final'!$J$54="Alta",'Mapa final'!$N$54="Moderado"),CONCATENATE("R",'Mapa final'!$A$54),"")</f>
        <v/>
      </c>
      <c r="AA18" s="351"/>
      <c r="AB18" s="348" t="str">
        <f ca="1">IF(AND('Mapa final'!$J$42="Alta",'Mapa final'!$N$42="Mayor"),CONCATENATE("R",'Mapa final'!$A$42),"")</f>
        <v/>
      </c>
      <c r="AC18" s="349"/>
      <c r="AD18" s="350" t="str">
        <f ca="1">IF(AND('Mapa final'!$J$48="Alta",'Mapa final'!$N$48="Mayor"),CONCATENATE("R",'Mapa final'!$A$48),"")</f>
        <v/>
      </c>
      <c r="AE18" s="350"/>
      <c r="AF18" s="350" t="str">
        <f ca="1">IF(AND('Mapa final'!$J$54="Alta",'Mapa final'!$N$54="Mayor"),CONCATENATE("R",'Mapa final'!$A$54),"")</f>
        <v/>
      </c>
      <c r="AG18" s="351"/>
      <c r="AH18" s="339" t="str">
        <f ca="1">IF(AND('Mapa final'!$J$42="Alta",'Mapa final'!$N$42="Catastrófico"),CONCATENATE("R",'Mapa final'!$A$42),"")</f>
        <v/>
      </c>
      <c r="AI18" s="340"/>
      <c r="AJ18" s="340" t="str">
        <f ca="1">IF(AND('Mapa final'!$J$48="Alta",'Mapa final'!$N$48="Catastrófico"),CONCATENATE("R",'Mapa final'!$A$48),"")</f>
        <v/>
      </c>
      <c r="AK18" s="340"/>
      <c r="AL18" s="340" t="str">
        <f ca="1">IF(AND('Mapa final'!$J$54="Alta",'Mapa final'!$N$54="Catastrófico"),CONCATENATE("R",'Mapa final'!$A$54),"")</f>
        <v/>
      </c>
      <c r="AM18" s="341"/>
      <c r="AN18" s="84"/>
      <c r="AO18" s="384"/>
      <c r="AP18" s="385"/>
      <c r="AQ18" s="385"/>
      <c r="AR18" s="385"/>
      <c r="AS18" s="385"/>
      <c r="AT18" s="386"/>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c r="A19" s="84"/>
      <c r="B19" s="370"/>
      <c r="C19" s="370"/>
      <c r="D19" s="371"/>
      <c r="E19" s="362"/>
      <c r="F19" s="363"/>
      <c r="G19" s="363"/>
      <c r="H19" s="363"/>
      <c r="I19" s="368"/>
      <c r="J19" s="330"/>
      <c r="K19" s="331"/>
      <c r="L19" s="331"/>
      <c r="M19" s="331"/>
      <c r="N19" s="331"/>
      <c r="O19" s="332"/>
      <c r="P19" s="330"/>
      <c r="Q19" s="331"/>
      <c r="R19" s="331"/>
      <c r="S19" s="331"/>
      <c r="T19" s="331"/>
      <c r="U19" s="332"/>
      <c r="V19" s="348"/>
      <c r="W19" s="349"/>
      <c r="X19" s="350"/>
      <c r="Y19" s="350"/>
      <c r="Z19" s="350"/>
      <c r="AA19" s="351"/>
      <c r="AB19" s="348"/>
      <c r="AC19" s="349"/>
      <c r="AD19" s="350"/>
      <c r="AE19" s="350"/>
      <c r="AF19" s="350"/>
      <c r="AG19" s="351"/>
      <c r="AH19" s="339"/>
      <c r="AI19" s="340"/>
      <c r="AJ19" s="340"/>
      <c r="AK19" s="340"/>
      <c r="AL19" s="340"/>
      <c r="AM19" s="341"/>
      <c r="AN19" s="84"/>
      <c r="AO19" s="384"/>
      <c r="AP19" s="385"/>
      <c r="AQ19" s="385"/>
      <c r="AR19" s="385"/>
      <c r="AS19" s="385"/>
      <c r="AT19" s="386"/>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c r="A20" s="84"/>
      <c r="B20" s="370"/>
      <c r="C20" s="370"/>
      <c r="D20" s="371"/>
      <c r="E20" s="362"/>
      <c r="F20" s="363"/>
      <c r="G20" s="363"/>
      <c r="H20" s="363"/>
      <c r="I20" s="368"/>
      <c r="J20" s="330" t="str">
        <f ca="1">IF(AND('Mapa final'!$J$60="Alta",'Mapa final'!$N$60="Leve"),CONCATENATE("R",'Mapa final'!$A$60),"")</f>
        <v/>
      </c>
      <c r="K20" s="331"/>
      <c r="L20" s="331" t="str">
        <f>IF(AND('Mapa final'!$J$66="Alta",'Mapa final'!$N$66="Leve"),CONCATENATE("R",'Mapa final'!$A$66),"")</f>
        <v/>
      </c>
      <c r="M20" s="331"/>
      <c r="N20" s="331" t="str">
        <f>IF(AND('Mapa final'!$J$72="Alta",'Mapa final'!$N$72="Leve"),CONCATENATE("R",'Mapa final'!$A$72),"")</f>
        <v/>
      </c>
      <c r="O20" s="332"/>
      <c r="P20" s="330" t="str">
        <f ca="1">IF(AND('Mapa final'!$J$60="Alta",'Mapa final'!$N$60="Menor"),CONCATENATE("R",'Mapa final'!$A$60),"")</f>
        <v/>
      </c>
      <c r="Q20" s="331"/>
      <c r="R20" s="331" t="str">
        <f>IF(AND('Mapa final'!$J$66="Alta",'Mapa final'!$N$66="Menor"),CONCATENATE("R",'Mapa final'!$A$66),"")</f>
        <v/>
      </c>
      <c r="S20" s="331"/>
      <c r="T20" s="331" t="str">
        <f>IF(AND('Mapa final'!$J$72="Alta",'Mapa final'!$N$72="Menor"),CONCATENATE("R",'Mapa final'!$A$72),"")</f>
        <v/>
      </c>
      <c r="U20" s="332"/>
      <c r="V20" s="348" t="str">
        <f ca="1">IF(AND('Mapa final'!$J$60="Alta",'Mapa final'!$N$60="Moderado"),CONCATENATE("R",'Mapa final'!$A$60),"")</f>
        <v/>
      </c>
      <c r="W20" s="349"/>
      <c r="X20" s="350" t="str">
        <f>IF(AND('Mapa final'!$J$66="Alta",'Mapa final'!$N$66="Moderado"),CONCATENATE("R",'Mapa final'!$A$66),"")</f>
        <v/>
      </c>
      <c r="Y20" s="350"/>
      <c r="Z20" s="350" t="str">
        <f>IF(AND('Mapa final'!$J$72="Alta",'Mapa final'!$N$72="Moderado"),CONCATENATE("R",'Mapa final'!$A$72),"")</f>
        <v/>
      </c>
      <c r="AA20" s="351"/>
      <c r="AB20" s="348" t="str">
        <f ca="1">IF(AND('Mapa final'!$J$60="Alta",'Mapa final'!$N$60="Mayor"),CONCATENATE("R",'Mapa final'!$A$60),"")</f>
        <v/>
      </c>
      <c r="AC20" s="349"/>
      <c r="AD20" s="350" t="str">
        <f>IF(AND('Mapa final'!$J$66="Alta",'Mapa final'!$N$66="Mayor"),CONCATENATE("R",'Mapa final'!$A$66),"")</f>
        <v/>
      </c>
      <c r="AE20" s="350"/>
      <c r="AF20" s="350" t="str">
        <f>IF(AND('Mapa final'!$J$72="Alta",'Mapa final'!$N$72="Mayor"),CONCATENATE("R",'Mapa final'!$A$72),"")</f>
        <v/>
      </c>
      <c r="AG20" s="351"/>
      <c r="AH20" s="339" t="str">
        <f ca="1">IF(AND('Mapa final'!$J$60="Alta",'Mapa final'!$N$60="Catastrófico"),CONCATENATE("R",'Mapa final'!$A$60),"")</f>
        <v/>
      </c>
      <c r="AI20" s="340"/>
      <c r="AJ20" s="340" t="str">
        <f>IF(AND('Mapa final'!$J$66="Alta",'Mapa final'!$N$66="Catastrófico"),CONCATENATE("R",'Mapa final'!$A$66),"")</f>
        <v/>
      </c>
      <c r="AK20" s="340"/>
      <c r="AL20" s="340" t="str">
        <f>IF(AND('Mapa final'!$J$72="Alta",'Mapa final'!$N$72="Catastrófico"),CONCATENATE("R",'Mapa final'!$A$72),"")</f>
        <v/>
      </c>
      <c r="AM20" s="341"/>
      <c r="AN20" s="84"/>
      <c r="AO20" s="384"/>
      <c r="AP20" s="385"/>
      <c r="AQ20" s="385"/>
      <c r="AR20" s="385"/>
      <c r="AS20" s="385"/>
      <c r="AT20" s="386"/>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c r="A21" s="84"/>
      <c r="B21" s="370"/>
      <c r="C21" s="370"/>
      <c r="D21" s="371"/>
      <c r="E21" s="365"/>
      <c r="F21" s="366"/>
      <c r="G21" s="366"/>
      <c r="H21" s="366"/>
      <c r="I21" s="366"/>
      <c r="J21" s="333"/>
      <c r="K21" s="334"/>
      <c r="L21" s="334"/>
      <c r="M21" s="334"/>
      <c r="N21" s="334"/>
      <c r="O21" s="335"/>
      <c r="P21" s="333"/>
      <c r="Q21" s="334"/>
      <c r="R21" s="334"/>
      <c r="S21" s="334"/>
      <c r="T21" s="334"/>
      <c r="U21" s="335"/>
      <c r="V21" s="352"/>
      <c r="W21" s="353"/>
      <c r="X21" s="353"/>
      <c r="Y21" s="353"/>
      <c r="Z21" s="353"/>
      <c r="AA21" s="354"/>
      <c r="AB21" s="352"/>
      <c r="AC21" s="353"/>
      <c r="AD21" s="353"/>
      <c r="AE21" s="353"/>
      <c r="AF21" s="353"/>
      <c r="AG21" s="354"/>
      <c r="AH21" s="342"/>
      <c r="AI21" s="343"/>
      <c r="AJ21" s="343"/>
      <c r="AK21" s="343"/>
      <c r="AL21" s="343"/>
      <c r="AM21" s="344"/>
      <c r="AN21" s="84"/>
      <c r="AO21" s="387"/>
      <c r="AP21" s="388"/>
      <c r="AQ21" s="388"/>
      <c r="AR21" s="388"/>
      <c r="AS21" s="388"/>
      <c r="AT21" s="389"/>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c r="A22" s="84"/>
      <c r="B22" s="370"/>
      <c r="C22" s="370"/>
      <c r="D22" s="371"/>
      <c r="E22" s="359" t="s">
        <v>117</v>
      </c>
      <c r="F22" s="360"/>
      <c r="G22" s="360"/>
      <c r="H22" s="360"/>
      <c r="I22" s="361"/>
      <c r="J22" s="336" t="str">
        <f ca="1">IF(AND('Mapa final'!$J$10="Media",'Mapa final'!$N$10="Leve"),CONCATENATE("R",'Mapa final'!$A$10),"")</f>
        <v/>
      </c>
      <c r="K22" s="337"/>
      <c r="L22" s="337" t="str">
        <f ca="1">IF(AND('Mapa final'!$J$14="Media",'Mapa final'!$N$14="Leve"),CONCATENATE("R",'Mapa final'!$A$14),"")</f>
        <v/>
      </c>
      <c r="M22" s="337"/>
      <c r="N22" s="337" t="str">
        <f ca="1">IF(AND('Mapa final'!$J$18="Media",'Mapa final'!$N$18="Leve"),CONCATENATE("R",'Mapa final'!$A$18),"")</f>
        <v/>
      </c>
      <c r="O22" s="338"/>
      <c r="P22" s="336" t="str">
        <f ca="1">IF(AND('Mapa final'!$J$10="Media",'Mapa final'!$N$10="Menor"),CONCATENATE("R",'Mapa final'!$A$10),"")</f>
        <v/>
      </c>
      <c r="Q22" s="337"/>
      <c r="R22" s="337" t="str">
        <f ca="1">IF(AND('Mapa final'!$J$14="Media",'Mapa final'!$N$14="Menor"),CONCATENATE("R",'Mapa final'!$A$14),"")</f>
        <v/>
      </c>
      <c r="S22" s="337"/>
      <c r="T22" s="337" t="str">
        <f ca="1">IF(AND('Mapa final'!$J$18="Media",'Mapa final'!$N$18="Menor"),CONCATENATE("R",'Mapa final'!$A$18),"")</f>
        <v/>
      </c>
      <c r="U22" s="338"/>
      <c r="V22" s="336" t="str">
        <f ca="1">IF(AND('Mapa final'!$J$10="Media",'Mapa final'!$N$10="Moderado"),CONCATENATE("R",'Mapa final'!$A$10),"")</f>
        <v/>
      </c>
      <c r="W22" s="337"/>
      <c r="X22" s="337" t="str">
        <f ca="1">IF(AND('Mapa final'!$J$14="Media",'Mapa final'!$N$14="Moderado"),CONCATENATE("R",'Mapa final'!$A$14),"")</f>
        <v/>
      </c>
      <c r="Y22" s="337"/>
      <c r="Z22" s="337" t="str">
        <f ca="1">IF(AND('Mapa final'!$J$18="Media",'Mapa final'!$N$18="Moderado"),CONCATENATE("R",'Mapa final'!$A$18),"")</f>
        <v/>
      </c>
      <c r="AA22" s="338"/>
      <c r="AB22" s="355" t="str">
        <f ca="1">IF(AND('Mapa final'!$J$10="Media",'Mapa final'!$N$10="Mayor"),CONCATENATE("R",'Mapa final'!$A$10),"")</f>
        <v>R1</v>
      </c>
      <c r="AC22" s="356"/>
      <c r="AD22" s="356" t="str">
        <f ca="1">IF(AND('Mapa final'!$J$14="Media",'Mapa final'!$N$14="Mayor"),CONCATENATE("R",'Mapa final'!$A$14),"")</f>
        <v/>
      </c>
      <c r="AE22" s="356"/>
      <c r="AF22" s="356" t="str">
        <f ca="1">IF(AND('Mapa final'!$J$18="Media",'Mapa final'!$N$18="Mayor"),CONCATENATE("R",'Mapa final'!$A$18),"")</f>
        <v/>
      </c>
      <c r="AG22" s="357"/>
      <c r="AH22" s="345" t="str">
        <f ca="1">IF(AND('Mapa final'!$J$10="Media",'Mapa final'!$N$10="Catastrófico"),CONCATENATE("R",'Mapa final'!$A$10),"")</f>
        <v/>
      </c>
      <c r="AI22" s="346"/>
      <c r="AJ22" s="346" t="str">
        <f ca="1">IF(AND('Mapa final'!$J$14="Media",'Mapa final'!$N$14="Catastrófico"),CONCATENATE("R",'Mapa final'!$A$14),"")</f>
        <v/>
      </c>
      <c r="AK22" s="346"/>
      <c r="AL22" s="346" t="str">
        <f ca="1">IF(AND('Mapa final'!$J$18="Media",'Mapa final'!$N$18="Catastrófico"),CONCATENATE("R",'Mapa final'!$A$18),"")</f>
        <v/>
      </c>
      <c r="AM22" s="347"/>
      <c r="AN22" s="84"/>
      <c r="AO22" s="390" t="s">
        <v>81</v>
      </c>
      <c r="AP22" s="391"/>
      <c r="AQ22" s="391"/>
      <c r="AR22" s="391"/>
      <c r="AS22" s="391"/>
      <c r="AT22" s="392"/>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c r="A23" s="84"/>
      <c r="B23" s="370"/>
      <c r="C23" s="370"/>
      <c r="D23" s="371"/>
      <c r="E23" s="362"/>
      <c r="F23" s="363"/>
      <c r="G23" s="363"/>
      <c r="H23" s="363"/>
      <c r="I23" s="364"/>
      <c r="J23" s="330"/>
      <c r="K23" s="331"/>
      <c r="L23" s="331"/>
      <c r="M23" s="331"/>
      <c r="N23" s="331"/>
      <c r="O23" s="332"/>
      <c r="P23" s="330"/>
      <c r="Q23" s="331"/>
      <c r="R23" s="331"/>
      <c r="S23" s="331"/>
      <c r="T23" s="331"/>
      <c r="U23" s="332"/>
      <c r="V23" s="330"/>
      <c r="W23" s="331"/>
      <c r="X23" s="331"/>
      <c r="Y23" s="331"/>
      <c r="Z23" s="331"/>
      <c r="AA23" s="332"/>
      <c r="AB23" s="348"/>
      <c r="AC23" s="349"/>
      <c r="AD23" s="349"/>
      <c r="AE23" s="349"/>
      <c r="AF23" s="349"/>
      <c r="AG23" s="351"/>
      <c r="AH23" s="339"/>
      <c r="AI23" s="340"/>
      <c r="AJ23" s="340"/>
      <c r="AK23" s="340"/>
      <c r="AL23" s="340"/>
      <c r="AM23" s="341"/>
      <c r="AN23" s="84"/>
      <c r="AO23" s="393"/>
      <c r="AP23" s="394"/>
      <c r="AQ23" s="394"/>
      <c r="AR23" s="394"/>
      <c r="AS23" s="394"/>
      <c r="AT23" s="39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c r="A24" s="84"/>
      <c r="B24" s="370"/>
      <c r="C24" s="370"/>
      <c r="D24" s="371"/>
      <c r="E24" s="362"/>
      <c r="F24" s="363"/>
      <c r="G24" s="363"/>
      <c r="H24" s="363"/>
      <c r="I24" s="364"/>
      <c r="J24" s="330" t="str">
        <f ca="1">IF(AND('Mapa final'!$J$24="Media",'Mapa final'!$N$24="Leve"),CONCATENATE("R",'Mapa final'!$A$24),"")</f>
        <v/>
      </c>
      <c r="K24" s="331"/>
      <c r="L24" s="331" t="str">
        <f ca="1">IF(AND('Mapa final'!$J$30="Media",'Mapa final'!$N$30="Leve"),CONCATENATE("R",'Mapa final'!$A$30),"")</f>
        <v/>
      </c>
      <c r="M24" s="331"/>
      <c r="N24" s="331" t="str">
        <f ca="1">IF(AND('Mapa final'!$J$36="Media",'Mapa final'!$N$36="Leve"),CONCATENATE("R",'Mapa final'!$A$36),"")</f>
        <v/>
      </c>
      <c r="O24" s="332"/>
      <c r="P24" s="330" t="str">
        <f ca="1">IF(AND('Mapa final'!$J$24="Media",'Mapa final'!$N$24="Menor"),CONCATENATE("R",'Mapa final'!$A$24),"")</f>
        <v/>
      </c>
      <c r="Q24" s="331"/>
      <c r="R24" s="331" t="str">
        <f ca="1">IF(AND('Mapa final'!$J$30="Media",'Mapa final'!$N$30="Menor"),CONCATENATE("R",'Mapa final'!$A$30),"")</f>
        <v/>
      </c>
      <c r="S24" s="331"/>
      <c r="T24" s="331" t="str">
        <f ca="1">IF(AND('Mapa final'!$J$36="Media",'Mapa final'!$N$36="Menor"),CONCATENATE("R",'Mapa final'!$A$36),"")</f>
        <v/>
      </c>
      <c r="U24" s="332"/>
      <c r="V24" s="330" t="str">
        <f ca="1">IF(AND('Mapa final'!$J$24="Media",'Mapa final'!$N$24="Moderado"),CONCATENATE("R",'Mapa final'!$A$24),"")</f>
        <v/>
      </c>
      <c r="W24" s="331"/>
      <c r="X24" s="331" t="str">
        <f ca="1">IF(AND('Mapa final'!$J$30="Media",'Mapa final'!$N$30="Moderado"),CONCATENATE("R",'Mapa final'!$A$30),"")</f>
        <v/>
      </c>
      <c r="Y24" s="331"/>
      <c r="Z24" s="331" t="str">
        <f ca="1">IF(AND('Mapa final'!$J$36="Media",'Mapa final'!$N$36="Moderado"),CONCATENATE("R",'Mapa final'!$A$36),"")</f>
        <v/>
      </c>
      <c r="AA24" s="332"/>
      <c r="AB24" s="348" t="str">
        <f ca="1">IF(AND('Mapa final'!$J$24="Media",'Mapa final'!$N$24="Mayor"),CONCATENATE("R",'Mapa final'!$A$24),"")</f>
        <v/>
      </c>
      <c r="AC24" s="349"/>
      <c r="AD24" s="350" t="str">
        <f ca="1">IF(AND('Mapa final'!$J$30="Media",'Mapa final'!$N$30="Mayor"),CONCATENATE("R",'Mapa final'!$A$30),"")</f>
        <v/>
      </c>
      <c r="AE24" s="350"/>
      <c r="AF24" s="350" t="str">
        <f ca="1">IF(AND('Mapa final'!$J$36="Media",'Mapa final'!$N$36="Mayor"),CONCATENATE("R",'Mapa final'!$A$36),"")</f>
        <v/>
      </c>
      <c r="AG24" s="351"/>
      <c r="AH24" s="339" t="str">
        <f ca="1">IF(AND('Mapa final'!$J$24="Media",'Mapa final'!$N$24="Catastrófico"),CONCATENATE("R",'Mapa final'!$A$24),"")</f>
        <v/>
      </c>
      <c r="AI24" s="340"/>
      <c r="AJ24" s="340" t="str">
        <f ca="1">IF(AND('Mapa final'!$J$30="Media",'Mapa final'!$N$30="Catastrófico"),CONCATENATE("R",'Mapa final'!$A$30),"")</f>
        <v/>
      </c>
      <c r="AK24" s="340"/>
      <c r="AL24" s="340" t="str">
        <f ca="1">IF(AND('Mapa final'!$J$36="Media",'Mapa final'!$N$36="Catastrófico"),CONCATENATE("R",'Mapa final'!$A$36),"")</f>
        <v/>
      </c>
      <c r="AM24" s="341"/>
      <c r="AN24" s="84"/>
      <c r="AO24" s="393"/>
      <c r="AP24" s="394"/>
      <c r="AQ24" s="394"/>
      <c r="AR24" s="394"/>
      <c r="AS24" s="394"/>
      <c r="AT24" s="39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c r="A25" s="84"/>
      <c r="B25" s="370"/>
      <c r="C25" s="370"/>
      <c r="D25" s="371"/>
      <c r="E25" s="362"/>
      <c r="F25" s="363"/>
      <c r="G25" s="363"/>
      <c r="H25" s="363"/>
      <c r="I25" s="364"/>
      <c r="J25" s="330"/>
      <c r="K25" s="331"/>
      <c r="L25" s="331"/>
      <c r="M25" s="331"/>
      <c r="N25" s="331"/>
      <c r="O25" s="332"/>
      <c r="P25" s="330"/>
      <c r="Q25" s="331"/>
      <c r="R25" s="331"/>
      <c r="S25" s="331"/>
      <c r="T25" s="331"/>
      <c r="U25" s="332"/>
      <c r="V25" s="330"/>
      <c r="W25" s="331"/>
      <c r="X25" s="331"/>
      <c r="Y25" s="331"/>
      <c r="Z25" s="331"/>
      <c r="AA25" s="332"/>
      <c r="AB25" s="348"/>
      <c r="AC25" s="349"/>
      <c r="AD25" s="350"/>
      <c r="AE25" s="350"/>
      <c r="AF25" s="350"/>
      <c r="AG25" s="351"/>
      <c r="AH25" s="339"/>
      <c r="AI25" s="340"/>
      <c r="AJ25" s="340"/>
      <c r="AK25" s="340"/>
      <c r="AL25" s="340"/>
      <c r="AM25" s="341"/>
      <c r="AN25" s="84"/>
      <c r="AO25" s="393"/>
      <c r="AP25" s="394"/>
      <c r="AQ25" s="394"/>
      <c r="AR25" s="394"/>
      <c r="AS25" s="394"/>
      <c r="AT25" s="395"/>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c r="A26" s="84"/>
      <c r="B26" s="370"/>
      <c r="C26" s="370"/>
      <c r="D26" s="371"/>
      <c r="E26" s="362"/>
      <c r="F26" s="363"/>
      <c r="G26" s="363"/>
      <c r="H26" s="363"/>
      <c r="I26" s="364"/>
      <c r="J26" s="330" t="str">
        <f ca="1">IF(AND('Mapa final'!$J$42="Media",'Mapa final'!$N$42="Leve"),CONCATENATE("R",'Mapa final'!$A$42),"")</f>
        <v/>
      </c>
      <c r="K26" s="331"/>
      <c r="L26" s="331" t="str">
        <f ca="1">IF(AND('Mapa final'!$J$48="Media",'Mapa final'!$N$48="Leve"),CONCATENATE("R",'Mapa final'!$A$48),"")</f>
        <v/>
      </c>
      <c r="M26" s="331"/>
      <c r="N26" s="331" t="str">
        <f ca="1">IF(AND('Mapa final'!$J$54="Media",'Mapa final'!$N$54="Leve"),CONCATENATE("R",'Mapa final'!$A$54),"")</f>
        <v/>
      </c>
      <c r="O26" s="332"/>
      <c r="P26" s="330" t="str">
        <f ca="1">IF(AND('Mapa final'!$J$42="Media",'Mapa final'!$N$42="Menor"),CONCATENATE("R",'Mapa final'!$A$42),"")</f>
        <v/>
      </c>
      <c r="Q26" s="331"/>
      <c r="R26" s="331" t="str">
        <f ca="1">IF(AND('Mapa final'!$J$48="Media",'Mapa final'!$N$48="Menor"),CONCATENATE("R",'Mapa final'!$A$48),"")</f>
        <v/>
      </c>
      <c r="S26" s="331"/>
      <c r="T26" s="331" t="str">
        <f ca="1">IF(AND('Mapa final'!$J$54="Media",'Mapa final'!$N$54="Menor"),CONCATENATE("R",'Mapa final'!$A$54),"")</f>
        <v/>
      </c>
      <c r="U26" s="332"/>
      <c r="V26" s="330" t="str">
        <f ca="1">IF(AND('Mapa final'!$J$42="Media",'Mapa final'!$N$42="Moderado"),CONCATENATE("R",'Mapa final'!$A$42),"")</f>
        <v/>
      </c>
      <c r="W26" s="331"/>
      <c r="X26" s="331" t="str">
        <f ca="1">IF(AND('Mapa final'!$J$48="Media",'Mapa final'!$N$48="Moderado"),CONCATENATE("R",'Mapa final'!$A$48),"")</f>
        <v/>
      </c>
      <c r="Y26" s="331"/>
      <c r="Z26" s="331" t="str">
        <f ca="1">IF(AND('Mapa final'!$J$54="Media",'Mapa final'!$N$54="Moderado"),CONCATENATE("R",'Mapa final'!$A$54),"")</f>
        <v/>
      </c>
      <c r="AA26" s="332"/>
      <c r="AB26" s="348" t="str">
        <f ca="1">IF(AND('Mapa final'!$J$42="Media",'Mapa final'!$N$42="Mayor"),CONCATENATE("R",'Mapa final'!$A$42),"")</f>
        <v/>
      </c>
      <c r="AC26" s="349"/>
      <c r="AD26" s="350" t="str">
        <f ca="1">IF(AND('Mapa final'!$J$48="Media",'Mapa final'!$N$48="Mayor"),CONCATENATE("R",'Mapa final'!$A$48),"")</f>
        <v/>
      </c>
      <c r="AE26" s="350"/>
      <c r="AF26" s="350" t="str">
        <f ca="1">IF(AND('Mapa final'!$J$54="Media",'Mapa final'!$N$54="Mayor"),CONCATENATE("R",'Mapa final'!$A$54),"")</f>
        <v/>
      </c>
      <c r="AG26" s="351"/>
      <c r="AH26" s="339" t="str">
        <f ca="1">IF(AND('Mapa final'!$J$42="Media",'Mapa final'!$N$42="Catastrófico"),CONCATENATE("R",'Mapa final'!$A$42),"")</f>
        <v/>
      </c>
      <c r="AI26" s="340"/>
      <c r="AJ26" s="340" t="str">
        <f ca="1">IF(AND('Mapa final'!$J$48="Media",'Mapa final'!$N$48="Catastrófico"),CONCATENATE("R",'Mapa final'!$A$48),"")</f>
        <v/>
      </c>
      <c r="AK26" s="340"/>
      <c r="AL26" s="340" t="str">
        <f ca="1">IF(AND('Mapa final'!$J$54="Media",'Mapa final'!$N$54="Catastrófico"),CONCATENATE("R",'Mapa final'!$A$54),"")</f>
        <v/>
      </c>
      <c r="AM26" s="341"/>
      <c r="AN26" s="84"/>
      <c r="AO26" s="393"/>
      <c r="AP26" s="394"/>
      <c r="AQ26" s="394"/>
      <c r="AR26" s="394"/>
      <c r="AS26" s="394"/>
      <c r="AT26" s="395"/>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c r="A27" s="84"/>
      <c r="B27" s="370"/>
      <c r="C27" s="370"/>
      <c r="D27" s="371"/>
      <c r="E27" s="362"/>
      <c r="F27" s="363"/>
      <c r="G27" s="363"/>
      <c r="H27" s="363"/>
      <c r="I27" s="364"/>
      <c r="J27" s="330"/>
      <c r="K27" s="331"/>
      <c r="L27" s="331"/>
      <c r="M27" s="331"/>
      <c r="N27" s="331"/>
      <c r="O27" s="332"/>
      <c r="P27" s="330"/>
      <c r="Q27" s="331"/>
      <c r="R27" s="331"/>
      <c r="S27" s="331"/>
      <c r="T27" s="331"/>
      <c r="U27" s="332"/>
      <c r="V27" s="330"/>
      <c r="W27" s="331"/>
      <c r="X27" s="331"/>
      <c r="Y27" s="331"/>
      <c r="Z27" s="331"/>
      <c r="AA27" s="332"/>
      <c r="AB27" s="348"/>
      <c r="AC27" s="349"/>
      <c r="AD27" s="350"/>
      <c r="AE27" s="350"/>
      <c r="AF27" s="350"/>
      <c r="AG27" s="351"/>
      <c r="AH27" s="339"/>
      <c r="AI27" s="340"/>
      <c r="AJ27" s="340"/>
      <c r="AK27" s="340"/>
      <c r="AL27" s="340"/>
      <c r="AM27" s="341"/>
      <c r="AN27" s="84"/>
      <c r="AO27" s="393"/>
      <c r="AP27" s="394"/>
      <c r="AQ27" s="394"/>
      <c r="AR27" s="394"/>
      <c r="AS27" s="394"/>
      <c r="AT27" s="395"/>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c r="A28" s="84"/>
      <c r="B28" s="370"/>
      <c r="C28" s="370"/>
      <c r="D28" s="371"/>
      <c r="E28" s="362"/>
      <c r="F28" s="363"/>
      <c r="G28" s="363"/>
      <c r="H28" s="363"/>
      <c r="I28" s="364"/>
      <c r="J28" s="330" t="str">
        <f ca="1">IF(AND('Mapa final'!$J$60="Media",'Mapa final'!$N$60="Leve"),CONCATENATE("R",'Mapa final'!$A$60),"")</f>
        <v/>
      </c>
      <c r="K28" s="331"/>
      <c r="L28" s="331" t="str">
        <f>IF(AND('Mapa final'!$J$66="Media",'Mapa final'!$N$66="Leve"),CONCATENATE("R",'Mapa final'!$A$66),"")</f>
        <v/>
      </c>
      <c r="M28" s="331"/>
      <c r="N28" s="331" t="str">
        <f>IF(AND('Mapa final'!$J$72="Media",'Mapa final'!$N$72="Leve"),CONCATENATE("R",'Mapa final'!$A$72),"")</f>
        <v/>
      </c>
      <c r="O28" s="332"/>
      <c r="P28" s="330" t="str">
        <f ca="1">IF(AND('Mapa final'!$J$60="Media",'Mapa final'!$N$60="Menor"),CONCATENATE("R",'Mapa final'!$A$60),"")</f>
        <v/>
      </c>
      <c r="Q28" s="331"/>
      <c r="R28" s="331" t="str">
        <f>IF(AND('Mapa final'!$J$66="Media",'Mapa final'!$N$66="Menor"),CONCATENATE("R",'Mapa final'!$A$66),"")</f>
        <v/>
      </c>
      <c r="S28" s="331"/>
      <c r="T28" s="331" t="str">
        <f>IF(AND('Mapa final'!$J$72="Media",'Mapa final'!$N$72="Menor"),CONCATENATE("R",'Mapa final'!$A$72),"")</f>
        <v/>
      </c>
      <c r="U28" s="332"/>
      <c r="V28" s="330" t="str">
        <f ca="1">IF(AND('Mapa final'!$J$60="Media",'Mapa final'!$N$60="Moderado"),CONCATENATE("R",'Mapa final'!$A$60),"")</f>
        <v/>
      </c>
      <c r="W28" s="331"/>
      <c r="X28" s="331" t="str">
        <f>IF(AND('Mapa final'!$J$66="Media",'Mapa final'!$N$66="Moderado"),CONCATENATE("R",'Mapa final'!$A$66),"")</f>
        <v/>
      </c>
      <c r="Y28" s="331"/>
      <c r="Z28" s="331" t="str">
        <f>IF(AND('Mapa final'!$J$72="Media",'Mapa final'!$N$72="Moderado"),CONCATENATE("R",'Mapa final'!$A$72),"")</f>
        <v/>
      </c>
      <c r="AA28" s="332"/>
      <c r="AB28" s="348" t="str">
        <f ca="1">IF(AND('Mapa final'!$J$60="Media",'Mapa final'!$N$60="Mayor"),CONCATENATE("R",'Mapa final'!$A$60),"")</f>
        <v/>
      </c>
      <c r="AC28" s="349"/>
      <c r="AD28" s="350" t="str">
        <f>IF(AND('Mapa final'!$J$66="Media",'Mapa final'!$N$66="Mayor"),CONCATENATE("R",'Mapa final'!$A$66),"")</f>
        <v/>
      </c>
      <c r="AE28" s="350"/>
      <c r="AF28" s="350" t="str">
        <f>IF(AND('Mapa final'!$J$72="Media",'Mapa final'!$N$72="Mayor"),CONCATENATE("R",'Mapa final'!$A$72),"")</f>
        <v/>
      </c>
      <c r="AG28" s="351"/>
      <c r="AH28" s="339" t="str">
        <f ca="1">IF(AND('Mapa final'!$J$60="Media",'Mapa final'!$N$60="Catastrófico"),CONCATENATE("R",'Mapa final'!$A$60),"")</f>
        <v/>
      </c>
      <c r="AI28" s="340"/>
      <c r="AJ28" s="340" t="str">
        <f>IF(AND('Mapa final'!$J$66="Media",'Mapa final'!$N$66="Catastrófico"),CONCATENATE("R",'Mapa final'!$A$66),"")</f>
        <v/>
      </c>
      <c r="AK28" s="340"/>
      <c r="AL28" s="340" t="str">
        <f>IF(AND('Mapa final'!$J$72="Media",'Mapa final'!$N$72="Catastrófico"),CONCATENATE("R",'Mapa final'!$A$72),"")</f>
        <v/>
      </c>
      <c r="AM28" s="341"/>
      <c r="AN28" s="84"/>
      <c r="AO28" s="393"/>
      <c r="AP28" s="394"/>
      <c r="AQ28" s="394"/>
      <c r="AR28" s="394"/>
      <c r="AS28" s="394"/>
      <c r="AT28" s="395"/>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c r="A29" s="84"/>
      <c r="B29" s="370"/>
      <c r="C29" s="370"/>
      <c r="D29" s="371"/>
      <c r="E29" s="365"/>
      <c r="F29" s="366"/>
      <c r="G29" s="366"/>
      <c r="H29" s="366"/>
      <c r="I29" s="367"/>
      <c r="J29" s="330"/>
      <c r="K29" s="331"/>
      <c r="L29" s="331"/>
      <c r="M29" s="331"/>
      <c r="N29" s="331"/>
      <c r="O29" s="332"/>
      <c r="P29" s="333"/>
      <c r="Q29" s="334"/>
      <c r="R29" s="334"/>
      <c r="S29" s="334"/>
      <c r="T29" s="334"/>
      <c r="U29" s="335"/>
      <c r="V29" s="333"/>
      <c r="W29" s="334"/>
      <c r="X29" s="334"/>
      <c r="Y29" s="334"/>
      <c r="Z29" s="334"/>
      <c r="AA29" s="335"/>
      <c r="AB29" s="352"/>
      <c r="AC29" s="353"/>
      <c r="AD29" s="353"/>
      <c r="AE29" s="353"/>
      <c r="AF29" s="353"/>
      <c r="AG29" s="354"/>
      <c r="AH29" s="342"/>
      <c r="AI29" s="343"/>
      <c r="AJ29" s="343"/>
      <c r="AK29" s="343"/>
      <c r="AL29" s="343"/>
      <c r="AM29" s="344"/>
      <c r="AN29" s="84"/>
      <c r="AO29" s="396"/>
      <c r="AP29" s="397"/>
      <c r="AQ29" s="397"/>
      <c r="AR29" s="397"/>
      <c r="AS29" s="397"/>
      <c r="AT29" s="398"/>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c r="A30" s="84"/>
      <c r="B30" s="370"/>
      <c r="C30" s="370"/>
      <c r="D30" s="371"/>
      <c r="E30" s="359" t="s">
        <v>114</v>
      </c>
      <c r="F30" s="360"/>
      <c r="G30" s="360"/>
      <c r="H30" s="360"/>
      <c r="I30" s="360"/>
      <c r="J30" s="327" t="str">
        <f ca="1">IF(AND('Mapa final'!$J$10="Baja",'Mapa final'!$N$10="Leve"),CONCATENATE("R",'Mapa final'!$A$10),"")</f>
        <v/>
      </c>
      <c r="K30" s="328"/>
      <c r="L30" s="328" t="str">
        <f ca="1">IF(AND('Mapa final'!$J$14="Baja",'Mapa final'!$N$14="Leve"),CONCATENATE("R",'Mapa final'!$A$14),"")</f>
        <v/>
      </c>
      <c r="M30" s="328"/>
      <c r="N30" s="328" t="str">
        <f ca="1">IF(AND('Mapa final'!$J$18="Baja",'Mapa final'!$N$18="Leve"),CONCATENATE("R",'Mapa final'!$A$18),"")</f>
        <v/>
      </c>
      <c r="O30" s="329"/>
      <c r="P30" s="337" t="str">
        <f ca="1">IF(AND('Mapa final'!$J$10="Baja",'Mapa final'!$N$10="Menor"),CONCATENATE("R",'Mapa final'!$A$10),"")</f>
        <v/>
      </c>
      <c r="Q30" s="337"/>
      <c r="R30" s="337" t="str">
        <f ca="1">IF(AND('Mapa final'!$J$14="Baja",'Mapa final'!$N$14="Menor"),CONCATENATE("R",'Mapa final'!$A$14),"")</f>
        <v/>
      </c>
      <c r="S30" s="337"/>
      <c r="T30" s="337" t="str">
        <f ca="1">IF(AND('Mapa final'!$J$18="Baja",'Mapa final'!$N$18="Menor"),CONCATENATE("R",'Mapa final'!$A$18),"")</f>
        <v/>
      </c>
      <c r="U30" s="338"/>
      <c r="V30" s="336" t="str">
        <f ca="1">IF(AND('Mapa final'!$J$10="Baja",'Mapa final'!$N$10="Moderado"),CONCATENATE("R",'Mapa final'!$A$10),"")</f>
        <v/>
      </c>
      <c r="W30" s="337"/>
      <c r="X30" s="337" t="str">
        <f ca="1">IF(AND('Mapa final'!$J$14="Baja",'Mapa final'!$N$14="Moderado"),CONCATENATE("R",'Mapa final'!$A$14),"")</f>
        <v/>
      </c>
      <c r="Y30" s="337"/>
      <c r="Z30" s="337" t="str">
        <f ca="1">IF(AND('Mapa final'!$J$18="Baja",'Mapa final'!$N$18="Moderado"),CONCATENATE("R",'Mapa final'!$A$18),"")</f>
        <v/>
      </c>
      <c r="AA30" s="338"/>
      <c r="AB30" s="355" t="str">
        <f ca="1">IF(AND('Mapa final'!$J$10="Baja",'Mapa final'!$N$10="Mayor"),CONCATENATE("R",'Mapa final'!$A$10),"")</f>
        <v/>
      </c>
      <c r="AC30" s="356"/>
      <c r="AD30" s="356" t="str">
        <f ca="1">IF(AND('Mapa final'!$J$14="Baja",'Mapa final'!$N$14="Mayor"),CONCATENATE("R",'Mapa final'!$A$14),"")</f>
        <v/>
      </c>
      <c r="AE30" s="356"/>
      <c r="AF30" s="356" t="str">
        <f ca="1">IF(AND('Mapa final'!$J$18="Baja",'Mapa final'!$N$18="Mayor"),CONCATENATE("R",'Mapa final'!$A$18),"")</f>
        <v/>
      </c>
      <c r="AG30" s="357"/>
      <c r="AH30" s="345" t="str">
        <f ca="1">IF(AND('Mapa final'!$J$10="Baja",'Mapa final'!$N$10="Catastrófico"),CONCATENATE("R",'Mapa final'!$A$10),"")</f>
        <v/>
      </c>
      <c r="AI30" s="346"/>
      <c r="AJ30" s="346" t="str">
        <f ca="1">IF(AND('Mapa final'!$J$14="Baja",'Mapa final'!$N$14="Catastrófico"),CONCATENATE("R",'Mapa final'!$A$14),"")</f>
        <v/>
      </c>
      <c r="AK30" s="346"/>
      <c r="AL30" s="346" t="str">
        <f ca="1">IF(AND('Mapa final'!$J$18="Baja",'Mapa final'!$N$18="Catastrófico"),CONCATENATE("R",'Mapa final'!$A$18),"")</f>
        <v/>
      </c>
      <c r="AM30" s="347"/>
      <c r="AN30" s="84"/>
      <c r="AO30" s="399" t="s">
        <v>82</v>
      </c>
      <c r="AP30" s="400"/>
      <c r="AQ30" s="400"/>
      <c r="AR30" s="400"/>
      <c r="AS30" s="400"/>
      <c r="AT30" s="40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c r="A31" s="84"/>
      <c r="B31" s="370"/>
      <c r="C31" s="370"/>
      <c r="D31" s="371"/>
      <c r="E31" s="362"/>
      <c r="F31" s="363"/>
      <c r="G31" s="363"/>
      <c r="H31" s="363"/>
      <c r="I31" s="368"/>
      <c r="J31" s="321"/>
      <c r="K31" s="322"/>
      <c r="L31" s="322"/>
      <c r="M31" s="322"/>
      <c r="N31" s="322"/>
      <c r="O31" s="323"/>
      <c r="P31" s="331"/>
      <c r="Q31" s="331"/>
      <c r="R31" s="331"/>
      <c r="S31" s="331"/>
      <c r="T31" s="331"/>
      <c r="U31" s="332"/>
      <c r="V31" s="330"/>
      <c r="W31" s="331"/>
      <c r="X31" s="331"/>
      <c r="Y31" s="331"/>
      <c r="Z31" s="331"/>
      <c r="AA31" s="332"/>
      <c r="AB31" s="348"/>
      <c r="AC31" s="349"/>
      <c r="AD31" s="349"/>
      <c r="AE31" s="349"/>
      <c r="AF31" s="349"/>
      <c r="AG31" s="351"/>
      <c r="AH31" s="339"/>
      <c r="AI31" s="340"/>
      <c r="AJ31" s="340"/>
      <c r="AK31" s="340"/>
      <c r="AL31" s="340"/>
      <c r="AM31" s="341"/>
      <c r="AN31" s="84"/>
      <c r="AO31" s="402"/>
      <c r="AP31" s="403"/>
      <c r="AQ31" s="403"/>
      <c r="AR31" s="403"/>
      <c r="AS31" s="403"/>
      <c r="AT31" s="40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c r="A32" s="84"/>
      <c r="B32" s="370"/>
      <c r="C32" s="370"/>
      <c r="D32" s="371"/>
      <c r="E32" s="362"/>
      <c r="F32" s="363"/>
      <c r="G32" s="363"/>
      <c r="H32" s="363"/>
      <c r="I32" s="368"/>
      <c r="J32" s="321" t="str">
        <f ca="1">IF(AND('Mapa final'!$J$24="Baja",'Mapa final'!$N$24="Leve"),CONCATENATE("R",'Mapa final'!$A$24),"")</f>
        <v/>
      </c>
      <c r="K32" s="322"/>
      <c r="L32" s="322" t="str">
        <f ca="1">IF(AND('Mapa final'!$J$30="Baja",'Mapa final'!$N$30="Leve"),CONCATENATE("R",'Mapa final'!$A$30),"")</f>
        <v/>
      </c>
      <c r="M32" s="322"/>
      <c r="N32" s="322" t="str">
        <f ca="1">IF(AND('Mapa final'!$J$36="Baja",'Mapa final'!$N$36="Leve"),CONCATENATE("R",'Mapa final'!$A$36),"")</f>
        <v/>
      </c>
      <c r="O32" s="323"/>
      <c r="P32" s="331" t="str">
        <f ca="1">IF(AND('Mapa final'!$J$24="Baja",'Mapa final'!$N$24="Menor"),CONCATENATE("R",'Mapa final'!$A$24),"")</f>
        <v/>
      </c>
      <c r="Q32" s="331"/>
      <c r="R32" s="331" t="str">
        <f ca="1">IF(AND('Mapa final'!$J$30="Baja",'Mapa final'!$N$30="Menor"),CONCATENATE("R",'Mapa final'!$A$30),"")</f>
        <v/>
      </c>
      <c r="S32" s="331"/>
      <c r="T32" s="331" t="str">
        <f ca="1">IF(AND('Mapa final'!$J$36="Baja",'Mapa final'!$N$36="Menor"),CONCATENATE("R",'Mapa final'!$A$36),"")</f>
        <v/>
      </c>
      <c r="U32" s="332"/>
      <c r="V32" s="330" t="str">
        <f ca="1">IF(AND('Mapa final'!$J$24="Baja",'Mapa final'!$N$24="Moderado"),CONCATENATE("R",'Mapa final'!$A$24),"")</f>
        <v/>
      </c>
      <c r="W32" s="331"/>
      <c r="X32" s="331" t="str">
        <f ca="1">IF(AND('Mapa final'!$J$30="Baja",'Mapa final'!$N$30="Moderado"),CONCATENATE("R",'Mapa final'!$A$30),"")</f>
        <v/>
      </c>
      <c r="Y32" s="331"/>
      <c r="Z32" s="331" t="str">
        <f ca="1">IF(AND('Mapa final'!$J$36="Baja",'Mapa final'!$N$36="Moderado"),CONCATENATE("R",'Mapa final'!$A$36),"")</f>
        <v/>
      </c>
      <c r="AA32" s="332"/>
      <c r="AB32" s="348" t="str">
        <f ca="1">IF(AND('Mapa final'!$J$24="Baja",'Mapa final'!$N$24="Mayor"),CONCATENATE("R",'Mapa final'!$A$24),"")</f>
        <v/>
      </c>
      <c r="AC32" s="349"/>
      <c r="AD32" s="350" t="str">
        <f ca="1">IF(AND('Mapa final'!$J$30="Baja",'Mapa final'!$N$30="Mayor"),CONCATENATE("R",'Mapa final'!$A$30),"")</f>
        <v/>
      </c>
      <c r="AE32" s="350"/>
      <c r="AF32" s="350" t="str">
        <f ca="1">IF(AND('Mapa final'!$J$36="Baja",'Mapa final'!$N$36="Mayor"),CONCATENATE("R",'Mapa final'!$A$36),"")</f>
        <v/>
      </c>
      <c r="AG32" s="351"/>
      <c r="AH32" s="339" t="str">
        <f ca="1">IF(AND('Mapa final'!$J$24="Baja",'Mapa final'!$N$24="Catastrófico"),CONCATENATE("R",'Mapa final'!$A$24),"")</f>
        <v/>
      </c>
      <c r="AI32" s="340"/>
      <c r="AJ32" s="340" t="str">
        <f ca="1">IF(AND('Mapa final'!$J$30="Baja",'Mapa final'!$N$30="Catastrófico"),CONCATENATE("R",'Mapa final'!$A$30),"")</f>
        <v/>
      </c>
      <c r="AK32" s="340"/>
      <c r="AL32" s="340" t="str">
        <f ca="1">IF(AND('Mapa final'!$J$36="Baja",'Mapa final'!$N$36="Catastrófico"),CONCATENATE("R",'Mapa final'!$A$36),"")</f>
        <v/>
      </c>
      <c r="AM32" s="341"/>
      <c r="AN32" s="84"/>
      <c r="AO32" s="402"/>
      <c r="AP32" s="403"/>
      <c r="AQ32" s="403"/>
      <c r="AR32" s="403"/>
      <c r="AS32" s="403"/>
      <c r="AT32" s="40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c r="A33" s="84"/>
      <c r="B33" s="370"/>
      <c r="C33" s="370"/>
      <c r="D33" s="371"/>
      <c r="E33" s="362"/>
      <c r="F33" s="363"/>
      <c r="G33" s="363"/>
      <c r="H33" s="363"/>
      <c r="I33" s="368"/>
      <c r="J33" s="321"/>
      <c r="K33" s="322"/>
      <c r="L33" s="322"/>
      <c r="M33" s="322"/>
      <c r="N33" s="322"/>
      <c r="O33" s="323"/>
      <c r="P33" s="331"/>
      <c r="Q33" s="331"/>
      <c r="R33" s="331"/>
      <c r="S33" s="331"/>
      <c r="T33" s="331"/>
      <c r="U33" s="332"/>
      <c r="V33" s="330"/>
      <c r="W33" s="331"/>
      <c r="X33" s="331"/>
      <c r="Y33" s="331"/>
      <c r="Z33" s="331"/>
      <c r="AA33" s="332"/>
      <c r="AB33" s="348"/>
      <c r="AC33" s="349"/>
      <c r="AD33" s="350"/>
      <c r="AE33" s="350"/>
      <c r="AF33" s="350"/>
      <c r="AG33" s="351"/>
      <c r="AH33" s="339"/>
      <c r="AI33" s="340"/>
      <c r="AJ33" s="340"/>
      <c r="AK33" s="340"/>
      <c r="AL33" s="340"/>
      <c r="AM33" s="341"/>
      <c r="AN33" s="84"/>
      <c r="AO33" s="402"/>
      <c r="AP33" s="403"/>
      <c r="AQ33" s="403"/>
      <c r="AR33" s="403"/>
      <c r="AS33" s="403"/>
      <c r="AT33" s="40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c r="A34" s="84"/>
      <c r="B34" s="370"/>
      <c r="C34" s="370"/>
      <c r="D34" s="371"/>
      <c r="E34" s="362"/>
      <c r="F34" s="363"/>
      <c r="G34" s="363"/>
      <c r="H34" s="363"/>
      <c r="I34" s="368"/>
      <c r="J34" s="321" t="str">
        <f ca="1">IF(AND('Mapa final'!$J$42="Baja",'Mapa final'!$N$42="Leve"),CONCATENATE("R",'Mapa final'!$A$42),"")</f>
        <v/>
      </c>
      <c r="K34" s="322"/>
      <c r="L34" s="322" t="str">
        <f ca="1">IF(AND('Mapa final'!$J$48="Baja",'Mapa final'!$N$48="Leve"),CONCATENATE("R",'Mapa final'!$A$48),"")</f>
        <v/>
      </c>
      <c r="M34" s="322"/>
      <c r="N34" s="322" t="str">
        <f ca="1">IF(AND('Mapa final'!$J$54="Baja",'Mapa final'!$N$54="Leve"),CONCATENATE("R",'Mapa final'!$A$54),"")</f>
        <v/>
      </c>
      <c r="O34" s="323"/>
      <c r="P34" s="331" t="str">
        <f ca="1">IF(AND('Mapa final'!$J$42="Baja",'Mapa final'!$N$42="Menor"),CONCATENATE("R",'Mapa final'!$A$42),"")</f>
        <v/>
      </c>
      <c r="Q34" s="331"/>
      <c r="R34" s="331" t="str">
        <f ca="1">IF(AND('Mapa final'!$J$48="Baja",'Mapa final'!$N$48="Menor"),CONCATENATE("R",'Mapa final'!$A$48),"")</f>
        <v/>
      </c>
      <c r="S34" s="331"/>
      <c r="T34" s="331" t="str">
        <f ca="1">IF(AND('Mapa final'!$J$54="Baja",'Mapa final'!$N$54="Menor"),CONCATENATE("R",'Mapa final'!$A$54),"")</f>
        <v/>
      </c>
      <c r="U34" s="332"/>
      <c r="V34" s="330" t="str">
        <f ca="1">IF(AND('Mapa final'!$J$42="Baja",'Mapa final'!$N$42="Moderado"),CONCATENATE("R",'Mapa final'!$A$42),"")</f>
        <v/>
      </c>
      <c r="W34" s="331"/>
      <c r="X34" s="331" t="str">
        <f ca="1">IF(AND('Mapa final'!$J$48="Baja",'Mapa final'!$N$48="Moderado"),CONCATENATE("R",'Mapa final'!$A$48),"")</f>
        <v/>
      </c>
      <c r="Y34" s="331"/>
      <c r="Z34" s="331" t="str">
        <f ca="1">IF(AND('Mapa final'!$J$54="Baja",'Mapa final'!$N$54="Moderado"),CONCATENATE("R",'Mapa final'!$A$54),"")</f>
        <v/>
      </c>
      <c r="AA34" s="332"/>
      <c r="AB34" s="348" t="str">
        <f ca="1">IF(AND('Mapa final'!$J$42="Baja",'Mapa final'!$N$42="Mayor"),CONCATENATE("R",'Mapa final'!$A$42),"")</f>
        <v/>
      </c>
      <c r="AC34" s="349"/>
      <c r="AD34" s="350" t="str">
        <f ca="1">IF(AND('Mapa final'!$J$48="Baja",'Mapa final'!$N$48="Mayor"),CONCATENATE("R",'Mapa final'!$A$48),"")</f>
        <v/>
      </c>
      <c r="AE34" s="350"/>
      <c r="AF34" s="350" t="str">
        <f ca="1">IF(AND('Mapa final'!$J$54="Baja",'Mapa final'!$N$54="Mayor"),CONCATENATE("R",'Mapa final'!$A$54),"")</f>
        <v/>
      </c>
      <c r="AG34" s="351"/>
      <c r="AH34" s="339" t="str">
        <f ca="1">IF(AND('Mapa final'!$J$42="Baja",'Mapa final'!$N$42="Catastrófico"),CONCATENATE("R",'Mapa final'!$A$42),"")</f>
        <v/>
      </c>
      <c r="AI34" s="340"/>
      <c r="AJ34" s="340" t="str">
        <f ca="1">IF(AND('Mapa final'!$J$48="Baja",'Mapa final'!$N$48="Catastrófico"),CONCATENATE("R",'Mapa final'!$A$48),"")</f>
        <v/>
      </c>
      <c r="AK34" s="340"/>
      <c r="AL34" s="340" t="str">
        <f ca="1">IF(AND('Mapa final'!$J$54="Baja",'Mapa final'!$N$54="Catastrófico"),CONCATENATE("R",'Mapa final'!$A$54),"")</f>
        <v/>
      </c>
      <c r="AM34" s="341"/>
      <c r="AN34" s="84"/>
      <c r="AO34" s="402"/>
      <c r="AP34" s="403"/>
      <c r="AQ34" s="403"/>
      <c r="AR34" s="403"/>
      <c r="AS34" s="403"/>
      <c r="AT34" s="40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c r="A35" s="84"/>
      <c r="B35" s="370"/>
      <c r="C35" s="370"/>
      <c r="D35" s="371"/>
      <c r="E35" s="362"/>
      <c r="F35" s="363"/>
      <c r="G35" s="363"/>
      <c r="H35" s="363"/>
      <c r="I35" s="368"/>
      <c r="J35" s="321"/>
      <c r="K35" s="322"/>
      <c r="L35" s="322"/>
      <c r="M35" s="322"/>
      <c r="N35" s="322"/>
      <c r="O35" s="323"/>
      <c r="P35" s="331"/>
      <c r="Q35" s="331"/>
      <c r="R35" s="331"/>
      <c r="S35" s="331"/>
      <c r="T35" s="331"/>
      <c r="U35" s="332"/>
      <c r="V35" s="330"/>
      <c r="W35" s="331"/>
      <c r="X35" s="331"/>
      <c r="Y35" s="331"/>
      <c r="Z35" s="331"/>
      <c r="AA35" s="332"/>
      <c r="AB35" s="348"/>
      <c r="AC35" s="349"/>
      <c r="AD35" s="350"/>
      <c r="AE35" s="350"/>
      <c r="AF35" s="350"/>
      <c r="AG35" s="351"/>
      <c r="AH35" s="339"/>
      <c r="AI35" s="340"/>
      <c r="AJ35" s="340"/>
      <c r="AK35" s="340"/>
      <c r="AL35" s="340"/>
      <c r="AM35" s="341"/>
      <c r="AN35" s="84"/>
      <c r="AO35" s="402"/>
      <c r="AP35" s="403"/>
      <c r="AQ35" s="403"/>
      <c r="AR35" s="403"/>
      <c r="AS35" s="403"/>
      <c r="AT35" s="40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c r="A36" s="84"/>
      <c r="B36" s="370"/>
      <c r="C36" s="370"/>
      <c r="D36" s="371"/>
      <c r="E36" s="362"/>
      <c r="F36" s="363"/>
      <c r="G36" s="363"/>
      <c r="H36" s="363"/>
      <c r="I36" s="368"/>
      <c r="J36" s="321" t="str">
        <f ca="1">IF(AND('Mapa final'!$J$60="Baja",'Mapa final'!$N$60="Leve"),CONCATENATE("R",'Mapa final'!$A$60),"")</f>
        <v/>
      </c>
      <c r="K36" s="322"/>
      <c r="L36" s="322" t="str">
        <f>IF(AND('Mapa final'!$J$66="Baja",'Mapa final'!$N$66="Leve"),CONCATENATE("R",'Mapa final'!$A$66),"")</f>
        <v/>
      </c>
      <c r="M36" s="322"/>
      <c r="N36" s="322" t="str">
        <f>IF(AND('Mapa final'!$J$72="Baja",'Mapa final'!$N$72="Leve"),CONCATENATE("R",'Mapa final'!$A$72),"")</f>
        <v/>
      </c>
      <c r="O36" s="323"/>
      <c r="P36" s="331" t="str">
        <f ca="1">IF(AND('Mapa final'!$J$60="Baja",'Mapa final'!$N$60="Menor"),CONCATENATE("R",'Mapa final'!$A$60),"")</f>
        <v/>
      </c>
      <c r="Q36" s="331"/>
      <c r="R36" s="331" t="str">
        <f>IF(AND('Mapa final'!$J$66="Baja",'Mapa final'!$N$66="Menor"),CONCATENATE("R",'Mapa final'!$A$66),"")</f>
        <v/>
      </c>
      <c r="S36" s="331"/>
      <c r="T36" s="331" t="str">
        <f>IF(AND('Mapa final'!$J$72="Baja",'Mapa final'!$N$72="Menor"),CONCATENATE("R",'Mapa final'!$A$72),"")</f>
        <v/>
      </c>
      <c r="U36" s="332"/>
      <c r="V36" s="330" t="str">
        <f ca="1">IF(AND('Mapa final'!$J$60="Baja",'Mapa final'!$N$60="Moderado"),CONCATENATE("R",'Mapa final'!$A$60),"")</f>
        <v/>
      </c>
      <c r="W36" s="331"/>
      <c r="X36" s="331" t="str">
        <f>IF(AND('Mapa final'!$J$66="Baja",'Mapa final'!$N$66="Moderado"),CONCATENATE("R",'Mapa final'!$A$66),"")</f>
        <v/>
      </c>
      <c r="Y36" s="331"/>
      <c r="Z36" s="331" t="str">
        <f>IF(AND('Mapa final'!$J$72="Baja",'Mapa final'!$N$72="Moderado"),CONCATENATE("R",'Mapa final'!$A$72),"")</f>
        <v/>
      </c>
      <c r="AA36" s="332"/>
      <c r="AB36" s="348" t="str">
        <f ca="1">IF(AND('Mapa final'!$J$60="Baja",'Mapa final'!$N$60="Mayor"),CONCATENATE("R",'Mapa final'!$A$60),"")</f>
        <v/>
      </c>
      <c r="AC36" s="349"/>
      <c r="AD36" s="350" t="str">
        <f>IF(AND('Mapa final'!$J$66="Baja",'Mapa final'!$N$66="Mayor"),CONCATENATE("R",'Mapa final'!$A$66),"")</f>
        <v/>
      </c>
      <c r="AE36" s="350"/>
      <c r="AF36" s="350" t="str">
        <f>IF(AND('Mapa final'!$J$72="Baja",'Mapa final'!$N$72="Mayor"),CONCATENATE("R",'Mapa final'!$A$72),"")</f>
        <v/>
      </c>
      <c r="AG36" s="351"/>
      <c r="AH36" s="339" t="str">
        <f ca="1">IF(AND('Mapa final'!$J$60="Baja",'Mapa final'!$N$60="Catastrófico"),CONCATENATE("R",'Mapa final'!$A$60),"")</f>
        <v/>
      </c>
      <c r="AI36" s="340"/>
      <c r="AJ36" s="340" t="str">
        <f>IF(AND('Mapa final'!$J$66="Baja",'Mapa final'!$N$66="Catastrófico"),CONCATENATE("R",'Mapa final'!$A$66),"")</f>
        <v/>
      </c>
      <c r="AK36" s="340"/>
      <c r="AL36" s="340" t="str">
        <f>IF(AND('Mapa final'!$J$72="Baja",'Mapa final'!$N$72="Catastrófico"),CONCATENATE("R",'Mapa final'!$A$72),"")</f>
        <v/>
      </c>
      <c r="AM36" s="341"/>
      <c r="AN36" s="84"/>
      <c r="AO36" s="402"/>
      <c r="AP36" s="403"/>
      <c r="AQ36" s="403"/>
      <c r="AR36" s="403"/>
      <c r="AS36" s="403"/>
      <c r="AT36" s="40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c r="A37" s="84"/>
      <c r="B37" s="370"/>
      <c r="C37" s="370"/>
      <c r="D37" s="371"/>
      <c r="E37" s="365"/>
      <c r="F37" s="366"/>
      <c r="G37" s="366"/>
      <c r="H37" s="366"/>
      <c r="I37" s="366"/>
      <c r="J37" s="324"/>
      <c r="K37" s="325"/>
      <c r="L37" s="325"/>
      <c r="M37" s="325"/>
      <c r="N37" s="325"/>
      <c r="O37" s="326"/>
      <c r="P37" s="334"/>
      <c r="Q37" s="334"/>
      <c r="R37" s="334"/>
      <c r="S37" s="334"/>
      <c r="T37" s="334"/>
      <c r="U37" s="335"/>
      <c r="V37" s="333"/>
      <c r="W37" s="334"/>
      <c r="X37" s="334"/>
      <c r="Y37" s="334"/>
      <c r="Z37" s="334"/>
      <c r="AA37" s="335"/>
      <c r="AB37" s="352"/>
      <c r="AC37" s="353"/>
      <c r="AD37" s="353"/>
      <c r="AE37" s="353"/>
      <c r="AF37" s="353"/>
      <c r="AG37" s="354"/>
      <c r="AH37" s="342"/>
      <c r="AI37" s="343"/>
      <c r="AJ37" s="343"/>
      <c r="AK37" s="343"/>
      <c r="AL37" s="343"/>
      <c r="AM37" s="344"/>
      <c r="AN37" s="84"/>
      <c r="AO37" s="405"/>
      <c r="AP37" s="406"/>
      <c r="AQ37" s="406"/>
      <c r="AR37" s="406"/>
      <c r="AS37" s="406"/>
      <c r="AT37" s="407"/>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c r="A38" s="84"/>
      <c r="B38" s="370"/>
      <c r="C38" s="370"/>
      <c r="D38" s="371"/>
      <c r="E38" s="359" t="s">
        <v>113</v>
      </c>
      <c r="F38" s="360"/>
      <c r="G38" s="360"/>
      <c r="H38" s="360"/>
      <c r="I38" s="361"/>
      <c r="J38" s="327" t="str">
        <f ca="1">IF(AND('Mapa final'!$J$10="Muy Baja",'Mapa final'!$N$10="Leve"),CONCATENATE("R",'Mapa final'!$A$10),"")</f>
        <v/>
      </c>
      <c r="K38" s="328"/>
      <c r="L38" s="328" t="str">
        <f ca="1">IF(AND('Mapa final'!$J$14="Muy Baja",'Mapa final'!$N$14="Leve"),CONCATENATE("R",'Mapa final'!$A$14),"")</f>
        <v/>
      </c>
      <c r="M38" s="328"/>
      <c r="N38" s="328" t="str">
        <f ca="1">IF(AND('Mapa final'!$J$18="Muy Baja",'Mapa final'!$N$18="Leve"),CONCATENATE("R",'Mapa final'!$A$18),"")</f>
        <v/>
      </c>
      <c r="O38" s="329"/>
      <c r="P38" s="327" t="str">
        <f ca="1">IF(AND('Mapa final'!$J$10="Muy Baja",'Mapa final'!$N$10="Menor"),CONCATENATE("R",'Mapa final'!$A$10),"")</f>
        <v/>
      </c>
      <c r="Q38" s="328"/>
      <c r="R38" s="328" t="str">
        <f ca="1">IF(AND('Mapa final'!$J$14="Muy Baja",'Mapa final'!$N$14="Menor"),CONCATENATE("R",'Mapa final'!$A$14),"")</f>
        <v/>
      </c>
      <c r="S38" s="328"/>
      <c r="T38" s="328" t="str">
        <f ca="1">IF(AND('Mapa final'!$J$18="Muy Baja",'Mapa final'!$N$18="Menor"),CONCATENATE("R",'Mapa final'!$A$18),"")</f>
        <v/>
      </c>
      <c r="U38" s="329"/>
      <c r="V38" s="336" t="str">
        <f ca="1">IF(AND('Mapa final'!$J$10="Muy Baja",'Mapa final'!$N$10="Moderado"),CONCATENATE("R",'Mapa final'!$A$10),"")</f>
        <v/>
      </c>
      <c r="W38" s="337"/>
      <c r="X38" s="337" t="str">
        <f ca="1">IF(AND('Mapa final'!$J$14="Muy Baja",'Mapa final'!$N$14="Moderado"),CONCATENATE("R",'Mapa final'!$A$14),"")</f>
        <v/>
      </c>
      <c r="Y38" s="337"/>
      <c r="Z38" s="337" t="str">
        <f ca="1">IF(AND('Mapa final'!$J$18="Muy Baja",'Mapa final'!$N$18="Moderado"),CONCATENATE("R",'Mapa final'!$A$18),"")</f>
        <v/>
      </c>
      <c r="AA38" s="338"/>
      <c r="AB38" s="355" t="str">
        <f ca="1">IF(AND('Mapa final'!$J$10="Muy Baja",'Mapa final'!$N$10="Mayor"),CONCATENATE("R",'Mapa final'!$A$10),"")</f>
        <v/>
      </c>
      <c r="AC38" s="356"/>
      <c r="AD38" s="356" t="str">
        <f ca="1">IF(AND('Mapa final'!$J$14="Muy Baja",'Mapa final'!$N$14="Mayor"),CONCATENATE("R",'Mapa final'!$A$14),"")</f>
        <v/>
      </c>
      <c r="AE38" s="356"/>
      <c r="AF38" s="356" t="str">
        <f ca="1">IF(AND('Mapa final'!$J$18="Muy Baja",'Mapa final'!$N$18="Mayor"),CONCATENATE("R",'Mapa final'!$A$18),"")</f>
        <v/>
      </c>
      <c r="AG38" s="357"/>
      <c r="AH38" s="345" t="str">
        <f ca="1">IF(AND('Mapa final'!$J$10="Muy Baja",'Mapa final'!$N$10="Catastrófico"),CONCATENATE("R",'Mapa final'!$A$10),"")</f>
        <v/>
      </c>
      <c r="AI38" s="346"/>
      <c r="AJ38" s="346" t="str">
        <f ca="1">IF(AND('Mapa final'!$J$14="Muy Baja",'Mapa final'!$N$14="Catastrófico"),CONCATENATE("R",'Mapa final'!$A$14),"")</f>
        <v/>
      </c>
      <c r="AK38" s="346"/>
      <c r="AL38" s="346" t="str">
        <f ca="1">IF(AND('Mapa final'!$J$18="Muy Baja",'Mapa final'!$N$18="Catastrófico"),CONCATENATE("R",'Mapa final'!$A$18),"")</f>
        <v/>
      </c>
      <c r="AM38" s="347"/>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c r="A39" s="84"/>
      <c r="B39" s="370"/>
      <c r="C39" s="370"/>
      <c r="D39" s="371"/>
      <c r="E39" s="362"/>
      <c r="F39" s="363"/>
      <c r="G39" s="363"/>
      <c r="H39" s="363"/>
      <c r="I39" s="364"/>
      <c r="J39" s="321"/>
      <c r="K39" s="322"/>
      <c r="L39" s="322"/>
      <c r="M39" s="322"/>
      <c r="N39" s="322"/>
      <c r="O39" s="323"/>
      <c r="P39" s="321"/>
      <c r="Q39" s="322"/>
      <c r="R39" s="322"/>
      <c r="S39" s="322"/>
      <c r="T39" s="322"/>
      <c r="U39" s="323"/>
      <c r="V39" s="330"/>
      <c r="W39" s="331"/>
      <c r="X39" s="331"/>
      <c r="Y39" s="331"/>
      <c r="Z39" s="331"/>
      <c r="AA39" s="332"/>
      <c r="AB39" s="348"/>
      <c r="AC39" s="349"/>
      <c r="AD39" s="349"/>
      <c r="AE39" s="349"/>
      <c r="AF39" s="349"/>
      <c r="AG39" s="351"/>
      <c r="AH39" s="339"/>
      <c r="AI39" s="340"/>
      <c r="AJ39" s="340"/>
      <c r="AK39" s="340"/>
      <c r="AL39" s="340"/>
      <c r="AM39" s="341"/>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c r="A40" s="84"/>
      <c r="B40" s="370"/>
      <c r="C40" s="370"/>
      <c r="D40" s="371"/>
      <c r="E40" s="362"/>
      <c r="F40" s="363"/>
      <c r="G40" s="363"/>
      <c r="H40" s="363"/>
      <c r="I40" s="364"/>
      <c r="J40" s="321" t="str">
        <f ca="1">IF(AND('Mapa final'!$J$24="Muy Baja",'Mapa final'!$N$24="Leve"),CONCATENATE("R",'Mapa final'!$A$24),"")</f>
        <v/>
      </c>
      <c r="K40" s="322"/>
      <c r="L40" s="322" t="str">
        <f ca="1">IF(AND('Mapa final'!$J$30="Muy Baja",'Mapa final'!$N$30="Leve"),CONCATENATE("R",'Mapa final'!$A$30),"")</f>
        <v/>
      </c>
      <c r="M40" s="322"/>
      <c r="N40" s="322" t="str">
        <f ca="1">IF(AND('Mapa final'!$J$36="Muy Baja",'Mapa final'!$N$36="Leve"),CONCATENATE("R",'Mapa final'!$A$36),"")</f>
        <v/>
      </c>
      <c r="O40" s="323"/>
      <c r="P40" s="321" t="str">
        <f ca="1">IF(AND('Mapa final'!$J$24="Muy Baja",'Mapa final'!$N$24="Menor"),CONCATENATE("R",'Mapa final'!$A$24),"")</f>
        <v/>
      </c>
      <c r="Q40" s="322"/>
      <c r="R40" s="322" t="str">
        <f ca="1">IF(AND('Mapa final'!$J$30="Muy Baja",'Mapa final'!$N$30="Menor"),CONCATENATE("R",'Mapa final'!$A$30),"")</f>
        <v/>
      </c>
      <c r="S40" s="322"/>
      <c r="T40" s="322" t="str">
        <f ca="1">IF(AND('Mapa final'!$J$36="Muy Baja",'Mapa final'!$N$36="Menor"),CONCATENATE("R",'Mapa final'!$A$36),"")</f>
        <v/>
      </c>
      <c r="U40" s="323"/>
      <c r="V40" s="330" t="str">
        <f ca="1">IF(AND('Mapa final'!$J$24="Muy Baja",'Mapa final'!$N$24="Moderado"),CONCATENATE("R",'Mapa final'!$A$24),"")</f>
        <v/>
      </c>
      <c r="W40" s="331"/>
      <c r="X40" s="331" t="str">
        <f ca="1">IF(AND('Mapa final'!$J$30="Muy Baja",'Mapa final'!$N$30="Moderado"),CONCATENATE("R",'Mapa final'!$A$30),"")</f>
        <v/>
      </c>
      <c r="Y40" s="331"/>
      <c r="Z40" s="331" t="str">
        <f ca="1">IF(AND('Mapa final'!$J$36="Muy Baja",'Mapa final'!$N$36="Moderado"),CONCATENATE("R",'Mapa final'!$A$36),"")</f>
        <v/>
      </c>
      <c r="AA40" s="332"/>
      <c r="AB40" s="348" t="str">
        <f ca="1">IF(AND('Mapa final'!$J$24="Muy Baja",'Mapa final'!$N$24="Mayor"),CONCATENATE("R",'Mapa final'!$A$24),"")</f>
        <v/>
      </c>
      <c r="AC40" s="349"/>
      <c r="AD40" s="350" t="str">
        <f ca="1">IF(AND('Mapa final'!$J$30="Muy Baja",'Mapa final'!$N$30="Mayor"),CONCATENATE("R",'Mapa final'!$A$30),"")</f>
        <v/>
      </c>
      <c r="AE40" s="350"/>
      <c r="AF40" s="350" t="str">
        <f ca="1">IF(AND('Mapa final'!$J$36="Muy Baja",'Mapa final'!$N$36="Mayor"),CONCATENATE("R",'Mapa final'!$A$36),"")</f>
        <v/>
      </c>
      <c r="AG40" s="351"/>
      <c r="AH40" s="339" t="str">
        <f ca="1">IF(AND('Mapa final'!$J$24="Muy Baja",'Mapa final'!$N$24="Catastrófico"),CONCATENATE("R",'Mapa final'!$A$24),"")</f>
        <v/>
      </c>
      <c r="AI40" s="340"/>
      <c r="AJ40" s="340" t="str">
        <f ca="1">IF(AND('Mapa final'!$J$30="Muy Baja",'Mapa final'!$N$30="Catastrófico"),CONCATENATE("R",'Mapa final'!$A$30),"")</f>
        <v/>
      </c>
      <c r="AK40" s="340"/>
      <c r="AL40" s="340" t="str">
        <f ca="1">IF(AND('Mapa final'!$J$36="Muy Baja",'Mapa final'!$N$36="Catastrófico"),CONCATENATE("R",'Mapa final'!$A$36),"")</f>
        <v/>
      </c>
      <c r="AM40" s="341"/>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c r="A41" s="84"/>
      <c r="B41" s="370"/>
      <c r="C41" s="370"/>
      <c r="D41" s="371"/>
      <c r="E41" s="362"/>
      <c r="F41" s="363"/>
      <c r="G41" s="363"/>
      <c r="H41" s="363"/>
      <c r="I41" s="364"/>
      <c r="J41" s="321"/>
      <c r="K41" s="322"/>
      <c r="L41" s="322"/>
      <c r="M41" s="322"/>
      <c r="N41" s="322"/>
      <c r="O41" s="323"/>
      <c r="P41" s="321"/>
      <c r="Q41" s="322"/>
      <c r="R41" s="322"/>
      <c r="S41" s="322"/>
      <c r="T41" s="322"/>
      <c r="U41" s="323"/>
      <c r="V41" s="330"/>
      <c r="W41" s="331"/>
      <c r="X41" s="331"/>
      <c r="Y41" s="331"/>
      <c r="Z41" s="331"/>
      <c r="AA41" s="332"/>
      <c r="AB41" s="348"/>
      <c r="AC41" s="349"/>
      <c r="AD41" s="350"/>
      <c r="AE41" s="350"/>
      <c r="AF41" s="350"/>
      <c r="AG41" s="351"/>
      <c r="AH41" s="339"/>
      <c r="AI41" s="340"/>
      <c r="AJ41" s="340"/>
      <c r="AK41" s="340"/>
      <c r="AL41" s="340"/>
      <c r="AM41" s="341"/>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c r="A42" s="84"/>
      <c r="B42" s="370"/>
      <c r="C42" s="370"/>
      <c r="D42" s="371"/>
      <c r="E42" s="362"/>
      <c r="F42" s="363"/>
      <c r="G42" s="363"/>
      <c r="H42" s="363"/>
      <c r="I42" s="364"/>
      <c r="J42" s="321" t="str">
        <f ca="1">IF(AND('Mapa final'!$J$42="Muy Baja",'Mapa final'!$N$42="Leve"),CONCATENATE("R",'Mapa final'!$A$42),"")</f>
        <v/>
      </c>
      <c r="K42" s="322"/>
      <c r="L42" s="322" t="str">
        <f ca="1">IF(AND('Mapa final'!$J$48="Muy Baja",'Mapa final'!$N$48="Leve"),CONCATENATE("R",'Mapa final'!$A$48),"")</f>
        <v/>
      </c>
      <c r="M42" s="322"/>
      <c r="N42" s="322" t="str">
        <f ca="1">IF(AND('Mapa final'!$J$54="Muy Baja",'Mapa final'!$N$54="Leve"),CONCATENATE("R",'Mapa final'!$A$54),"")</f>
        <v/>
      </c>
      <c r="O42" s="323"/>
      <c r="P42" s="321" t="str">
        <f ca="1">IF(AND('Mapa final'!$J$42="Muy Baja",'Mapa final'!$N$42="Menor"),CONCATENATE("R",'Mapa final'!$A$42),"")</f>
        <v/>
      </c>
      <c r="Q42" s="322"/>
      <c r="R42" s="322" t="str">
        <f ca="1">IF(AND('Mapa final'!$J$48="Muy Baja",'Mapa final'!$N$48="Menor"),CONCATENATE("R",'Mapa final'!$A$48),"")</f>
        <v/>
      </c>
      <c r="S42" s="322"/>
      <c r="T42" s="322" t="str">
        <f ca="1">IF(AND('Mapa final'!$J$54="Muy Baja",'Mapa final'!$N$54="Menor"),CONCATENATE("R",'Mapa final'!$A$54),"")</f>
        <v/>
      </c>
      <c r="U42" s="323"/>
      <c r="V42" s="330" t="str">
        <f ca="1">IF(AND('Mapa final'!$J$42="Muy Baja",'Mapa final'!$N$42="Moderado"),CONCATENATE("R",'Mapa final'!$A$42),"")</f>
        <v/>
      </c>
      <c r="W42" s="331"/>
      <c r="X42" s="331" t="str">
        <f ca="1">IF(AND('Mapa final'!$J$48="Muy Baja",'Mapa final'!$N$48="Moderado"),CONCATENATE("R",'Mapa final'!$A$48),"")</f>
        <v/>
      </c>
      <c r="Y42" s="331"/>
      <c r="Z42" s="331" t="str">
        <f ca="1">IF(AND('Mapa final'!$J$54="Muy Baja",'Mapa final'!$N$54="Moderado"),CONCATENATE("R",'Mapa final'!$A$54),"")</f>
        <v/>
      </c>
      <c r="AA42" s="332"/>
      <c r="AB42" s="348" t="str">
        <f ca="1">IF(AND('Mapa final'!$J$42="Muy Baja",'Mapa final'!$N$42="Mayor"),CONCATENATE("R",'Mapa final'!$A$42),"")</f>
        <v/>
      </c>
      <c r="AC42" s="349"/>
      <c r="AD42" s="350" t="str">
        <f ca="1">IF(AND('Mapa final'!$J$48="Muy Baja",'Mapa final'!$N$48="Mayor"),CONCATENATE("R",'Mapa final'!$A$48),"")</f>
        <v/>
      </c>
      <c r="AE42" s="350"/>
      <c r="AF42" s="350" t="str">
        <f ca="1">IF(AND('Mapa final'!$J$54="Muy Baja",'Mapa final'!$N$54="Mayor"),CONCATENATE("R",'Mapa final'!$A$54),"")</f>
        <v/>
      </c>
      <c r="AG42" s="351"/>
      <c r="AH42" s="339" t="str">
        <f ca="1">IF(AND('Mapa final'!$J$42="Muy Baja",'Mapa final'!$N$42="Catastrófico"),CONCATENATE("R",'Mapa final'!$A$42),"")</f>
        <v/>
      </c>
      <c r="AI42" s="340"/>
      <c r="AJ42" s="340" t="str">
        <f ca="1">IF(AND('Mapa final'!$J$48="Muy Baja",'Mapa final'!$N$48="Catastrófico"),CONCATENATE("R",'Mapa final'!$A$48),"")</f>
        <v/>
      </c>
      <c r="AK42" s="340"/>
      <c r="AL42" s="340" t="str">
        <f ca="1">IF(AND('Mapa final'!$J$54="Muy Baja",'Mapa final'!$N$54="Catastrófico"),CONCATENATE("R",'Mapa final'!$A$54),"")</f>
        <v/>
      </c>
      <c r="AM42" s="341"/>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c r="A43" s="84"/>
      <c r="B43" s="370"/>
      <c r="C43" s="370"/>
      <c r="D43" s="371"/>
      <c r="E43" s="362"/>
      <c r="F43" s="363"/>
      <c r="G43" s="363"/>
      <c r="H43" s="363"/>
      <c r="I43" s="364"/>
      <c r="J43" s="321"/>
      <c r="K43" s="322"/>
      <c r="L43" s="322"/>
      <c r="M43" s="322"/>
      <c r="N43" s="322"/>
      <c r="O43" s="323"/>
      <c r="P43" s="321"/>
      <c r="Q43" s="322"/>
      <c r="R43" s="322"/>
      <c r="S43" s="322"/>
      <c r="T43" s="322"/>
      <c r="U43" s="323"/>
      <c r="V43" s="330"/>
      <c r="W43" s="331"/>
      <c r="X43" s="331"/>
      <c r="Y43" s="331"/>
      <c r="Z43" s="331"/>
      <c r="AA43" s="332"/>
      <c r="AB43" s="348"/>
      <c r="AC43" s="349"/>
      <c r="AD43" s="350"/>
      <c r="AE43" s="350"/>
      <c r="AF43" s="350"/>
      <c r="AG43" s="351"/>
      <c r="AH43" s="339"/>
      <c r="AI43" s="340"/>
      <c r="AJ43" s="340"/>
      <c r="AK43" s="340"/>
      <c r="AL43" s="340"/>
      <c r="AM43" s="341"/>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c r="A44" s="84"/>
      <c r="B44" s="370"/>
      <c r="C44" s="370"/>
      <c r="D44" s="371"/>
      <c r="E44" s="362"/>
      <c r="F44" s="363"/>
      <c r="G44" s="363"/>
      <c r="H44" s="363"/>
      <c r="I44" s="364"/>
      <c r="J44" s="321" t="str">
        <f ca="1">IF(AND('Mapa final'!$J$60="Muy Baja",'Mapa final'!$N$60="Leve"),CONCATENATE("R",'Mapa final'!$A$60),"")</f>
        <v/>
      </c>
      <c r="K44" s="322"/>
      <c r="L44" s="322" t="str">
        <f>IF(AND('Mapa final'!$J$66="Muy Baja",'Mapa final'!$N$66="Leve"),CONCATENATE("R",'Mapa final'!$A$66),"")</f>
        <v/>
      </c>
      <c r="M44" s="322"/>
      <c r="N44" s="322" t="str">
        <f>IF(AND('Mapa final'!$J$72="Muy Baja",'Mapa final'!$N$72="Leve"),CONCATENATE("R",'Mapa final'!$A$72),"")</f>
        <v/>
      </c>
      <c r="O44" s="323"/>
      <c r="P44" s="321" t="str">
        <f ca="1">IF(AND('Mapa final'!$J$60="Muy Baja",'Mapa final'!$N$60="Menor"),CONCATENATE("R",'Mapa final'!$A$60),"")</f>
        <v/>
      </c>
      <c r="Q44" s="322"/>
      <c r="R44" s="322" t="str">
        <f>IF(AND('Mapa final'!$J$66="Muy Baja",'Mapa final'!$N$66="Menor"),CONCATENATE("R",'Mapa final'!$A$66),"")</f>
        <v/>
      </c>
      <c r="S44" s="322"/>
      <c r="T44" s="322" t="str">
        <f>IF(AND('Mapa final'!$J$72="Muy Baja",'Mapa final'!$N$72="Menor"),CONCATENATE("R",'Mapa final'!$A$72),"")</f>
        <v/>
      </c>
      <c r="U44" s="323"/>
      <c r="V44" s="330" t="str">
        <f ca="1">IF(AND('Mapa final'!$J$60="Muy Baja",'Mapa final'!$N$60="Moderado"),CONCATENATE("R",'Mapa final'!$A$60),"")</f>
        <v/>
      </c>
      <c r="W44" s="331"/>
      <c r="X44" s="331" t="str">
        <f>IF(AND('Mapa final'!$J$66="Muy Baja",'Mapa final'!$N$66="Moderado"),CONCATENATE("R",'Mapa final'!$A$66),"")</f>
        <v/>
      </c>
      <c r="Y44" s="331"/>
      <c r="Z44" s="331" t="str">
        <f>IF(AND('Mapa final'!$J$72="Muy Baja",'Mapa final'!$N$72="Moderado"),CONCATENATE("R",'Mapa final'!$A$72),"")</f>
        <v/>
      </c>
      <c r="AA44" s="332"/>
      <c r="AB44" s="348" t="str">
        <f ca="1">IF(AND('Mapa final'!$J$60="Muy Baja",'Mapa final'!$N$60="Mayor"),CONCATENATE("R",'Mapa final'!$A$60),"")</f>
        <v/>
      </c>
      <c r="AC44" s="349"/>
      <c r="AD44" s="350" t="str">
        <f>IF(AND('Mapa final'!$J$66="Muy Baja",'Mapa final'!$N$66="Mayor"),CONCATENATE("R",'Mapa final'!$A$66),"")</f>
        <v/>
      </c>
      <c r="AE44" s="350"/>
      <c r="AF44" s="350" t="str">
        <f>IF(AND('Mapa final'!$J$72="Muy Baja",'Mapa final'!$N$72="Mayor"),CONCATENATE("R",'Mapa final'!$A$72),"")</f>
        <v/>
      </c>
      <c r="AG44" s="351"/>
      <c r="AH44" s="339" t="str">
        <f ca="1">IF(AND('Mapa final'!$J$60="Muy Baja",'Mapa final'!$N$60="Catastrófico"),CONCATENATE("R",'Mapa final'!$A$60),"")</f>
        <v/>
      </c>
      <c r="AI44" s="340"/>
      <c r="AJ44" s="340" t="str">
        <f>IF(AND('Mapa final'!$J$66="Muy Baja",'Mapa final'!$N$66="Catastrófico"),CONCATENATE("R",'Mapa final'!$A$66),"")</f>
        <v/>
      </c>
      <c r="AK44" s="340"/>
      <c r="AL44" s="340" t="str">
        <f>IF(AND('Mapa final'!$J$72="Muy Baja",'Mapa final'!$N$72="Catastrófico"),CONCATENATE("R",'Mapa final'!$A$72),"")</f>
        <v/>
      </c>
      <c r="AM44" s="341"/>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c r="A45" s="84"/>
      <c r="B45" s="370"/>
      <c r="C45" s="370"/>
      <c r="D45" s="371"/>
      <c r="E45" s="365"/>
      <c r="F45" s="366"/>
      <c r="G45" s="366"/>
      <c r="H45" s="366"/>
      <c r="I45" s="367"/>
      <c r="J45" s="324"/>
      <c r="K45" s="325"/>
      <c r="L45" s="325"/>
      <c r="M45" s="325"/>
      <c r="N45" s="325"/>
      <c r="O45" s="326"/>
      <c r="P45" s="324"/>
      <c r="Q45" s="325"/>
      <c r="R45" s="325"/>
      <c r="S45" s="325"/>
      <c r="T45" s="325"/>
      <c r="U45" s="326"/>
      <c r="V45" s="333"/>
      <c r="W45" s="334"/>
      <c r="X45" s="334"/>
      <c r="Y45" s="334"/>
      <c r="Z45" s="334"/>
      <c r="AA45" s="335"/>
      <c r="AB45" s="352"/>
      <c r="AC45" s="353"/>
      <c r="AD45" s="353"/>
      <c r="AE45" s="353"/>
      <c r="AF45" s="353"/>
      <c r="AG45" s="354"/>
      <c r="AH45" s="342"/>
      <c r="AI45" s="343"/>
      <c r="AJ45" s="343"/>
      <c r="AK45" s="343"/>
      <c r="AL45" s="343"/>
      <c r="AM45" s="34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c r="A46" s="84"/>
      <c r="B46" s="84"/>
      <c r="C46" s="84"/>
      <c r="D46" s="84"/>
      <c r="E46" s="84"/>
      <c r="F46" s="84"/>
      <c r="G46" s="84"/>
      <c r="H46" s="84"/>
      <c r="I46" s="84"/>
      <c r="J46" s="359" t="s">
        <v>112</v>
      </c>
      <c r="K46" s="360"/>
      <c r="L46" s="360"/>
      <c r="M46" s="360"/>
      <c r="N46" s="360"/>
      <c r="O46" s="361"/>
      <c r="P46" s="359" t="s">
        <v>111</v>
      </c>
      <c r="Q46" s="360"/>
      <c r="R46" s="360"/>
      <c r="S46" s="360"/>
      <c r="T46" s="360"/>
      <c r="U46" s="361"/>
      <c r="V46" s="359" t="s">
        <v>110</v>
      </c>
      <c r="W46" s="360"/>
      <c r="X46" s="360"/>
      <c r="Y46" s="360"/>
      <c r="Z46" s="360"/>
      <c r="AA46" s="361"/>
      <c r="AB46" s="359" t="s">
        <v>109</v>
      </c>
      <c r="AC46" s="369"/>
      <c r="AD46" s="360"/>
      <c r="AE46" s="360"/>
      <c r="AF46" s="360"/>
      <c r="AG46" s="361"/>
      <c r="AH46" s="359" t="s">
        <v>108</v>
      </c>
      <c r="AI46" s="360"/>
      <c r="AJ46" s="360"/>
      <c r="AK46" s="360"/>
      <c r="AL46" s="360"/>
      <c r="AM46" s="361"/>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c r="A47" s="84"/>
      <c r="B47" s="84"/>
      <c r="C47" s="84"/>
      <c r="D47" s="84"/>
      <c r="E47" s="84"/>
      <c r="F47" s="84"/>
      <c r="G47" s="84"/>
      <c r="H47" s="84"/>
      <c r="I47" s="84"/>
      <c r="J47" s="362"/>
      <c r="K47" s="363"/>
      <c r="L47" s="363"/>
      <c r="M47" s="363"/>
      <c r="N47" s="363"/>
      <c r="O47" s="364"/>
      <c r="P47" s="362"/>
      <c r="Q47" s="363"/>
      <c r="R47" s="363"/>
      <c r="S47" s="363"/>
      <c r="T47" s="363"/>
      <c r="U47" s="364"/>
      <c r="V47" s="362"/>
      <c r="W47" s="363"/>
      <c r="X47" s="363"/>
      <c r="Y47" s="363"/>
      <c r="Z47" s="363"/>
      <c r="AA47" s="364"/>
      <c r="AB47" s="362"/>
      <c r="AC47" s="363"/>
      <c r="AD47" s="363"/>
      <c r="AE47" s="363"/>
      <c r="AF47" s="363"/>
      <c r="AG47" s="364"/>
      <c r="AH47" s="362"/>
      <c r="AI47" s="363"/>
      <c r="AJ47" s="363"/>
      <c r="AK47" s="363"/>
      <c r="AL47" s="363"/>
      <c r="AM47" s="36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c r="A48" s="84"/>
      <c r="B48" s="84"/>
      <c r="C48" s="84"/>
      <c r="D48" s="84"/>
      <c r="E48" s="84"/>
      <c r="F48" s="84"/>
      <c r="G48" s="84"/>
      <c r="H48" s="84"/>
      <c r="I48" s="84"/>
      <c r="J48" s="362"/>
      <c r="K48" s="363"/>
      <c r="L48" s="363"/>
      <c r="M48" s="363"/>
      <c r="N48" s="363"/>
      <c r="O48" s="364"/>
      <c r="P48" s="362"/>
      <c r="Q48" s="363"/>
      <c r="R48" s="363"/>
      <c r="S48" s="363"/>
      <c r="T48" s="363"/>
      <c r="U48" s="364"/>
      <c r="V48" s="362"/>
      <c r="W48" s="363"/>
      <c r="X48" s="363"/>
      <c r="Y48" s="363"/>
      <c r="Z48" s="363"/>
      <c r="AA48" s="364"/>
      <c r="AB48" s="362"/>
      <c r="AC48" s="363"/>
      <c r="AD48" s="363"/>
      <c r="AE48" s="363"/>
      <c r="AF48" s="363"/>
      <c r="AG48" s="364"/>
      <c r="AH48" s="362"/>
      <c r="AI48" s="363"/>
      <c r="AJ48" s="363"/>
      <c r="AK48" s="363"/>
      <c r="AL48" s="363"/>
      <c r="AM48" s="36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c r="A49" s="84"/>
      <c r="B49" s="84"/>
      <c r="C49" s="84"/>
      <c r="D49" s="84"/>
      <c r="E49" s="84"/>
      <c r="F49" s="84"/>
      <c r="G49" s="84"/>
      <c r="H49" s="84"/>
      <c r="I49" s="84"/>
      <c r="J49" s="362"/>
      <c r="K49" s="363"/>
      <c r="L49" s="363"/>
      <c r="M49" s="363"/>
      <c r="N49" s="363"/>
      <c r="O49" s="364"/>
      <c r="P49" s="362"/>
      <c r="Q49" s="363"/>
      <c r="R49" s="363"/>
      <c r="S49" s="363"/>
      <c r="T49" s="363"/>
      <c r="U49" s="364"/>
      <c r="V49" s="362"/>
      <c r="W49" s="363"/>
      <c r="X49" s="363"/>
      <c r="Y49" s="363"/>
      <c r="Z49" s="363"/>
      <c r="AA49" s="364"/>
      <c r="AB49" s="362"/>
      <c r="AC49" s="363"/>
      <c r="AD49" s="363"/>
      <c r="AE49" s="363"/>
      <c r="AF49" s="363"/>
      <c r="AG49" s="364"/>
      <c r="AH49" s="362"/>
      <c r="AI49" s="363"/>
      <c r="AJ49" s="363"/>
      <c r="AK49" s="363"/>
      <c r="AL49" s="363"/>
      <c r="AM49" s="36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c r="A50" s="84"/>
      <c r="B50" s="84"/>
      <c r="C50" s="84"/>
      <c r="D50" s="84"/>
      <c r="E50" s="84"/>
      <c r="F50" s="84"/>
      <c r="G50" s="84"/>
      <c r="H50" s="84"/>
      <c r="I50" s="84"/>
      <c r="J50" s="362"/>
      <c r="K50" s="363"/>
      <c r="L50" s="363"/>
      <c r="M50" s="363"/>
      <c r="N50" s="363"/>
      <c r="O50" s="364"/>
      <c r="P50" s="362"/>
      <c r="Q50" s="363"/>
      <c r="R50" s="363"/>
      <c r="S50" s="363"/>
      <c r="T50" s="363"/>
      <c r="U50" s="364"/>
      <c r="V50" s="362"/>
      <c r="W50" s="363"/>
      <c r="X50" s="363"/>
      <c r="Y50" s="363"/>
      <c r="Z50" s="363"/>
      <c r="AA50" s="364"/>
      <c r="AB50" s="362"/>
      <c r="AC50" s="363"/>
      <c r="AD50" s="363"/>
      <c r="AE50" s="363"/>
      <c r="AF50" s="363"/>
      <c r="AG50" s="364"/>
      <c r="AH50" s="362"/>
      <c r="AI50" s="363"/>
      <c r="AJ50" s="363"/>
      <c r="AK50" s="363"/>
      <c r="AL50" s="363"/>
      <c r="AM50" s="36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c r="A51" s="84"/>
      <c r="B51" s="84"/>
      <c r="C51" s="84"/>
      <c r="D51" s="84"/>
      <c r="E51" s="84"/>
      <c r="F51" s="84"/>
      <c r="G51" s="84"/>
      <c r="H51" s="84"/>
      <c r="I51" s="84"/>
      <c r="J51" s="365"/>
      <c r="K51" s="366"/>
      <c r="L51" s="366"/>
      <c r="M51" s="366"/>
      <c r="N51" s="366"/>
      <c r="O51" s="367"/>
      <c r="P51" s="365"/>
      <c r="Q51" s="366"/>
      <c r="R51" s="366"/>
      <c r="S51" s="366"/>
      <c r="T51" s="366"/>
      <c r="U51" s="367"/>
      <c r="V51" s="365"/>
      <c r="W51" s="366"/>
      <c r="X51" s="366"/>
      <c r="Y51" s="366"/>
      <c r="Z51" s="366"/>
      <c r="AA51" s="367"/>
      <c r="AB51" s="365"/>
      <c r="AC51" s="366"/>
      <c r="AD51" s="366"/>
      <c r="AE51" s="366"/>
      <c r="AF51" s="366"/>
      <c r="AG51" s="367"/>
      <c r="AH51" s="365"/>
      <c r="AI51" s="366"/>
      <c r="AJ51" s="366"/>
      <c r="AK51" s="366"/>
      <c r="AL51" s="366"/>
      <c r="AM51" s="367"/>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c r="B137" s="84"/>
      <c r="C137" s="84"/>
      <c r="D137" s="84"/>
      <c r="E137" s="84"/>
      <c r="F137" s="84"/>
      <c r="G137" s="84"/>
      <c r="H137" s="84"/>
      <c r="I137" s="84"/>
    </row>
    <row r="138" spans="2:63">
      <c r="B138" s="84"/>
      <c r="C138" s="84"/>
      <c r="D138" s="84"/>
      <c r="E138" s="84"/>
      <c r="F138" s="84"/>
      <c r="G138" s="84"/>
      <c r="H138" s="84"/>
      <c r="I138" s="84"/>
    </row>
    <row r="139" spans="2:63">
      <c r="B139" s="84"/>
      <c r="C139" s="84"/>
      <c r="D139" s="84"/>
      <c r="E139" s="84"/>
      <c r="F139" s="84"/>
      <c r="G139" s="84"/>
      <c r="H139" s="84"/>
      <c r="I139" s="84"/>
    </row>
    <row r="140" spans="2:63">
      <c r="B140" s="84"/>
      <c r="C140" s="84"/>
      <c r="D140" s="84"/>
      <c r="E140" s="84"/>
      <c r="F140" s="84"/>
      <c r="G140" s="84"/>
      <c r="H140" s="84"/>
      <c r="I140" s="84"/>
    </row>
  </sheetData>
  <sheetProtection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M248"/>
  <sheetViews>
    <sheetView zoomScale="50" zoomScaleNormal="50" workbookViewId="0">
      <selection activeCell="X46" sqref="X46"/>
    </sheetView>
  </sheetViews>
  <sheetFormatPr baseColWidth="10"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c r="A2" s="84"/>
      <c r="B2" s="438" t="s">
        <v>160</v>
      </c>
      <c r="C2" s="439"/>
      <c r="D2" s="439"/>
      <c r="E2" s="439"/>
      <c r="F2" s="439"/>
      <c r="G2" s="439"/>
      <c r="H2" s="439"/>
      <c r="I2" s="439"/>
      <c r="J2" s="358" t="s">
        <v>2</v>
      </c>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c r="A3" s="84"/>
      <c r="B3" s="439"/>
      <c r="C3" s="439"/>
      <c r="D3" s="439"/>
      <c r="E3" s="439"/>
      <c r="F3" s="439"/>
      <c r="G3" s="439"/>
      <c r="H3" s="439"/>
      <c r="I3" s="439"/>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c r="A4" s="84"/>
      <c r="B4" s="439"/>
      <c r="C4" s="439"/>
      <c r="D4" s="439"/>
      <c r="E4" s="439"/>
      <c r="F4" s="439"/>
      <c r="G4" s="439"/>
      <c r="H4" s="439"/>
      <c r="I4" s="439"/>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c r="A6" s="84"/>
      <c r="B6" s="370" t="s">
        <v>4</v>
      </c>
      <c r="C6" s="370"/>
      <c r="D6" s="371"/>
      <c r="E6" s="408" t="s">
        <v>116</v>
      </c>
      <c r="F6" s="409"/>
      <c r="G6" s="409"/>
      <c r="H6" s="409"/>
      <c r="I6" s="410"/>
      <c r="J6" s="46" t="str">
        <f ca="1">IF(AND('Mapa final'!$AA$10="Muy Alta",'Mapa final'!$AC$10="Leve"),CONCATENATE("R1C",'Mapa final'!$Q$10),"")</f>
        <v/>
      </c>
      <c r="K6" s="47" t="str">
        <f ca="1">IF(AND('Mapa final'!$AA$11="Muy Alta",'Mapa final'!$AC$11="Leve"),CONCATENATE("R1C",'Mapa final'!$Q$11),"")</f>
        <v/>
      </c>
      <c r="L6" s="47" t="str">
        <f ca="1">IF(AND('Mapa final'!$AA$12="Muy Alta",'Mapa final'!$AC$12="Leve"),CONCATENATE("R1C",'Mapa final'!$Q$12),"")</f>
        <v/>
      </c>
      <c r="M6" s="47" t="str">
        <f>IF(AND('Mapa final'!$AA$13="Muy Alta",'Mapa final'!$AC$13="Leve"),CONCATENATE("R1C",'Mapa final'!$Q$13),"")</f>
        <v/>
      </c>
      <c r="N6" s="47" t="e">
        <f>IF(AND('Mapa final'!#REF!="Muy Alta",'Mapa final'!#REF!="Leve"),CONCATENATE("R1C",'Mapa final'!#REF!),"")</f>
        <v>#REF!</v>
      </c>
      <c r="O6" s="48" t="e">
        <f>IF(AND('Mapa final'!#REF!="Muy Alta",'Mapa final'!#REF!="Leve"),CONCATENATE("R1C",'Mapa final'!#REF!),"")</f>
        <v>#REF!</v>
      </c>
      <c r="P6" s="46" t="str">
        <f ca="1">IF(AND('Mapa final'!$AA$10="Muy Alta",'Mapa final'!$AC$10="Menor"),CONCATENATE("R1C",'Mapa final'!$Q$10),"")</f>
        <v/>
      </c>
      <c r="Q6" s="47" t="str">
        <f ca="1">IF(AND('Mapa final'!$AA$11="Muy Alta",'Mapa final'!$AC$11="Menor"),CONCATENATE("R1C",'Mapa final'!$Q$11),"")</f>
        <v/>
      </c>
      <c r="R6" s="47" t="str">
        <f ca="1">IF(AND('Mapa final'!$AA$12="Muy Alta",'Mapa final'!$AC$12="Menor"),CONCATENATE("R1C",'Mapa final'!$Q$12),"")</f>
        <v/>
      </c>
      <c r="S6" s="47" t="str">
        <f>IF(AND('Mapa final'!$AA$13="Muy Alta",'Mapa final'!$AC$13="Menor"),CONCATENATE("R1C",'Mapa final'!$Q$13),"")</f>
        <v/>
      </c>
      <c r="T6" s="47" t="e">
        <f>IF(AND('Mapa final'!#REF!="Muy Alta",'Mapa final'!#REF!="Menor"),CONCATENATE("R1C",'Mapa final'!#REF!),"")</f>
        <v>#REF!</v>
      </c>
      <c r="U6" s="48" t="e">
        <f>IF(AND('Mapa final'!#REF!="Muy Alta",'Mapa final'!#REF!="Menor"),CONCATENATE("R1C",'Mapa final'!#REF!),"")</f>
        <v>#REF!</v>
      </c>
      <c r="V6" s="46" t="str">
        <f ca="1">IF(AND('Mapa final'!$AA$10="Muy Alta",'Mapa final'!$AC$10="Moderado"),CONCATENATE("R1C",'Mapa final'!$Q$10),"")</f>
        <v/>
      </c>
      <c r="W6" s="47" t="str">
        <f ca="1">IF(AND('Mapa final'!$AA$11="Muy Alta",'Mapa final'!$AC$11="Moderado"),CONCATENATE("R1C",'Mapa final'!$Q$11),"")</f>
        <v/>
      </c>
      <c r="X6" s="47" t="str">
        <f ca="1">IF(AND('Mapa final'!$AA$12="Muy Alta",'Mapa final'!$AC$12="Moderado"),CONCATENATE("R1C",'Mapa final'!$Q$12),"")</f>
        <v/>
      </c>
      <c r="Y6" s="47" t="str">
        <f>IF(AND('Mapa final'!$AA$13="Muy Alta",'Mapa final'!$AC$13="Moderado"),CONCATENATE("R1C",'Mapa final'!$Q$13),"")</f>
        <v/>
      </c>
      <c r="Z6" s="47" t="e">
        <f>IF(AND('Mapa final'!#REF!="Muy Alta",'Mapa final'!#REF!="Moderado"),CONCATENATE("R1C",'Mapa final'!#REF!),"")</f>
        <v>#REF!</v>
      </c>
      <c r="AA6" s="48" t="e">
        <f>IF(AND('Mapa final'!#REF!="Muy Alta",'Mapa final'!#REF!="Moderado"),CONCATENATE("R1C",'Mapa final'!#REF!),"")</f>
        <v>#REF!</v>
      </c>
      <c r="AB6" s="46" t="str">
        <f ca="1">IF(AND('Mapa final'!$AA$10="Muy Alta",'Mapa final'!$AC$10="Mayor"),CONCATENATE("R1C",'Mapa final'!$Q$10),"")</f>
        <v/>
      </c>
      <c r="AC6" s="47" t="str">
        <f ca="1">IF(AND('Mapa final'!$AA$11="Muy Alta",'Mapa final'!$AC$11="Mayor"),CONCATENATE("R1C",'Mapa final'!$Q$11),"")</f>
        <v/>
      </c>
      <c r="AD6" s="47" t="str">
        <f ca="1">IF(AND('Mapa final'!$AA$12="Muy Alta",'Mapa final'!$AC$12="Mayor"),CONCATENATE("R1C",'Mapa final'!$Q$12),"")</f>
        <v/>
      </c>
      <c r="AE6" s="47" t="str">
        <f>IF(AND('Mapa final'!$AA$13="Muy Alta",'Mapa final'!$AC$13="Mayor"),CONCATENATE("R1C",'Mapa final'!$Q$13),"")</f>
        <v/>
      </c>
      <c r="AF6" s="47" t="e">
        <f>IF(AND('Mapa final'!#REF!="Muy Alta",'Mapa final'!#REF!="Mayor"),CONCATENATE("R1C",'Mapa final'!#REF!),"")</f>
        <v>#REF!</v>
      </c>
      <c r="AG6" s="48" t="e">
        <f>IF(AND('Mapa final'!#REF!="Muy Alta",'Mapa final'!#REF!="Mayor"),CONCATENATE("R1C",'Mapa final'!#REF!),"")</f>
        <v>#REF!</v>
      </c>
      <c r="AH6" s="49" t="str">
        <f ca="1">IF(AND('Mapa final'!$AA$10="Muy Alta",'Mapa final'!$AC$10="Catastrófico"),CONCATENATE("R1C",'Mapa final'!$Q$10),"")</f>
        <v/>
      </c>
      <c r="AI6" s="50" t="str">
        <f ca="1">IF(AND('Mapa final'!$AA$11="Muy Alta",'Mapa final'!$AC$11="Catastrófico"),CONCATENATE("R1C",'Mapa final'!$Q$11),"")</f>
        <v/>
      </c>
      <c r="AJ6" s="50" t="str">
        <f ca="1">IF(AND('Mapa final'!$AA$12="Muy Alta",'Mapa final'!$AC$12="Catastrófico"),CONCATENATE("R1C",'Mapa final'!$Q$12),"")</f>
        <v/>
      </c>
      <c r="AK6" s="50" t="str">
        <f>IF(AND('Mapa final'!$AA$13="Muy Alta",'Mapa final'!$AC$13="Catastrófico"),CONCATENATE("R1C",'Mapa final'!$Q$13),"")</f>
        <v/>
      </c>
      <c r="AL6" s="50" t="e">
        <f>IF(AND('Mapa final'!#REF!="Muy Alta",'Mapa final'!#REF!="Catastrófico"),CONCATENATE("R1C",'Mapa final'!#REF!),"")</f>
        <v>#REF!</v>
      </c>
      <c r="AM6" s="51" t="e">
        <f>IF(AND('Mapa final'!#REF!="Muy Alta",'Mapa final'!#REF!="Catastrófico"),CONCATENATE("R1C",'Mapa final'!#REF!),"")</f>
        <v>#REF!</v>
      </c>
      <c r="AN6" s="84"/>
      <c r="AO6" s="429" t="s">
        <v>79</v>
      </c>
      <c r="AP6" s="430"/>
      <c r="AQ6" s="430"/>
      <c r="AR6" s="430"/>
      <c r="AS6" s="430"/>
      <c r="AT6" s="431"/>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c r="A7" s="84"/>
      <c r="B7" s="370"/>
      <c r="C7" s="370"/>
      <c r="D7" s="371"/>
      <c r="E7" s="411"/>
      <c r="F7" s="412"/>
      <c r="G7" s="412"/>
      <c r="H7" s="412"/>
      <c r="I7" s="413"/>
      <c r="J7" s="52" t="str">
        <f>IF(AND('Mapa final'!$AA$14="Muy Alta",'Mapa final'!$AC$14="Leve"),CONCATENATE("R2C",'Mapa final'!$Q$14),"")</f>
        <v/>
      </c>
      <c r="K7" s="53" t="e">
        <f>IF(AND('Mapa final'!#REF!="Muy Alta",'Mapa final'!#REF!="Leve"),CONCATENATE("R2C",'Mapa final'!#REF!),"")</f>
        <v>#REF!</v>
      </c>
      <c r="L7" s="53" t="str">
        <f>IF(AND('Mapa final'!$AA$15="Muy Alta",'Mapa final'!$AC$15="Leve"),CONCATENATE("R2C",'Mapa final'!$Q$15),"")</f>
        <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final'!$AA$14="Muy Alta",'Mapa final'!$AC$14="Menor"),CONCATENATE("R2C",'Mapa final'!$Q$14),"")</f>
        <v/>
      </c>
      <c r="Q7" s="53" t="e">
        <f>IF(AND('Mapa final'!#REF!="Muy Alta",'Mapa final'!#REF!="Menor"),CONCATENATE("R2C",'Mapa final'!#REF!),"")</f>
        <v>#REF!</v>
      </c>
      <c r="R7" s="53" t="str">
        <f>IF(AND('Mapa final'!$AA$15="Muy Alta",'Mapa final'!$AC$15="Menor"),CONCATENATE("R2C",'Mapa final'!$Q$15),"")</f>
        <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final'!$AA$14="Muy Alta",'Mapa final'!$AC$14="Moderado"),CONCATENATE("R2C",'Mapa final'!$Q$14),"")</f>
        <v/>
      </c>
      <c r="W7" s="53" t="e">
        <f>IF(AND('Mapa final'!#REF!="Muy Alta",'Mapa final'!#REF!="Moderado"),CONCATENATE("R2C",'Mapa final'!#REF!),"")</f>
        <v>#REF!</v>
      </c>
      <c r="X7" s="53" t="str">
        <f>IF(AND('Mapa final'!$AA$15="Muy Alta",'Mapa final'!$AC$15="Moderado"),CONCATENATE("R2C",'Mapa final'!$Q$15),"")</f>
        <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final'!$AA$14="Muy Alta",'Mapa final'!$AC$14="Mayor"),CONCATENATE("R2C",'Mapa final'!$Q$14),"")</f>
        <v/>
      </c>
      <c r="AC7" s="53" t="e">
        <f>IF(AND('Mapa final'!#REF!="Muy Alta",'Mapa final'!#REF!="Mayor"),CONCATENATE("R2C",'Mapa final'!#REF!),"")</f>
        <v>#REF!</v>
      </c>
      <c r="AD7" s="53" t="str">
        <f>IF(AND('Mapa final'!$AA$15="Muy Alta",'Mapa final'!$AC$15="Mayor"),CONCATENATE("R2C",'Mapa final'!$Q$15),"")</f>
        <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final'!$AA$14="Muy Alta",'Mapa final'!$AC$14="Catastrófico"),CONCATENATE("R2C",'Mapa final'!$Q$14),"")</f>
        <v/>
      </c>
      <c r="AI7" s="56" t="e">
        <f>IF(AND('Mapa final'!#REF!="Muy Alta",'Mapa final'!#REF!="Catastrófico"),CONCATENATE("R2C",'Mapa final'!#REF!),"")</f>
        <v>#REF!</v>
      </c>
      <c r="AJ7" s="56" t="str">
        <f>IF(AND('Mapa final'!$AA$15="Muy Alta",'Mapa final'!$AC$15="Catastrófico"),CONCATENATE("R2C",'Mapa final'!$Q$15),"")</f>
        <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4"/>
      <c r="AO7" s="432"/>
      <c r="AP7" s="433"/>
      <c r="AQ7" s="433"/>
      <c r="AR7" s="433"/>
      <c r="AS7" s="433"/>
      <c r="AT7" s="43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c r="A8" s="84"/>
      <c r="B8" s="370"/>
      <c r="C8" s="370"/>
      <c r="D8" s="371"/>
      <c r="E8" s="411"/>
      <c r="F8" s="412"/>
      <c r="G8" s="412"/>
      <c r="H8" s="412"/>
      <c r="I8" s="413"/>
      <c r="J8" s="52" t="str">
        <f>IF(AND('Mapa final'!$AA$18="Muy Alta",'Mapa final'!$AC$18="Leve"),CONCATENATE("R3C",'Mapa final'!$Q$18),"")</f>
        <v/>
      </c>
      <c r="K8" s="53" t="str">
        <f>IF(AND('Mapa final'!$AA$19="Muy Alta",'Mapa final'!$AC$19="Leve"),CONCATENATE("R3C",'Mapa final'!$Q$19),"")</f>
        <v/>
      </c>
      <c r="L8" s="53" t="str">
        <f>IF(AND('Mapa final'!$AA$20="Muy Alta",'Mapa final'!$AC$20="Leve"),CONCATENATE("R3C",'Mapa final'!$Q$20),"")</f>
        <v/>
      </c>
      <c r="M8" s="53" t="str">
        <f>IF(AND('Mapa final'!$AA$21="Muy Alta",'Mapa final'!$AC$21="Leve"),CONCATENATE("R3C",'Mapa final'!$Q$21),"")</f>
        <v/>
      </c>
      <c r="N8" s="53" t="str">
        <f>IF(AND('Mapa final'!$AA$22="Muy Alta",'Mapa final'!$AC$22="Leve"),CONCATENATE("R3C",'Mapa final'!$Q$22),"")</f>
        <v/>
      </c>
      <c r="O8" s="54" t="str">
        <f>IF(AND('Mapa final'!$AA$23="Muy Alta",'Mapa final'!$AC$23="Leve"),CONCATENATE("R3C",'Mapa final'!$Q$23),"")</f>
        <v/>
      </c>
      <c r="P8" s="52" t="str">
        <f>IF(AND('Mapa final'!$AA$18="Muy Alta",'Mapa final'!$AC$18="Menor"),CONCATENATE("R3C",'Mapa final'!$Q$18),"")</f>
        <v/>
      </c>
      <c r="Q8" s="53" t="str">
        <f>IF(AND('Mapa final'!$AA$19="Muy Alta",'Mapa final'!$AC$19="Menor"),CONCATENATE("R3C",'Mapa final'!$Q$19),"")</f>
        <v/>
      </c>
      <c r="R8" s="53" t="str">
        <f>IF(AND('Mapa final'!$AA$20="Muy Alta",'Mapa final'!$AC$20="Menor"),CONCATENATE("R3C",'Mapa final'!$Q$20),"")</f>
        <v/>
      </c>
      <c r="S8" s="53" t="str">
        <f>IF(AND('Mapa final'!$AA$21="Muy Alta",'Mapa final'!$AC$21="Menor"),CONCATENATE("R3C",'Mapa final'!$Q$21),"")</f>
        <v/>
      </c>
      <c r="T8" s="53" t="str">
        <f>IF(AND('Mapa final'!$AA$22="Muy Alta",'Mapa final'!$AC$22="Menor"),CONCATENATE("R3C",'Mapa final'!$Q$22),"")</f>
        <v/>
      </c>
      <c r="U8" s="54" t="str">
        <f>IF(AND('Mapa final'!$AA$23="Muy Alta",'Mapa final'!$AC$23="Menor"),CONCATENATE("R3C",'Mapa final'!$Q$23),"")</f>
        <v/>
      </c>
      <c r="V8" s="52" t="str">
        <f>IF(AND('Mapa final'!$AA$18="Muy Alta",'Mapa final'!$AC$18="Moderado"),CONCATENATE("R3C",'Mapa final'!$Q$18),"")</f>
        <v/>
      </c>
      <c r="W8" s="53" t="str">
        <f>IF(AND('Mapa final'!$AA$19="Muy Alta",'Mapa final'!$AC$19="Moderado"),CONCATENATE("R3C",'Mapa final'!$Q$19),"")</f>
        <v/>
      </c>
      <c r="X8" s="53" t="str">
        <f>IF(AND('Mapa final'!$AA$20="Muy Alta",'Mapa final'!$AC$20="Moderado"),CONCATENATE("R3C",'Mapa final'!$Q$20),"")</f>
        <v/>
      </c>
      <c r="Y8" s="53" t="str">
        <f>IF(AND('Mapa final'!$AA$21="Muy Alta",'Mapa final'!$AC$21="Moderado"),CONCATENATE("R3C",'Mapa final'!$Q$21),"")</f>
        <v/>
      </c>
      <c r="Z8" s="53" t="str">
        <f>IF(AND('Mapa final'!$AA$22="Muy Alta",'Mapa final'!$AC$22="Moderado"),CONCATENATE("R3C",'Mapa final'!$Q$22),"")</f>
        <v/>
      </c>
      <c r="AA8" s="54" t="str">
        <f>IF(AND('Mapa final'!$AA$23="Muy Alta",'Mapa final'!$AC$23="Moderado"),CONCATENATE("R3C",'Mapa final'!$Q$23),"")</f>
        <v/>
      </c>
      <c r="AB8" s="52" t="str">
        <f>IF(AND('Mapa final'!$AA$18="Muy Alta",'Mapa final'!$AC$18="Mayor"),CONCATENATE("R3C",'Mapa final'!$Q$18),"")</f>
        <v/>
      </c>
      <c r="AC8" s="53" t="str">
        <f>IF(AND('Mapa final'!$AA$19="Muy Alta",'Mapa final'!$AC$19="Mayor"),CONCATENATE("R3C",'Mapa final'!$Q$19),"")</f>
        <v/>
      </c>
      <c r="AD8" s="53" t="str">
        <f>IF(AND('Mapa final'!$AA$20="Muy Alta",'Mapa final'!$AC$20="Mayor"),CONCATENATE("R3C",'Mapa final'!$Q$20),"")</f>
        <v/>
      </c>
      <c r="AE8" s="53" t="str">
        <f>IF(AND('Mapa final'!$AA$21="Muy Alta",'Mapa final'!$AC$21="Mayor"),CONCATENATE("R3C",'Mapa final'!$Q$21),"")</f>
        <v/>
      </c>
      <c r="AF8" s="53" t="str">
        <f>IF(AND('Mapa final'!$AA$22="Muy Alta",'Mapa final'!$AC$22="Mayor"),CONCATENATE("R3C",'Mapa final'!$Q$22),"")</f>
        <v/>
      </c>
      <c r="AG8" s="54" t="str">
        <f>IF(AND('Mapa final'!$AA$23="Muy Alta",'Mapa final'!$AC$23="Mayor"),CONCATENATE("R3C",'Mapa final'!$Q$23),"")</f>
        <v/>
      </c>
      <c r="AH8" s="55" t="str">
        <f>IF(AND('Mapa final'!$AA$18="Muy Alta",'Mapa final'!$AC$18="Catastrófico"),CONCATENATE("R3C",'Mapa final'!$Q$18),"")</f>
        <v/>
      </c>
      <c r="AI8" s="56" t="str">
        <f>IF(AND('Mapa final'!$AA$19="Muy Alta",'Mapa final'!$AC$19="Catastrófico"),CONCATENATE("R3C",'Mapa final'!$Q$19),"")</f>
        <v/>
      </c>
      <c r="AJ8" s="56" t="str">
        <f>IF(AND('Mapa final'!$AA$20="Muy Alta",'Mapa final'!$AC$20="Catastrófico"),CONCATENATE("R3C",'Mapa final'!$Q$20),"")</f>
        <v/>
      </c>
      <c r="AK8" s="56" t="str">
        <f>IF(AND('Mapa final'!$AA$21="Muy Alta",'Mapa final'!$AC$21="Catastrófico"),CONCATENATE("R3C",'Mapa final'!$Q$21),"")</f>
        <v/>
      </c>
      <c r="AL8" s="56" t="str">
        <f>IF(AND('Mapa final'!$AA$22="Muy Alta",'Mapa final'!$AC$22="Catastrófico"),CONCATENATE("R3C",'Mapa final'!$Q$22),"")</f>
        <v/>
      </c>
      <c r="AM8" s="57" t="str">
        <f>IF(AND('Mapa final'!$AA$23="Muy Alta",'Mapa final'!$AC$23="Catastrófico"),CONCATENATE("R3C",'Mapa final'!$Q$23),"")</f>
        <v/>
      </c>
      <c r="AN8" s="84"/>
      <c r="AO8" s="432"/>
      <c r="AP8" s="433"/>
      <c r="AQ8" s="433"/>
      <c r="AR8" s="433"/>
      <c r="AS8" s="433"/>
      <c r="AT8" s="43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c r="A9" s="84"/>
      <c r="B9" s="370"/>
      <c r="C9" s="370"/>
      <c r="D9" s="371"/>
      <c r="E9" s="411"/>
      <c r="F9" s="412"/>
      <c r="G9" s="412"/>
      <c r="H9" s="412"/>
      <c r="I9" s="413"/>
      <c r="J9" s="52" t="str">
        <f>IF(AND('Mapa final'!$AA$24="Muy Alta",'Mapa final'!$AC$24="Leve"),CONCATENATE("R4C",'Mapa final'!$Q$24),"")</f>
        <v/>
      </c>
      <c r="K9" s="53" t="str">
        <f>IF(AND('Mapa final'!$AA$25="Muy Alta",'Mapa final'!$AC$25="Leve"),CONCATENATE("R4C",'Mapa final'!$Q$25),"")</f>
        <v/>
      </c>
      <c r="L9" s="58" t="str">
        <f>IF(AND('Mapa final'!$AA$26="Muy Alta",'Mapa final'!$AC$26="Leve"),CONCATENATE("R4C",'Mapa final'!$Q$26),"")</f>
        <v/>
      </c>
      <c r="M9" s="58" t="str">
        <f>IF(AND('Mapa final'!$AA$27="Muy Alta",'Mapa final'!$AC$27="Leve"),CONCATENATE("R4C",'Mapa final'!$Q$27),"")</f>
        <v/>
      </c>
      <c r="N9" s="58" t="str">
        <f>IF(AND('Mapa final'!$AA$28="Muy Alta",'Mapa final'!$AC$28="Leve"),CONCATENATE("R4C",'Mapa final'!$Q$28),"")</f>
        <v/>
      </c>
      <c r="O9" s="54" t="str">
        <f>IF(AND('Mapa final'!$AA$29="Muy Alta",'Mapa final'!$AC$29="Leve"),CONCATENATE("R4C",'Mapa final'!$Q$29),"")</f>
        <v/>
      </c>
      <c r="P9" s="52" t="str">
        <f>IF(AND('Mapa final'!$AA$24="Muy Alta",'Mapa final'!$AC$24="Menor"),CONCATENATE("R4C",'Mapa final'!$Q$24),"")</f>
        <v/>
      </c>
      <c r="Q9" s="53" t="str">
        <f>IF(AND('Mapa final'!$AA$25="Muy Alta",'Mapa final'!$AC$25="Menor"),CONCATENATE("R4C",'Mapa final'!$Q$25),"")</f>
        <v/>
      </c>
      <c r="R9" s="58" t="str">
        <f>IF(AND('Mapa final'!$AA$26="Muy Alta",'Mapa final'!$AC$26="Menor"),CONCATENATE("R4C",'Mapa final'!$Q$26),"")</f>
        <v/>
      </c>
      <c r="S9" s="58" t="str">
        <f>IF(AND('Mapa final'!$AA$27="Muy Alta",'Mapa final'!$AC$27="Menor"),CONCATENATE("R4C",'Mapa final'!$Q$27),"")</f>
        <v/>
      </c>
      <c r="T9" s="58" t="str">
        <f>IF(AND('Mapa final'!$AA$28="Muy Alta",'Mapa final'!$AC$28="Menor"),CONCATENATE("R4C",'Mapa final'!$Q$28),"")</f>
        <v/>
      </c>
      <c r="U9" s="54" t="str">
        <f>IF(AND('Mapa final'!$AA$29="Muy Alta",'Mapa final'!$AC$29="Menor"),CONCATENATE("R4C",'Mapa final'!$Q$29),"")</f>
        <v/>
      </c>
      <c r="V9" s="52" t="str">
        <f>IF(AND('Mapa final'!$AA$24="Muy Alta",'Mapa final'!$AC$24="Moderado"),CONCATENATE("R4C",'Mapa final'!$Q$24),"")</f>
        <v/>
      </c>
      <c r="W9" s="53" t="str">
        <f>IF(AND('Mapa final'!$AA$25="Muy Alta",'Mapa final'!$AC$25="Moderado"),CONCATENATE("R4C",'Mapa final'!$Q$25),"")</f>
        <v/>
      </c>
      <c r="X9" s="58" t="str">
        <f>IF(AND('Mapa final'!$AA$26="Muy Alta",'Mapa final'!$AC$26="Moderado"),CONCATENATE("R4C",'Mapa final'!$Q$26),"")</f>
        <v/>
      </c>
      <c r="Y9" s="58" t="str">
        <f>IF(AND('Mapa final'!$AA$27="Muy Alta",'Mapa final'!$AC$27="Moderado"),CONCATENATE("R4C",'Mapa final'!$Q$27),"")</f>
        <v/>
      </c>
      <c r="Z9" s="58" t="str">
        <f>IF(AND('Mapa final'!$AA$28="Muy Alta",'Mapa final'!$AC$28="Moderado"),CONCATENATE("R4C",'Mapa final'!$Q$28),"")</f>
        <v/>
      </c>
      <c r="AA9" s="54" t="str">
        <f>IF(AND('Mapa final'!$AA$29="Muy Alta",'Mapa final'!$AC$29="Moderado"),CONCATENATE("R4C",'Mapa final'!$Q$29),"")</f>
        <v/>
      </c>
      <c r="AB9" s="52" t="str">
        <f>IF(AND('Mapa final'!$AA$24="Muy Alta",'Mapa final'!$AC$24="Mayor"),CONCATENATE("R4C",'Mapa final'!$Q$24),"")</f>
        <v/>
      </c>
      <c r="AC9" s="53" t="str">
        <f>IF(AND('Mapa final'!$AA$25="Muy Alta",'Mapa final'!$AC$25="Mayor"),CONCATENATE("R4C",'Mapa final'!$Q$25),"")</f>
        <v/>
      </c>
      <c r="AD9" s="58" t="str">
        <f>IF(AND('Mapa final'!$AA$26="Muy Alta",'Mapa final'!$AC$26="Mayor"),CONCATENATE("R4C",'Mapa final'!$Q$26),"")</f>
        <v/>
      </c>
      <c r="AE9" s="58" t="str">
        <f>IF(AND('Mapa final'!$AA$27="Muy Alta",'Mapa final'!$AC$27="Mayor"),CONCATENATE("R4C",'Mapa final'!$Q$27),"")</f>
        <v/>
      </c>
      <c r="AF9" s="58" t="str">
        <f>IF(AND('Mapa final'!$AA$28="Muy Alta",'Mapa final'!$AC$28="Mayor"),CONCATENATE("R4C",'Mapa final'!$Q$28),"")</f>
        <v/>
      </c>
      <c r="AG9" s="54" t="str">
        <f>IF(AND('Mapa final'!$AA$29="Muy Alta",'Mapa final'!$AC$29="Mayor"),CONCATENATE("R4C",'Mapa final'!$Q$29),"")</f>
        <v/>
      </c>
      <c r="AH9" s="55" t="str">
        <f>IF(AND('Mapa final'!$AA$24="Muy Alta",'Mapa final'!$AC$24="Catastrófico"),CONCATENATE("R4C",'Mapa final'!$Q$24),"")</f>
        <v/>
      </c>
      <c r="AI9" s="56" t="str">
        <f>IF(AND('Mapa final'!$AA$25="Muy Alta",'Mapa final'!$AC$25="Catastrófico"),CONCATENATE("R4C",'Mapa final'!$Q$25),"")</f>
        <v/>
      </c>
      <c r="AJ9" s="56" t="str">
        <f>IF(AND('Mapa final'!$AA$26="Muy Alta",'Mapa final'!$AC$26="Catastrófico"),CONCATENATE("R4C",'Mapa final'!$Q$26),"")</f>
        <v/>
      </c>
      <c r="AK9" s="56" t="str">
        <f>IF(AND('Mapa final'!$AA$27="Muy Alta",'Mapa final'!$AC$27="Catastrófico"),CONCATENATE("R4C",'Mapa final'!$Q$27),"")</f>
        <v/>
      </c>
      <c r="AL9" s="56" t="str">
        <f>IF(AND('Mapa final'!$AA$28="Muy Alta",'Mapa final'!$AC$28="Catastrófico"),CONCATENATE("R4C",'Mapa final'!$Q$28),"")</f>
        <v/>
      </c>
      <c r="AM9" s="57" t="str">
        <f>IF(AND('Mapa final'!$AA$29="Muy Alta",'Mapa final'!$AC$29="Catastrófico"),CONCATENATE("R4C",'Mapa final'!$Q$29),"")</f>
        <v/>
      </c>
      <c r="AN9" s="84"/>
      <c r="AO9" s="432"/>
      <c r="AP9" s="433"/>
      <c r="AQ9" s="433"/>
      <c r="AR9" s="433"/>
      <c r="AS9" s="433"/>
      <c r="AT9" s="43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c r="A10" s="84"/>
      <c r="B10" s="370"/>
      <c r="C10" s="370"/>
      <c r="D10" s="371"/>
      <c r="E10" s="411"/>
      <c r="F10" s="412"/>
      <c r="G10" s="412"/>
      <c r="H10" s="412"/>
      <c r="I10" s="413"/>
      <c r="J10" s="52" t="str">
        <f>IF(AND('Mapa final'!$AA$30="Muy Alta",'Mapa final'!$AC$30="Leve"),CONCATENATE("R5C",'Mapa final'!$Q$30),"")</f>
        <v/>
      </c>
      <c r="K10" s="53" t="str">
        <f>IF(AND('Mapa final'!$AA$31="Muy Alta",'Mapa final'!$AC$31="Leve"),CONCATENATE("R5C",'Mapa final'!$Q$31),"")</f>
        <v/>
      </c>
      <c r="L10" s="58" t="str">
        <f>IF(AND('Mapa final'!$AA$32="Muy Alta",'Mapa final'!$AC$32="Leve"),CONCATENATE("R5C",'Mapa final'!$Q$32),"")</f>
        <v/>
      </c>
      <c r="M10" s="58" t="str">
        <f>IF(AND('Mapa final'!$AA$33="Muy Alta",'Mapa final'!$AC$33="Leve"),CONCATENATE("R5C",'Mapa final'!$Q$33),"")</f>
        <v/>
      </c>
      <c r="N10" s="58" t="str">
        <f>IF(AND('Mapa final'!$AA$34="Muy Alta",'Mapa final'!$AC$34="Leve"),CONCATENATE("R5C",'Mapa final'!$Q$34),"")</f>
        <v/>
      </c>
      <c r="O10" s="54" t="str">
        <f>IF(AND('Mapa final'!$AA$35="Muy Alta",'Mapa final'!$AC$35="Leve"),CONCATENATE("R5C",'Mapa final'!$Q$35),"")</f>
        <v/>
      </c>
      <c r="P10" s="52" t="str">
        <f>IF(AND('Mapa final'!$AA$30="Muy Alta",'Mapa final'!$AC$30="Menor"),CONCATENATE("R5C",'Mapa final'!$Q$30),"")</f>
        <v/>
      </c>
      <c r="Q10" s="53" t="str">
        <f>IF(AND('Mapa final'!$AA$31="Muy Alta",'Mapa final'!$AC$31="Menor"),CONCATENATE("R5C",'Mapa final'!$Q$31),"")</f>
        <v/>
      </c>
      <c r="R10" s="58" t="str">
        <f>IF(AND('Mapa final'!$AA$32="Muy Alta",'Mapa final'!$AC$32="Menor"),CONCATENATE("R5C",'Mapa final'!$Q$32),"")</f>
        <v/>
      </c>
      <c r="S10" s="58" t="str">
        <f>IF(AND('Mapa final'!$AA$33="Muy Alta",'Mapa final'!$AC$33="Menor"),CONCATENATE("R5C",'Mapa final'!$Q$33),"")</f>
        <v/>
      </c>
      <c r="T10" s="58" t="str">
        <f>IF(AND('Mapa final'!$AA$34="Muy Alta",'Mapa final'!$AC$34="Menor"),CONCATENATE("R5C",'Mapa final'!$Q$34),"")</f>
        <v/>
      </c>
      <c r="U10" s="54" t="str">
        <f>IF(AND('Mapa final'!$AA$35="Muy Alta",'Mapa final'!$AC$35="Menor"),CONCATENATE("R5C",'Mapa final'!$Q$35),"")</f>
        <v/>
      </c>
      <c r="V10" s="52" t="str">
        <f>IF(AND('Mapa final'!$AA$30="Muy Alta",'Mapa final'!$AC$30="Moderado"),CONCATENATE("R5C",'Mapa final'!$Q$30),"")</f>
        <v/>
      </c>
      <c r="W10" s="53" t="str">
        <f>IF(AND('Mapa final'!$AA$31="Muy Alta",'Mapa final'!$AC$31="Moderado"),CONCATENATE("R5C",'Mapa final'!$Q$31),"")</f>
        <v/>
      </c>
      <c r="X10" s="58" t="str">
        <f>IF(AND('Mapa final'!$AA$32="Muy Alta",'Mapa final'!$AC$32="Moderado"),CONCATENATE("R5C",'Mapa final'!$Q$32),"")</f>
        <v/>
      </c>
      <c r="Y10" s="58" t="str">
        <f>IF(AND('Mapa final'!$AA$33="Muy Alta",'Mapa final'!$AC$33="Moderado"),CONCATENATE("R5C",'Mapa final'!$Q$33),"")</f>
        <v/>
      </c>
      <c r="Z10" s="58" t="str">
        <f>IF(AND('Mapa final'!$AA$34="Muy Alta",'Mapa final'!$AC$34="Moderado"),CONCATENATE("R5C",'Mapa final'!$Q$34),"")</f>
        <v/>
      </c>
      <c r="AA10" s="54" t="str">
        <f>IF(AND('Mapa final'!$AA$35="Muy Alta",'Mapa final'!$AC$35="Moderado"),CONCATENATE("R5C",'Mapa final'!$Q$35),"")</f>
        <v/>
      </c>
      <c r="AB10" s="52" t="str">
        <f>IF(AND('Mapa final'!$AA$30="Muy Alta",'Mapa final'!$AC$30="Mayor"),CONCATENATE("R5C",'Mapa final'!$Q$30),"")</f>
        <v/>
      </c>
      <c r="AC10" s="53" t="str">
        <f>IF(AND('Mapa final'!$AA$31="Muy Alta",'Mapa final'!$AC$31="Mayor"),CONCATENATE("R5C",'Mapa final'!$Q$31),"")</f>
        <v/>
      </c>
      <c r="AD10" s="58" t="str">
        <f>IF(AND('Mapa final'!$AA$32="Muy Alta",'Mapa final'!$AC$32="Mayor"),CONCATENATE("R5C",'Mapa final'!$Q$32),"")</f>
        <v/>
      </c>
      <c r="AE10" s="58" t="str">
        <f>IF(AND('Mapa final'!$AA$33="Muy Alta",'Mapa final'!$AC$33="Mayor"),CONCATENATE("R5C",'Mapa final'!$Q$33),"")</f>
        <v/>
      </c>
      <c r="AF10" s="58" t="str">
        <f>IF(AND('Mapa final'!$AA$34="Muy Alta",'Mapa final'!$AC$34="Mayor"),CONCATENATE("R5C",'Mapa final'!$Q$34),"")</f>
        <v/>
      </c>
      <c r="AG10" s="54" t="str">
        <f>IF(AND('Mapa final'!$AA$35="Muy Alta",'Mapa final'!$AC$35="Mayor"),CONCATENATE("R5C",'Mapa final'!$Q$35),"")</f>
        <v/>
      </c>
      <c r="AH10" s="55" t="str">
        <f>IF(AND('Mapa final'!$AA$30="Muy Alta",'Mapa final'!$AC$30="Catastrófico"),CONCATENATE("R5C",'Mapa final'!$Q$30),"")</f>
        <v/>
      </c>
      <c r="AI10" s="56" t="str">
        <f>IF(AND('Mapa final'!$AA$31="Muy Alta",'Mapa final'!$AC$31="Catastrófico"),CONCATENATE("R5C",'Mapa final'!$Q$31),"")</f>
        <v/>
      </c>
      <c r="AJ10" s="56" t="str">
        <f>IF(AND('Mapa final'!$AA$32="Muy Alta",'Mapa final'!$AC$32="Catastrófico"),CONCATENATE("R5C",'Mapa final'!$Q$32),"")</f>
        <v/>
      </c>
      <c r="AK10" s="56" t="str">
        <f>IF(AND('Mapa final'!$AA$33="Muy Alta",'Mapa final'!$AC$33="Catastrófico"),CONCATENATE("R5C",'Mapa final'!$Q$33),"")</f>
        <v/>
      </c>
      <c r="AL10" s="56" t="str">
        <f>IF(AND('Mapa final'!$AA$34="Muy Alta",'Mapa final'!$AC$34="Catastrófico"),CONCATENATE("R5C",'Mapa final'!$Q$34),"")</f>
        <v/>
      </c>
      <c r="AM10" s="57" t="str">
        <f>IF(AND('Mapa final'!$AA$35="Muy Alta",'Mapa final'!$AC$35="Catastrófico"),CONCATENATE("R5C",'Mapa final'!$Q$35),"")</f>
        <v/>
      </c>
      <c r="AN10" s="84"/>
      <c r="AO10" s="432"/>
      <c r="AP10" s="433"/>
      <c r="AQ10" s="433"/>
      <c r="AR10" s="433"/>
      <c r="AS10" s="433"/>
      <c r="AT10" s="43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c r="A11" s="84"/>
      <c r="B11" s="370"/>
      <c r="C11" s="370"/>
      <c r="D11" s="371"/>
      <c r="E11" s="411"/>
      <c r="F11" s="412"/>
      <c r="G11" s="412"/>
      <c r="H11" s="412"/>
      <c r="I11" s="413"/>
      <c r="J11" s="52" t="str">
        <f>IF(AND('Mapa final'!$AA$36="Muy Alta",'Mapa final'!$AC$36="Leve"),CONCATENATE("R6C",'Mapa final'!$Q$36),"")</f>
        <v/>
      </c>
      <c r="K11" s="53" t="str">
        <f>IF(AND('Mapa final'!$AA$37="Muy Alta",'Mapa final'!$AC$37="Leve"),CONCATENATE("R6C",'Mapa final'!$Q$37),"")</f>
        <v/>
      </c>
      <c r="L11" s="58" t="str">
        <f>IF(AND('Mapa final'!$AA$38="Muy Alta",'Mapa final'!$AC$38="Leve"),CONCATENATE("R6C",'Mapa final'!$Q$38),"")</f>
        <v/>
      </c>
      <c r="M11" s="58" t="str">
        <f>IF(AND('Mapa final'!$AA$39="Muy Alta",'Mapa final'!$AC$39="Leve"),CONCATENATE("R6C",'Mapa final'!$Q$39),"")</f>
        <v/>
      </c>
      <c r="N11" s="58" t="str">
        <f>IF(AND('Mapa final'!$AA$40="Muy Alta",'Mapa final'!$AC$40="Leve"),CONCATENATE("R6C",'Mapa final'!$Q$40),"")</f>
        <v/>
      </c>
      <c r="O11" s="54" t="str">
        <f>IF(AND('Mapa final'!$AA$41="Muy Alta",'Mapa final'!$AC$41="Leve"),CONCATENATE("R6C",'Mapa final'!$Q$41),"")</f>
        <v/>
      </c>
      <c r="P11" s="52" t="str">
        <f>IF(AND('Mapa final'!$AA$36="Muy Alta",'Mapa final'!$AC$36="Menor"),CONCATENATE("R6C",'Mapa final'!$Q$36),"")</f>
        <v/>
      </c>
      <c r="Q11" s="53" t="str">
        <f>IF(AND('Mapa final'!$AA$37="Muy Alta",'Mapa final'!$AC$37="Menor"),CONCATENATE("R6C",'Mapa final'!$Q$37),"")</f>
        <v/>
      </c>
      <c r="R11" s="58" t="str">
        <f>IF(AND('Mapa final'!$AA$38="Muy Alta",'Mapa final'!$AC$38="Menor"),CONCATENATE("R6C",'Mapa final'!$Q$38),"")</f>
        <v/>
      </c>
      <c r="S11" s="58" t="str">
        <f>IF(AND('Mapa final'!$AA$39="Muy Alta",'Mapa final'!$AC$39="Menor"),CONCATENATE("R6C",'Mapa final'!$Q$39),"")</f>
        <v/>
      </c>
      <c r="T11" s="58" t="str">
        <f>IF(AND('Mapa final'!$AA$40="Muy Alta",'Mapa final'!$AC$40="Menor"),CONCATENATE("R6C",'Mapa final'!$Q$40),"")</f>
        <v/>
      </c>
      <c r="U11" s="54" t="str">
        <f>IF(AND('Mapa final'!$AA$41="Muy Alta",'Mapa final'!$AC$41="Menor"),CONCATENATE("R6C",'Mapa final'!$Q$41),"")</f>
        <v/>
      </c>
      <c r="V11" s="52" t="str">
        <f>IF(AND('Mapa final'!$AA$36="Muy Alta",'Mapa final'!$AC$36="Moderado"),CONCATENATE("R6C",'Mapa final'!$Q$36),"")</f>
        <v/>
      </c>
      <c r="W11" s="53" t="str">
        <f>IF(AND('Mapa final'!$AA$37="Muy Alta",'Mapa final'!$AC$37="Moderado"),CONCATENATE("R6C",'Mapa final'!$Q$37),"")</f>
        <v/>
      </c>
      <c r="X11" s="58" t="str">
        <f>IF(AND('Mapa final'!$AA$38="Muy Alta",'Mapa final'!$AC$38="Moderado"),CONCATENATE("R6C",'Mapa final'!$Q$38),"")</f>
        <v/>
      </c>
      <c r="Y11" s="58" t="str">
        <f>IF(AND('Mapa final'!$AA$39="Muy Alta",'Mapa final'!$AC$39="Moderado"),CONCATENATE("R6C",'Mapa final'!$Q$39),"")</f>
        <v/>
      </c>
      <c r="Z11" s="58" t="str">
        <f>IF(AND('Mapa final'!$AA$40="Muy Alta",'Mapa final'!$AC$40="Moderado"),CONCATENATE("R6C",'Mapa final'!$Q$40),"")</f>
        <v/>
      </c>
      <c r="AA11" s="54" t="str">
        <f>IF(AND('Mapa final'!$AA$41="Muy Alta",'Mapa final'!$AC$41="Moderado"),CONCATENATE("R6C",'Mapa final'!$Q$41),"")</f>
        <v/>
      </c>
      <c r="AB11" s="52" t="str">
        <f>IF(AND('Mapa final'!$AA$36="Muy Alta",'Mapa final'!$AC$36="Mayor"),CONCATENATE("R6C",'Mapa final'!$Q$36),"")</f>
        <v/>
      </c>
      <c r="AC11" s="53" t="str">
        <f>IF(AND('Mapa final'!$AA$37="Muy Alta",'Mapa final'!$AC$37="Mayor"),CONCATENATE("R6C",'Mapa final'!$Q$37),"")</f>
        <v/>
      </c>
      <c r="AD11" s="58" t="str">
        <f>IF(AND('Mapa final'!$AA$38="Muy Alta",'Mapa final'!$AC$38="Mayor"),CONCATENATE("R6C",'Mapa final'!$Q$38),"")</f>
        <v/>
      </c>
      <c r="AE11" s="58" t="str">
        <f>IF(AND('Mapa final'!$AA$39="Muy Alta",'Mapa final'!$AC$39="Mayor"),CONCATENATE("R6C",'Mapa final'!$Q$39),"")</f>
        <v/>
      </c>
      <c r="AF11" s="58" t="str">
        <f>IF(AND('Mapa final'!$AA$40="Muy Alta",'Mapa final'!$AC$40="Mayor"),CONCATENATE("R6C",'Mapa final'!$Q$40),"")</f>
        <v/>
      </c>
      <c r="AG11" s="54" t="str">
        <f>IF(AND('Mapa final'!$AA$41="Muy Alta",'Mapa final'!$AC$41="Mayor"),CONCATENATE("R6C",'Mapa final'!$Q$41),"")</f>
        <v/>
      </c>
      <c r="AH11" s="55" t="str">
        <f>IF(AND('Mapa final'!$AA$36="Muy Alta",'Mapa final'!$AC$36="Catastrófico"),CONCATENATE("R6C",'Mapa final'!$Q$36),"")</f>
        <v/>
      </c>
      <c r="AI11" s="56" t="str">
        <f>IF(AND('Mapa final'!$AA$37="Muy Alta",'Mapa final'!$AC$37="Catastrófico"),CONCATENATE("R6C",'Mapa final'!$Q$37),"")</f>
        <v/>
      </c>
      <c r="AJ11" s="56" t="str">
        <f>IF(AND('Mapa final'!$AA$38="Muy Alta",'Mapa final'!$AC$38="Catastrófico"),CONCATENATE("R6C",'Mapa final'!$Q$38),"")</f>
        <v/>
      </c>
      <c r="AK11" s="56" t="str">
        <f>IF(AND('Mapa final'!$AA$39="Muy Alta",'Mapa final'!$AC$39="Catastrófico"),CONCATENATE("R6C",'Mapa final'!$Q$39),"")</f>
        <v/>
      </c>
      <c r="AL11" s="56" t="str">
        <f>IF(AND('Mapa final'!$AA$40="Muy Alta",'Mapa final'!$AC$40="Catastrófico"),CONCATENATE("R6C",'Mapa final'!$Q$40),"")</f>
        <v/>
      </c>
      <c r="AM11" s="57" t="str">
        <f>IF(AND('Mapa final'!$AA$41="Muy Alta",'Mapa final'!$AC$41="Catastrófico"),CONCATENATE("R6C",'Mapa final'!$Q$41),"")</f>
        <v/>
      </c>
      <c r="AN11" s="84"/>
      <c r="AO11" s="432"/>
      <c r="AP11" s="433"/>
      <c r="AQ11" s="433"/>
      <c r="AR11" s="433"/>
      <c r="AS11" s="433"/>
      <c r="AT11" s="43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c r="A12" s="84"/>
      <c r="B12" s="370"/>
      <c r="C12" s="370"/>
      <c r="D12" s="371"/>
      <c r="E12" s="411"/>
      <c r="F12" s="412"/>
      <c r="G12" s="412"/>
      <c r="H12" s="412"/>
      <c r="I12" s="413"/>
      <c r="J12" s="52" t="str">
        <f>IF(AND('Mapa final'!$AA$42="Muy Alta",'Mapa final'!$AC$42="Leve"),CONCATENATE("R7C",'Mapa final'!$Q$42),"")</f>
        <v/>
      </c>
      <c r="K12" s="53" t="str">
        <f>IF(AND('Mapa final'!$AA$43="Muy Alta",'Mapa final'!$AC$43="Leve"),CONCATENATE("R7C",'Mapa final'!$Q$43),"")</f>
        <v/>
      </c>
      <c r="L12" s="58" t="str">
        <f>IF(AND('Mapa final'!$AA$44="Muy Alta",'Mapa final'!$AC$44="Leve"),CONCATENATE("R7C",'Mapa final'!$Q$44),"")</f>
        <v/>
      </c>
      <c r="M12" s="58" t="str">
        <f>IF(AND('Mapa final'!$AA$45="Muy Alta",'Mapa final'!$AC$45="Leve"),CONCATENATE("R7C",'Mapa final'!$Q$45),"")</f>
        <v/>
      </c>
      <c r="N12" s="58" t="str">
        <f>IF(AND('Mapa final'!$AA$46="Muy Alta",'Mapa final'!$AC$46="Leve"),CONCATENATE("R7C",'Mapa final'!$Q$46),"")</f>
        <v/>
      </c>
      <c r="O12" s="54" t="str">
        <f>IF(AND('Mapa final'!$AA$47="Muy Alta",'Mapa final'!$AC$47="Leve"),CONCATENATE("R7C",'Mapa final'!$Q$47),"")</f>
        <v/>
      </c>
      <c r="P12" s="52" t="str">
        <f>IF(AND('Mapa final'!$AA$42="Muy Alta",'Mapa final'!$AC$42="Menor"),CONCATENATE("R7C",'Mapa final'!$Q$42),"")</f>
        <v/>
      </c>
      <c r="Q12" s="53" t="str">
        <f>IF(AND('Mapa final'!$AA$43="Muy Alta",'Mapa final'!$AC$43="Menor"),CONCATENATE("R7C",'Mapa final'!$Q$43),"")</f>
        <v/>
      </c>
      <c r="R12" s="58" t="str">
        <f>IF(AND('Mapa final'!$AA$44="Muy Alta",'Mapa final'!$AC$44="Menor"),CONCATENATE("R7C",'Mapa final'!$Q$44),"")</f>
        <v/>
      </c>
      <c r="S12" s="58" t="str">
        <f>IF(AND('Mapa final'!$AA$45="Muy Alta",'Mapa final'!$AC$45="Menor"),CONCATENATE("R7C",'Mapa final'!$Q$45),"")</f>
        <v/>
      </c>
      <c r="T12" s="58" t="str">
        <f>IF(AND('Mapa final'!$AA$46="Muy Alta",'Mapa final'!$AC$46="Menor"),CONCATENATE("R7C",'Mapa final'!$Q$46),"")</f>
        <v/>
      </c>
      <c r="U12" s="54" t="str">
        <f>IF(AND('Mapa final'!$AA$47="Muy Alta",'Mapa final'!$AC$47="Menor"),CONCATENATE("R7C",'Mapa final'!$Q$47),"")</f>
        <v/>
      </c>
      <c r="V12" s="52" t="str">
        <f>IF(AND('Mapa final'!$AA$42="Muy Alta",'Mapa final'!$AC$42="Moderado"),CONCATENATE("R7C",'Mapa final'!$Q$42),"")</f>
        <v/>
      </c>
      <c r="W12" s="53" t="str">
        <f>IF(AND('Mapa final'!$AA$43="Muy Alta",'Mapa final'!$AC$43="Moderado"),CONCATENATE("R7C",'Mapa final'!$Q$43),"")</f>
        <v/>
      </c>
      <c r="X12" s="58" t="str">
        <f>IF(AND('Mapa final'!$AA$44="Muy Alta",'Mapa final'!$AC$44="Moderado"),CONCATENATE("R7C",'Mapa final'!$Q$44),"")</f>
        <v/>
      </c>
      <c r="Y12" s="58" t="str">
        <f>IF(AND('Mapa final'!$AA$45="Muy Alta",'Mapa final'!$AC$45="Moderado"),CONCATENATE("R7C",'Mapa final'!$Q$45),"")</f>
        <v/>
      </c>
      <c r="Z12" s="58" t="str">
        <f>IF(AND('Mapa final'!$AA$46="Muy Alta",'Mapa final'!$AC$46="Moderado"),CONCATENATE("R7C",'Mapa final'!$Q$46),"")</f>
        <v/>
      </c>
      <c r="AA12" s="54" t="str">
        <f>IF(AND('Mapa final'!$AA$47="Muy Alta",'Mapa final'!$AC$47="Moderado"),CONCATENATE("R7C",'Mapa final'!$Q$47),"")</f>
        <v/>
      </c>
      <c r="AB12" s="52" t="str">
        <f>IF(AND('Mapa final'!$AA$42="Muy Alta",'Mapa final'!$AC$42="Mayor"),CONCATENATE("R7C",'Mapa final'!$Q$42),"")</f>
        <v/>
      </c>
      <c r="AC12" s="53" t="str">
        <f>IF(AND('Mapa final'!$AA$43="Muy Alta",'Mapa final'!$AC$43="Mayor"),CONCATENATE("R7C",'Mapa final'!$Q$43),"")</f>
        <v/>
      </c>
      <c r="AD12" s="58" t="str">
        <f>IF(AND('Mapa final'!$AA$44="Muy Alta",'Mapa final'!$AC$44="Mayor"),CONCATENATE("R7C",'Mapa final'!$Q$44),"")</f>
        <v/>
      </c>
      <c r="AE12" s="58" t="str">
        <f>IF(AND('Mapa final'!$AA$45="Muy Alta",'Mapa final'!$AC$45="Mayor"),CONCATENATE("R7C",'Mapa final'!$Q$45),"")</f>
        <v/>
      </c>
      <c r="AF12" s="58" t="str">
        <f>IF(AND('Mapa final'!$AA$46="Muy Alta",'Mapa final'!$AC$46="Mayor"),CONCATENATE("R7C",'Mapa final'!$Q$46),"")</f>
        <v/>
      </c>
      <c r="AG12" s="54" t="str">
        <f>IF(AND('Mapa final'!$AA$47="Muy Alta",'Mapa final'!$AC$47="Mayor"),CONCATENATE("R7C",'Mapa final'!$Q$47),"")</f>
        <v/>
      </c>
      <c r="AH12" s="55" t="str">
        <f>IF(AND('Mapa final'!$AA$42="Muy Alta",'Mapa final'!$AC$42="Catastrófico"),CONCATENATE("R7C",'Mapa final'!$Q$42),"")</f>
        <v/>
      </c>
      <c r="AI12" s="56" t="str">
        <f>IF(AND('Mapa final'!$AA$43="Muy Alta",'Mapa final'!$AC$43="Catastrófico"),CONCATENATE("R7C",'Mapa final'!$Q$43),"")</f>
        <v/>
      </c>
      <c r="AJ12" s="56" t="str">
        <f>IF(AND('Mapa final'!$AA$44="Muy Alta",'Mapa final'!$AC$44="Catastrófico"),CONCATENATE("R7C",'Mapa final'!$Q$44),"")</f>
        <v/>
      </c>
      <c r="AK12" s="56" t="str">
        <f>IF(AND('Mapa final'!$AA$45="Muy Alta",'Mapa final'!$AC$45="Catastrófico"),CONCATENATE("R7C",'Mapa final'!$Q$45),"")</f>
        <v/>
      </c>
      <c r="AL12" s="56" t="str">
        <f>IF(AND('Mapa final'!$AA$46="Muy Alta",'Mapa final'!$AC$46="Catastrófico"),CONCATENATE("R7C",'Mapa final'!$Q$46),"")</f>
        <v/>
      </c>
      <c r="AM12" s="57" t="str">
        <f>IF(AND('Mapa final'!$AA$47="Muy Alta",'Mapa final'!$AC$47="Catastrófico"),CONCATENATE("R7C",'Mapa final'!$Q$47),"")</f>
        <v/>
      </c>
      <c r="AN12" s="84"/>
      <c r="AO12" s="432"/>
      <c r="AP12" s="433"/>
      <c r="AQ12" s="433"/>
      <c r="AR12" s="433"/>
      <c r="AS12" s="433"/>
      <c r="AT12" s="43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c r="A13" s="84"/>
      <c r="B13" s="370"/>
      <c r="C13" s="370"/>
      <c r="D13" s="371"/>
      <c r="E13" s="411"/>
      <c r="F13" s="412"/>
      <c r="G13" s="412"/>
      <c r="H13" s="412"/>
      <c r="I13" s="413"/>
      <c r="J13" s="52" t="str">
        <f>IF(AND('Mapa final'!$AA$48="Muy Alta",'Mapa final'!$AC$48="Leve"),CONCATENATE("R8C",'Mapa final'!$Q$48),"")</f>
        <v/>
      </c>
      <c r="K13" s="53" t="str">
        <f>IF(AND('Mapa final'!$AA$49="Muy Alta",'Mapa final'!$AC$49="Leve"),CONCATENATE("R8C",'Mapa final'!$Q$49),"")</f>
        <v/>
      </c>
      <c r="L13" s="58" t="str">
        <f>IF(AND('Mapa final'!$AA$50="Muy Alta",'Mapa final'!$AC$50="Leve"),CONCATENATE("R8C",'Mapa final'!$Q$50),"")</f>
        <v/>
      </c>
      <c r="M13" s="58" t="str">
        <f>IF(AND('Mapa final'!$AA$51="Muy Alta",'Mapa final'!$AC$51="Leve"),CONCATENATE("R8C",'Mapa final'!$Q$51),"")</f>
        <v/>
      </c>
      <c r="N13" s="58" t="str">
        <f>IF(AND('Mapa final'!$AA$52="Muy Alta",'Mapa final'!$AC$52="Leve"),CONCATENATE("R8C",'Mapa final'!$Q$52),"")</f>
        <v/>
      </c>
      <c r="O13" s="54" t="str">
        <f>IF(AND('Mapa final'!$AA$53="Muy Alta",'Mapa final'!$AC$53="Leve"),CONCATENATE("R8C",'Mapa final'!$Q$53),"")</f>
        <v/>
      </c>
      <c r="P13" s="52" t="str">
        <f>IF(AND('Mapa final'!$AA$48="Muy Alta",'Mapa final'!$AC$48="Menor"),CONCATENATE("R8C",'Mapa final'!$Q$48),"")</f>
        <v/>
      </c>
      <c r="Q13" s="53" t="str">
        <f>IF(AND('Mapa final'!$AA$49="Muy Alta",'Mapa final'!$AC$49="Menor"),CONCATENATE("R8C",'Mapa final'!$Q$49),"")</f>
        <v/>
      </c>
      <c r="R13" s="58" t="str">
        <f>IF(AND('Mapa final'!$AA$50="Muy Alta",'Mapa final'!$AC$50="Menor"),CONCATENATE("R8C",'Mapa final'!$Q$50),"")</f>
        <v/>
      </c>
      <c r="S13" s="58" t="str">
        <f>IF(AND('Mapa final'!$AA$51="Muy Alta",'Mapa final'!$AC$51="Menor"),CONCATENATE("R8C",'Mapa final'!$Q$51),"")</f>
        <v/>
      </c>
      <c r="T13" s="58" t="str">
        <f>IF(AND('Mapa final'!$AA$52="Muy Alta",'Mapa final'!$AC$52="Menor"),CONCATENATE("R8C",'Mapa final'!$Q$52),"")</f>
        <v/>
      </c>
      <c r="U13" s="54" t="str">
        <f>IF(AND('Mapa final'!$AA$53="Muy Alta",'Mapa final'!$AC$53="Menor"),CONCATENATE("R8C",'Mapa final'!$Q$53),"")</f>
        <v/>
      </c>
      <c r="V13" s="52" t="str">
        <f>IF(AND('Mapa final'!$AA$48="Muy Alta",'Mapa final'!$AC$48="Moderado"),CONCATENATE("R8C",'Mapa final'!$Q$48),"")</f>
        <v/>
      </c>
      <c r="W13" s="53" t="str">
        <f>IF(AND('Mapa final'!$AA$49="Muy Alta",'Mapa final'!$AC$49="Moderado"),CONCATENATE("R8C",'Mapa final'!$Q$49),"")</f>
        <v/>
      </c>
      <c r="X13" s="58" t="str">
        <f>IF(AND('Mapa final'!$AA$50="Muy Alta",'Mapa final'!$AC$50="Moderado"),CONCATENATE("R8C",'Mapa final'!$Q$50),"")</f>
        <v/>
      </c>
      <c r="Y13" s="58" t="str">
        <f>IF(AND('Mapa final'!$AA$51="Muy Alta",'Mapa final'!$AC$51="Moderado"),CONCATENATE("R8C",'Mapa final'!$Q$51),"")</f>
        <v/>
      </c>
      <c r="Z13" s="58" t="str">
        <f>IF(AND('Mapa final'!$AA$52="Muy Alta",'Mapa final'!$AC$52="Moderado"),CONCATENATE("R8C",'Mapa final'!$Q$52),"")</f>
        <v/>
      </c>
      <c r="AA13" s="54" t="str">
        <f>IF(AND('Mapa final'!$AA$53="Muy Alta",'Mapa final'!$AC$53="Moderado"),CONCATENATE("R8C",'Mapa final'!$Q$53),"")</f>
        <v/>
      </c>
      <c r="AB13" s="52" t="str">
        <f>IF(AND('Mapa final'!$AA$48="Muy Alta",'Mapa final'!$AC$48="Mayor"),CONCATENATE("R8C",'Mapa final'!$Q$48),"")</f>
        <v/>
      </c>
      <c r="AC13" s="53" t="str">
        <f>IF(AND('Mapa final'!$AA$49="Muy Alta",'Mapa final'!$AC$49="Mayor"),CONCATENATE("R8C",'Mapa final'!$Q$49),"")</f>
        <v/>
      </c>
      <c r="AD13" s="58" t="str">
        <f>IF(AND('Mapa final'!$AA$50="Muy Alta",'Mapa final'!$AC$50="Mayor"),CONCATENATE("R8C",'Mapa final'!$Q$50),"")</f>
        <v/>
      </c>
      <c r="AE13" s="58" t="str">
        <f>IF(AND('Mapa final'!$AA$51="Muy Alta",'Mapa final'!$AC$51="Mayor"),CONCATENATE("R8C",'Mapa final'!$Q$51),"")</f>
        <v/>
      </c>
      <c r="AF13" s="58" t="str">
        <f>IF(AND('Mapa final'!$AA$52="Muy Alta",'Mapa final'!$AC$52="Mayor"),CONCATENATE("R8C",'Mapa final'!$Q$52),"")</f>
        <v/>
      </c>
      <c r="AG13" s="54" t="str">
        <f>IF(AND('Mapa final'!$AA$53="Muy Alta",'Mapa final'!$AC$53="Mayor"),CONCATENATE("R8C",'Mapa final'!$Q$53),"")</f>
        <v/>
      </c>
      <c r="AH13" s="55" t="str">
        <f>IF(AND('Mapa final'!$AA$48="Muy Alta",'Mapa final'!$AC$48="Catastrófico"),CONCATENATE("R8C",'Mapa final'!$Q$48),"")</f>
        <v/>
      </c>
      <c r="AI13" s="56" t="str">
        <f>IF(AND('Mapa final'!$AA$49="Muy Alta",'Mapa final'!$AC$49="Catastrófico"),CONCATENATE("R8C",'Mapa final'!$Q$49),"")</f>
        <v/>
      </c>
      <c r="AJ13" s="56" t="str">
        <f>IF(AND('Mapa final'!$AA$50="Muy Alta",'Mapa final'!$AC$50="Catastrófico"),CONCATENATE("R8C",'Mapa final'!$Q$50),"")</f>
        <v/>
      </c>
      <c r="AK13" s="56" t="str">
        <f>IF(AND('Mapa final'!$AA$51="Muy Alta",'Mapa final'!$AC$51="Catastrófico"),CONCATENATE("R8C",'Mapa final'!$Q$51),"")</f>
        <v/>
      </c>
      <c r="AL13" s="56" t="str">
        <f>IF(AND('Mapa final'!$AA$52="Muy Alta",'Mapa final'!$AC$52="Catastrófico"),CONCATENATE("R8C",'Mapa final'!$Q$52),"")</f>
        <v/>
      </c>
      <c r="AM13" s="57" t="str">
        <f>IF(AND('Mapa final'!$AA$53="Muy Alta",'Mapa final'!$AC$53="Catastrófico"),CONCATENATE("R8C",'Mapa final'!$Q$53),"")</f>
        <v/>
      </c>
      <c r="AN13" s="84"/>
      <c r="AO13" s="432"/>
      <c r="AP13" s="433"/>
      <c r="AQ13" s="433"/>
      <c r="AR13" s="433"/>
      <c r="AS13" s="433"/>
      <c r="AT13" s="43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c r="A14" s="84"/>
      <c r="B14" s="370"/>
      <c r="C14" s="370"/>
      <c r="D14" s="371"/>
      <c r="E14" s="411"/>
      <c r="F14" s="412"/>
      <c r="G14" s="412"/>
      <c r="H14" s="412"/>
      <c r="I14" s="413"/>
      <c r="J14" s="52" t="str">
        <f>IF(AND('Mapa final'!$AA$54="Muy Alta",'Mapa final'!$AC$54="Leve"),CONCATENATE("R9C",'Mapa final'!$Q$54),"")</f>
        <v/>
      </c>
      <c r="K14" s="53" t="str">
        <f>IF(AND('Mapa final'!$AA$55="Muy Alta",'Mapa final'!$AC$55="Leve"),CONCATENATE("R9C",'Mapa final'!$Q$55),"")</f>
        <v/>
      </c>
      <c r="L14" s="58" t="str">
        <f>IF(AND('Mapa final'!$AA$56="Muy Alta",'Mapa final'!$AC$56="Leve"),CONCATENATE("R9C",'Mapa final'!$Q$56),"")</f>
        <v/>
      </c>
      <c r="M14" s="58" t="str">
        <f>IF(AND('Mapa final'!$AA$57="Muy Alta",'Mapa final'!$AC$57="Leve"),CONCATENATE("R9C",'Mapa final'!$Q$57),"")</f>
        <v/>
      </c>
      <c r="N14" s="58" t="str">
        <f>IF(AND('Mapa final'!$AA$58="Muy Alta",'Mapa final'!$AC$58="Leve"),CONCATENATE("R9C",'Mapa final'!$Q$58),"")</f>
        <v/>
      </c>
      <c r="O14" s="54" t="str">
        <f>IF(AND('Mapa final'!$AA$59="Muy Alta",'Mapa final'!$AC$59="Leve"),CONCATENATE("R9C",'Mapa final'!$Q$59),"")</f>
        <v/>
      </c>
      <c r="P14" s="52" t="str">
        <f>IF(AND('Mapa final'!$AA$54="Muy Alta",'Mapa final'!$AC$54="Menor"),CONCATENATE("R9C",'Mapa final'!$Q$54),"")</f>
        <v/>
      </c>
      <c r="Q14" s="53" t="str">
        <f>IF(AND('Mapa final'!$AA$55="Muy Alta",'Mapa final'!$AC$55="Menor"),CONCATENATE("R9C",'Mapa final'!$Q$55),"")</f>
        <v/>
      </c>
      <c r="R14" s="58" t="str">
        <f>IF(AND('Mapa final'!$AA$56="Muy Alta",'Mapa final'!$AC$56="Menor"),CONCATENATE("R9C",'Mapa final'!$Q$56),"")</f>
        <v/>
      </c>
      <c r="S14" s="58" t="str">
        <f>IF(AND('Mapa final'!$AA$57="Muy Alta",'Mapa final'!$AC$57="Menor"),CONCATENATE("R9C",'Mapa final'!$Q$57),"")</f>
        <v/>
      </c>
      <c r="T14" s="58" t="str">
        <f>IF(AND('Mapa final'!$AA$58="Muy Alta",'Mapa final'!$AC$58="Menor"),CONCATENATE("R9C",'Mapa final'!$Q$58),"")</f>
        <v/>
      </c>
      <c r="U14" s="54" t="str">
        <f>IF(AND('Mapa final'!$AA$59="Muy Alta",'Mapa final'!$AC$59="Menor"),CONCATENATE("R9C",'Mapa final'!$Q$59),"")</f>
        <v/>
      </c>
      <c r="V14" s="52" t="str">
        <f>IF(AND('Mapa final'!$AA$54="Muy Alta",'Mapa final'!$AC$54="Moderado"),CONCATENATE("R9C",'Mapa final'!$Q$54),"")</f>
        <v/>
      </c>
      <c r="W14" s="53" t="str">
        <f>IF(AND('Mapa final'!$AA$55="Muy Alta",'Mapa final'!$AC$55="Moderado"),CONCATENATE("R9C",'Mapa final'!$Q$55),"")</f>
        <v/>
      </c>
      <c r="X14" s="58" t="str">
        <f>IF(AND('Mapa final'!$AA$56="Muy Alta",'Mapa final'!$AC$56="Moderado"),CONCATENATE("R9C",'Mapa final'!$Q$56),"")</f>
        <v/>
      </c>
      <c r="Y14" s="58" t="str">
        <f>IF(AND('Mapa final'!$AA$57="Muy Alta",'Mapa final'!$AC$57="Moderado"),CONCATENATE("R9C",'Mapa final'!$Q$57),"")</f>
        <v/>
      </c>
      <c r="Z14" s="58" t="str">
        <f>IF(AND('Mapa final'!$AA$58="Muy Alta",'Mapa final'!$AC$58="Moderado"),CONCATENATE("R9C",'Mapa final'!$Q$58),"")</f>
        <v/>
      </c>
      <c r="AA14" s="54" t="str">
        <f>IF(AND('Mapa final'!$AA$59="Muy Alta",'Mapa final'!$AC$59="Moderado"),CONCATENATE("R9C",'Mapa final'!$Q$59),"")</f>
        <v/>
      </c>
      <c r="AB14" s="52" t="str">
        <f>IF(AND('Mapa final'!$AA$54="Muy Alta",'Mapa final'!$AC$54="Mayor"),CONCATENATE("R9C",'Mapa final'!$Q$54),"")</f>
        <v/>
      </c>
      <c r="AC14" s="53" t="str">
        <f>IF(AND('Mapa final'!$AA$55="Muy Alta",'Mapa final'!$AC$55="Mayor"),CONCATENATE("R9C",'Mapa final'!$Q$55),"")</f>
        <v/>
      </c>
      <c r="AD14" s="58" t="str">
        <f>IF(AND('Mapa final'!$AA$56="Muy Alta",'Mapa final'!$AC$56="Mayor"),CONCATENATE("R9C",'Mapa final'!$Q$56),"")</f>
        <v/>
      </c>
      <c r="AE14" s="58" t="str">
        <f>IF(AND('Mapa final'!$AA$57="Muy Alta",'Mapa final'!$AC$57="Mayor"),CONCATENATE("R9C",'Mapa final'!$Q$57),"")</f>
        <v/>
      </c>
      <c r="AF14" s="58" t="str">
        <f>IF(AND('Mapa final'!$AA$58="Muy Alta",'Mapa final'!$AC$58="Mayor"),CONCATENATE("R9C",'Mapa final'!$Q$58),"")</f>
        <v/>
      </c>
      <c r="AG14" s="54" t="str">
        <f>IF(AND('Mapa final'!$AA$59="Muy Alta",'Mapa final'!$AC$59="Mayor"),CONCATENATE("R9C",'Mapa final'!$Q$59),"")</f>
        <v/>
      </c>
      <c r="AH14" s="55" t="str">
        <f>IF(AND('Mapa final'!$AA$54="Muy Alta",'Mapa final'!$AC$54="Catastrófico"),CONCATENATE("R9C",'Mapa final'!$Q$54),"")</f>
        <v/>
      </c>
      <c r="AI14" s="56" t="str">
        <f>IF(AND('Mapa final'!$AA$55="Muy Alta",'Mapa final'!$AC$55="Catastrófico"),CONCATENATE("R9C",'Mapa final'!$Q$55),"")</f>
        <v/>
      </c>
      <c r="AJ14" s="56" t="str">
        <f>IF(AND('Mapa final'!$AA$56="Muy Alta",'Mapa final'!$AC$56="Catastrófico"),CONCATENATE("R9C",'Mapa final'!$Q$56),"")</f>
        <v/>
      </c>
      <c r="AK14" s="56" t="str">
        <f>IF(AND('Mapa final'!$AA$57="Muy Alta",'Mapa final'!$AC$57="Catastrófico"),CONCATENATE("R9C",'Mapa final'!$Q$57),"")</f>
        <v/>
      </c>
      <c r="AL14" s="56" t="str">
        <f>IF(AND('Mapa final'!$AA$58="Muy Alta",'Mapa final'!$AC$58="Catastrófico"),CONCATENATE("R9C",'Mapa final'!$Q$58),"")</f>
        <v/>
      </c>
      <c r="AM14" s="57" t="str">
        <f>IF(AND('Mapa final'!$AA$59="Muy Alta",'Mapa final'!$AC$59="Catastrófico"),CONCATENATE("R9C",'Mapa final'!$Q$59),"")</f>
        <v/>
      </c>
      <c r="AN14" s="84"/>
      <c r="AO14" s="432"/>
      <c r="AP14" s="433"/>
      <c r="AQ14" s="433"/>
      <c r="AR14" s="433"/>
      <c r="AS14" s="433"/>
      <c r="AT14" s="43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c r="A15" s="84"/>
      <c r="B15" s="370"/>
      <c r="C15" s="370"/>
      <c r="D15" s="371"/>
      <c r="E15" s="414"/>
      <c r="F15" s="415"/>
      <c r="G15" s="415"/>
      <c r="H15" s="415"/>
      <c r="I15" s="416"/>
      <c r="J15" s="59" t="str">
        <f>IF(AND('Mapa final'!$AA$60="Muy Alta",'Mapa final'!$AC$60="Leve"),CONCATENATE("R10C",'Mapa final'!$Q$60),"")</f>
        <v/>
      </c>
      <c r="K15" s="60" t="str">
        <f>IF(AND('Mapa final'!$AA$61="Muy Alta",'Mapa final'!$AC$61="Leve"),CONCATENATE("R10C",'Mapa final'!$Q$61),"")</f>
        <v/>
      </c>
      <c r="L15" s="60" t="str">
        <f>IF(AND('Mapa final'!$AA$62="Muy Alta",'Mapa final'!$AC$62="Leve"),CONCATENATE("R10C",'Mapa final'!$Q$62),"")</f>
        <v/>
      </c>
      <c r="M15" s="60" t="str">
        <f>IF(AND('Mapa final'!$AA$63="Muy Alta",'Mapa final'!$AC$63="Leve"),CONCATENATE("R10C",'Mapa final'!$Q$63),"")</f>
        <v/>
      </c>
      <c r="N15" s="60" t="str">
        <f>IF(AND('Mapa final'!$AA$64="Muy Alta",'Mapa final'!$AC$64="Leve"),CONCATENATE("R10C",'Mapa final'!$Q$64),"")</f>
        <v/>
      </c>
      <c r="O15" s="61" t="str">
        <f>IF(AND('Mapa final'!$AA$65="Muy Alta",'Mapa final'!$AC$65="Leve"),CONCATENATE("R10C",'Mapa final'!$Q$65),"")</f>
        <v/>
      </c>
      <c r="P15" s="52" t="str">
        <f>IF(AND('Mapa final'!$AA$60="Muy Alta",'Mapa final'!$AC$60="Menor"),CONCATENATE("R10C",'Mapa final'!$Q$60),"")</f>
        <v/>
      </c>
      <c r="Q15" s="53" t="str">
        <f>IF(AND('Mapa final'!$AA$61="Muy Alta",'Mapa final'!$AC$61="Menor"),CONCATENATE("R10C",'Mapa final'!$Q$61),"")</f>
        <v/>
      </c>
      <c r="R15" s="53" t="str">
        <f>IF(AND('Mapa final'!$AA$62="Muy Alta",'Mapa final'!$AC$62="Menor"),CONCATENATE("R10C",'Mapa final'!$Q$62),"")</f>
        <v/>
      </c>
      <c r="S15" s="53" t="str">
        <f>IF(AND('Mapa final'!$AA$63="Muy Alta",'Mapa final'!$AC$63="Menor"),CONCATENATE("R10C",'Mapa final'!$Q$63),"")</f>
        <v/>
      </c>
      <c r="T15" s="53" t="str">
        <f>IF(AND('Mapa final'!$AA$64="Muy Alta",'Mapa final'!$AC$64="Menor"),CONCATENATE("R10C",'Mapa final'!$Q$64),"")</f>
        <v/>
      </c>
      <c r="U15" s="54" t="str">
        <f>IF(AND('Mapa final'!$AA$65="Muy Alta",'Mapa final'!$AC$65="Menor"),CONCATENATE("R10C",'Mapa final'!$Q$65),"")</f>
        <v/>
      </c>
      <c r="V15" s="59" t="str">
        <f>IF(AND('Mapa final'!$AA$60="Muy Alta",'Mapa final'!$AC$60="Moderado"),CONCATENATE("R10C",'Mapa final'!$Q$60),"")</f>
        <v/>
      </c>
      <c r="W15" s="60" t="str">
        <f>IF(AND('Mapa final'!$AA$61="Muy Alta",'Mapa final'!$AC$61="Moderado"),CONCATENATE("R10C",'Mapa final'!$Q$61),"")</f>
        <v/>
      </c>
      <c r="X15" s="60" t="str">
        <f>IF(AND('Mapa final'!$AA$62="Muy Alta",'Mapa final'!$AC$62="Moderado"),CONCATENATE("R10C",'Mapa final'!$Q$62),"")</f>
        <v/>
      </c>
      <c r="Y15" s="60" t="str">
        <f>IF(AND('Mapa final'!$AA$63="Muy Alta",'Mapa final'!$AC$63="Moderado"),CONCATENATE("R10C",'Mapa final'!$Q$63),"")</f>
        <v/>
      </c>
      <c r="Z15" s="60" t="str">
        <f>IF(AND('Mapa final'!$AA$64="Muy Alta",'Mapa final'!$AC$64="Moderado"),CONCATENATE("R10C",'Mapa final'!$Q$64),"")</f>
        <v/>
      </c>
      <c r="AA15" s="61" t="str">
        <f>IF(AND('Mapa final'!$AA$65="Muy Alta",'Mapa final'!$AC$65="Moderado"),CONCATENATE("R10C",'Mapa final'!$Q$65),"")</f>
        <v/>
      </c>
      <c r="AB15" s="52" t="str">
        <f>IF(AND('Mapa final'!$AA$60="Muy Alta",'Mapa final'!$AC$60="Mayor"),CONCATENATE("R10C",'Mapa final'!$Q$60),"")</f>
        <v/>
      </c>
      <c r="AC15" s="53" t="str">
        <f>IF(AND('Mapa final'!$AA$61="Muy Alta",'Mapa final'!$AC$61="Mayor"),CONCATENATE("R10C",'Mapa final'!$Q$61),"")</f>
        <v/>
      </c>
      <c r="AD15" s="53" t="str">
        <f>IF(AND('Mapa final'!$AA$62="Muy Alta",'Mapa final'!$AC$62="Mayor"),CONCATENATE("R10C",'Mapa final'!$Q$62),"")</f>
        <v/>
      </c>
      <c r="AE15" s="53" t="str">
        <f>IF(AND('Mapa final'!$AA$63="Muy Alta",'Mapa final'!$AC$63="Mayor"),CONCATENATE("R10C",'Mapa final'!$Q$63),"")</f>
        <v/>
      </c>
      <c r="AF15" s="53" t="str">
        <f>IF(AND('Mapa final'!$AA$64="Muy Alta",'Mapa final'!$AC$64="Mayor"),CONCATENATE("R10C",'Mapa final'!$Q$64),"")</f>
        <v/>
      </c>
      <c r="AG15" s="54" t="str">
        <f>IF(AND('Mapa final'!$AA$65="Muy Alta",'Mapa final'!$AC$65="Mayor"),CONCATENATE("R10C",'Mapa final'!$Q$65),"")</f>
        <v/>
      </c>
      <c r="AH15" s="62" t="str">
        <f>IF(AND('Mapa final'!$AA$60="Muy Alta",'Mapa final'!$AC$60="Catastrófico"),CONCATENATE("R10C",'Mapa final'!$Q$60),"")</f>
        <v/>
      </c>
      <c r="AI15" s="63" t="str">
        <f>IF(AND('Mapa final'!$AA$61="Muy Alta",'Mapa final'!$AC$61="Catastrófico"),CONCATENATE("R10C",'Mapa final'!$Q$61),"")</f>
        <v/>
      </c>
      <c r="AJ15" s="63" t="str">
        <f>IF(AND('Mapa final'!$AA$62="Muy Alta",'Mapa final'!$AC$62="Catastrófico"),CONCATENATE("R10C",'Mapa final'!$Q$62),"")</f>
        <v/>
      </c>
      <c r="AK15" s="63" t="str">
        <f>IF(AND('Mapa final'!$AA$63="Muy Alta",'Mapa final'!$AC$63="Catastrófico"),CONCATENATE("R10C",'Mapa final'!$Q$63),"")</f>
        <v/>
      </c>
      <c r="AL15" s="63" t="str">
        <f>IF(AND('Mapa final'!$AA$64="Muy Alta",'Mapa final'!$AC$64="Catastrófico"),CONCATENATE("R10C",'Mapa final'!$Q$64),"")</f>
        <v/>
      </c>
      <c r="AM15" s="64" t="str">
        <f>IF(AND('Mapa final'!$AA$65="Muy Alta",'Mapa final'!$AC$65="Catastrófico"),CONCATENATE("R10C",'Mapa final'!$Q$65),"")</f>
        <v/>
      </c>
      <c r="AN15" s="84"/>
      <c r="AO15" s="435"/>
      <c r="AP15" s="436"/>
      <c r="AQ15" s="436"/>
      <c r="AR15" s="436"/>
      <c r="AS15" s="436"/>
      <c r="AT15" s="437"/>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c r="A16" s="84"/>
      <c r="B16" s="370"/>
      <c r="C16" s="370"/>
      <c r="D16" s="371"/>
      <c r="E16" s="408" t="s">
        <v>115</v>
      </c>
      <c r="F16" s="409"/>
      <c r="G16" s="409"/>
      <c r="H16" s="409"/>
      <c r="I16" s="409"/>
      <c r="J16" s="65" t="str">
        <f ca="1">IF(AND('Mapa final'!$AA$10="Alta",'Mapa final'!$AC$10="Leve"),CONCATENATE("R1C",'Mapa final'!$Q$10),"")</f>
        <v/>
      </c>
      <c r="K16" s="66" t="str">
        <f ca="1">IF(AND('Mapa final'!$AA$11="Alta",'Mapa final'!$AC$11="Leve"),CONCATENATE("R1C",'Mapa final'!$Q$11),"")</f>
        <v/>
      </c>
      <c r="L16" s="66" t="str">
        <f ca="1">IF(AND('Mapa final'!$AA$12="Alta",'Mapa final'!$AC$12="Leve"),CONCATENATE("R1C",'Mapa final'!$Q$12),"")</f>
        <v/>
      </c>
      <c r="M16" s="66" t="str">
        <f>IF(AND('Mapa final'!$AA$13="Alta",'Mapa final'!$AC$13="Leve"),CONCATENATE("R1C",'Mapa final'!$Q$13),"")</f>
        <v/>
      </c>
      <c r="N16" s="66" t="e">
        <f>IF(AND('Mapa final'!#REF!="Alta",'Mapa final'!#REF!="Leve"),CONCATENATE("R1C",'Mapa final'!#REF!),"")</f>
        <v>#REF!</v>
      </c>
      <c r="O16" s="67" t="e">
        <f>IF(AND('Mapa final'!#REF!="Alta",'Mapa final'!#REF!="Leve"),CONCATENATE("R1C",'Mapa final'!#REF!),"")</f>
        <v>#REF!</v>
      </c>
      <c r="P16" s="65" t="str">
        <f ca="1">IF(AND('Mapa final'!$AA$10="Alta",'Mapa final'!$AC$10="Menor"),CONCATENATE("R1C",'Mapa final'!$Q$10),"")</f>
        <v/>
      </c>
      <c r="Q16" s="66" t="str">
        <f ca="1">IF(AND('Mapa final'!$AA$11="Alta",'Mapa final'!$AC$11="Menor"),CONCATENATE("R1C",'Mapa final'!$Q$11),"")</f>
        <v/>
      </c>
      <c r="R16" s="66" t="str">
        <f ca="1">IF(AND('Mapa final'!$AA$12="Alta",'Mapa final'!$AC$12="Menor"),CONCATENATE("R1C",'Mapa final'!$Q$12),"")</f>
        <v/>
      </c>
      <c r="S16" s="66" t="str">
        <f>IF(AND('Mapa final'!$AA$13="Alta",'Mapa final'!$AC$13="Menor"),CONCATENATE("R1C",'Mapa final'!$Q$13),"")</f>
        <v/>
      </c>
      <c r="T16" s="66" t="e">
        <f>IF(AND('Mapa final'!#REF!="Alta",'Mapa final'!#REF!="Menor"),CONCATENATE("R1C",'Mapa final'!#REF!),"")</f>
        <v>#REF!</v>
      </c>
      <c r="U16" s="67" t="e">
        <f>IF(AND('Mapa final'!#REF!="Alta",'Mapa final'!#REF!="Menor"),CONCATENATE("R1C",'Mapa final'!#REF!),"")</f>
        <v>#REF!</v>
      </c>
      <c r="V16" s="46" t="str">
        <f ca="1">IF(AND('Mapa final'!$AA$10="Alta",'Mapa final'!$AC$10="Moderado"),CONCATENATE("R1C",'Mapa final'!$Q$10),"")</f>
        <v/>
      </c>
      <c r="W16" s="47" t="str">
        <f ca="1">IF(AND('Mapa final'!$AA$11="Alta",'Mapa final'!$AC$11="Moderado"),CONCATENATE("R1C",'Mapa final'!$Q$11),"")</f>
        <v/>
      </c>
      <c r="X16" s="47" t="str">
        <f ca="1">IF(AND('Mapa final'!$AA$12="Alta",'Mapa final'!$AC$12="Moderado"),CONCATENATE("R1C",'Mapa final'!$Q$12),"")</f>
        <v/>
      </c>
      <c r="Y16" s="47" t="str">
        <f>IF(AND('Mapa final'!$AA$13="Alta",'Mapa final'!$AC$13="Moderado"),CONCATENATE("R1C",'Mapa final'!$Q$13),"")</f>
        <v/>
      </c>
      <c r="Z16" s="47" t="e">
        <f>IF(AND('Mapa final'!#REF!="Alta",'Mapa final'!#REF!="Moderado"),CONCATENATE("R1C",'Mapa final'!#REF!),"")</f>
        <v>#REF!</v>
      </c>
      <c r="AA16" s="48" t="e">
        <f>IF(AND('Mapa final'!#REF!="Alta",'Mapa final'!#REF!="Moderado"),CONCATENATE("R1C",'Mapa final'!#REF!),"")</f>
        <v>#REF!</v>
      </c>
      <c r="AB16" s="46" t="str">
        <f ca="1">IF(AND('Mapa final'!$AA$10="Alta",'Mapa final'!$AC$10="Mayor"),CONCATENATE("R1C",'Mapa final'!$Q$10),"")</f>
        <v/>
      </c>
      <c r="AC16" s="47" t="str">
        <f ca="1">IF(AND('Mapa final'!$AA$11="Alta",'Mapa final'!$AC$11="Mayor"),CONCATENATE("R1C",'Mapa final'!$Q$11),"")</f>
        <v/>
      </c>
      <c r="AD16" s="47" t="str">
        <f ca="1">IF(AND('Mapa final'!$AA$12="Alta",'Mapa final'!$AC$12="Mayor"),CONCATENATE("R1C",'Mapa final'!$Q$12),"")</f>
        <v/>
      </c>
      <c r="AE16" s="47" t="str">
        <f>IF(AND('Mapa final'!$AA$13="Alta",'Mapa final'!$AC$13="Mayor"),CONCATENATE("R1C",'Mapa final'!$Q$13),"")</f>
        <v/>
      </c>
      <c r="AF16" s="47" t="e">
        <f>IF(AND('Mapa final'!#REF!="Alta",'Mapa final'!#REF!="Mayor"),CONCATENATE("R1C",'Mapa final'!#REF!),"")</f>
        <v>#REF!</v>
      </c>
      <c r="AG16" s="48" t="e">
        <f>IF(AND('Mapa final'!#REF!="Alta",'Mapa final'!#REF!="Mayor"),CONCATENATE("R1C",'Mapa final'!#REF!),"")</f>
        <v>#REF!</v>
      </c>
      <c r="AH16" s="49" t="str">
        <f ca="1">IF(AND('Mapa final'!$AA$10="Alta",'Mapa final'!$AC$10="Catastrófico"),CONCATENATE("R1C",'Mapa final'!$Q$10),"")</f>
        <v/>
      </c>
      <c r="AI16" s="50" t="str">
        <f ca="1">IF(AND('Mapa final'!$AA$11="Alta",'Mapa final'!$AC$11="Catastrófico"),CONCATENATE("R1C",'Mapa final'!$Q$11),"")</f>
        <v/>
      </c>
      <c r="AJ16" s="50" t="str">
        <f ca="1">IF(AND('Mapa final'!$AA$12="Alta",'Mapa final'!$AC$12="Catastrófico"),CONCATENATE("R1C",'Mapa final'!$Q$12),"")</f>
        <v/>
      </c>
      <c r="AK16" s="50" t="str">
        <f>IF(AND('Mapa final'!$AA$13="Alta",'Mapa final'!$AC$13="Catastrófico"),CONCATENATE("R1C",'Mapa final'!$Q$13),"")</f>
        <v/>
      </c>
      <c r="AL16" s="50" t="e">
        <f>IF(AND('Mapa final'!#REF!="Alta",'Mapa final'!#REF!="Catastrófico"),CONCATENATE("R1C",'Mapa final'!#REF!),"")</f>
        <v>#REF!</v>
      </c>
      <c r="AM16" s="51" t="e">
        <f>IF(AND('Mapa final'!#REF!="Alta",'Mapa final'!#REF!="Catastrófico"),CONCATENATE("R1C",'Mapa final'!#REF!),"")</f>
        <v>#REF!</v>
      </c>
      <c r="AN16" s="84"/>
      <c r="AO16" s="418" t="s">
        <v>80</v>
      </c>
      <c r="AP16" s="419"/>
      <c r="AQ16" s="419"/>
      <c r="AR16" s="419"/>
      <c r="AS16" s="419"/>
      <c r="AT16" s="420"/>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c r="A17" s="84"/>
      <c r="B17" s="370"/>
      <c r="C17" s="370"/>
      <c r="D17" s="371"/>
      <c r="E17" s="427"/>
      <c r="F17" s="428"/>
      <c r="G17" s="428"/>
      <c r="H17" s="428"/>
      <c r="I17" s="428"/>
      <c r="J17" s="68" t="str">
        <f>IF(AND('Mapa final'!$AA$14="Alta",'Mapa final'!$AC$14="Leve"),CONCATENATE("R2C",'Mapa final'!$Q$14),"")</f>
        <v/>
      </c>
      <c r="K17" s="69" t="e">
        <f>IF(AND('Mapa final'!#REF!="Alta",'Mapa final'!#REF!="Leve"),CONCATENATE("R2C",'Mapa final'!#REF!),"")</f>
        <v>#REF!</v>
      </c>
      <c r="L17" s="69" t="str">
        <f>IF(AND('Mapa final'!$AA$15="Alta",'Mapa final'!$AC$15="Leve"),CONCATENATE("R2C",'Mapa final'!$Q$15),"")</f>
        <v/>
      </c>
      <c r="M17" s="69" t="e">
        <f>IF(AND('Mapa final'!#REF!="Alta",'Mapa final'!#REF!="Leve"),CONCATENATE("R2C",'Mapa final'!#REF!),"")</f>
        <v>#REF!</v>
      </c>
      <c r="N17" s="69" t="e">
        <f>IF(AND('Mapa final'!#REF!="Alta",'Mapa final'!#REF!="Leve"),CONCATENATE("R2C",'Mapa final'!#REF!),"")</f>
        <v>#REF!</v>
      </c>
      <c r="O17" s="70" t="e">
        <f>IF(AND('Mapa final'!#REF!="Alta",'Mapa final'!#REF!="Leve"),CONCATENATE("R2C",'Mapa final'!#REF!),"")</f>
        <v>#REF!</v>
      </c>
      <c r="P17" s="68" t="str">
        <f>IF(AND('Mapa final'!$AA$14="Alta",'Mapa final'!$AC$14="Menor"),CONCATENATE("R2C",'Mapa final'!$Q$14),"")</f>
        <v/>
      </c>
      <c r="Q17" s="69" t="e">
        <f>IF(AND('Mapa final'!#REF!="Alta",'Mapa final'!#REF!="Menor"),CONCATENATE("R2C",'Mapa final'!#REF!),"")</f>
        <v>#REF!</v>
      </c>
      <c r="R17" s="69" t="str">
        <f>IF(AND('Mapa final'!$AA$15="Alta",'Mapa final'!$AC$15="Menor"),CONCATENATE("R2C",'Mapa final'!$Q$15),"")</f>
        <v/>
      </c>
      <c r="S17" s="69" t="e">
        <f>IF(AND('Mapa final'!#REF!="Alta",'Mapa final'!#REF!="Menor"),CONCATENATE("R2C",'Mapa final'!#REF!),"")</f>
        <v>#REF!</v>
      </c>
      <c r="T17" s="69" t="e">
        <f>IF(AND('Mapa final'!#REF!="Alta",'Mapa final'!#REF!="Menor"),CONCATENATE("R2C",'Mapa final'!#REF!),"")</f>
        <v>#REF!</v>
      </c>
      <c r="U17" s="70" t="e">
        <f>IF(AND('Mapa final'!#REF!="Alta",'Mapa final'!#REF!="Menor"),CONCATENATE("R2C",'Mapa final'!#REF!),"")</f>
        <v>#REF!</v>
      </c>
      <c r="V17" s="52" t="str">
        <f>IF(AND('Mapa final'!$AA$14="Alta",'Mapa final'!$AC$14="Moderado"),CONCATENATE("R2C",'Mapa final'!$Q$14),"")</f>
        <v/>
      </c>
      <c r="W17" s="53" t="e">
        <f>IF(AND('Mapa final'!#REF!="Alta",'Mapa final'!#REF!="Moderado"),CONCATENATE("R2C",'Mapa final'!#REF!),"")</f>
        <v>#REF!</v>
      </c>
      <c r="X17" s="53" t="str">
        <f>IF(AND('Mapa final'!$AA$15="Alta",'Mapa final'!$AC$15="Moderado"),CONCATENATE("R2C",'Mapa final'!$Q$15),"")</f>
        <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final'!$AA$14="Alta",'Mapa final'!$AC$14="Mayor"),CONCATENATE("R2C",'Mapa final'!$Q$14),"")</f>
        <v/>
      </c>
      <c r="AC17" s="53" t="e">
        <f>IF(AND('Mapa final'!#REF!="Alta",'Mapa final'!#REF!="Mayor"),CONCATENATE("R2C",'Mapa final'!#REF!),"")</f>
        <v>#REF!</v>
      </c>
      <c r="AD17" s="53" t="str">
        <f>IF(AND('Mapa final'!$AA$15="Alta",'Mapa final'!$AC$15="Mayor"),CONCATENATE("R2C",'Mapa final'!$Q$15),"")</f>
        <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final'!$AA$14="Alta",'Mapa final'!$AC$14="Catastrófico"),CONCATENATE("R2C",'Mapa final'!$Q$14),"")</f>
        <v/>
      </c>
      <c r="AI17" s="56" t="e">
        <f>IF(AND('Mapa final'!#REF!="Alta",'Mapa final'!#REF!="Catastrófico"),CONCATENATE("R2C",'Mapa final'!#REF!),"")</f>
        <v>#REF!</v>
      </c>
      <c r="AJ17" s="56" t="str">
        <f>IF(AND('Mapa final'!$AA$15="Alta",'Mapa final'!$AC$15="Catastrófico"),CONCATENATE("R2C",'Mapa final'!$Q$15),"")</f>
        <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4"/>
      <c r="AO17" s="421"/>
      <c r="AP17" s="422"/>
      <c r="AQ17" s="422"/>
      <c r="AR17" s="422"/>
      <c r="AS17" s="422"/>
      <c r="AT17" s="423"/>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c r="A18" s="84"/>
      <c r="B18" s="370"/>
      <c r="C18" s="370"/>
      <c r="D18" s="371"/>
      <c r="E18" s="411"/>
      <c r="F18" s="412"/>
      <c r="G18" s="412"/>
      <c r="H18" s="412"/>
      <c r="I18" s="428"/>
      <c r="J18" s="68" t="str">
        <f>IF(AND('Mapa final'!$AA$18="Alta",'Mapa final'!$AC$18="Leve"),CONCATENATE("R3C",'Mapa final'!$Q$18),"")</f>
        <v/>
      </c>
      <c r="K18" s="69" t="str">
        <f>IF(AND('Mapa final'!$AA$19="Alta",'Mapa final'!$AC$19="Leve"),CONCATENATE("R3C",'Mapa final'!$Q$19),"")</f>
        <v/>
      </c>
      <c r="L18" s="69" t="str">
        <f>IF(AND('Mapa final'!$AA$20="Alta",'Mapa final'!$AC$20="Leve"),CONCATENATE("R3C",'Mapa final'!$Q$20),"")</f>
        <v/>
      </c>
      <c r="M18" s="69" t="str">
        <f>IF(AND('Mapa final'!$AA$21="Alta",'Mapa final'!$AC$21="Leve"),CONCATENATE("R3C",'Mapa final'!$Q$21),"")</f>
        <v/>
      </c>
      <c r="N18" s="69" t="str">
        <f>IF(AND('Mapa final'!$AA$22="Alta",'Mapa final'!$AC$22="Leve"),CONCATENATE("R3C",'Mapa final'!$Q$22),"")</f>
        <v/>
      </c>
      <c r="O18" s="70" t="str">
        <f>IF(AND('Mapa final'!$AA$23="Alta",'Mapa final'!$AC$23="Leve"),CONCATENATE("R3C",'Mapa final'!$Q$23),"")</f>
        <v/>
      </c>
      <c r="P18" s="68" t="str">
        <f>IF(AND('Mapa final'!$AA$18="Alta",'Mapa final'!$AC$18="Menor"),CONCATENATE("R3C",'Mapa final'!$Q$18),"")</f>
        <v/>
      </c>
      <c r="Q18" s="69" t="str">
        <f>IF(AND('Mapa final'!$AA$19="Alta",'Mapa final'!$AC$19="Menor"),CONCATENATE("R3C",'Mapa final'!$Q$19),"")</f>
        <v/>
      </c>
      <c r="R18" s="69" t="str">
        <f>IF(AND('Mapa final'!$AA$20="Alta",'Mapa final'!$AC$20="Menor"),CONCATENATE("R3C",'Mapa final'!$Q$20),"")</f>
        <v/>
      </c>
      <c r="S18" s="69" t="str">
        <f>IF(AND('Mapa final'!$AA$21="Alta",'Mapa final'!$AC$21="Menor"),CONCATENATE("R3C",'Mapa final'!$Q$21),"")</f>
        <v/>
      </c>
      <c r="T18" s="69" t="str">
        <f>IF(AND('Mapa final'!$AA$22="Alta",'Mapa final'!$AC$22="Menor"),CONCATENATE("R3C",'Mapa final'!$Q$22),"")</f>
        <v/>
      </c>
      <c r="U18" s="70" t="str">
        <f>IF(AND('Mapa final'!$AA$23="Alta",'Mapa final'!$AC$23="Menor"),CONCATENATE("R3C",'Mapa final'!$Q$23),"")</f>
        <v/>
      </c>
      <c r="V18" s="52" t="str">
        <f>IF(AND('Mapa final'!$AA$18="Alta",'Mapa final'!$AC$18="Moderado"),CONCATENATE("R3C",'Mapa final'!$Q$18),"")</f>
        <v/>
      </c>
      <c r="W18" s="53" t="str">
        <f>IF(AND('Mapa final'!$AA$19="Alta",'Mapa final'!$AC$19="Moderado"),CONCATENATE("R3C",'Mapa final'!$Q$19),"")</f>
        <v/>
      </c>
      <c r="X18" s="53" t="str">
        <f>IF(AND('Mapa final'!$AA$20="Alta",'Mapa final'!$AC$20="Moderado"),CONCATENATE("R3C",'Mapa final'!$Q$20),"")</f>
        <v/>
      </c>
      <c r="Y18" s="53" t="str">
        <f>IF(AND('Mapa final'!$AA$21="Alta",'Mapa final'!$AC$21="Moderado"),CONCATENATE("R3C",'Mapa final'!$Q$21),"")</f>
        <v/>
      </c>
      <c r="Z18" s="53" t="str">
        <f>IF(AND('Mapa final'!$AA$22="Alta",'Mapa final'!$AC$22="Moderado"),CONCATENATE("R3C",'Mapa final'!$Q$22),"")</f>
        <v/>
      </c>
      <c r="AA18" s="54" t="str">
        <f>IF(AND('Mapa final'!$AA$23="Alta",'Mapa final'!$AC$23="Moderado"),CONCATENATE("R3C",'Mapa final'!$Q$23),"")</f>
        <v/>
      </c>
      <c r="AB18" s="52" t="str">
        <f>IF(AND('Mapa final'!$AA$18="Alta",'Mapa final'!$AC$18="Mayor"),CONCATENATE("R3C",'Mapa final'!$Q$18),"")</f>
        <v/>
      </c>
      <c r="AC18" s="53" t="str">
        <f>IF(AND('Mapa final'!$AA$19="Alta",'Mapa final'!$AC$19="Mayor"),CONCATENATE("R3C",'Mapa final'!$Q$19),"")</f>
        <v/>
      </c>
      <c r="AD18" s="53" t="str">
        <f>IF(AND('Mapa final'!$AA$20="Alta",'Mapa final'!$AC$20="Mayor"),CONCATENATE("R3C",'Mapa final'!$Q$20),"")</f>
        <v/>
      </c>
      <c r="AE18" s="53" t="str">
        <f>IF(AND('Mapa final'!$AA$21="Alta",'Mapa final'!$AC$21="Mayor"),CONCATENATE("R3C",'Mapa final'!$Q$21),"")</f>
        <v/>
      </c>
      <c r="AF18" s="53" t="str">
        <f>IF(AND('Mapa final'!$AA$22="Alta",'Mapa final'!$AC$22="Mayor"),CONCATENATE("R3C",'Mapa final'!$Q$22),"")</f>
        <v/>
      </c>
      <c r="AG18" s="54" t="str">
        <f>IF(AND('Mapa final'!$AA$23="Alta",'Mapa final'!$AC$23="Mayor"),CONCATENATE("R3C",'Mapa final'!$Q$23),"")</f>
        <v/>
      </c>
      <c r="AH18" s="55" t="str">
        <f>IF(AND('Mapa final'!$AA$18="Alta",'Mapa final'!$AC$18="Catastrófico"),CONCATENATE("R3C",'Mapa final'!$Q$18),"")</f>
        <v/>
      </c>
      <c r="AI18" s="56" t="str">
        <f>IF(AND('Mapa final'!$AA$19="Alta",'Mapa final'!$AC$19="Catastrófico"),CONCATENATE("R3C",'Mapa final'!$Q$19),"")</f>
        <v/>
      </c>
      <c r="AJ18" s="56" t="str">
        <f>IF(AND('Mapa final'!$AA$20="Alta",'Mapa final'!$AC$20="Catastrófico"),CONCATENATE("R3C",'Mapa final'!$Q$20),"")</f>
        <v/>
      </c>
      <c r="AK18" s="56" t="str">
        <f>IF(AND('Mapa final'!$AA$21="Alta",'Mapa final'!$AC$21="Catastrófico"),CONCATENATE("R3C",'Mapa final'!$Q$21),"")</f>
        <v/>
      </c>
      <c r="AL18" s="56" t="str">
        <f>IF(AND('Mapa final'!$AA$22="Alta",'Mapa final'!$AC$22="Catastrófico"),CONCATENATE("R3C",'Mapa final'!$Q$22),"")</f>
        <v/>
      </c>
      <c r="AM18" s="57" t="str">
        <f>IF(AND('Mapa final'!$AA$23="Alta",'Mapa final'!$AC$23="Catastrófico"),CONCATENATE("R3C",'Mapa final'!$Q$23),"")</f>
        <v/>
      </c>
      <c r="AN18" s="84"/>
      <c r="AO18" s="421"/>
      <c r="AP18" s="422"/>
      <c r="AQ18" s="422"/>
      <c r="AR18" s="422"/>
      <c r="AS18" s="422"/>
      <c r="AT18" s="423"/>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c r="A19" s="84"/>
      <c r="B19" s="370"/>
      <c r="C19" s="370"/>
      <c r="D19" s="371"/>
      <c r="E19" s="411"/>
      <c r="F19" s="412"/>
      <c r="G19" s="412"/>
      <c r="H19" s="412"/>
      <c r="I19" s="428"/>
      <c r="J19" s="68" t="str">
        <f>IF(AND('Mapa final'!$AA$24="Alta",'Mapa final'!$AC$24="Leve"),CONCATENATE("R4C",'Mapa final'!$Q$24),"")</f>
        <v/>
      </c>
      <c r="K19" s="69" t="str">
        <f>IF(AND('Mapa final'!$AA$25="Alta",'Mapa final'!$AC$25="Leve"),CONCATENATE("R4C",'Mapa final'!$Q$25),"")</f>
        <v/>
      </c>
      <c r="L19" s="69" t="str">
        <f>IF(AND('Mapa final'!$AA$26="Alta",'Mapa final'!$AC$26="Leve"),CONCATENATE("R4C",'Mapa final'!$Q$26),"")</f>
        <v/>
      </c>
      <c r="M19" s="69" t="str">
        <f>IF(AND('Mapa final'!$AA$27="Alta",'Mapa final'!$AC$27="Leve"),CONCATENATE("R4C",'Mapa final'!$Q$27),"")</f>
        <v/>
      </c>
      <c r="N19" s="69" t="str">
        <f>IF(AND('Mapa final'!$AA$28="Alta",'Mapa final'!$AC$28="Leve"),CONCATENATE("R4C",'Mapa final'!$Q$28),"")</f>
        <v/>
      </c>
      <c r="O19" s="70" t="str">
        <f>IF(AND('Mapa final'!$AA$29="Alta",'Mapa final'!$AC$29="Leve"),CONCATENATE("R4C",'Mapa final'!$Q$29),"")</f>
        <v/>
      </c>
      <c r="P19" s="68" t="str">
        <f>IF(AND('Mapa final'!$AA$24="Alta",'Mapa final'!$AC$24="Menor"),CONCATENATE("R4C",'Mapa final'!$Q$24),"")</f>
        <v/>
      </c>
      <c r="Q19" s="69" t="str">
        <f>IF(AND('Mapa final'!$AA$25="Alta",'Mapa final'!$AC$25="Menor"),CONCATENATE("R4C",'Mapa final'!$Q$25),"")</f>
        <v/>
      </c>
      <c r="R19" s="69" t="str">
        <f>IF(AND('Mapa final'!$AA$26="Alta",'Mapa final'!$AC$26="Menor"),CONCATENATE("R4C",'Mapa final'!$Q$26),"")</f>
        <v/>
      </c>
      <c r="S19" s="69" t="str">
        <f>IF(AND('Mapa final'!$AA$27="Alta",'Mapa final'!$AC$27="Menor"),CONCATENATE("R4C",'Mapa final'!$Q$27),"")</f>
        <v/>
      </c>
      <c r="T19" s="69" t="str">
        <f>IF(AND('Mapa final'!$AA$28="Alta",'Mapa final'!$AC$28="Menor"),CONCATENATE("R4C",'Mapa final'!$Q$28),"")</f>
        <v/>
      </c>
      <c r="U19" s="70" t="str">
        <f>IF(AND('Mapa final'!$AA$29="Alta",'Mapa final'!$AC$29="Menor"),CONCATENATE("R4C",'Mapa final'!$Q$29),"")</f>
        <v/>
      </c>
      <c r="V19" s="52" t="str">
        <f>IF(AND('Mapa final'!$AA$24="Alta",'Mapa final'!$AC$24="Moderado"),CONCATENATE("R4C",'Mapa final'!$Q$24),"")</f>
        <v/>
      </c>
      <c r="W19" s="53" t="str">
        <f>IF(AND('Mapa final'!$AA$25="Alta",'Mapa final'!$AC$25="Moderado"),CONCATENATE("R4C",'Mapa final'!$Q$25),"")</f>
        <v/>
      </c>
      <c r="X19" s="58" t="str">
        <f>IF(AND('Mapa final'!$AA$26="Alta",'Mapa final'!$AC$26="Moderado"),CONCATENATE("R4C",'Mapa final'!$Q$26),"")</f>
        <v/>
      </c>
      <c r="Y19" s="58" t="str">
        <f>IF(AND('Mapa final'!$AA$27="Alta",'Mapa final'!$AC$27="Moderado"),CONCATENATE("R4C",'Mapa final'!$Q$27),"")</f>
        <v/>
      </c>
      <c r="Z19" s="58" t="str">
        <f>IF(AND('Mapa final'!$AA$28="Alta",'Mapa final'!$AC$28="Moderado"),CONCATENATE("R4C",'Mapa final'!$Q$28),"")</f>
        <v/>
      </c>
      <c r="AA19" s="54" t="str">
        <f>IF(AND('Mapa final'!$AA$29="Alta",'Mapa final'!$AC$29="Moderado"),CONCATENATE("R4C",'Mapa final'!$Q$29),"")</f>
        <v/>
      </c>
      <c r="AB19" s="52" t="str">
        <f>IF(AND('Mapa final'!$AA$24="Alta",'Mapa final'!$AC$24="Mayor"),CONCATENATE("R4C",'Mapa final'!$Q$24),"")</f>
        <v/>
      </c>
      <c r="AC19" s="53" t="str">
        <f>IF(AND('Mapa final'!$AA$25="Alta",'Mapa final'!$AC$25="Mayor"),CONCATENATE("R4C",'Mapa final'!$Q$25),"")</f>
        <v/>
      </c>
      <c r="AD19" s="58" t="str">
        <f>IF(AND('Mapa final'!$AA$26="Alta",'Mapa final'!$AC$26="Mayor"),CONCATENATE("R4C",'Mapa final'!$Q$26),"")</f>
        <v/>
      </c>
      <c r="AE19" s="58" t="str">
        <f>IF(AND('Mapa final'!$AA$27="Alta",'Mapa final'!$AC$27="Mayor"),CONCATENATE("R4C",'Mapa final'!$Q$27),"")</f>
        <v/>
      </c>
      <c r="AF19" s="58" t="str">
        <f>IF(AND('Mapa final'!$AA$28="Alta",'Mapa final'!$AC$28="Mayor"),CONCATENATE("R4C",'Mapa final'!$Q$28),"")</f>
        <v/>
      </c>
      <c r="AG19" s="54" t="str">
        <f>IF(AND('Mapa final'!$AA$29="Alta",'Mapa final'!$AC$29="Mayor"),CONCATENATE("R4C",'Mapa final'!$Q$29),"")</f>
        <v/>
      </c>
      <c r="AH19" s="55" t="str">
        <f>IF(AND('Mapa final'!$AA$24="Alta",'Mapa final'!$AC$24="Catastrófico"),CONCATENATE("R4C",'Mapa final'!$Q$24),"")</f>
        <v/>
      </c>
      <c r="AI19" s="56" t="str">
        <f>IF(AND('Mapa final'!$AA$25="Alta",'Mapa final'!$AC$25="Catastrófico"),CONCATENATE("R4C",'Mapa final'!$Q$25),"")</f>
        <v/>
      </c>
      <c r="AJ19" s="56" t="str">
        <f>IF(AND('Mapa final'!$AA$26="Alta",'Mapa final'!$AC$26="Catastrófico"),CONCATENATE("R4C",'Mapa final'!$Q$26),"")</f>
        <v/>
      </c>
      <c r="AK19" s="56" t="str">
        <f>IF(AND('Mapa final'!$AA$27="Alta",'Mapa final'!$AC$27="Catastrófico"),CONCATENATE("R4C",'Mapa final'!$Q$27),"")</f>
        <v/>
      </c>
      <c r="AL19" s="56" t="str">
        <f>IF(AND('Mapa final'!$AA$28="Alta",'Mapa final'!$AC$28="Catastrófico"),CONCATENATE("R4C",'Mapa final'!$Q$28),"")</f>
        <v/>
      </c>
      <c r="AM19" s="57" t="str">
        <f>IF(AND('Mapa final'!$AA$29="Alta",'Mapa final'!$AC$29="Catastrófico"),CONCATENATE("R4C",'Mapa final'!$Q$29),"")</f>
        <v/>
      </c>
      <c r="AN19" s="84"/>
      <c r="AO19" s="421"/>
      <c r="AP19" s="422"/>
      <c r="AQ19" s="422"/>
      <c r="AR19" s="422"/>
      <c r="AS19" s="422"/>
      <c r="AT19" s="423"/>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c r="A20" s="84"/>
      <c r="B20" s="370"/>
      <c r="C20" s="370"/>
      <c r="D20" s="371"/>
      <c r="E20" s="411"/>
      <c r="F20" s="412"/>
      <c r="G20" s="412"/>
      <c r="H20" s="412"/>
      <c r="I20" s="428"/>
      <c r="J20" s="68" t="str">
        <f>IF(AND('Mapa final'!$AA$30="Alta",'Mapa final'!$AC$30="Leve"),CONCATENATE("R5C",'Mapa final'!$Q$30),"")</f>
        <v/>
      </c>
      <c r="K20" s="69" t="str">
        <f>IF(AND('Mapa final'!$AA$31="Alta",'Mapa final'!$AC$31="Leve"),CONCATENATE("R5C",'Mapa final'!$Q$31),"")</f>
        <v/>
      </c>
      <c r="L20" s="69" t="str">
        <f>IF(AND('Mapa final'!$AA$32="Alta",'Mapa final'!$AC$32="Leve"),CONCATENATE("R5C",'Mapa final'!$Q$32),"")</f>
        <v/>
      </c>
      <c r="M20" s="69" t="str">
        <f>IF(AND('Mapa final'!$AA$33="Alta",'Mapa final'!$AC$33="Leve"),CONCATENATE("R5C",'Mapa final'!$Q$33),"")</f>
        <v/>
      </c>
      <c r="N20" s="69" t="str">
        <f>IF(AND('Mapa final'!$AA$34="Alta",'Mapa final'!$AC$34="Leve"),CONCATENATE("R5C",'Mapa final'!$Q$34),"")</f>
        <v/>
      </c>
      <c r="O20" s="70" t="str">
        <f>IF(AND('Mapa final'!$AA$35="Alta",'Mapa final'!$AC$35="Leve"),CONCATENATE("R5C",'Mapa final'!$Q$35),"")</f>
        <v/>
      </c>
      <c r="P20" s="68" t="str">
        <f>IF(AND('Mapa final'!$AA$30="Alta",'Mapa final'!$AC$30="Menor"),CONCATENATE("R5C",'Mapa final'!$Q$30),"")</f>
        <v/>
      </c>
      <c r="Q20" s="69" t="str">
        <f>IF(AND('Mapa final'!$AA$31="Alta",'Mapa final'!$AC$31="Menor"),CONCATENATE("R5C",'Mapa final'!$Q$31),"")</f>
        <v/>
      </c>
      <c r="R20" s="69" t="str">
        <f>IF(AND('Mapa final'!$AA$32="Alta",'Mapa final'!$AC$32="Menor"),CONCATENATE("R5C",'Mapa final'!$Q$32),"")</f>
        <v/>
      </c>
      <c r="S20" s="69" t="str">
        <f>IF(AND('Mapa final'!$AA$33="Alta",'Mapa final'!$AC$33="Menor"),CONCATENATE("R5C",'Mapa final'!$Q$33),"")</f>
        <v/>
      </c>
      <c r="T20" s="69" t="str">
        <f>IF(AND('Mapa final'!$AA$34="Alta",'Mapa final'!$AC$34="Menor"),CONCATENATE("R5C",'Mapa final'!$Q$34),"")</f>
        <v/>
      </c>
      <c r="U20" s="70" t="str">
        <f>IF(AND('Mapa final'!$AA$35="Alta",'Mapa final'!$AC$35="Menor"),CONCATENATE("R5C",'Mapa final'!$Q$35),"")</f>
        <v/>
      </c>
      <c r="V20" s="52" t="str">
        <f>IF(AND('Mapa final'!$AA$30="Alta",'Mapa final'!$AC$30="Moderado"),CONCATENATE("R5C",'Mapa final'!$Q$30),"")</f>
        <v/>
      </c>
      <c r="W20" s="53" t="str">
        <f>IF(AND('Mapa final'!$AA$31="Alta",'Mapa final'!$AC$31="Moderado"),CONCATENATE("R5C",'Mapa final'!$Q$31),"")</f>
        <v/>
      </c>
      <c r="X20" s="58" t="str">
        <f>IF(AND('Mapa final'!$AA$32="Alta",'Mapa final'!$AC$32="Moderado"),CONCATENATE("R5C",'Mapa final'!$Q$32),"")</f>
        <v/>
      </c>
      <c r="Y20" s="58" t="str">
        <f>IF(AND('Mapa final'!$AA$33="Alta",'Mapa final'!$AC$33="Moderado"),CONCATENATE("R5C",'Mapa final'!$Q$33),"")</f>
        <v/>
      </c>
      <c r="Z20" s="58" t="str">
        <f>IF(AND('Mapa final'!$AA$34="Alta",'Mapa final'!$AC$34="Moderado"),CONCATENATE("R5C",'Mapa final'!$Q$34),"")</f>
        <v/>
      </c>
      <c r="AA20" s="54" t="str">
        <f>IF(AND('Mapa final'!$AA$35="Alta",'Mapa final'!$AC$35="Moderado"),CONCATENATE("R5C",'Mapa final'!$Q$35),"")</f>
        <v/>
      </c>
      <c r="AB20" s="52" t="str">
        <f>IF(AND('Mapa final'!$AA$30="Alta",'Mapa final'!$AC$30="Mayor"),CONCATENATE("R5C",'Mapa final'!$Q$30),"")</f>
        <v/>
      </c>
      <c r="AC20" s="53" t="str">
        <f>IF(AND('Mapa final'!$AA$31="Alta",'Mapa final'!$AC$31="Mayor"),CONCATENATE("R5C",'Mapa final'!$Q$31),"")</f>
        <v/>
      </c>
      <c r="AD20" s="58" t="str">
        <f>IF(AND('Mapa final'!$AA$32="Alta",'Mapa final'!$AC$32="Mayor"),CONCATENATE("R5C",'Mapa final'!$Q$32),"")</f>
        <v/>
      </c>
      <c r="AE20" s="58" t="str">
        <f>IF(AND('Mapa final'!$AA$33="Alta",'Mapa final'!$AC$33="Mayor"),CONCATENATE("R5C",'Mapa final'!$Q$33),"")</f>
        <v/>
      </c>
      <c r="AF20" s="58" t="str">
        <f>IF(AND('Mapa final'!$AA$34="Alta",'Mapa final'!$AC$34="Mayor"),CONCATENATE("R5C",'Mapa final'!$Q$34),"")</f>
        <v/>
      </c>
      <c r="AG20" s="54" t="str">
        <f>IF(AND('Mapa final'!$AA$35="Alta",'Mapa final'!$AC$35="Mayor"),CONCATENATE("R5C",'Mapa final'!$Q$35),"")</f>
        <v/>
      </c>
      <c r="AH20" s="55" t="str">
        <f>IF(AND('Mapa final'!$AA$30="Alta",'Mapa final'!$AC$30="Catastrófico"),CONCATENATE("R5C",'Mapa final'!$Q$30),"")</f>
        <v/>
      </c>
      <c r="AI20" s="56" t="str">
        <f>IF(AND('Mapa final'!$AA$31="Alta",'Mapa final'!$AC$31="Catastrófico"),CONCATENATE("R5C",'Mapa final'!$Q$31),"")</f>
        <v/>
      </c>
      <c r="AJ20" s="56" t="str">
        <f>IF(AND('Mapa final'!$AA$32="Alta",'Mapa final'!$AC$32="Catastrófico"),CONCATENATE("R5C",'Mapa final'!$Q$32),"")</f>
        <v/>
      </c>
      <c r="AK20" s="56" t="str">
        <f>IF(AND('Mapa final'!$AA$33="Alta",'Mapa final'!$AC$33="Catastrófico"),CONCATENATE("R5C",'Mapa final'!$Q$33),"")</f>
        <v/>
      </c>
      <c r="AL20" s="56" t="str">
        <f>IF(AND('Mapa final'!$AA$34="Alta",'Mapa final'!$AC$34="Catastrófico"),CONCATENATE("R5C",'Mapa final'!$Q$34),"")</f>
        <v/>
      </c>
      <c r="AM20" s="57" t="str">
        <f>IF(AND('Mapa final'!$AA$35="Alta",'Mapa final'!$AC$35="Catastrófico"),CONCATENATE("R5C",'Mapa final'!$Q$35),"")</f>
        <v/>
      </c>
      <c r="AN20" s="84"/>
      <c r="AO20" s="421"/>
      <c r="AP20" s="422"/>
      <c r="AQ20" s="422"/>
      <c r="AR20" s="422"/>
      <c r="AS20" s="422"/>
      <c r="AT20" s="423"/>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c r="A21" s="84"/>
      <c r="B21" s="370"/>
      <c r="C21" s="370"/>
      <c r="D21" s="371"/>
      <c r="E21" s="411"/>
      <c r="F21" s="412"/>
      <c r="G21" s="412"/>
      <c r="H21" s="412"/>
      <c r="I21" s="428"/>
      <c r="J21" s="68" t="str">
        <f>IF(AND('Mapa final'!$AA$36="Alta",'Mapa final'!$AC$36="Leve"),CONCATENATE("R6C",'Mapa final'!$Q$36),"")</f>
        <v/>
      </c>
      <c r="K21" s="69" t="str">
        <f>IF(AND('Mapa final'!$AA$37="Alta",'Mapa final'!$AC$37="Leve"),CONCATENATE("R6C",'Mapa final'!$Q$37),"")</f>
        <v/>
      </c>
      <c r="L21" s="69" t="str">
        <f>IF(AND('Mapa final'!$AA$38="Alta",'Mapa final'!$AC$38="Leve"),CONCATENATE("R6C",'Mapa final'!$Q$38),"")</f>
        <v/>
      </c>
      <c r="M21" s="69" t="str">
        <f>IF(AND('Mapa final'!$AA$39="Alta",'Mapa final'!$AC$39="Leve"),CONCATENATE("R6C",'Mapa final'!$Q$39),"")</f>
        <v/>
      </c>
      <c r="N21" s="69" t="str">
        <f>IF(AND('Mapa final'!$AA$40="Alta",'Mapa final'!$AC$40="Leve"),CONCATENATE("R6C",'Mapa final'!$Q$40),"")</f>
        <v/>
      </c>
      <c r="O21" s="70" t="str">
        <f>IF(AND('Mapa final'!$AA$41="Alta",'Mapa final'!$AC$41="Leve"),CONCATENATE("R6C",'Mapa final'!$Q$41),"")</f>
        <v/>
      </c>
      <c r="P21" s="68" t="str">
        <f>IF(AND('Mapa final'!$AA$36="Alta",'Mapa final'!$AC$36="Menor"),CONCATENATE("R6C",'Mapa final'!$Q$36),"")</f>
        <v/>
      </c>
      <c r="Q21" s="69" t="str">
        <f>IF(AND('Mapa final'!$AA$37="Alta",'Mapa final'!$AC$37="Menor"),CONCATENATE("R6C",'Mapa final'!$Q$37),"")</f>
        <v/>
      </c>
      <c r="R21" s="69" t="str">
        <f>IF(AND('Mapa final'!$AA$38="Alta",'Mapa final'!$AC$38="Menor"),CONCATENATE("R6C",'Mapa final'!$Q$38),"")</f>
        <v/>
      </c>
      <c r="S21" s="69" t="str">
        <f>IF(AND('Mapa final'!$AA$39="Alta",'Mapa final'!$AC$39="Menor"),CONCATENATE("R6C",'Mapa final'!$Q$39),"")</f>
        <v/>
      </c>
      <c r="T21" s="69" t="str">
        <f>IF(AND('Mapa final'!$AA$40="Alta",'Mapa final'!$AC$40="Menor"),CONCATENATE("R6C",'Mapa final'!$Q$40),"")</f>
        <v/>
      </c>
      <c r="U21" s="70" t="str">
        <f>IF(AND('Mapa final'!$AA$41="Alta",'Mapa final'!$AC$41="Menor"),CONCATENATE("R6C",'Mapa final'!$Q$41),"")</f>
        <v/>
      </c>
      <c r="V21" s="52" t="str">
        <f>IF(AND('Mapa final'!$AA$36="Alta",'Mapa final'!$AC$36="Moderado"),CONCATENATE("R6C",'Mapa final'!$Q$36),"")</f>
        <v/>
      </c>
      <c r="W21" s="53" t="str">
        <f>IF(AND('Mapa final'!$AA$37="Alta",'Mapa final'!$AC$37="Moderado"),CONCATENATE("R6C",'Mapa final'!$Q$37),"")</f>
        <v/>
      </c>
      <c r="X21" s="58" t="str">
        <f>IF(AND('Mapa final'!$AA$38="Alta",'Mapa final'!$AC$38="Moderado"),CONCATENATE("R6C",'Mapa final'!$Q$38),"")</f>
        <v/>
      </c>
      <c r="Y21" s="58" t="str">
        <f>IF(AND('Mapa final'!$AA$39="Alta",'Mapa final'!$AC$39="Moderado"),CONCATENATE("R6C",'Mapa final'!$Q$39),"")</f>
        <v/>
      </c>
      <c r="Z21" s="58" t="str">
        <f>IF(AND('Mapa final'!$AA$40="Alta",'Mapa final'!$AC$40="Moderado"),CONCATENATE("R6C",'Mapa final'!$Q$40),"")</f>
        <v/>
      </c>
      <c r="AA21" s="54" t="str">
        <f>IF(AND('Mapa final'!$AA$41="Alta",'Mapa final'!$AC$41="Moderado"),CONCATENATE("R6C",'Mapa final'!$Q$41),"")</f>
        <v/>
      </c>
      <c r="AB21" s="52" t="str">
        <f>IF(AND('Mapa final'!$AA$36="Alta",'Mapa final'!$AC$36="Mayor"),CONCATENATE("R6C",'Mapa final'!$Q$36),"")</f>
        <v/>
      </c>
      <c r="AC21" s="53" t="str">
        <f>IF(AND('Mapa final'!$AA$37="Alta",'Mapa final'!$AC$37="Mayor"),CONCATENATE("R6C",'Mapa final'!$Q$37),"")</f>
        <v/>
      </c>
      <c r="AD21" s="58" t="str">
        <f>IF(AND('Mapa final'!$AA$38="Alta",'Mapa final'!$AC$38="Mayor"),CONCATENATE("R6C",'Mapa final'!$Q$38),"")</f>
        <v/>
      </c>
      <c r="AE21" s="58" t="str">
        <f>IF(AND('Mapa final'!$AA$39="Alta",'Mapa final'!$AC$39="Mayor"),CONCATENATE("R6C",'Mapa final'!$Q$39),"")</f>
        <v/>
      </c>
      <c r="AF21" s="58" t="str">
        <f>IF(AND('Mapa final'!$AA$40="Alta",'Mapa final'!$AC$40="Mayor"),CONCATENATE("R6C",'Mapa final'!$Q$40),"")</f>
        <v/>
      </c>
      <c r="AG21" s="54" t="str">
        <f>IF(AND('Mapa final'!$AA$41="Alta",'Mapa final'!$AC$41="Mayor"),CONCATENATE("R6C",'Mapa final'!$Q$41),"")</f>
        <v/>
      </c>
      <c r="AH21" s="55" t="str">
        <f>IF(AND('Mapa final'!$AA$36="Alta",'Mapa final'!$AC$36="Catastrófico"),CONCATENATE("R6C",'Mapa final'!$Q$36),"")</f>
        <v/>
      </c>
      <c r="AI21" s="56" t="str">
        <f>IF(AND('Mapa final'!$AA$37="Alta",'Mapa final'!$AC$37="Catastrófico"),CONCATENATE("R6C",'Mapa final'!$Q$37),"")</f>
        <v/>
      </c>
      <c r="AJ21" s="56" t="str">
        <f>IF(AND('Mapa final'!$AA$38="Alta",'Mapa final'!$AC$38="Catastrófico"),CONCATENATE("R6C",'Mapa final'!$Q$38),"")</f>
        <v/>
      </c>
      <c r="AK21" s="56" t="str">
        <f>IF(AND('Mapa final'!$AA$39="Alta",'Mapa final'!$AC$39="Catastrófico"),CONCATENATE("R6C",'Mapa final'!$Q$39),"")</f>
        <v/>
      </c>
      <c r="AL21" s="56" t="str">
        <f>IF(AND('Mapa final'!$AA$40="Alta",'Mapa final'!$AC$40="Catastrófico"),CONCATENATE("R6C",'Mapa final'!$Q$40),"")</f>
        <v/>
      </c>
      <c r="AM21" s="57" t="str">
        <f>IF(AND('Mapa final'!$AA$41="Alta",'Mapa final'!$AC$41="Catastrófico"),CONCATENATE("R6C",'Mapa final'!$Q$41),"")</f>
        <v/>
      </c>
      <c r="AN21" s="84"/>
      <c r="AO21" s="421"/>
      <c r="AP21" s="422"/>
      <c r="AQ21" s="422"/>
      <c r="AR21" s="422"/>
      <c r="AS21" s="422"/>
      <c r="AT21" s="423"/>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c r="A22" s="84"/>
      <c r="B22" s="370"/>
      <c r="C22" s="370"/>
      <c r="D22" s="371"/>
      <c r="E22" s="411"/>
      <c r="F22" s="412"/>
      <c r="G22" s="412"/>
      <c r="H22" s="412"/>
      <c r="I22" s="428"/>
      <c r="J22" s="68" t="str">
        <f>IF(AND('Mapa final'!$AA$42="Alta",'Mapa final'!$AC$42="Leve"),CONCATENATE("R7C",'Mapa final'!$Q$42),"")</f>
        <v/>
      </c>
      <c r="K22" s="69" t="str">
        <f>IF(AND('Mapa final'!$AA$43="Alta",'Mapa final'!$AC$43="Leve"),CONCATENATE("R7C",'Mapa final'!$Q$43),"")</f>
        <v/>
      </c>
      <c r="L22" s="69" t="str">
        <f>IF(AND('Mapa final'!$AA$44="Alta",'Mapa final'!$AC$44="Leve"),CONCATENATE("R7C",'Mapa final'!$Q$44),"")</f>
        <v/>
      </c>
      <c r="M22" s="69" t="str">
        <f>IF(AND('Mapa final'!$AA$45="Alta",'Mapa final'!$AC$45="Leve"),CONCATENATE("R7C",'Mapa final'!$Q$45),"")</f>
        <v/>
      </c>
      <c r="N22" s="69" t="str">
        <f>IF(AND('Mapa final'!$AA$46="Alta",'Mapa final'!$AC$46="Leve"),CONCATENATE("R7C",'Mapa final'!$Q$46),"")</f>
        <v/>
      </c>
      <c r="O22" s="70" t="str">
        <f>IF(AND('Mapa final'!$AA$47="Alta",'Mapa final'!$AC$47="Leve"),CONCATENATE("R7C",'Mapa final'!$Q$47),"")</f>
        <v/>
      </c>
      <c r="P22" s="68" t="str">
        <f>IF(AND('Mapa final'!$AA$42="Alta",'Mapa final'!$AC$42="Menor"),CONCATENATE("R7C",'Mapa final'!$Q$42),"")</f>
        <v/>
      </c>
      <c r="Q22" s="69" t="str">
        <f>IF(AND('Mapa final'!$AA$43="Alta",'Mapa final'!$AC$43="Menor"),CONCATENATE("R7C",'Mapa final'!$Q$43),"")</f>
        <v/>
      </c>
      <c r="R22" s="69" t="str">
        <f>IF(AND('Mapa final'!$AA$44="Alta",'Mapa final'!$AC$44="Menor"),CONCATENATE("R7C",'Mapa final'!$Q$44),"")</f>
        <v/>
      </c>
      <c r="S22" s="69" t="str">
        <f>IF(AND('Mapa final'!$AA$45="Alta",'Mapa final'!$AC$45="Menor"),CONCATENATE("R7C",'Mapa final'!$Q$45),"")</f>
        <v/>
      </c>
      <c r="T22" s="69" t="str">
        <f>IF(AND('Mapa final'!$AA$46="Alta",'Mapa final'!$AC$46="Menor"),CONCATENATE("R7C",'Mapa final'!$Q$46),"")</f>
        <v/>
      </c>
      <c r="U22" s="70" t="str">
        <f>IF(AND('Mapa final'!$AA$47="Alta",'Mapa final'!$AC$47="Menor"),CONCATENATE("R7C",'Mapa final'!$Q$47),"")</f>
        <v/>
      </c>
      <c r="V22" s="52" t="str">
        <f>IF(AND('Mapa final'!$AA$42="Alta",'Mapa final'!$AC$42="Moderado"),CONCATENATE("R7C",'Mapa final'!$Q$42),"")</f>
        <v/>
      </c>
      <c r="W22" s="53" t="str">
        <f>IF(AND('Mapa final'!$AA$43="Alta",'Mapa final'!$AC$43="Moderado"),CONCATENATE("R7C",'Mapa final'!$Q$43),"")</f>
        <v/>
      </c>
      <c r="X22" s="58" t="str">
        <f>IF(AND('Mapa final'!$AA$44="Alta",'Mapa final'!$AC$44="Moderado"),CONCATENATE("R7C",'Mapa final'!$Q$44),"")</f>
        <v/>
      </c>
      <c r="Y22" s="58" t="str">
        <f>IF(AND('Mapa final'!$AA$45="Alta",'Mapa final'!$AC$45="Moderado"),CONCATENATE("R7C",'Mapa final'!$Q$45),"")</f>
        <v/>
      </c>
      <c r="Z22" s="58" t="str">
        <f>IF(AND('Mapa final'!$AA$46="Alta",'Mapa final'!$AC$46="Moderado"),CONCATENATE("R7C",'Mapa final'!$Q$46),"")</f>
        <v/>
      </c>
      <c r="AA22" s="54" t="str">
        <f>IF(AND('Mapa final'!$AA$47="Alta",'Mapa final'!$AC$47="Moderado"),CONCATENATE("R7C",'Mapa final'!$Q$47),"")</f>
        <v/>
      </c>
      <c r="AB22" s="52" t="str">
        <f>IF(AND('Mapa final'!$AA$42="Alta",'Mapa final'!$AC$42="Mayor"),CONCATENATE("R7C",'Mapa final'!$Q$42),"")</f>
        <v/>
      </c>
      <c r="AC22" s="53" t="str">
        <f>IF(AND('Mapa final'!$AA$43="Alta",'Mapa final'!$AC$43="Mayor"),CONCATENATE("R7C",'Mapa final'!$Q$43),"")</f>
        <v/>
      </c>
      <c r="AD22" s="58" t="str">
        <f>IF(AND('Mapa final'!$AA$44="Alta",'Mapa final'!$AC$44="Mayor"),CONCATENATE("R7C",'Mapa final'!$Q$44),"")</f>
        <v/>
      </c>
      <c r="AE22" s="58" t="str">
        <f>IF(AND('Mapa final'!$AA$45="Alta",'Mapa final'!$AC$45="Mayor"),CONCATENATE("R7C",'Mapa final'!$Q$45),"")</f>
        <v/>
      </c>
      <c r="AF22" s="58" t="str">
        <f>IF(AND('Mapa final'!$AA$46="Alta",'Mapa final'!$AC$46="Mayor"),CONCATENATE("R7C",'Mapa final'!$Q$46),"")</f>
        <v/>
      </c>
      <c r="AG22" s="54" t="str">
        <f>IF(AND('Mapa final'!$AA$47="Alta",'Mapa final'!$AC$47="Mayor"),CONCATENATE("R7C",'Mapa final'!$Q$47),"")</f>
        <v/>
      </c>
      <c r="AH22" s="55" t="str">
        <f>IF(AND('Mapa final'!$AA$42="Alta",'Mapa final'!$AC$42="Catastrófico"),CONCATENATE("R7C",'Mapa final'!$Q$42),"")</f>
        <v/>
      </c>
      <c r="AI22" s="56" t="str">
        <f>IF(AND('Mapa final'!$AA$43="Alta",'Mapa final'!$AC$43="Catastrófico"),CONCATENATE("R7C",'Mapa final'!$Q$43),"")</f>
        <v/>
      </c>
      <c r="AJ22" s="56" t="str">
        <f>IF(AND('Mapa final'!$AA$44="Alta",'Mapa final'!$AC$44="Catastrófico"),CONCATENATE("R7C",'Mapa final'!$Q$44),"")</f>
        <v/>
      </c>
      <c r="AK22" s="56" t="str">
        <f>IF(AND('Mapa final'!$AA$45="Alta",'Mapa final'!$AC$45="Catastrófico"),CONCATENATE("R7C",'Mapa final'!$Q$45),"")</f>
        <v/>
      </c>
      <c r="AL22" s="56" t="str">
        <f>IF(AND('Mapa final'!$AA$46="Alta",'Mapa final'!$AC$46="Catastrófico"),CONCATENATE("R7C",'Mapa final'!$Q$46),"")</f>
        <v/>
      </c>
      <c r="AM22" s="57" t="str">
        <f>IF(AND('Mapa final'!$AA$47="Alta",'Mapa final'!$AC$47="Catastrófico"),CONCATENATE("R7C",'Mapa final'!$Q$47),"")</f>
        <v/>
      </c>
      <c r="AN22" s="84"/>
      <c r="AO22" s="421"/>
      <c r="AP22" s="422"/>
      <c r="AQ22" s="422"/>
      <c r="AR22" s="422"/>
      <c r="AS22" s="422"/>
      <c r="AT22" s="423"/>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c r="A23" s="84"/>
      <c r="B23" s="370"/>
      <c r="C23" s="370"/>
      <c r="D23" s="371"/>
      <c r="E23" s="411"/>
      <c r="F23" s="412"/>
      <c r="G23" s="412"/>
      <c r="H23" s="412"/>
      <c r="I23" s="428"/>
      <c r="J23" s="68" t="str">
        <f>IF(AND('Mapa final'!$AA$48="Alta",'Mapa final'!$AC$48="Leve"),CONCATENATE("R8C",'Mapa final'!$Q$48),"")</f>
        <v/>
      </c>
      <c r="K23" s="69" t="str">
        <f>IF(AND('Mapa final'!$AA$49="Alta",'Mapa final'!$AC$49="Leve"),CONCATENATE("R8C",'Mapa final'!$Q$49),"")</f>
        <v/>
      </c>
      <c r="L23" s="69" t="str">
        <f>IF(AND('Mapa final'!$AA$50="Alta",'Mapa final'!$AC$50="Leve"),CONCATENATE("R8C",'Mapa final'!$Q$50),"")</f>
        <v/>
      </c>
      <c r="M23" s="69" t="str">
        <f>IF(AND('Mapa final'!$AA$51="Alta",'Mapa final'!$AC$51="Leve"),CONCATENATE("R8C",'Mapa final'!$Q$51),"")</f>
        <v/>
      </c>
      <c r="N23" s="69" t="str">
        <f>IF(AND('Mapa final'!$AA$52="Alta",'Mapa final'!$AC$52="Leve"),CONCATENATE("R8C",'Mapa final'!$Q$52),"")</f>
        <v/>
      </c>
      <c r="O23" s="70" t="str">
        <f>IF(AND('Mapa final'!$AA$53="Alta",'Mapa final'!$AC$53="Leve"),CONCATENATE("R8C",'Mapa final'!$Q$53),"")</f>
        <v/>
      </c>
      <c r="P23" s="68" t="str">
        <f>IF(AND('Mapa final'!$AA$48="Alta",'Mapa final'!$AC$48="Menor"),CONCATENATE("R8C",'Mapa final'!$Q$48),"")</f>
        <v/>
      </c>
      <c r="Q23" s="69" t="str">
        <f>IF(AND('Mapa final'!$AA$49="Alta",'Mapa final'!$AC$49="Menor"),CONCATENATE("R8C",'Mapa final'!$Q$49),"")</f>
        <v/>
      </c>
      <c r="R23" s="69" t="str">
        <f>IF(AND('Mapa final'!$AA$50="Alta",'Mapa final'!$AC$50="Menor"),CONCATENATE("R8C",'Mapa final'!$Q$50),"")</f>
        <v/>
      </c>
      <c r="S23" s="69" t="str">
        <f>IF(AND('Mapa final'!$AA$51="Alta",'Mapa final'!$AC$51="Menor"),CONCATENATE("R8C",'Mapa final'!$Q$51),"")</f>
        <v/>
      </c>
      <c r="T23" s="69" t="str">
        <f>IF(AND('Mapa final'!$AA$52="Alta",'Mapa final'!$AC$52="Menor"),CONCATENATE("R8C",'Mapa final'!$Q$52),"")</f>
        <v/>
      </c>
      <c r="U23" s="70" t="str">
        <f>IF(AND('Mapa final'!$AA$53="Alta",'Mapa final'!$AC$53="Menor"),CONCATENATE("R8C",'Mapa final'!$Q$53),"")</f>
        <v/>
      </c>
      <c r="V23" s="52" t="str">
        <f>IF(AND('Mapa final'!$AA$48="Alta",'Mapa final'!$AC$48="Moderado"),CONCATENATE("R8C",'Mapa final'!$Q$48),"")</f>
        <v/>
      </c>
      <c r="W23" s="53" t="str">
        <f>IF(AND('Mapa final'!$AA$49="Alta",'Mapa final'!$AC$49="Moderado"),CONCATENATE("R8C",'Mapa final'!$Q$49),"")</f>
        <v/>
      </c>
      <c r="X23" s="58" t="str">
        <f>IF(AND('Mapa final'!$AA$50="Alta",'Mapa final'!$AC$50="Moderado"),CONCATENATE("R8C",'Mapa final'!$Q$50),"")</f>
        <v/>
      </c>
      <c r="Y23" s="58" t="str">
        <f>IF(AND('Mapa final'!$AA$51="Alta",'Mapa final'!$AC$51="Moderado"),CONCATENATE("R8C",'Mapa final'!$Q$51),"")</f>
        <v/>
      </c>
      <c r="Z23" s="58" t="str">
        <f>IF(AND('Mapa final'!$AA$52="Alta",'Mapa final'!$AC$52="Moderado"),CONCATENATE("R8C",'Mapa final'!$Q$52),"")</f>
        <v/>
      </c>
      <c r="AA23" s="54" t="str">
        <f>IF(AND('Mapa final'!$AA$53="Alta",'Mapa final'!$AC$53="Moderado"),CONCATENATE("R8C",'Mapa final'!$Q$53),"")</f>
        <v/>
      </c>
      <c r="AB23" s="52" t="str">
        <f>IF(AND('Mapa final'!$AA$48="Alta",'Mapa final'!$AC$48="Mayor"),CONCATENATE("R8C",'Mapa final'!$Q$48),"")</f>
        <v/>
      </c>
      <c r="AC23" s="53" t="str">
        <f>IF(AND('Mapa final'!$AA$49="Alta",'Mapa final'!$AC$49="Mayor"),CONCATENATE("R8C",'Mapa final'!$Q$49),"")</f>
        <v/>
      </c>
      <c r="AD23" s="58" t="str">
        <f>IF(AND('Mapa final'!$AA$50="Alta",'Mapa final'!$AC$50="Mayor"),CONCATENATE("R8C",'Mapa final'!$Q$50),"")</f>
        <v/>
      </c>
      <c r="AE23" s="58" t="str">
        <f>IF(AND('Mapa final'!$AA$51="Alta",'Mapa final'!$AC$51="Mayor"),CONCATENATE("R8C",'Mapa final'!$Q$51),"")</f>
        <v/>
      </c>
      <c r="AF23" s="58" t="str">
        <f>IF(AND('Mapa final'!$AA$52="Alta",'Mapa final'!$AC$52="Mayor"),CONCATENATE("R8C",'Mapa final'!$Q$52),"")</f>
        <v/>
      </c>
      <c r="AG23" s="54" t="str">
        <f>IF(AND('Mapa final'!$AA$53="Alta",'Mapa final'!$AC$53="Mayor"),CONCATENATE("R8C",'Mapa final'!$Q$53),"")</f>
        <v/>
      </c>
      <c r="AH23" s="55" t="str">
        <f>IF(AND('Mapa final'!$AA$48="Alta",'Mapa final'!$AC$48="Catastrófico"),CONCATENATE("R8C",'Mapa final'!$Q$48),"")</f>
        <v/>
      </c>
      <c r="AI23" s="56" t="str">
        <f>IF(AND('Mapa final'!$AA$49="Alta",'Mapa final'!$AC$49="Catastrófico"),CONCATENATE("R8C",'Mapa final'!$Q$49),"")</f>
        <v/>
      </c>
      <c r="AJ23" s="56" t="str">
        <f>IF(AND('Mapa final'!$AA$50="Alta",'Mapa final'!$AC$50="Catastrófico"),CONCATENATE("R8C",'Mapa final'!$Q$50),"")</f>
        <v/>
      </c>
      <c r="AK23" s="56" t="str">
        <f>IF(AND('Mapa final'!$AA$51="Alta",'Mapa final'!$AC$51="Catastrófico"),CONCATENATE("R8C",'Mapa final'!$Q$51),"")</f>
        <v/>
      </c>
      <c r="AL23" s="56" t="str">
        <f>IF(AND('Mapa final'!$AA$52="Alta",'Mapa final'!$AC$52="Catastrófico"),CONCATENATE("R8C",'Mapa final'!$Q$52),"")</f>
        <v/>
      </c>
      <c r="AM23" s="57" t="str">
        <f>IF(AND('Mapa final'!$AA$53="Alta",'Mapa final'!$AC$53="Catastrófico"),CONCATENATE("R8C",'Mapa final'!$Q$53),"")</f>
        <v/>
      </c>
      <c r="AN23" s="84"/>
      <c r="AO23" s="421"/>
      <c r="AP23" s="422"/>
      <c r="AQ23" s="422"/>
      <c r="AR23" s="422"/>
      <c r="AS23" s="422"/>
      <c r="AT23" s="42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c r="A24" s="84"/>
      <c r="B24" s="370"/>
      <c r="C24" s="370"/>
      <c r="D24" s="371"/>
      <c r="E24" s="411"/>
      <c r="F24" s="412"/>
      <c r="G24" s="412"/>
      <c r="H24" s="412"/>
      <c r="I24" s="428"/>
      <c r="J24" s="68" t="str">
        <f>IF(AND('Mapa final'!$AA$54="Alta",'Mapa final'!$AC$54="Leve"),CONCATENATE("R9C",'Mapa final'!$Q$54),"")</f>
        <v/>
      </c>
      <c r="K24" s="69" t="str">
        <f>IF(AND('Mapa final'!$AA$55="Alta",'Mapa final'!$AC$55="Leve"),CONCATENATE("R9C",'Mapa final'!$Q$55),"")</f>
        <v/>
      </c>
      <c r="L24" s="69" t="str">
        <f>IF(AND('Mapa final'!$AA$56="Alta",'Mapa final'!$AC$56="Leve"),CONCATENATE("R9C",'Mapa final'!$Q$56),"")</f>
        <v/>
      </c>
      <c r="M24" s="69" t="str">
        <f>IF(AND('Mapa final'!$AA$57="Alta",'Mapa final'!$AC$57="Leve"),CONCATENATE("R9C",'Mapa final'!$Q$57),"")</f>
        <v/>
      </c>
      <c r="N24" s="69" t="str">
        <f>IF(AND('Mapa final'!$AA$58="Alta",'Mapa final'!$AC$58="Leve"),CONCATENATE("R9C",'Mapa final'!$Q$58),"")</f>
        <v/>
      </c>
      <c r="O24" s="70" t="str">
        <f>IF(AND('Mapa final'!$AA$59="Alta",'Mapa final'!$AC$59="Leve"),CONCATENATE("R9C",'Mapa final'!$Q$59),"")</f>
        <v/>
      </c>
      <c r="P24" s="68" t="str">
        <f>IF(AND('Mapa final'!$AA$54="Alta",'Mapa final'!$AC$54="Menor"),CONCATENATE("R9C",'Mapa final'!$Q$54),"")</f>
        <v/>
      </c>
      <c r="Q24" s="69" t="str">
        <f>IF(AND('Mapa final'!$AA$55="Alta",'Mapa final'!$AC$55="Menor"),CONCATENATE("R9C",'Mapa final'!$Q$55),"")</f>
        <v/>
      </c>
      <c r="R24" s="69" t="str">
        <f>IF(AND('Mapa final'!$AA$56="Alta",'Mapa final'!$AC$56="Menor"),CONCATENATE("R9C",'Mapa final'!$Q$56),"")</f>
        <v/>
      </c>
      <c r="S24" s="69" t="str">
        <f>IF(AND('Mapa final'!$AA$57="Alta",'Mapa final'!$AC$57="Menor"),CONCATENATE("R9C",'Mapa final'!$Q$57),"")</f>
        <v/>
      </c>
      <c r="T24" s="69" t="str">
        <f>IF(AND('Mapa final'!$AA$58="Alta",'Mapa final'!$AC$58="Menor"),CONCATENATE("R9C",'Mapa final'!$Q$58),"")</f>
        <v/>
      </c>
      <c r="U24" s="70" t="str">
        <f>IF(AND('Mapa final'!$AA$59="Alta",'Mapa final'!$AC$59="Menor"),CONCATENATE("R9C",'Mapa final'!$Q$59),"")</f>
        <v/>
      </c>
      <c r="V24" s="52" t="str">
        <f>IF(AND('Mapa final'!$AA$54="Alta",'Mapa final'!$AC$54="Moderado"),CONCATENATE("R9C",'Mapa final'!$Q$54),"")</f>
        <v/>
      </c>
      <c r="W24" s="53" t="str">
        <f>IF(AND('Mapa final'!$AA$55="Alta",'Mapa final'!$AC$55="Moderado"),CONCATENATE("R9C",'Mapa final'!$Q$55),"")</f>
        <v/>
      </c>
      <c r="X24" s="58" t="str">
        <f>IF(AND('Mapa final'!$AA$56="Alta",'Mapa final'!$AC$56="Moderado"),CONCATENATE("R9C",'Mapa final'!$Q$56),"")</f>
        <v/>
      </c>
      <c r="Y24" s="58" t="str">
        <f>IF(AND('Mapa final'!$AA$57="Alta",'Mapa final'!$AC$57="Moderado"),CONCATENATE("R9C",'Mapa final'!$Q$57),"")</f>
        <v/>
      </c>
      <c r="Z24" s="58" t="str">
        <f>IF(AND('Mapa final'!$AA$58="Alta",'Mapa final'!$AC$58="Moderado"),CONCATENATE("R9C",'Mapa final'!$Q$58),"")</f>
        <v/>
      </c>
      <c r="AA24" s="54" t="str">
        <f>IF(AND('Mapa final'!$AA$59="Alta",'Mapa final'!$AC$59="Moderado"),CONCATENATE("R9C",'Mapa final'!$Q$59),"")</f>
        <v/>
      </c>
      <c r="AB24" s="52" t="str">
        <f>IF(AND('Mapa final'!$AA$54="Alta",'Mapa final'!$AC$54="Mayor"),CONCATENATE("R9C",'Mapa final'!$Q$54),"")</f>
        <v/>
      </c>
      <c r="AC24" s="53" t="str">
        <f>IF(AND('Mapa final'!$AA$55="Alta",'Mapa final'!$AC$55="Mayor"),CONCATENATE("R9C",'Mapa final'!$Q$55),"")</f>
        <v/>
      </c>
      <c r="AD24" s="58" t="str">
        <f>IF(AND('Mapa final'!$AA$56="Alta",'Mapa final'!$AC$56="Mayor"),CONCATENATE("R9C",'Mapa final'!$Q$56),"")</f>
        <v/>
      </c>
      <c r="AE24" s="58" t="str">
        <f>IF(AND('Mapa final'!$AA$57="Alta",'Mapa final'!$AC$57="Mayor"),CONCATENATE("R9C",'Mapa final'!$Q$57),"")</f>
        <v/>
      </c>
      <c r="AF24" s="58" t="str">
        <f>IF(AND('Mapa final'!$AA$58="Alta",'Mapa final'!$AC$58="Mayor"),CONCATENATE("R9C",'Mapa final'!$Q$58),"")</f>
        <v/>
      </c>
      <c r="AG24" s="54" t="str">
        <f>IF(AND('Mapa final'!$AA$59="Alta",'Mapa final'!$AC$59="Mayor"),CONCATENATE("R9C",'Mapa final'!$Q$59),"")</f>
        <v/>
      </c>
      <c r="AH24" s="55" t="str">
        <f>IF(AND('Mapa final'!$AA$54="Alta",'Mapa final'!$AC$54="Catastrófico"),CONCATENATE("R9C",'Mapa final'!$Q$54),"")</f>
        <v/>
      </c>
      <c r="AI24" s="56" t="str">
        <f>IF(AND('Mapa final'!$AA$55="Alta",'Mapa final'!$AC$55="Catastrófico"),CONCATENATE("R9C",'Mapa final'!$Q$55),"")</f>
        <v/>
      </c>
      <c r="AJ24" s="56" t="str">
        <f>IF(AND('Mapa final'!$AA$56="Alta",'Mapa final'!$AC$56="Catastrófico"),CONCATENATE("R9C",'Mapa final'!$Q$56),"")</f>
        <v/>
      </c>
      <c r="AK24" s="56" t="str">
        <f>IF(AND('Mapa final'!$AA$57="Alta",'Mapa final'!$AC$57="Catastrófico"),CONCATENATE("R9C",'Mapa final'!$Q$57),"")</f>
        <v/>
      </c>
      <c r="AL24" s="56" t="str">
        <f>IF(AND('Mapa final'!$AA$58="Alta",'Mapa final'!$AC$58="Catastrófico"),CONCATENATE("R9C",'Mapa final'!$Q$58),"")</f>
        <v/>
      </c>
      <c r="AM24" s="57" t="str">
        <f>IF(AND('Mapa final'!$AA$59="Alta",'Mapa final'!$AC$59="Catastrófico"),CONCATENATE("R9C",'Mapa final'!$Q$59),"")</f>
        <v/>
      </c>
      <c r="AN24" s="84"/>
      <c r="AO24" s="421"/>
      <c r="AP24" s="422"/>
      <c r="AQ24" s="422"/>
      <c r="AR24" s="422"/>
      <c r="AS24" s="422"/>
      <c r="AT24" s="42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c r="A25" s="84"/>
      <c r="B25" s="370"/>
      <c r="C25" s="370"/>
      <c r="D25" s="371"/>
      <c r="E25" s="414"/>
      <c r="F25" s="415"/>
      <c r="G25" s="415"/>
      <c r="H25" s="415"/>
      <c r="I25" s="415"/>
      <c r="J25" s="71" t="str">
        <f>IF(AND('Mapa final'!$AA$60="Alta",'Mapa final'!$AC$60="Leve"),CONCATENATE("R10C",'Mapa final'!$Q$60),"")</f>
        <v/>
      </c>
      <c r="K25" s="72" t="str">
        <f>IF(AND('Mapa final'!$AA$61="Alta",'Mapa final'!$AC$61="Leve"),CONCATENATE("R10C",'Mapa final'!$Q$61),"")</f>
        <v/>
      </c>
      <c r="L25" s="72" t="str">
        <f>IF(AND('Mapa final'!$AA$62="Alta",'Mapa final'!$AC$62="Leve"),CONCATENATE("R10C",'Mapa final'!$Q$62),"")</f>
        <v/>
      </c>
      <c r="M25" s="72" t="str">
        <f>IF(AND('Mapa final'!$AA$63="Alta",'Mapa final'!$AC$63="Leve"),CONCATENATE("R10C",'Mapa final'!$Q$63),"")</f>
        <v/>
      </c>
      <c r="N25" s="72" t="str">
        <f>IF(AND('Mapa final'!$AA$64="Alta",'Mapa final'!$AC$64="Leve"),CONCATENATE("R10C",'Mapa final'!$Q$64),"")</f>
        <v/>
      </c>
      <c r="O25" s="73" t="str">
        <f>IF(AND('Mapa final'!$AA$65="Alta",'Mapa final'!$AC$65="Leve"),CONCATENATE("R10C",'Mapa final'!$Q$65),"")</f>
        <v/>
      </c>
      <c r="P25" s="71" t="str">
        <f>IF(AND('Mapa final'!$AA$60="Alta",'Mapa final'!$AC$60="Menor"),CONCATENATE("R10C",'Mapa final'!$Q$60),"")</f>
        <v/>
      </c>
      <c r="Q25" s="72" t="str">
        <f>IF(AND('Mapa final'!$AA$61="Alta",'Mapa final'!$AC$61="Menor"),CONCATENATE("R10C",'Mapa final'!$Q$61),"")</f>
        <v/>
      </c>
      <c r="R25" s="72" t="str">
        <f>IF(AND('Mapa final'!$AA$62="Alta",'Mapa final'!$AC$62="Menor"),CONCATENATE("R10C",'Mapa final'!$Q$62),"")</f>
        <v/>
      </c>
      <c r="S25" s="72" t="str">
        <f>IF(AND('Mapa final'!$AA$63="Alta",'Mapa final'!$AC$63="Menor"),CONCATENATE("R10C",'Mapa final'!$Q$63),"")</f>
        <v/>
      </c>
      <c r="T25" s="72" t="str">
        <f>IF(AND('Mapa final'!$AA$64="Alta",'Mapa final'!$AC$64="Menor"),CONCATENATE("R10C",'Mapa final'!$Q$64),"")</f>
        <v/>
      </c>
      <c r="U25" s="73" t="str">
        <f>IF(AND('Mapa final'!$AA$65="Alta",'Mapa final'!$AC$65="Menor"),CONCATENATE("R10C",'Mapa final'!$Q$65),"")</f>
        <v/>
      </c>
      <c r="V25" s="59" t="str">
        <f>IF(AND('Mapa final'!$AA$60="Alta",'Mapa final'!$AC$60="Moderado"),CONCATENATE("R10C",'Mapa final'!$Q$60),"")</f>
        <v/>
      </c>
      <c r="W25" s="60" t="str">
        <f>IF(AND('Mapa final'!$AA$61="Alta",'Mapa final'!$AC$61="Moderado"),CONCATENATE("R10C",'Mapa final'!$Q$61),"")</f>
        <v/>
      </c>
      <c r="X25" s="60" t="str">
        <f>IF(AND('Mapa final'!$AA$62="Alta",'Mapa final'!$AC$62="Moderado"),CONCATENATE("R10C",'Mapa final'!$Q$62),"")</f>
        <v/>
      </c>
      <c r="Y25" s="60" t="str">
        <f>IF(AND('Mapa final'!$AA$63="Alta",'Mapa final'!$AC$63="Moderado"),CONCATENATE("R10C",'Mapa final'!$Q$63),"")</f>
        <v/>
      </c>
      <c r="Z25" s="60" t="str">
        <f>IF(AND('Mapa final'!$AA$64="Alta",'Mapa final'!$AC$64="Moderado"),CONCATENATE("R10C",'Mapa final'!$Q$64),"")</f>
        <v/>
      </c>
      <c r="AA25" s="61" t="str">
        <f>IF(AND('Mapa final'!$AA$65="Alta",'Mapa final'!$AC$65="Moderado"),CONCATENATE("R10C",'Mapa final'!$Q$65),"")</f>
        <v/>
      </c>
      <c r="AB25" s="59" t="str">
        <f>IF(AND('Mapa final'!$AA$60="Alta",'Mapa final'!$AC$60="Mayor"),CONCATENATE("R10C",'Mapa final'!$Q$60),"")</f>
        <v/>
      </c>
      <c r="AC25" s="60" t="str">
        <f>IF(AND('Mapa final'!$AA$61="Alta",'Mapa final'!$AC$61="Mayor"),CONCATENATE("R10C",'Mapa final'!$Q$61),"")</f>
        <v/>
      </c>
      <c r="AD25" s="60" t="str">
        <f>IF(AND('Mapa final'!$AA$62="Alta",'Mapa final'!$AC$62="Mayor"),CONCATENATE("R10C",'Mapa final'!$Q$62),"")</f>
        <v/>
      </c>
      <c r="AE25" s="60" t="str">
        <f>IF(AND('Mapa final'!$AA$63="Alta",'Mapa final'!$AC$63="Mayor"),CONCATENATE("R10C",'Mapa final'!$Q$63),"")</f>
        <v/>
      </c>
      <c r="AF25" s="60" t="str">
        <f>IF(AND('Mapa final'!$AA$64="Alta",'Mapa final'!$AC$64="Mayor"),CONCATENATE("R10C",'Mapa final'!$Q$64),"")</f>
        <v/>
      </c>
      <c r="AG25" s="61" t="str">
        <f>IF(AND('Mapa final'!$AA$65="Alta",'Mapa final'!$AC$65="Mayor"),CONCATENATE("R10C",'Mapa final'!$Q$65),"")</f>
        <v/>
      </c>
      <c r="AH25" s="62" t="str">
        <f>IF(AND('Mapa final'!$AA$60="Alta",'Mapa final'!$AC$60="Catastrófico"),CONCATENATE("R10C",'Mapa final'!$Q$60),"")</f>
        <v/>
      </c>
      <c r="AI25" s="63" t="str">
        <f>IF(AND('Mapa final'!$AA$61="Alta",'Mapa final'!$AC$61="Catastrófico"),CONCATENATE("R10C",'Mapa final'!$Q$61),"")</f>
        <v/>
      </c>
      <c r="AJ25" s="63" t="str">
        <f>IF(AND('Mapa final'!$AA$62="Alta",'Mapa final'!$AC$62="Catastrófico"),CONCATENATE("R10C",'Mapa final'!$Q$62),"")</f>
        <v/>
      </c>
      <c r="AK25" s="63" t="str">
        <f>IF(AND('Mapa final'!$AA$63="Alta",'Mapa final'!$AC$63="Catastrófico"),CONCATENATE("R10C",'Mapa final'!$Q$63),"")</f>
        <v/>
      </c>
      <c r="AL25" s="63" t="str">
        <f>IF(AND('Mapa final'!$AA$64="Alta",'Mapa final'!$AC$64="Catastrófico"),CONCATENATE("R10C",'Mapa final'!$Q$64),"")</f>
        <v/>
      </c>
      <c r="AM25" s="64" t="str">
        <f>IF(AND('Mapa final'!$AA$65="Alta",'Mapa final'!$AC$65="Catastrófico"),CONCATENATE("R10C",'Mapa final'!$Q$65),"")</f>
        <v/>
      </c>
      <c r="AN25" s="84"/>
      <c r="AO25" s="424"/>
      <c r="AP25" s="425"/>
      <c r="AQ25" s="425"/>
      <c r="AR25" s="425"/>
      <c r="AS25" s="425"/>
      <c r="AT25" s="426"/>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c r="A26" s="84"/>
      <c r="B26" s="370"/>
      <c r="C26" s="370"/>
      <c r="D26" s="371"/>
      <c r="E26" s="408" t="s">
        <v>117</v>
      </c>
      <c r="F26" s="409"/>
      <c r="G26" s="409"/>
      <c r="H26" s="409"/>
      <c r="I26" s="410"/>
      <c r="J26" s="65" t="str">
        <f ca="1">IF(AND('Mapa final'!$AA$10="Media",'Mapa final'!$AC$10="Leve"),CONCATENATE("R1C",'Mapa final'!$Q$10),"")</f>
        <v/>
      </c>
      <c r="K26" s="66" t="str">
        <f ca="1">IF(AND('Mapa final'!$AA$11="Media",'Mapa final'!$AC$11="Leve"),CONCATENATE("R1C",'Mapa final'!$Q$11),"")</f>
        <v/>
      </c>
      <c r="L26" s="66" t="str">
        <f ca="1">IF(AND('Mapa final'!$AA$12="Media",'Mapa final'!$AC$12="Leve"),CONCATENATE("R1C",'Mapa final'!$Q$12),"")</f>
        <v/>
      </c>
      <c r="M26" s="66" t="str">
        <f>IF(AND('Mapa final'!$AA$13="Media",'Mapa final'!$AC$13="Leve"),CONCATENATE("R1C",'Mapa final'!$Q$13),"")</f>
        <v/>
      </c>
      <c r="N26" s="66" t="e">
        <f>IF(AND('Mapa final'!#REF!="Media",'Mapa final'!#REF!="Leve"),CONCATENATE("R1C",'Mapa final'!#REF!),"")</f>
        <v>#REF!</v>
      </c>
      <c r="O26" s="67" t="e">
        <f>IF(AND('Mapa final'!#REF!="Media",'Mapa final'!#REF!="Leve"),CONCATENATE("R1C",'Mapa final'!#REF!),"")</f>
        <v>#REF!</v>
      </c>
      <c r="P26" s="65" t="str">
        <f ca="1">IF(AND('Mapa final'!$AA$10="Media",'Mapa final'!$AC$10="Menor"),CONCATENATE("R1C",'Mapa final'!$Q$10),"")</f>
        <v/>
      </c>
      <c r="Q26" s="66" t="str">
        <f ca="1">IF(AND('Mapa final'!$AA$11="Media",'Mapa final'!$AC$11="Menor"),CONCATENATE("R1C",'Mapa final'!$Q$11),"")</f>
        <v/>
      </c>
      <c r="R26" s="66" t="str">
        <f ca="1">IF(AND('Mapa final'!$AA$12="Media",'Mapa final'!$AC$12="Menor"),CONCATENATE("R1C",'Mapa final'!$Q$12),"")</f>
        <v/>
      </c>
      <c r="S26" s="66" t="str">
        <f>IF(AND('Mapa final'!$AA$13="Media",'Mapa final'!$AC$13="Menor"),CONCATENATE("R1C",'Mapa final'!$Q$13),"")</f>
        <v/>
      </c>
      <c r="T26" s="66" t="e">
        <f>IF(AND('Mapa final'!#REF!="Media",'Mapa final'!#REF!="Menor"),CONCATENATE("R1C",'Mapa final'!#REF!),"")</f>
        <v>#REF!</v>
      </c>
      <c r="U26" s="67" t="e">
        <f>IF(AND('Mapa final'!#REF!="Media",'Mapa final'!#REF!="Menor"),CONCATENATE("R1C",'Mapa final'!#REF!),"")</f>
        <v>#REF!</v>
      </c>
      <c r="V26" s="65" t="str">
        <f ca="1">IF(AND('Mapa final'!$AA$10="Media",'Mapa final'!$AC$10="Moderado"),CONCATENATE("R1C",'Mapa final'!$Q$10),"")</f>
        <v/>
      </c>
      <c r="W26" s="66" t="str">
        <f ca="1">IF(AND('Mapa final'!$AA$11="Media",'Mapa final'!$AC$11="Moderado"),CONCATENATE("R1C",'Mapa final'!$Q$11),"")</f>
        <v/>
      </c>
      <c r="X26" s="66" t="str">
        <f ca="1">IF(AND('Mapa final'!$AA$12="Media",'Mapa final'!$AC$12="Moderado"),CONCATENATE("R1C",'Mapa final'!$Q$12),"")</f>
        <v/>
      </c>
      <c r="Y26" s="66" t="str">
        <f>IF(AND('Mapa final'!$AA$13="Media",'Mapa final'!$AC$13="Moderado"),CONCATENATE("R1C",'Mapa final'!$Q$13),"")</f>
        <v/>
      </c>
      <c r="Z26" s="66" t="e">
        <f>IF(AND('Mapa final'!#REF!="Media",'Mapa final'!#REF!="Moderado"),CONCATENATE("R1C",'Mapa final'!#REF!),"")</f>
        <v>#REF!</v>
      </c>
      <c r="AA26" s="67" t="e">
        <f>IF(AND('Mapa final'!#REF!="Media",'Mapa final'!#REF!="Moderado"),CONCATENATE("R1C",'Mapa final'!#REF!),"")</f>
        <v>#REF!</v>
      </c>
      <c r="AB26" s="46" t="str">
        <f ca="1">IF(AND('Mapa final'!$AA$10="Media",'Mapa final'!$AC$10="Mayor"),CONCATENATE("R1C",'Mapa final'!$Q$10),"")</f>
        <v>R1C1</v>
      </c>
      <c r="AC26" s="47" t="str">
        <f ca="1">IF(AND('Mapa final'!$AA$11="Media",'Mapa final'!$AC$11="Mayor"),CONCATENATE("R1C",'Mapa final'!$Q$11),"")</f>
        <v/>
      </c>
      <c r="AD26" s="47" t="str">
        <f ca="1">IF(AND('Mapa final'!$AA$12="Media",'Mapa final'!$AC$12="Mayor"),CONCATENATE("R1C",'Mapa final'!$Q$12),"")</f>
        <v/>
      </c>
      <c r="AE26" s="47" t="str">
        <f>IF(AND('Mapa final'!$AA$13="Media",'Mapa final'!$AC$13="Mayor"),CONCATENATE("R1C",'Mapa final'!$Q$13),"")</f>
        <v/>
      </c>
      <c r="AF26" s="47" t="e">
        <f>IF(AND('Mapa final'!#REF!="Media",'Mapa final'!#REF!="Mayor"),CONCATENATE("R1C",'Mapa final'!#REF!),"")</f>
        <v>#REF!</v>
      </c>
      <c r="AG26" s="48" t="e">
        <f>IF(AND('Mapa final'!#REF!="Media",'Mapa final'!#REF!="Mayor"),CONCATENATE("R1C",'Mapa final'!#REF!),"")</f>
        <v>#REF!</v>
      </c>
      <c r="AH26" s="49" t="str">
        <f ca="1">IF(AND('Mapa final'!$AA$10="Media",'Mapa final'!$AC$10="Catastrófico"),CONCATENATE("R1C",'Mapa final'!$Q$10),"")</f>
        <v/>
      </c>
      <c r="AI26" s="50" t="str">
        <f ca="1">IF(AND('Mapa final'!$AA$11="Media",'Mapa final'!$AC$11="Catastrófico"),CONCATENATE("R1C",'Mapa final'!$Q$11),"")</f>
        <v/>
      </c>
      <c r="AJ26" s="50" t="str">
        <f ca="1">IF(AND('Mapa final'!$AA$12="Media",'Mapa final'!$AC$12="Catastrófico"),CONCATENATE("R1C",'Mapa final'!$Q$12),"")</f>
        <v/>
      </c>
      <c r="AK26" s="50" t="str">
        <f>IF(AND('Mapa final'!$AA$13="Media",'Mapa final'!$AC$13="Catastrófico"),CONCATENATE("R1C",'Mapa final'!$Q$13),"")</f>
        <v/>
      </c>
      <c r="AL26" s="50" t="e">
        <f>IF(AND('Mapa final'!#REF!="Media",'Mapa final'!#REF!="Catastrófico"),CONCATENATE("R1C",'Mapa final'!#REF!),"")</f>
        <v>#REF!</v>
      </c>
      <c r="AM26" s="51" t="e">
        <f>IF(AND('Mapa final'!#REF!="Media",'Mapa final'!#REF!="Catastrófico"),CONCATENATE("R1C",'Mapa final'!#REF!),"")</f>
        <v>#REF!</v>
      </c>
      <c r="AN26" s="84"/>
      <c r="AO26" s="449" t="s">
        <v>81</v>
      </c>
      <c r="AP26" s="450"/>
      <c r="AQ26" s="450"/>
      <c r="AR26" s="450"/>
      <c r="AS26" s="450"/>
      <c r="AT26" s="451"/>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c r="A27" s="84"/>
      <c r="B27" s="370"/>
      <c r="C27" s="370"/>
      <c r="D27" s="371"/>
      <c r="E27" s="427"/>
      <c r="F27" s="428"/>
      <c r="G27" s="428"/>
      <c r="H27" s="428"/>
      <c r="I27" s="413"/>
      <c r="J27" s="68" t="str">
        <f>IF(AND('Mapa final'!$AA$14="Media",'Mapa final'!$AC$14="Leve"),CONCATENATE("R2C",'Mapa final'!$Q$14),"")</f>
        <v/>
      </c>
      <c r="K27" s="69" t="e">
        <f>IF(AND('Mapa final'!#REF!="Media",'Mapa final'!#REF!="Leve"),CONCATENATE("R2C",'Mapa final'!#REF!),"")</f>
        <v>#REF!</v>
      </c>
      <c r="L27" s="69" t="str">
        <f>IF(AND('Mapa final'!$AA$15="Media",'Mapa final'!$AC$15="Leve"),CONCATENATE("R2C",'Mapa final'!$Q$15),"")</f>
        <v/>
      </c>
      <c r="M27" s="69" t="e">
        <f>IF(AND('Mapa final'!#REF!="Media",'Mapa final'!#REF!="Leve"),CONCATENATE("R2C",'Mapa final'!#REF!),"")</f>
        <v>#REF!</v>
      </c>
      <c r="N27" s="69" t="e">
        <f>IF(AND('Mapa final'!#REF!="Media",'Mapa final'!#REF!="Leve"),CONCATENATE("R2C",'Mapa final'!#REF!),"")</f>
        <v>#REF!</v>
      </c>
      <c r="O27" s="70" t="e">
        <f>IF(AND('Mapa final'!#REF!="Media",'Mapa final'!#REF!="Leve"),CONCATENATE("R2C",'Mapa final'!#REF!),"")</f>
        <v>#REF!</v>
      </c>
      <c r="P27" s="68" t="str">
        <f>IF(AND('Mapa final'!$AA$14="Media",'Mapa final'!$AC$14="Menor"),CONCATENATE("R2C",'Mapa final'!$Q$14),"")</f>
        <v/>
      </c>
      <c r="Q27" s="69" t="e">
        <f>IF(AND('Mapa final'!#REF!="Media",'Mapa final'!#REF!="Menor"),CONCATENATE("R2C",'Mapa final'!#REF!),"")</f>
        <v>#REF!</v>
      </c>
      <c r="R27" s="69" t="str">
        <f>IF(AND('Mapa final'!$AA$15="Media",'Mapa final'!$AC$15="Menor"),CONCATENATE("R2C",'Mapa final'!$Q$15),"")</f>
        <v/>
      </c>
      <c r="S27" s="69" t="e">
        <f>IF(AND('Mapa final'!#REF!="Media",'Mapa final'!#REF!="Menor"),CONCATENATE("R2C",'Mapa final'!#REF!),"")</f>
        <v>#REF!</v>
      </c>
      <c r="T27" s="69" t="e">
        <f>IF(AND('Mapa final'!#REF!="Media",'Mapa final'!#REF!="Menor"),CONCATENATE("R2C",'Mapa final'!#REF!),"")</f>
        <v>#REF!</v>
      </c>
      <c r="U27" s="70" t="e">
        <f>IF(AND('Mapa final'!#REF!="Media",'Mapa final'!#REF!="Menor"),CONCATENATE("R2C",'Mapa final'!#REF!),"")</f>
        <v>#REF!</v>
      </c>
      <c r="V27" s="68" t="str">
        <f>IF(AND('Mapa final'!$AA$14="Media",'Mapa final'!$AC$14="Moderado"),CONCATENATE("R2C",'Mapa final'!$Q$14),"")</f>
        <v/>
      </c>
      <c r="W27" s="69" t="e">
        <f>IF(AND('Mapa final'!#REF!="Media",'Mapa final'!#REF!="Moderado"),CONCATENATE("R2C",'Mapa final'!#REF!),"")</f>
        <v>#REF!</v>
      </c>
      <c r="X27" s="69" t="str">
        <f>IF(AND('Mapa final'!$AA$15="Media",'Mapa final'!$AC$15="Moderado"),CONCATENATE("R2C",'Mapa final'!$Q$15),"")</f>
        <v/>
      </c>
      <c r="Y27" s="69" t="e">
        <f>IF(AND('Mapa final'!#REF!="Media",'Mapa final'!#REF!="Moderado"),CONCATENATE("R2C",'Mapa final'!#REF!),"")</f>
        <v>#REF!</v>
      </c>
      <c r="Z27" s="69" t="e">
        <f>IF(AND('Mapa final'!#REF!="Media",'Mapa final'!#REF!="Moderado"),CONCATENATE("R2C",'Mapa final'!#REF!),"")</f>
        <v>#REF!</v>
      </c>
      <c r="AA27" s="70" t="e">
        <f>IF(AND('Mapa final'!#REF!="Media",'Mapa final'!#REF!="Moderado"),CONCATENATE("R2C",'Mapa final'!#REF!),"")</f>
        <v>#REF!</v>
      </c>
      <c r="AB27" s="52" t="str">
        <f>IF(AND('Mapa final'!$AA$14="Media",'Mapa final'!$AC$14="Mayor"),CONCATENATE("R2C",'Mapa final'!$Q$14),"")</f>
        <v/>
      </c>
      <c r="AC27" s="53" t="e">
        <f>IF(AND('Mapa final'!#REF!="Media",'Mapa final'!#REF!="Mayor"),CONCATENATE("R2C",'Mapa final'!#REF!),"")</f>
        <v>#REF!</v>
      </c>
      <c r="AD27" s="53" t="str">
        <f>IF(AND('Mapa final'!$AA$15="Media",'Mapa final'!$AC$15="Mayor"),CONCATENATE("R2C",'Mapa final'!$Q$15),"")</f>
        <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final'!$AA$14="Media",'Mapa final'!$AC$14="Catastrófico"),CONCATENATE("R2C",'Mapa final'!$Q$14),"")</f>
        <v/>
      </c>
      <c r="AI27" s="56" t="e">
        <f>IF(AND('Mapa final'!#REF!="Media",'Mapa final'!#REF!="Catastrófico"),CONCATENATE("R2C",'Mapa final'!#REF!),"")</f>
        <v>#REF!</v>
      </c>
      <c r="AJ27" s="56" t="str">
        <f>IF(AND('Mapa final'!$AA$15="Media",'Mapa final'!$AC$15="Catastrófico"),CONCATENATE("R2C",'Mapa final'!$Q$15),"")</f>
        <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4"/>
      <c r="AO27" s="452"/>
      <c r="AP27" s="453"/>
      <c r="AQ27" s="453"/>
      <c r="AR27" s="453"/>
      <c r="AS27" s="453"/>
      <c r="AT27" s="45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c r="A28" s="84"/>
      <c r="B28" s="370"/>
      <c r="C28" s="370"/>
      <c r="D28" s="371"/>
      <c r="E28" s="411"/>
      <c r="F28" s="412"/>
      <c r="G28" s="412"/>
      <c r="H28" s="412"/>
      <c r="I28" s="413"/>
      <c r="J28" s="68" t="str">
        <f>IF(AND('Mapa final'!$AA$18="Media",'Mapa final'!$AC$18="Leve"),CONCATENATE("R3C",'Mapa final'!$Q$18),"")</f>
        <v/>
      </c>
      <c r="K28" s="69" t="str">
        <f>IF(AND('Mapa final'!$AA$19="Media",'Mapa final'!$AC$19="Leve"),CONCATENATE("R3C",'Mapa final'!$Q$19),"")</f>
        <v/>
      </c>
      <c r="L28" s="69" t="str">
        <f>IF(AND('Mapa final'!$AA$20="Media",'Mapa final'!$AC$20="Leve"),CONCATENATE("R3C",'Mapa final'!$Q$20),"")</f>
        <v/>
      </c>
      <c r="M28" s="69" t="str">
        <f>IF(AND('Mapa final'!$AA$21="Media",'Mapa final'!$AC$21="Leve"),CONCATENATE("R3C",'Mapa final'!$Q$21),"")</f>
        <v/>
      </c>
      <c r="N28" s="69" t="str">
        <f>IF(AND('Mapa final'!$AA$22="Media",'Mapa final'!$AC$22="Leve"),CONCATENATE("R3C",'Mapa final'!$Q$22),"")</f>
        <v/>
      </c>
      <c r="O28" s="70" t="str">
        <f>IF(AND('Mapa final'!$AA$23="Media",'Mapa final'!$AC$23="Leve"),CONCATENATE("R3C",'Mapa final'!$Q$23),"")</f>
        <v/>
      </c>
      <c r="P28" s="68" t="str">
        <f>IF(AND('Mapa final'!$AA$18="Media",'Mapa final'!$AC$18="Menor"),CONCATENATE("R3C",'Mapa final'!$Q$18),"")</f>
        <v/>
      </c>
      <c r="Q28" s="69" t="str">
        <f>IF(AND('Mapa final'!$AA$19="Media",'Mapa final'!$AC$19="Menor"),CONCATENATE("R3C",'Mapa final'!$Q$19),"")</f>
        <v/>
      </c>
      <c r="R28" s="69" t="str">
        <f>IF(AND('Mapa final'!$AA$20="Media",'Mapa final'!$AC$20="Menor"),CONCATENATE("R3C",'Mapa final'!$Q$20),"")</f>
        <v/>
      </c>
      <c r="S28" s="69" t="str">
        <f>IF(AND('Mapa final'!$AA$21="Media",'Mapa final'!$AC$21="Menor"),CONCATENATE("R3C",'Mapa final'!$Q$21),"")</f>
        <v/>
      </c>
      <c r="T28" s="69" t="str">
        <f>IF(AND('Mapa final'!$AA$22="Media",'Mapa final'!$AC$22="Menor"),CONCATENATE("R3C",'Mapa final'!$Q$22),"")</f>
        <v/>
      </c>
      <c r="U28" s="70" t="str">
        <f>IF(AND('Mapa final'!$AA$23="Media",'Mapa final'!$AC$23="Menor"),CONCATENATE("R3C",'Mapa final'!$Q$23),"")</f>
        <v/>
      </c>
      <c r="V28" s="68" t="str">
        <f>IF(AND('Mapa final'!$AA$18="Media",'Mapa final'!$AC$18="Moderado"),CONCATENATE("R3C",'Mapa final'!$Q$18),"")</f>
        <v/>
      </c>
      <c r="W28" s="69" t="str">
        <f>IF(AND('Mapa final'!$AA$19="Media",'Mapa final'!$AC$19="Moderado"),CONCATENATE("R3C",'Mapa final'!$Q$19),"")</f>
        <v/>
      </c>
      <c r="X28" s="69" t="str">
        <f>IF(AND('Mapa final'!$AA$20="Media",'Mapa final'!$AC$20="Moderado"),CONCATENATE("R3C",'Mapa final'!$Q$20),"")</f>
        <v/>
      </c>
      <c r="Y28" s="69" t="str">
        <f>IF(AND('Mapa final'!$AA$21="Media",'Mapa final'!$AC$21="Moderado"),CONCATENATE("R3C",'Mapa final'!$Q$21),"")</f>
        <v/>
      </c>
      <c r="Z28" s="69" t="str">
        <f>IF(AND('Mapa final'!$AA$22="Media",'Mapa final'!$AC$22="Moderado"),CONCATENATE("R3C",'Mapa final'!$Q$22),"")</f>
        <v/>
      </c>
      <c r="AA28" s="70" t="str">
        <f>IF(AND('Mapa final'!$AA$23="Media",'Mapa final'!$AC$23="Moderado"),CONCATENATE("R3C",'Mapa final'!$Q$23),"")</f>
        <v/>
      </c>
      <c r="AB28" s="52" t="str">
        <f>IF(AND('Mapa final'!$AA$18="Media",'Mapa final'!$AC$18="Mayor"),CONCATENATE("R3C",'Mapa final'!$Q$18),"")</f>
        <v/>
      </c>
      <c r="AC28" s="53" t="str">
        <f>IF(AND('Mapa final'!$AA$19="Media",'Mapa final'!$AC$19="Mayor"),CONCATENATE("R3C",'Mapa final'!$Q$19),"")</f>
        <v/>
      </c>
      <c r="AD28" s="53" t="str">
        <f>IF(AND('Mapa final'!$AA$20="Media",'Mapa final'!$AC$20="Mayor"),CONCATENATE("R3C",'Mapa final'!$Q$20),"")</f>
        <v/>
      </c>
      <c r="AE28" s="53" t="str">
        <f>IF(AND('Mapa final'!$AA$21="Media",'Mapa final'!$AC$21="Mayor"),CONCATENATE("R3C",'Mapa final'!$Q$21),"")</f>
        <v/>
      </c>
      <c r="AF28" s="53" t="str">
        <f>IF(AND('Mapa final'!$AA$22="Media",'Mapa final'!$AC$22="Mayor"),CONCATENATE("R3C",'Mapa final'!$Q$22),"")</f>
        <v/>
      </c>
      <c r="AG28" s="54" t="str">
        <f>IF(AND('Mapa final'!$AA$23="Media",'Mapa final'!$AC$23="Mayor"),CONCATENATE("R3C",'Mapa final'!$Q$23),"")</f>
        <v/>
      </c>
      <c r="AH28" s="55" t="str">
        <f>IF(AND('Mapa final'!$AA$18="Media",'Mapa final'!$AC$18="Catastrófico"),CONCATENATE("R3C",'Mapa final'!$Q$18),"")</f>
        <v/>
      </c>
      <c r="AI28" s="56" t="str">
        <f>IF(AND('Mapa final'!$AA$19="Media",'Mapa final'!$AC$19="Catastrófico"),CONCATENATE("R3C",'Mapa final'!$Q$19),"")</f>
        <v/>
      </c>
      <c r="AJ28" s="56" t="str">
        <f>IF(AND('Mapa final'!$AA$20="Media",'Mapa final'!$AC$20="Catastrófico"),CONCATENATE("R3C",'Mapa final'!$Q$20),"")</f>
        <v/>
      </c>
      <c r="AK28" s="56" t="str">
        <f>IF(AND('Mapa final'!$AA$21="Media",'Mapa final'!$AC$21="Catastrófico"),CONCATENATE("R3C",'Mapa final'!$Q$21),"")</f>
        <v/>
      </c>
      <c r="AL28" s="56" t="str">
        <f>IF(AND('Mapa final'!$AA$22="Media",'Mapa final'!$AC$22="Catastrófico"),CONCATENATE("R3C",'Mapa final'!$Q$22),"")</f>
        <v/>
      </c>
      <c r="AM28" s="57" t="str">
        <f>IF(AND('Mapa final'!$AA$23="Media",'Mapa final'!$AC$23="Catastrófico"),CONCATENATE("R3C",'Mapa final'!$Q$23),"")</f>
        <v/>
      </c>
      <c r="AN28" s="84"/>
      <c r="AO28" s="452"/>
      <c r="AP28" s="453"/>
      <c r="AQ28" s="453"/>
      <c r="AR28" s="453"/>
      <c r="AS28" s="453"/>
      <c r="AT28" s="45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c r="A29" s="84"/>
      <c r="B29" s="370"/>
      <c r="C29" s="370"/>
      <c r="D29" s="371"/>
      <c r="E29" s="411"/>
      <c r="F29" s="412"/>
      <c r="G29" s="412"/>
      <c r="H29" s="412"/>
      <c r="I29" s="413"/>
      <c r="J29" s="68" t="str">
        <f>IF(AND('Mapa final'!$AA$24="Media",'Mapa final'!$AC$24="Leve"),CONCATENATE("R4C",'Mapa final'!$Q$24),"")</f>
        <v/>
      </c>
      <c r="K29" s="69" t="str">
        <f>IF(AND('Mapa final'!$AA$25="Media",'Mapa final'!$AC$25="Leve"),CONCATENATE("R4C",'Mapa final'!$Q$25),"")</f>
        <v/>
      </c>
      <c r="L29" s="69" t="str">
        <f>IF(AND('Mapa final'!$AA$26="Media",'Mapa final'!$AC$26="Leve"),CONCATENATE("R4C",'Mapa final'!$Q$26),"")</f>
        <v/>
      </c>
      <c r="M29" s="69" t="str">
        <f>IF(AND('Mapa final'!$AA$27="Media",'Mapa final'!$AC$27="Leve"),CONCATENATE("R4C",'Mapa final'!$Q$27),"")</f>
        <v/>
      </c>
      <c r="N29" s="69" t="str">
        <f>IF(AND('Mapa final'!$AA$28="Media",'Mapa final'!$AC$28="Leve"),CONCATENATE("R4C",'Mapa final'!$Q$28),"")</f>
        <v/>
      </c>
      <c r="O29" s="70" t="str">
        <f>IF(AND('Mapa final'!$AA$29="Media",'Mapa final'!$AC$29="Leve"),CONCATENATE("R4C",'Mapa final'!$Q$29),"")</f>
        <v/>
      </c>
      <c r="P29" s="68" t="str">
        <f>IF(AND('Mapa final'!$AA$24="Media",'Mapa final'!$AC$24="Menor"),CONCATENATE("R4C",'Mapa final'!$Q$24),"")</f>
        <v/>
      </c>
      <c r="Q29" s="69" t="str">
        <f>IF(AND('Mapa final'!$AA$25="Media",'Mapa final'!$AC$25="Menor"),CONCATENATE("R4C",'Mapa final'!$Q$25),"")</f>
        <v/>
      </c>
      <c r="R29" s="69" t="str">
        <f>IF(AND('Mapa final'!$AA$26="Media",'Mapa final'!$AC$26="Menor"),CONCATENATE("R4C",'Mapa final'!$Q$26),"")</f>
        <v/>
      </c>
      <c r="S29" s="69" t="str">
        <f>IF(AND('Mapa final'!$AA$27="Media",'Mapa final'!$AC$27="Menor"),CONCATENATE("R4C",'Mapa final'!$Q$27),"")</f>
        <v/>
      </c>
      <c r="T29" s="69" t="str">
        <f>IF(AND('Mapa final'!$AA$28="Media",'Mapa final'!$AC$28="Menor"),CONCATENATE("R4C",'Mapa final'!$Q$28),"")</f>
        <v/>
      </c>
      <c r="U29" s="70" t="str">
        <f>IF(AND('Mapa final'!$AA$29="Media",'Mapa final'!$AC$29="Menor"),CONCATENATE("R4C",'Mapa final'!$Q$29),"")</f>
        <v/>
      </c>
      <c r="V29" s="68" t="str">
        <f>IF(AND('Mapa final'!$AA$24="Media",'Mapa final'!$AC$24="Moderado"),CONCATENATE("R4C",'Mapa final'!$Q$24),"")</f>
        <v/>
      </c>
      <c r="W29" s="69" t="str">
        <f>IF(AND('Mapa final'!$AA$25="Media",'Mapa final'!$AC$25="Moderado"),CONCATENATE("R4C",'Mapa final'!$Q$25),"")</f>
        <v/>
      </c>
      <c r="X29" s="69" t="str">
        <f>IF(AND('Mapa final'!$AA$26="Media",'Mapa final'!$AC$26="Moderado"),CONCATENATE("R4C",'Mapa final'!$Q$26),"")</f>
        <v/>
      </c>
      <c r="Y29" s="69" t="str">
        <f>IF(AND('Mapa final'!$AA$27="Media",'Mapa final'!$AC$27="Moderado"),CONCATENATE("R4C",'Mapa final'!$Q$27),"")</f>
        <v/>
      </c>
      <c r="Z29" s="69" t="str">
        <f>IF(AND('Mapa final'!$AA$28="Media",'Mapa final'!$AC$28="Moderado"),CONCATENATE("R4C",'Mapa final'!$Q$28),"")</f>
        <v/>
      </c>
      <c r="AA29" s="70" t="str">
        <f>IF(AND('Mapa final'!$AA$29="Media",'Mapa final'!$AC$29="Moderado"),CONCATENATE("R4C",'Mapa final'!$Q$29),"")</f>
        <v/>
      </c>
      <c r="AB29" s="52" t="str">
        <f>IF(AND('Mapa final'!$AA$24="Media",'Mapa final'!$AC$24="Mayor"),CONCATENATE("R4C",'Mapa final'!$Q$24),"")</f>
        <v/>
      </c>
      <c r="AC29" s="53" t="str">
        <f>IF(AND('Mapa final'!$AA$25="Media",'Mapa final'!$AC$25="Mayor"),CONCATENATE("R4C",'Mapa final'!$Q$25),"")</f>
        <v/>
      </c>
      <c r="AD29" s="58" t="str">
        <f>IF(AND('Mapa final'!$AA$26="Media",'Mapa final'!$AC$26="Mayor"),CONCATENATE("R4C",'Mapa final'!$Q$26),"")</f>
        <v/>
      </c>
      <c r="AE29" s="58" t="str">
        <f>IF(AND('Mapa final'!$AA$27="Media",'Mapa final'!$AC$27="Mayor"),CONCATENATE("R4C",'Mapa final'!$Q$27),"")</f>
        <v/>
      </c>
      <c r="AF29" s="58" t="str">
        <f>IF(AND('Mapa final'!$AA$28="Media",'Mapa final'!$AC$28="Mayor"),CONCATENATE("R4C",'Mapa final'!$Q$28),"")</f>
        <v/>
      </c>
      <c r="AG29" s="54" t="str">
        <f>IF(AND('Mapa final'!$AA$29="Media",'Mapa final'!$AC$29="Mayor"),CONCATENATE("R4C",'Mapa final'!$Q$29),"")</f>
        <v/>
      </c>
      <c r="AH29" s="55" t="str">
        <f>IF(AND('Mapa final'!$AA$24="Media",'Mapa final'!$AC$24="Catastrófico"),CONCATENATE("R4C",'Mapa final'!$Q$24),"")</f>
        <v/>
      </c>
      <c r="AI29" s="56" t="str">
        <f>IF(AND('Mapa final'!$AA$25="Media",'Mapa final'!$AC$25="Catastrófico"),CONCATENATE("R4C",'Mapa final'!$Q$25),"")</f>
        <v/>
      </c>
      <c r="AJ29" s="56" t="str">
        <f>IF(AND('Mapa final'!$AA$26="Media",'Mapa final'!$AC$26="Catastrófico"),CONCATENATE("R4C",'Mapa final'!$Q$26),"")</f>
        <v/>
      </c>
      <c r="AK29" s="56" t="str">
        <f>IF(AND('Mapa final'!$AA$27="Media",'Mapa final'!$AC$27="Catastrófico"),CONCATENATE("R4C",'Mapa final'!$Q$27),"")</f>
        <v/>
      </c>
      <c r="AL29" s="56" t="str">
        <f>IF(AND('Mapa final'!$AA$28="Media",'Mapa final'!$AC$28="Catastrófico"),CONCATENATE("R4C",'Mapa final'!$Q$28),"")</f>
        <v/>
      </c>
      <c r="AM29" s="57" t="str">
        <f>IF(AND('Mapa final'!$AA$29="Media",'Mapa final'!$AC$29="Catastrófico"),CONCATENATE("R4C",'Mapa final'!$Q$29),"")</f>
        <v/>
      </c>
      <c r="AN29" s="84"/>
      <c r="AO29" s="452"/>
      <c r="AP29" s="453"/>
      <c r="AQ29" s="453"/>
      <c r="AR29" s="453"/>
      <c r="AS29" s="453"/>
      <c r="AT29" s="45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c r="A30" s="84"/>
      <c r="B30" s="370"/>
      <c r="C30" s="370"/>
      <c r="D30" s="371"/>
      <c r="E30" s="411"/>
      <c r="F30" s="412"/>
      <c r="G30" s="412"/>
      <c r="H30" s="412"/>
      <c r="I30" s="413"/>
      <c r="J30" s="68" t="str">
        <f>IF(AND('Mapa final'!$AA$30="Media",'Mapa final'!$AC$30="Leve"),CONCATENATE("R5C",'Mapa final'!$Q$30),"")</f>
        <v/>
      </c>
      <c r="K30" s="69" t="str">
        <f>IF(AND('Mapa final'!$AA$31="Media",'Mapa final'!$AC$31="Leve"),CONCATENATE("R5C",'Mapa final'!$Q$31),"")</f>
        <v/>
      </c>
      <c r="L30" s="69" t="str">
        <f>IF(AND('Mapa final'!$AA$32="Media",'Mapa final'!$AC$32="Leve"),CONCATENATE("R5C",'Mapa final'!$Q$32),"")</f>
        <v/>
      </c>
      <c r="M30" s="69" t="str">
        <f>IF(AND('Mapa final'!$AA$33="Media",'Mapa final'!$AC$33="Leve"),CONCATENATE("R5C",'Mapa final'!$Q$33),"")</f>
        <v/>
      </c>
      <c r="N30" s="69" t="str">
        <f>IF(AND('Mapa final'!$AA$34="Media",'Mapa final'!$AC$34="Leve"),CONCATENATE("R5C",'Mapa final'!$Q$34),"")</f>
        <v/>
      </c>
      <c r="O30" s="70" t="str">
        <f>IF(AND('Mapa final'!$AA$35="Media",'Mapa final'!$AC$35="Leve"),CONCATENATE("R5C",'Mapa final'!$Q$35),"")</f>
        <v/>
      </c>
      <c r="P30" s="68" t="str">
        <f>IF(AND('Mapa final'!$AA$30="Media",'Mapa final'!$AC$30="Menor"),CONCATENATE("R5C",'Mapa final'!$Q$30),"")</f>
        <v/>
      </c>
      <c r="Q30" s="69" t="str">
        <f>IF(AND('Mapa final'!$AA$31="Media",'Mapa final'!$AC$31="Menor"),CONCATENATE("R5C",'Mapa final'!$Q$31),"")</f>
        <v/>
      </c>
      <c r="R30" s="69" t="str">
        <f>IF(AND('Mapa final'!$AA$32="Media",'Mapa final'!$AC$32="Menor"),CONCATENATE("R5C",'Mapa final'!$Q$32),"")</f>
        <v/>
      </c>
      <c r="S30" s="69" t="str">
        <f>IF(AND('Mapa final'!$AA$33="Media",'Mapa final'!$AC$33="Menor"),CONCATENATE("R5C",'Mapa final'!$Q$33),"")</f>
        <v/>
      </c>
      <c r="T30" s="69" t="str">
        <f>IF(AND('Mapa final'!$AA$34="Media",'Mapa final'!$AC$34="Menor"),CONCATENATE("R5C",'Mapa final'!$Q$34),"")</f>
        <v/>
      </c>
      <c r="U30" s="70" t="str">
        <f>IF(AND('Mapa final'!$AA$35="Media",'Mapa final'!$AC$35="Menor"),CONCATENATE("R5C",'Mapa final'!$Q$35),"")</f>
        <v/>
      </c>
      <c r="V30" s="68" t="str">
        <f>IF(AND('Mapa final'!$AA$30="Media",'Mapa final'!$AC$30="Moderado"),CONCATENATE("R5C",'Mapa final'!$Q$30),"")</f>
        <v/>
      </c>
      <c r="W30" s="69" t="str">
        <f>IF(AND('Mapa final'!$AA$31="Media",'Mapa final'!$AC$31="Moderado"),CONCATENATE("R5C",'Mapa final'!$Q$31),"")</f>
        <v/>
      </c>
      <c r="X30" s="69" t="str">
        <f>IF(AND('Mapa final'!$AA$32="Media",'Mapa final'!$AC$32="Moderado"),CONCATENATE("R5C",'Mapa final'!$Q$32),"")</f>
        <v/>
      </c>
      <c r="Y30" s="69" t="str">
        <f>IF(AND('Mapa final'!$AA$33="Media",'Mapa final'!$AC$33="Moderado"),CONCATENATE("R5C",'Mapa final'!$Q$33),"")</f>
        <v/>
      </c>
      <c r="Z30" s="69" t="str">
        <f>IF(AND('Mapa final'!$AA$34="Media",'Mapa final'!$AC$34="Moderado"),CONCATENATE("R5C",'Mapa final'!$Q$34),"")</f>
        <v/>
      </c>
      <c r="AA30" s="70" t="str">
        <f>IF(AND('Mapa final'!$AA$35="Media",'Mapa final'!$AC$35="Moderado"),CONCATENATE("R5C",'Mapa final'!$Q$35),"")</f>
        <v/>
      </c>
      <c r="AB30" s="52" t="str">
        <f>IF(AND('Mapa final'!$AA$30="Media",'Mapa final'!$AC$30="Mayor"),CONCATENATE("R5C",'Mapa final'!$Q$30),"")</f>
        <v/>
      </c>
      <c r="AC30" s="53" t="str">
        <f>IF(AND('Mapa final'!$AA$31="Media",'Mapa final'!$AC$31="Mayor"),CONCATENATE("R5C",'Mapa final'!$Q$31),"")</f>
        <v/>
      </c>
      <c r="AD30" s="58" t="str">
        <f>IF(AND('Mapa final'!$AA$32="Media",'Mapa final'!$AC$32="Mayor"),CONCATENATE("R5C",'Mapa final'!$Q$32),"")</f>
        <v/>
      </c>
      <c r="AE30" s="58" t="str">
        <f>IF(AND('Mapa final'!$AA$33="Media",'Mapa final'!$AC$33="Mayor"),CONCATENATE("R5C",'Mapa final'!$Q$33),"")</f>
        <v/>
      </c>
      <c r="AF30" s="58" t="str">
        <f>IF(AND('Mapa final'!$AA$34="Media",'Mapa final'!$AC$34="Mayor"),CONCATENATE("R5C",'Mapa final'!$Q$34),"")</f>
        <v/>
      </c>
      <c r="AG30" s="54" t="str">
        <f>IF(AND('Mapa final'!$AA$35="Media",'Mapa final'!$AC$35="Mayor"),CONCATENATE("R5C",'Mapa final'!$Q$35),"")</f>
        <v/>
      </c>
      <c r="AH30" s="55" t="str">
        <f>IF(AND('Mapa final'!$AA$30="Media",'Mapa final'!$AC$30="Catastrófico"),CONCATENATE("R5C",'Mapa final'!$Q$30),"")</f>
        <v/>
      </c>
      <c r="AI30" s="56" t="str">
        <f>IF(AND('Mapa final'!$AA$31="Media",'Mapa final'!$AC$31="Catastrófico"),CONCATENATE("R5C",'Mapa final'!$Q$31),"")</f>
        <v/>
      </c>
      <c r="AJ30" s="56" t="str">
        <f>IF(AND('Mapa final'!$AA$32="Media",'Mapa final'!$AC$32="Catastrófico"),CONCATENATE("R5C",'Mapa final'!$Q$32),"")</f>
        <v/>
      </c>
      <c r="AK30" s="56" t="str">
        <f>IF(AND('Mapa final'!$AA$33="Media",'Mapa final'!$AC$33="Catastrófico"),CONCATENATE("R5C",'Mapa final'!$Q$33),"")</f>
        <v/>
      </c>
      <c r="AL30" s="56" t="str">
        <f>IF(AND('Mapa final'!$AA$34="Media",'Mapa final'!$AC$34="Catastrófico"),CONCATENATE("R5C",'Mapa final'!$Q$34),"")</f>
        <v/>
      </c>
      <c r="AM30" s="57" t="str">
        <f>IF(AND('Mapa final'!$AA$35="Media",'Mapa final'!$AC$35="Catastrófico"),CONCATENATE("R5C",'Mapa final'!$Q$35),"")</f>
        <v/>
      </c>
      <c r="AN30" s="84"/>
      <c r="AO30" s="452"/>
      <c r="AP30" s="453"/>
      <c r="AQ30" s="453"/>
      <c r="AR30" s="453"/>
      <c r="AS30" s="453"/>
      <c r="AT30" s="45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c r="A31" s="84"/>
      <c r="B31" s="370"/>
      <c r="C31" s="370"/>
      <c r="D31" s="371"/>
      <c r="E31" s="411"/>
      <c r="F31" s="412"/>
      <c r="G31" s="412"/>
      <c r="H31" s="412"/>
      <c r="I31" s="413"/>
      <c r="J31" s="68" t="str">
        <f>IF(AND('Mapa final'!$AA$36="Media",'Mapa final'!$AC$36="Leve"),CONCATENATE("R6C",'Mapa final'!$Q$36),"")</f>
        <v/>
      </c>
      <c r="K31" s="69" t="str">
        <f>IF(AND('Mapa final'!$AA$37="Media",'Mapa final'!$AC$37="Leve"),CONCATENATE("R6C",'Mapa final'!$Q$37),"")</f>
        <v/>
      </c>
      <c r="L31" s="69" t="str">
        <f>IF(AND('Mapa final'!$AA$38="Media",'Mapa final'!$AC$38="Leve"),CONCATENATE("R6C",'Mapa final'!$Q$38),"")</f>
        <v/>
      </c>
      <c r="M31" s="69" t="str">
        <f>IF(AND('Mapa final'!$AA$39="Media",'Mapa final'!$AC$39="Leve"),CONCATENATE("R6C",'Mapa final'!$Q$39),"")</f>
        <v/>
      </c>
      <c r="N31" s="69" t="str">
        <f>IF(AND('Mapa final'!$AA$40="Media",'Mapa final'!$AC$40="Leve"),CONCATENATE("R6C",'Mapa final'!$Q$40),"")</f>
        <v/>
      </c>
      <c r="O31" s="70" t="str">
        <f>IF(AND('Mapa final'!$AA$41="Media",'Mapa final'!$AC$41="Leve"),CONCATENATE("R6C",'Mapa final'!$Q$41),"")</f>
        <v/>
      </c>
      <c r="P31" s="68" t="str">
        <f>IF(AND('Mapa final'!$AA$36="Media",'Mapa final'!$AC$36="Menor"),CONCATENATE("R6C",'Mapa final'!$Q$36),"")</f>
        <v/>
      </c>
      <c r="Q31" s="69" t="str">
        <f>IF(AND('Mapa final'!$AA$37="Media",'Mapa final'!$AC$37="Menor"),CONCATENATE("R6C",'Mapa final'!$Q$37),"")</f>
        <v/>
      </c>
      <c r="R31" s="69" t="str">
        <f>IF(AND('Mapa final'!$AA$38="Media",'Mapa final'!$AC$38="Menor"),CONCATENATE("R6C",'Mapa final'!$Q$38),"")</f>
        <v/>
      </c>
      <c r="S31" s="69" t="str">
        <f>IF(AND('Mapa final'!$AA$39="Media",'Mapa final'!$AC$39="Menor"),CONCATENATE("R6C",'Mapa final'!$Q$39),"")</f>
        <v/>
      </c>
      <c r="T31" s="69" t="str">
        <f>IF(AND('Mapa final'!$AA$40="Media",'Mapa final'!$AC$40="Menor"),CONCATENATE("R6C",'Mapa final'!$Q$40),"")</f>
        <v/>
      </c>
      <c r="U31" s="70" t="str">
        <f>IF(AND('Mapa final'!$AA$41="Media",'Mapa final'!$AC$41="Menor"),CONCATENATE("R6C",'Mapa final'!$Q$41),"")</f>
        <v/>
      </c>
      <c r="V31" s="68" t="str">
        <f>IF(AND('Mapa final'!$AA$36="Media",'Mapa final'!$AC$36="Moderado"),CONCATENATE("R6C",'Mapa final'!$Q$36),"")</f>
        <v/>
      </c>
      <c r="W31" s="69" t="str">
        <f>IF(AND('Mapa final'!$AA$37="Media",'Mapa final'!$AC$37="Moderado"),CONCATENATE("R6C",'Mapa final'!$Q$37),"")</f>
        <v/>
      </c>
      <c r="X31" s="69" t="str">
        <f>IF(AND('Mapa final'!$AA$38="Media",'Mapa final'!$AC$38="Moderado"),CONCATENATE("R6C",'Mapa final'!$Q$38),"")</f>
        <v/>
      </c>
      <c r="Y31" s="69" t="str">
        <f>IF(AND('Mapa final'!$AA$39="Media",'Mapa final'!$AC$39="Moderado"),CONCATENATE("R6C",'Mapa final'!$Q$39),"")</f>
        <v/>
      </c>
      <c r="Z31" s="69" t="str">
        <f>IF(AND('Mapa final'!$AA$40="Media",'Mapa final'!$AC$40="Moderado"),CONCATENATE("R6C",'Mapa final'!$Q$40),"")</f>
        <v/>
      </c>
      <c r="AA31" s="70" t="str">
        <f>IF(AND('Mapa final'!$AA$41="Media",'Mapa final'!$AC$41="Moderado"),CONCATENATE("R6C",'Mapa final'!$Q$41),"")</f>
        <v/>
      </c>
      <c r="AB31" s="52" t="str">
        <f>IF(AND('Mapa final'!$AA$36="Media",'Mapa final'!$AC$36="Mayor"),CONCATENATE("R6C",'Mapa final'!$Q$36),"")</f>
        <v/>
      </c>
      <c r="AC31" s="53" t="str">
        <f>IF(AND('Mapa final'!$AA$37="Media",'Mapa final'!$AC$37="Mayor"),CONCATENATE("R6C",'Mapa final'!$Q$37),"")</f>
        <v/>
      </c>
      <c r="AD31" s="58" t="str">
        <f>IF(AND('Mapa final'!$AA$38="Media",'Mapa final'!$AC$38="Mayor"),CONCATENATE("R6C",'Mapa final'!$Q$38),"")</f>
        <v/>
      </c>
      <c r="AE31" s="58" t="str">
        <f>IF(AND('Mapa final'!$AA$39="Media",'Mapa final'!$AC$39="Mayor"),CONCATENATE("R6C",'Mapa final'!$Q$39),"")</f>
        <v/>
      </c>
      <c r="AF31" s="58" t="str">
        <f>IF(AND('Mapa final'!$AA$40="Media",'Mapa final'!$AC$40="Mayor"),CONCATENATE("R6C",'Mapa final'!$Q$40),"")</f>
        <v/>
      </c>
      <c r="AG31" s="54" t="str">
        <f>IF(AND('Mapa final'!$AA$41="Media",'Mapa final'!$AC$41="Mayor"),CONCATENATE("R6C",'Mapa final'!$Q$41),"")</f>
        <v/>
      </c>
      <c r="AH31" s="55" t="str">
        <f>IF(AND('Mapa final'!$AA$36="Media",'Mapa final'!$AC$36="Catastrófico"),CONCATENATE("R6C",'Mapa final'!$Q$36),"")</f>
        <v/>
      </c>
      <c r="AI31" s="56" t="str">
        <f>IF(AND('Mapa final'!$AA$37="Media",'Mapa final'!$AC$37="Catastrófico"),CONCATENATE("R6C",'Mapa final'!$Q$37),"")</f>
        <v/>
      </c>
      <c r="AJ31" s="56" t="str">
        <f>IF(AND('Mapa final'!$AA$38="Media",'Mapa final'!$AC$38="Catastrófico"),CONCATENATE("R6C",'Mapa final'!$Q$38),"")</f>
        <v/>
      </c>
      <c r="AK31" s="56" t="str">
        <f>IF(AND('Mapa final'!$AA$39="Media",'Mapa final'!$AC$39="Catastrófico"),CONCATENATE("R6C",'Mapa final'!$Q$39),"")</f>
        <v/>
      </c>
      <c r="AL31" s="56" t="str">
        <f>IF(AND('Mapa final'!$AA$40="Media",'Mapa final'!$AC$40="Catastrófico"),CONCATENATE("R6C",'Mapa final'!$Q$40),"")</f>
        <v/>
      </c>
      <c r="AM31" s="57" t="str">
        <f>IF(AND('Mapa final'!$AA$41="Media",'Mapa final'!$AC$41="Catastrófico"),CONCATENATE("R6C",'Mapa final'!$Q$41),"")</f>
        <v/>
      </c>
      <c r="AN31" s="84"/>
      <c r="AO31" s="452"/>
      <c r="AP31" s="453"/>
      <c r="AQ31" s="453"/>
      <c r="AR31" s="453"/>
      <c r="AS31" s="453"/>
      <c r="AT31" s="45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c r="A32" s="84"/>
      <c r="B32" s="370"/>
      <c r="C32" s="370"/>
      <c r="D32" s="371"/>
      <c r="E32" s="411"/>
      <c r="F32" s="412"/>
      <c r="G32" s="412"/>
      <c r="H32" s="412"/>
      <c r="I32" s="413"/>
      <c r="J32" s="68" t="str">
        <f>IF(AND('Mapa final'!$AA$42="Media",'Mapa final'!$AC$42="Leve"),CONCATENATE("R7C",'Mapa final'!$Q$42),"")</f>
        <v/>
      </c>
      <c r="K32" s="69" t="str">
        <f>IF(AND('Mapa final'!$AA$43="Media",'Mapa final'!$AC$43="Leve"),CONCATENATE("R7C",'Mapa final'!$Q$43),"")</f>
        <v/>
      </c>
      <c r="L32" s="69" t="str">
        <f>IF(AND('Mapa final'!$AA$44="Media",'Mapa final'!$AC$44="Leve"),CONCATENATE("R7C",'Mapa final'!$Q$44),"")</f>
        <v/>
      </c>
      <c r="M32" s="69" t="str">
        <f>IF(AND('Mapa final'!$AA$45="Media",'Mapa final'!$AC$45="Leve"),CONCATENATE("R7C",'Mapa final'!$Q$45),"")</f>
        <v/>
      </c>
      <c r="N32" s="69" t="str">
        <f>IF(AND('Mapa final'!$AA$46="Media",'Mapa final'!$AC$46="Leve"),CONCATENATE("R7C",'Mapa final'!$Q$46),"")</f>
        <v/>
      </c>
      <c r="O32" s="70" t="str">
        <f>IF(AND('Mapa final'!$AA$47="Media",'Mapa final'!$AC$47="Leve"),CONCATENATE("R7C",'Mapa final'!$Q$47),"")</f>
        <v/>
      </c>
      <c r="P32" s="68" t="str">
        <f>IF(AND('Mapa final'!$AA$42="Media",'Mapa final'!$AC$42="Menor"),CONCATENATE("R7C",'Mapa final'!$Q$42),"")</f>
        <v/>
      </c>
      <c r="Q32" s="69" t="str">
        <f>IF(AND('Mapa final'!$AA$43="Media",'Mapa final'!$AC$43="Menor"),CONCATENATE("R7C",'Mapa final'!$Q$43),"")</f>
        <v/>
      </c>
      <c r="R32" s="69" t="str">
        <f>IF(AND('Mapa final'!$AA$44="Media",'Mapa final'!$AC$44="Menor"),CONCATENATE("R7C",'Mapa final'!$Q$44),"")</f>
        <v/>
      </c>
      <c r="S32" s="69" t="str">
        <f>IF(AND('Mapa final'!$AA$45="Media",'Mapa final'!$AC$45="Menor"),CONCATENATE("R7C",'Mapa final'!$Q$45),"")</f>
        <v/>
      </c>
      <c r="T32" s="69" t="str">
        <f>IF(AND('Mapa final'!$AA$46="Media",'Mapa final'!$AC$46="Menor"),CONCATENATE("R7C",'Mapa final'!$Q$46),"")</f>
        <v/>
      </c>
      <c r="U32" s="70" t="str">
        <f>IF(AND('Mapa final'!$AA$47="Media",'Mapa final'!$AC$47="Menor"),CONCATENATE("R7C",'Mapa final'!$Q$47),"")</f>
        <v/>
      </c>
      <c r="V32" s="68" t="str">
        <f>IF(AND('Mapa final'!$AA$42="Media",'Mapa final'!$AC$42="Moderado"),CONCATENATE("R7C",'Mapa final'!$Q$42),"")</f>
        <v/>
      </c>
      <c r="W32" s="69" t="str">
        <f>IF(AND('Mapa final'!$AA$43="Media",'Mapa final'!$AC$43="Moderado"),CONCATENATE("R7C",'Mapa final'!$Q$43),"")</f>
        <v/>
      </c>
      <c r="X32" s="69" t="str">
        <f>IF(AND('Mapa final'!$AA$44="Media",'Mapa final'!$AC$44="Moderado"),CONCATENATE("R7C",'Mapa final'!$Q$44),"")</f>
        <v/>
      </c>
      <c r="Y32" s="69" t="str">
        <f>IF(AND('Mapa final'!$AA$45="Media",'Mapa final'!$AC$45="Moderado"),CONCATENATE("R7C",'Mapa final'!$Q$45),"")</f>
        <v/>
      </c>
      <c r="Z32" s="69" t="str">
        <f>IF(AND('Mapa final'!$AA$46="Media",'Mapa final'!$AC$46="Moderado"),CONCATENATE("R7C",'Mapa final'!$Q$46),"")</f>
        <v/>
      </c>
      <c r="AA32" s="70" t="str">
        <f>IF(AND('Mapa final'!$AA$47="Media",'Mapa final'!$AC$47="Moderado"),CONCATENATE("R7C",'Mapa final'!$Q$47),"")</f>
        <v/>
      </c>
      <c r="AB32" s="52" t="str">
        <f>IF(AND('Mapa final'!$AA$42="Media",'Mapa final'!$AC$42="Mayor"),CONCATENATE("R7C",'Mapa final'!$Q$42),"")</f>
        <v/>
      </c>
      <c r="AC32" s="53" t="str">
        <f>IF(AND('Mapa final'!$AA$43="Media",'Mapa final'!$AC$43="Mayor"),CONCATENATE("R7C",'Mapa final'!$Q$43),"")</f>
        <v/>
      </c>
      <c r="AD32" s="58" t="str">
        <f>IF(AND('Mapa final'!$AA$44="Media",'Mapa final'!$AC$44="Mayor"),CONCATENATE("R7C",'Mapa final'!$Q$44),"")</f>
        <v/>
      </c>
      <c r="AE32" s="58" t="str">
        <f>IF(AND('Mapa final'!$AA$45="Media",'Mapa final'!$AC$45="Mayor"),CONCATENATE("R7C",'Mapa final'!$Q$45),"")</f>
        <v/>
      </c>
      <c r="AF32" s="58" t="str">
        <f>IF(AND('Mapa final'!$AA$46="Media",'Mapa final'!$AC$46="Mayor"),CONCATENATE("R7C",'Mapa final'!$Q$46),"")</f>
        <v/>
      </c>
      <c r="AG32" s="54" t="str">
        <f>IF(AND('Mapa final'!$AA$47="Media",'Mapa final'!$AC$47="Mayor"),CONCATENATE("R7C",'Mapa final'!$Q$47),"")</f>
        <v/>
      </c>
      <c r="AH32" s="55" t="str">
        <f>IF(AND('Mapa final'!$AA$42="Media",'Mapa final'!$AC$42="Catastrófico"),CONCATENATE("R7C",'Mapa final'!$Q$42),"")</f>
        <v/>
      </c>
      <c r="AI32" s="56" t="str">
        <f>IF(AND('Mapa final'!$AA$43="Media",'Mapa final'!$AC$43="Catastrófico"),CONCATENATE("R7C",'Mapa final'!$Q$43),"")</f>
        <v/>
      </c>
      <c r="AJ32" s="56" t="str">
        <f>IF(AND('Mapa final'!$AA$44="Media",'Mapa final'!$AC$44="Catastrófico"),CONCATENATE("R7C",'Mapa final'!$Q$44),"")</f>
        <v/>
      </c>
      <c r="AK32" s="56" t="str">
        <f>IF(AND('Mapa final'!$AA$45="Media",'Mapa final'!$AC$45="Catastrófico"),CONCATENATE("R7C",'Mapa final'!$Q$45),"")</f>
        <v/>
      </c>
      <c r="AL32" s="56" t="str">
        <f>IF(AND('Mapa final'!$AA$46="Media",'Mapa final'!$AC$46="Catastrófico"),CONCATENATE("R7C",'Mapa final'!$Q$46),"")</f>
        <v/>
      </c>
      <c r="AM32" s="57" t="str">
        <f>IF(AND('Mapa final'!$AA$47="Media",'Mapa final'!$AC$47="Catastrófico"),CONCATENATE("R7C",'Mapa final'!$Q$47),"")</f>
        <v/>
      </c>
      <c r="AN32" s="84"/>
      <c r="AO32" s="452"/>
      <c r="AP32" s="453"/>
      <c r="AQ32" s="453"/>
      <c r="AR32" s="453"/>
      <c r="AS32" s="453"/>
      <c r="AT32" s="45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c r="A33" s="84"/>
      <c r="B33" s="370"/>
      <c r="C33" s="370"/>
      <c r="D33" s="371"/>
      <c r="E33" s="411"/>
      <c r="F33" s="412"/>
      <c r="G33" s="412"/>
      <c r="H33" s="412"/>
      <c r="I33" s="413"/>
      <c r="J33" s="68" t="str">
        <f>IF(AND('Mapa final'!$AA$48="Media",'Mapa final'!$AC$48="Leve"),CONCATENATE("R8C",'Mapa final'!$Q$48),"")</f>
        <v/>
      </c>
      <c r="K33" s="69" t="str">
        <f>IF(AND('Mapa final'!$AA$49="Media",'Mapa final'!$AC$49="Leve"),CONCATENATE("R8C",'Mapa final'!$Q$49),"")</f>
        <v/>
      </c>
      <c r="L33" s="69" t="str">
        <f>IF(AND('Mapa final'!$AA$50="Media",'Mapa final'!$AC$50="Leve"),CONCATENATE("R8C",'Mapa final'!$Q$50),"")</f>
        <v/>
      </c>
      <c r="M33" s="69" t="str">
        <f>IF(AND('Mapa final'!$AA$51="Media",'Mapa final'!$AC$51="Leve"),CONCATENATE("R8C",'Mapa final'!$Q$51),"")</f>
        <v/>
      </c>
      <c r="N33" s="69" t="str">
        <f>IF(AND('Mapa final'!$AA$52="Media",'Mapa final'!$AC$52="Leve"),CONCATENATE("R8C",'Mapa final'!$Q$52),"")</f>
        <v/>
      </c>
      <c r="O33" s="70" t="str">
        <f>IF(AND('Mapa final'!$AA$53="Media",'Mapa final'!$AC$53="Leve"),CONCATENATE("R8C",'Mapa final'!$Q$53),"")</f>
        <v/>
      </c>
      <c r="P33" s="68" t="str">
        <f>IF(AND('Mapa final'!$AA$48="Media",'Mapa final'!$AC$48="Menor"),CONCATENATE("R8C",'Mapa final'!$Q$48),"")</f>
        <v/>
      </c>
      <c r="Q33" s="69" t="str">
        <f>IF(AND('Mapa final'!$AA$49="Media",'Mapa final'!$AC$49="Menor"),CONCATENATE("R8C",'Mapa final'!$Q$49),"")</f>
        <v/>
      </c>
      <c r="R33" s="69" t="str">
        <f>IF(AND('Mapa final'!$AA$50="Media",'Mapa final'!$AC$50="Menor"),CONCATENATE("R8C",'Mapa final'!$Q$50),"")</f>
        <v/>
      </c>
      <c r="S33" s="69" t="str">
        <f>IF(AND('Mapa final'!$AA$51="Media",'Mapa final'!$AC$51="Menor"),CONCATENATE("R8C",'Mapa final'!$Q$51),"")</f>
        <v/>
      </c>
      <c r="T33" s="69" t="str">
        <f>IF(AND('Mapa final'!$AA$52="Media",'Mapa final'!$AC$52="Menor"),CONCATENATE("R8C",'Mapa final'!$Q$52),"")</f>
        <v/>
      </c>
      <c r="U33" s="70" t="str">
        <f>IF(AND('Mapa final'!$AA$53="Media",'Mapa final'!$AC$53="Menor"),CONCATENATE("R8C",'Mapa final'!$Q$53),"")</f>
        <v/>
      </c>
      <c r="V33" s="68" t="str">
        <f>IF(AND('Mapa final'!$AA$48="Media",'Mapa final'!$AC$48="Moderado"),CONCATENATE("R8C",'Mapa final'!$Q$48),"")</f>
        <v/>
      </c>
      <c r="W33" s="69" t="str">
        <f>IF(AND('Mapa final'!$AA$49="Media",'Mapa final'!$AC$49="Moderado"),CONCATENATE("R8C",'Mapa final'!$Q$49),"")</f>
        <v/>
      </c>
      <c r="X33" s="69" t="str">
        <f>IF(AND('Mapa final'!$AA$50="Media",'Mapa final'!$AC$50="Moderado"),CONCATENATE("R8C",'Mapa final'!$Q$50),"")</f>
        <v/>
      </c>
      <c r="Y33" s="69" t="str">
        <f>IF(AND('Mapa final'!$AA$51="Media",'Mapa final'!$AC$51="Moderado"),CONCATENATE("R8C",'Mapa final'!$Q$51),"")</f>
        <v/>
      </c>
      <c r="Z33" s="69" t="str">
        <f>IF(AND('Mapa final'!$AA$52="Media",'Mapa final'!$AC$52="Moderado"),CONCATENATE("R8C",'Mapa final'!$Q$52),"")</f>
        <v/>
      </c>
      <c r="AA33" s="70" t="str">
        <f>IF(AND('Mapa final'!$AA$53="Media",'Mapa final'!$AC$53="Moderado"),CONCATENATE("R8C",'Mapa final'!$Q$53),"")</f>
        <v/>
      </c>
      <c r="AB33" s="52" t="str">
        <f>IF(AND('Mapa final'!$AA$48="Media",'Mapa final'!$AC$48="Mayor"),CONCATENATE("R8C",'Mapa final'!$Q$48),"")</f>
        <v/>
      </c>
      <c r="AC33" s="53" t="str">
        <f>IF(AND('Mapa final'!$AA$49="Media",'Mapa final'!$AC$49="Mayor"),CONCATENATE("R8C",'Mapa final'!$Q$49),"")</f>
        <v/>
      </c>
      <c r="AD33" s="58" t="str">
        <f>IF(AND('Mapa final'!$AA$50="Media",'Mapa final'!$AC$50="Mayor"),CONCATENATE("R8C",'Mapa final'!$Q$50),"")</f>
        <v/>
      </c>
      <c r="AE33" s="58" t="str">
        <f>IF(AND('Mapa final'!$AA$51="Media",'Mapa final'!$AC$51="Mayor"),CONCATENATE("R8C",'Mapa final'!$Q$51),"")</f>
        <v/>
      </c>
      <c r="AF33" s="58" t="str">
        <f>IF(AND('Mapa final'!$AA$52="Media",'Mapa final'!$AC$52="Mayor"),CONCATENATE("R8C",'Mapa final'!$Q$52),"")</f>
        <v/>
      </c>
      <c r="AG33" s="54" t="str">
        <f>IF(AND('Mapa final'!$AA$53="Media",'Mapa final'!$AC$53="Mayor"),CONCATENATE("R8C",'Mapa final'!$Q$53),"")</f>
        <v/>
      </c>
      <c r="AH33" s="55" t="str">
        <f>IF(AND('Mapa final'!$AA$48="Media",'Mapa final'!$AC$48="Catastrófico"),CONCATENATE("R8C",'Mapa final'!$Q$48),"")</f>
        <v/>
      </c>
      <c r="AI33" s="56" t="str">
        <f>IF(AND('Mapa final'!$AA$49="Media",'Mapa final'!$AC$49="Catastrófico"),CONCATENATE("R8C",'Mapa final'!$Q$49),"")</f>
        <v/>
      </c>
      <c r="AJ33" s="56" t="str">
        <f>IF(AND('Mapa final'!$AA$50="Media",'Mapa final'!$AC$50="Catastrófico"),CONCATENATE("R8C",'Mapa final'!$Q$50),"")</f>
        <v/>
      </c>
      <c r="AK33" s="56" t="str">
        <f>IF(AND('Mapa final'!$AA$51="Media",'Mapa final'!$AC$51="Catastrófico"),CONCATENATE("R8C",'Mapa final'!$Q$51),"")</f>
        <v/>
      </c>
      <c r="AL33" s="56" t="str">
        <f>IF(AND('Mapa final'!$AA$52="Media",'Mapa final'!$AC$52="Catastrófico"),CONCATENATE("R8C",'Mapa final'!$Q$52),"")</f>
        <v/>
      </c>
      <c r="AM33" s="57" t="str">
        <f>IF(AND('Mapa final'!$AA$53="Media",'Mapa final'!$AC$53="Catastrófico"),CONCATENATE("R8C",'Mapa final'!$Q$53),"")</f>
        <v/>
      </c>
      <c r="AN33" s="84"/>
      <c r="AO33" s="452"/>
      <c r="AP33" s="453"/>
      <c r="AQ33" s="453"/>
      <c r="AR33" s="453"/>
      <c r="AS33" s="453"/>
      <c r="AT33" s="45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c r="A34" s="84"/>
      <c r="B34" s="370"/>
      <c r="C34" s="370"/>
      <c r="D34" s="371"/>
      <c r="E34" s="411"/>
      <c r="F34" s="412"/>
      <c r="G34" s="412"/>
      <c r="H34" s="412"/>
      <c r="I34" s="413"/>
      <c r="J34" s="68" t="str">
        <f>IF(AND('Mapa final'!$AA$54="Media",'Mapa final'!$AC$54="Leve"),CONCATENATE("R9C",'Mapa final'!$Q$54),"")</f>
        <v/>
      </c>
      <c r="K34" s="69" t="str">
        <f>IF(AND('Mapa final'!$AA$55="Media",'Mapa final'!$AC$55="Leve"),CONCATENATE("R9C",'Mapa final'!$Q$55),"")</f>
        <v/>
      </c>
      <c r="L34" s="69" t="str">
        <f>IF(AND('Mapa final'!$AA$56="Media",'Mapa final'!$AC$56="Leve"),CONCATENATE("R9C",'Mapa final'!$Q$56),"")</f>
        <v/>
      </c>
      <c r="M34" s="69" t="str">
        <f>IF(AND('Mapa final'!$AA$57="Media",'Mapa final'!$AC$57="Leve"),CONCATENATE("R9C",'Mapa final'!$Q$57),"")</f>
        <v/>
      </c>
      <c r="N34" s="69" t="str">
        <f>IF(AND('Mapa final'!$AA$58="Media",'Mapa final'!$AC$58="Leve"),CONCATENATE("R9C",'Mapa final'!$Q$58),"")</f>
        <v/>
      </c>
      <c r="O34" s="70" t="str">
        <f>IF(AND('Mapa final'!$AA$59="Media",'Mapa final'!$AC$59="Leve"),CONCATENATE("R9C",'Mapa final'!$Q$59),"")</f>
        <v/>
      </c>
      <c r="P34" s="68" t="str">
        <f>IF(AND('Mapa final'!$AA$54="Media",'Mapa final'!$AC$54="Menor"),CONCATENATE("R9C",'Mapa final'!$Q$54),"")</f>
        <v/>
      </c>
      <c r="Q34" s="69" t="str">
        <f>IF(AND('Mapa final'!$AA$55="Media",'Mapa final'!$AC$55="Menor"),CONCATENATE("R9C",'Mapa final'!$Q$55),"")</f>
        <v/>
      </c>
      <c r="R34" s="69" t="str">
        <f>IF(AND('Mapa final'!$AA$56="Media",'Mapa final'!$AC$56="Menor"),CONCATENATE("R9C",'Mapa final'!$Q$56),"")</f>
        <v/>
      </c>
      <c r="S34" s="69" t="str">
        <f>IF(AND('Mapa final'!$AA$57="Media",'Mapa final'!$AC$57="Menor"),CONCATENATE("R9C",'Mapa final'!$Q$57),"")</f>
        <v/>
      </c>
      <c r="T34" s="69" t="str">
        <f>IF(AND('Mapa final'!$AA$58="Media",'Mapa final'!$AC$58="Menor"),CONCATENATE("R9C",'Mapa final'!$Q$58),"")</f>
        <v/>
      </c>
      <c r="U34" s="70" t="str">
        <f>IF(AND('Mapa final'!$AA$59="Media",'Mapa final'!$AC$59="Menor"),CONCATENATE("R9C",'Mapa final'!$Q$59),"")</f>
        <v/>
      </c>
      <c r="V34" s="68" t="str">
        <f>IF(AND('Mapa final'!$AA$54="Media",'Mapa final'!$AC$54="Moderado"),CONCATENATE("R9C",'Mapa final'!$Q$54),"")</f>
        <v/>
      </c>
      <c r="W34" s="69" t="str">
        <f>IF(AND('Mapa final'!$AA$55="Media",'Mapa final'!$AC$55="Moderado"),CONCATENATE("R9C",'Mapa final'!$Q$55),"")</f>
        <v/>
      </c>
      <c r="X34" s="69" t="str">
        <f>IF(AND('Mapa final'!$AA$56="Media",'Mapa final'!$AC$56="Moderado"),CONCATENATE("R9C",'Mapa final'!$Q$56),"")</f>
        <v/>
      </c>
      <c r="Y34" s="69" t="str">
        <f>IF(AND('Mapa final'!$AA$57="Media",'Mapa final'!$AC$57="Moderado"),CONCATENATE("R9C",'Mapa final'!$Q$57),"")</f>
        <v/>
      </c>
      <c r="Z34" s="69" t="str">
        <f>IF(AND('Mapa final'!$AA$58="Media",'Mapa final'!$AC$58="Moderado"),CONCATENATE("R9C",'Mapa final'!$Q$58),"")</f>
        <v/>
      </c>
      <c r="AA34" s="70" t="str">
        <f>IF(AND('Mapa final'!$AA$59="Media",'Mapa final'!$AC$59="Moderado"),CONCATENATE("R9C",'Mapa final'!$Q$59),"")</f>
        <v/>
      </c>
      <c r="AB34" s="52" t="str">
        <f>IF(AND('Mapa final'!$AA$54="Media",'Mapa final'!$AC$54="Mayor"),CONCATENATE("R9C",'Mapa final'!$Q$54),"")</f>
        <v/>
      </c>
      <c r="AC34" s="53" t="str">
        <f>IF(AND('Mapa final'!$AA$55="Media",'Mapa final'!$AC$55="Mayor"),CONCATENATE("R9C",'Mapa final'!$Q$55),"")</f>
        <v/>
      </c>
      <c r="AD34" s="58" t="str">
        <f>IF(AND('Mapa final'!$AA$56="Media",'Mapa final'!$AC$56="Mayor"),CONCATENATE("R9C",'Mapa final'!$Q$56),"")</f>
        <v/>
      </c>
      <c r="AE34" s="58" t="str">
        <f>IF(AND('Mapa final'!$AA$57="Media",'Mapa final'!$AC$57="Mayor"),CONCATENATE("R9C",'Mapa final'!$Q$57),"")</f>
        <v/>
      </c>
      <c r="AF34" s="58" t="str">
        <f>IF(AND('Mapa final'!$AA$58="Media",'Mapa final'!$AC$58="Mayor"),CONCATENATE("R9C",'Mapa final'!$Q$58),"")</f>
        <v/>
      </c>
      <c r="AG34" s="54" t="str">
        <f>IF(AND('Mapa final'!$AA$59="Media",'Mapa final'!$AC$59="Mayor"),CONCATENATE("R9C",'Mapa final'!$Q$59),"")</f>
        <v/>
      </c>
      <c r="AH34" s="55" t="str">
        <f>IF(AND('Mapa final'!$AA$54="Media",'Mapa final'!$AC$54="Catastrófico"),CONCATENATE("R9C",'Mapa final'!$Q$54),"")</f>
        <v/>
      </c>
      <c r="AI34" s="56" t="str">
        <f>IF(AND('Mapa final'!$AA$55="Media",'Mapa final'!$AC$55="Catastrófico"),CONCATENATE("R9C",'Mapa final'!$Q$55),"")</f>
        <v/>
      </c>
      <c r="AJ34" s="56" t="str">
        <f>IF(AND('Mapa final'!$AA$56="Media",'Mapa final'!$AC$56="Catastrófico"),CONCATENATE("R9C",'Mapa final'!$Q$56),"")</f>
        <v/>
      </c>
      <c r="AK34" s="56" t="str">
        <f>IF(AND('Mapa final'!$AA$57="Media",'Mapa final'!$AC$57="Catastrófico"),CONCATENATE("R9C",'Mapa final'!$Q$57),"")</f>
        <v/>
      </c>
      <c r="AL34" s="56" t="str">
        <f>IF(AND('Mapa final'!$AA$58="Media",'Mapa final'!$AC$58="Catastrófico"),CONCATENATE("R9C",'Mapa final'!$Q$58),"")</f>
        <v/>
      </c>
      <c r="AM34" s="57" t="str">
        <f>IF(AND('Mapa final'!$AA$59="Media",'Mapa final'!$AC$59="Catastrófico"),CONCATENATE("R9C",'Mapa final'!$Q$59),"")</f>
        <v/>
      </c>
      <c r="AN34" s="84"/>
      <c r="AO34" s="452"/>
      <c r="AP34" s="453"/>
      <c r="AQ34" s="453"/>
      <c r="AR34" s="453"/>
      <c r="AS34" s="453"/>
      <c r="AT34" s="45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c r="A35" s="84"/>
      <c r="B35" s="370"/>
      <c r="C35" s="370"/>
      <c r="D35" s="371"/>
      <c r="E35" s="414"/>
      <c r="F35" s="415"/>
      <c r="G35" s="415"/>
      <c r="H35" s="415"/>
      <c r="I35" s="416"/>
      <c r="J35" s="68" t="str">
        <f>IF(AND('Mapa final'!$AA$60="Media",'Mapa final'!$AC$60="Leve"),CONCATENATE("R10C",'Mapa final'!$Q$60),"")</f>
        <v/>
      </c>
      <c r="K35" s="69" t="str">
        <f>IF(AND('Mapa final'!$AA$61="Media",'Mapa final'!$AC$61="Leve"),CONCATENATE("R10C",'Mapa final'!$Q$61),"")</f>
        <v/>
      </c>
      <c r="L35" s="69" t="str">
        <f>IF(AND('Mapa final'!$AA$62="Media",'Mapa final'!$AC$62="Leve"),CONCATENATE("R10C",'Mapa final'!$Q$62),"")</f>
        <v/>
      </c>
      <c r="M35" s="69" t="str">
        <f>IF(AND('Mapa final'!$AA$63="Media",'Mapa final'!$AC$63="Leve"),CONCATENATE("R10C",'Mapa final'!$Q$63),"")</f>
        <v/>
      </c>
      <c r="N35" s="69" t="str">
        <f>IF(AND('Mapa final'!$AA$64="Media",'Mapa final'!$AC$64="Leve"),CONCATENATE("R10C",'Mapa final'!$Q$64),"")</f>
        <v/>
      </c>
      <c r="O35" s="70" t="str">
        <f>IF(AND('Mapa final'!$AA$65="Media",'Mapa final'!$AC$65="Leve"),CONCATENATE("R10C",'Mapa final'!$Q$65),"")</f>
        <v/>
      </c>
      <c r="P35" s="68" t="str">
        <f>IF(AND('Mapa final'!$AA$60="Media",'Mapa final'!$AC$60="Menor"),CONCATENATE("R10C",'Mapa final'!$Q$60),"")</f>
        <v/>
      </c>
      <c r="Q35" s="69" t="str">
        <f>IF(AND('Mapa final'!$AA$61="Media",'Mapa final'!$AC$61="Menor"),CONCATENATE("R10C",'Mapa final'!$Q$61),"")</f>
        <v/>
      </c>
      <c r="R35" s="69" t="str">
        <f>IF(AND('Mapa final'!$AA$62="Media",'Mapa final'!$AC$62="Menor"),CONCATENATE("R10C",'Mapa final'!$Q$62),"")</f>
        <v/>
      </c>
      <c r="S35" s="69" t="str">
        <f>IF(AND('Mapa final'!$AA$63="Media",'Mapa final'!$AC$63="Menor"),CONCATENATE("R10C",'Mapa final'!$Q$63),"")</f>
        <v/>
      </c>
      <c r="T35" s="69" t="str">
        <f>IF(AND('Mapa final'!$AA$64="Media",'Mapa final'!$AC$64="Menor"),CONCATENATE("R10C",'Mapa final'!$Q$64),"")</f>
        <v/>
      </c>
      <c r="U35" s="70" t="str">
        <f>IF(AND('Mapa final'!$AA$65="Media",'Mapa final'!$AC$65="Menor"),CONCATENATE("R10C",'Mapa final'!$Q$65),"")</f>
        <v/>
      </c>
      <c r="V35" s="68" t="str">
        <f>IF(AND('Mapa final'!$AA$60="Media",'Mapa final'!$AC$60="Moderado"),CONCATENATE("R10C",'Mapa final'!$Q$60),"")</f>
        <v/>
      </c>
      <c r="W35" s="69" t="str">
        <f>IF(AND('Mapa final'!$AA$61="Media",'Mapa final'!$AC$61="Moderado"),CONCATENATE("R10C",'Mapa final'!$Q$61),"")</f>
        <v/>
      </c>
      <c r="X35" s="69" t="str">
        <f>IF(AND('Mapa final'!$AA$62="Media",'Mapa final'!$AC$62="Moderado"),CONCATENATE("R10C",'Mapa final'!$Q$62),"")</f>
        <v/>
      </c>
      <c r="Y35" s="69" t="str">
        <f>IF(AND('Mapa final'!$AA$63="Media",'Mapa final'!$AC$63="Moderado"),CONCATENATE("R10C",'Mapa final'!$Q$63),"")</f>
        <v/>
      </c>
      <c r="Z35" s="69" t="str">
        <f>IF(AND('Mapa final'!$AA$64="Media",'Mapa final'!$AC$64="Moderado"),CONCATENATE("R10C",'Mapa final'!$Q$64),"")</f>
        <v/>
      </c>
      <c r="AA35" s="70" t="str">
        <f>IF(AND('Mapa final'!$AA$65="Media",'Mapa final'!$AC$65="Moderado"),CONCATENATE("R10C",'Mapa final'!$Q$65),"")</f>
        <v/>
      </c>
      <c r="AB35" s="59" t="str">
        <f>IF(AND('Mapa final'!$AA$60="Media",'Mapa final'!$AC$60="Mayor"),CONCATENATE("R10C",'Mapa final'!$Q$60),"")</f>
        <v/>
      </c>
      <c r="AC35" s="60" t="str">
        <f>IF(AND('Mapa final'!$AA$61="Media",'Mapa final'!$AC$61="Mayor"),CONCATENATE("R10C",'Mapa final'!$Q$61),"")</f>
        <v/>
      </c>
      <c r="AD35" s="60" t="str">
        <f>IF(AND('Mapa final'!$AA$62="Media",'Mapa final'!$AC$62="Mayor"),CONCATENATE("R10C",'Mapa final'!$Q$62),"")</f>
        <v/>
      </c>
      <c r="AE35" s="60" t="str">
        <f>IF(AND('Mapa final'!$AA$63="Media",'Mapa final'!$AC$63="Mayor"),CONCATENATE("R10C",'Mapa final'!$Q$63),"")</f>
        <v/>
      </c>
      <c r="AF35" s="60" t="str">
        <f>IF(AND('Mapa final'!$AA$64="Media",'Mapa final'!$AC$64="Mayor"),CONCATENATE("R10C",'Mapa final'!$Q$64),"")</f>
        <v/>
      </c>
      <c r="AG35" s="61" t="str">
        <f>IF(AND('Mapa final'!$AA$65="Media",'Mapa final'!$AC$65="Mayor"),CONCATENATE("R10C",'Mapa final'!$Q$65),"")</f>
        <v/>
      </c>
      <c r="AH35" s="62" t="str">
        <f>IF(AND('Mapa final'!$AA$60="Media",'Mapa final'!$AC$60="Catastrófico"),CONCATENATE("R10C",'Mapa final'!$Q$60),"")</f>
        <v/>
      </c>
      <c r="AI35" s="63" t="str">
        <f>IF(AND('Mapa final'!$AA$61="Media",'Mapa final'!$AC$61="Catastrófico"),CONCATENATE("R10C",'Mapa final'!$Q$61),"")</f>
        <v/>
      </c>
      <c r="AJ35" s="63" t="str">
        <f>IF(AND('Mapa final'!$AA$62="Media",'Mapa final'!$AC$62="Catastrófico"),CONCATENATE("R10C",'Mapa final'!$Q$62),"")</f>
        <v/>
      </c>
      <c r="AK35" s="63" t="str">
        <f>IF(AND('Mapa final'!$AA$63="Media",'Mapa final'!$AC$63="Catastrófico"),CONCATENATE("R10C",'Mapa final'!$Q$63),"")</f>
        <v/>
      </c>
      <c r="AL35" s="63" t="str">
        <f>IF(AND('Mapa final'!$AA$64="Media",'Mapa final'!$AC$64="Catastrófico"),CONCATENATE("R10C",'Mapa final'!$Q$64),"")</f>
        <v/>
      </c>
      <c r="AM35" s="64" t="str">
        <f>IF(AND('Mapa final'!$AA$65="Media",'Mapa final'!$AC$65="Catastrófico"),CONCATENATE("R10C",'Mapa final'!$Q$65),"")</f>
        <v/>
      </c>
      <c r="AN35" s="84"/>
      <c r="AO35" s="455"/>
      <c r="AP35" s="456"/>
      <c r="AQ35" s="456"/>
      <c r="AR35" s="456"/>
      <c r="AS35" s="456"/>
      <c r="AT35" s="457"/>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c r="A36" s="84"/>
      <c r="B36" s="370"/>
      <c r="C36" s="370"/>
      <c r="D36" s="371"/>
      <c r="E36" s="408" t="s">
        <v>114</v>
      </c>
      <c r="F36" s="409"/>
      <c r="G36" s="409"/>
      <c r="H36" s="409"/>
      <c r="I36" s="409"/>
      <c r="J36" s="74" t="str">
        <f ca="1">IF(AND('Mapa final'!$AA$10="Baja",'Mapa final'!$AC$10="Leve"),CONCATENATE("R1C",'Mapa final'!$Q$10),"")</f>
        <v/>
      </c>
      <c r="K36" s="75" t="str">
        <f ca="1">IF(AND('Mapa final'!$AA$11="Baja",'Mapa final'!$AC$11="Leve"),CONCATENATE("R1C",'Mapa final'!$Q$11),"")</f>
        <v/>
      </c>
      <c r="L36" s="75" t="str">
        <f ca="1">IF(AND('Mapa final'!$AA$12="Baja",'Mapa final'!$AC$12="Leve"),CONCATENATE("R1C",'Mapa final'!$Q$12),"")</f>
        <v/>
      </c>
      <c r="M36" s="75" t="str">
        <f>IF(AND('Mapa final'!$AA$13="Baja",'Mapa final'!$AC$13="Leve"),CONCATENATE("R1C",'Mapa final'!$Q$13),"")</f>
        <v/>
      </c>
      <c r="N36" s="75" t="e">
        <f>IF(AND('Mapa final'!#REF!="Baja",'Mapa final'!#REF!="Leve"),CONCATENATE("R1C",'Mapa final'!#REF!),"")</f>
        <v>#REF!</v>
      </c>
      <c r="O36" s="76" t="e">
        <f>IF(AND('Mapa final'!#REF!="Baja",'Mapa final'!#REF!="Leve"),CONCATENATE("R1C",'Mapa final'!#REF!),"")</f>
        <v>#REF!</v>
      </c>
      <c r="P36" s="65" t="str">
        <f ca="1">IF(AND('Mapa final'!$AA$10="Baja",'Mapa final'!$AC$10="Menor"),CONCATENATE("R1C",'Mapa final'!$Q$10),"")</f>
        <v/>
      </c>
      <c r="Q36" s="66" t="str">
        <f ca="1">IF(AND('Mapa final'!$AA$11="Baja",'Mapa final'!$AC$11="Menor"),CONCATENATE("R1C",'Mapa final'!$Q$11),"")</f>
        <v/>
      </c>
      <c r="R36" s="66" t="str">
        <f ca="1">IF(AND('Mapa final'!$AA$12="Baja",'Mapa final'!$AC$12="Menor"),CONCATENATE("R1C",'Mapa final'!$Q$12),"")</f>
        <v/>
      </c>
      <c r="S36" s="66" t="str">
        <f>IF(AND('Mapa final'!$AA$13="Baja",'Mapa final'!$AC$13="Menor"),CONCATENATE("R1C",'Mapa final'!$Q$13),"")</f>
        <v/>
      </c>
      <c r="T36" s="66" t="e">
        <f>IF(AND('Mapa final'!#REF!="Baja",'Mapa final'!#REF!="Menor"),CONCATENATE("R1C",'Mapa final'!#REF!),"")</f>
        <v>#REF!</v>
      </c>
      <c r="U36" s="67" t="e">
        <f>IF(AND('Mapa final'!#REF!="Baja",'Mapa final'!#REF!="Menor"),CONCATENATE("R1C",'Mapa final'!#REF!),"")</f>
        <v>#REF!</v>
      </c>
      <c r="V36" s="65" t="str">
        <f ca="1">IF(AND('Mapa final'!$AA$10="Baja",'Mapa final'!$AC$10="Moderado"),CONCATENATE("R1C",'Mapa final'!$Q$10),"")</f>
        <v/>
      </c>
      <c r="W36" s="66" t="str">
        <f ca="1">IF(AND('Mapa final'!$AA$11="Baja",'Mapa final'!$AC$11="Moderado"),CONCATENATE("R1C",'Mapa final'!$Q$11),"")</f>
        <v/>
      </c>
      <c r="X36" s="66" t="str">
        <f ca="1">IF(AND('Mapa final'!$AA$12="Baja",'Mapa final'!$AC$12="Moderado"),CONCATENATE("R1C",'Mapa final'!$Q$12),"")</f>
        <v/>
      </c>
      <c r="Y36" s="66" t="str">
        <f>IF(AND('Mapa final'!$AA$13="Baja",'Mapa final'!$AC$13="Moderado"),CONCATENATE("R1C",'Mapa final'!$Q$13),"")</f>
        <v/>
      </c>
      <c r="Z36" s="66" t="e">
        <f>IF(AND('Mapa final'!#REF!="Baja",'Mapa final'!#REF!="Moderado"),CONCATENATE("R1C",'Mapa final'!#REF!),"")</f>
        <v>#REF!</v>
      </c>
      <c r="AA36" s="67" t="e">
        <f>IF(AND('Mapa final'!#REF!="Baja",'Mapa final'!#REF!="Moderado"),CONCATENATE("R1C",'Mapa final'!#REF!),"")</f>
        <v>#REF!</v>
      </c>
      <c r="AB36" s="46" t="str">
        <f ca="1">IF(AND('Mapa final'!$AA$10="Baja",'Mapa final'!$AC$10="Mayor"),CONCATENATE("R1C",'Mapa final'!$Q$10),"")</f>
        <v/>
      </c>
      <c r="AC36" s="47" t="str">
        <f ca="1">IF(AND('Mapa final'!$AA$11="Baja",'Mapa final'!$AC$11="Mayor"),CONCATENATE("R1C",'Mapa final'!$Q$11),"")</f>
        <v>R1C2</v>
      </c>
      <c r="AD36" s="47" t="str">
        <f ca="1">IF(AND('Mapa final'!$AA$12="Baja",'Mapa final'!$AC$12="Mayor"),CONCATENATE("R1C",'Mapa final'!$Q$12),"")</f>
        <v/>
      </c>
      <c r="AE36" s="47" t="str">
        <f>IF(AND('Mapa final'!$AA$13="Baja",'Mapa final'!$AC$13="Mayor"),CONCATENATE("R1C",'Mapa final'!$Q$13),"")</f>
        <v/>
      </c>
      <c r="AF36" s="47" t="e">
        <f>IF(AND('Mapa final'!#REF!="Baja",'Mapa final'!#REF!="Mayor"),CONCATENATE("R1C",'Mapa final'!#REF!),"")</f>
        <v>#REF!</v>
      </c>
      <c r="AG36" s="48" t="e">
        <f>IF(AND('Mapa final'!#REF!="Baja",'Mapa final'!#REF!="Mayor"),CONCATENATE("R1C",'Mapa final'!#REF!),"")</f>
        <v>#REF!</v>
      </c>
      <c r="AH36" s="49" t="str">
        <f ca="1">IF(AND('Mapa final'!$AA$10="Baja",'Mapa final'!$AC$10="Catastrófico"),CONCATENATE("R1C",'Mapa final'!$Q$10),"")</f>
        <v/>
      </c>
      <c r="AI36" s="50" t="str">
        <f ca="1">IF(AND('Mapa final'!$AA$11="Baja",'Mapa final'!$AC$11="Catastrófico"),CONCATENATE("R1C",'Mapa final'!$Q$11),"")</f>
        <v/>
      </c>
      <c r="AJ36" s="50" t="str">
        <f ca="1">IF(AND('Mapa final'!$AA$12="Baja",'Mapa final'!$AC$12="Catastrófico"),CONCATENATE("R1C",'Mapa final'!$Q$12),"")</f>
        <v/>
      </c>
      <c r="AK36" s="50" t="str">
        <f>IF(AND('Mapa final'!$AA$13="Baja",'Mapa final'!$AC$13="Catastrófico"),CONCATENATE("R1C",'Mapa final'!$Q$13),"")</f>
        <v/>
      </c>
      <c r="AL36" s="50" t="e">
        <f>IF(AND('Mapa final'!#REF!="Baja",'Mapa final'!#REF!="Catastrófico"),CONCATENATE("R1C",'Mapa final'!#REF!),"")</f>
        <v>#REF!</v>
      </c>
      <c r="AM36" s="51" t="e">
        <f>IF(AND('Mapa final'!#REF!="Baja",'Mapa final'!#REF!="Catastrófico"),CONCATENATE("R1C",'Mapa final'!#REF!),"")</f>
        <v>#REF!</v>
      </c>
      <c r="AN36" s="84"/>
      <c r="AO36" s="440" t="s">
        <v>82</v>
      </c>
      <c r="AP36" s="441"/>
      <c r="AQ36" s="441"/>
      <c r="AR36" s="441"/>
      <c r="AS36" s="441"/>
      <c r="AT36" s="44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c r="A37" s="84"/>
      <c r="B37" s="370"/>
      <c r="C37" s="370"/>
      <c r="D37" s="371"/>
      <c r="E37" s="427"/>
      <c r="F37" s="428"/>
      <c r="G37" s="428"/>
      <c r="H37" s="428"/>
      <c r="I37" s="428"/>
      <c r="J37" s="77" t="str">
        <f>IF(AND('Mapa final'!$AA$14="Baja",'Mapa final'!$AC$14="Leve"),CONCATENATE("R2C",'Mapa final'!$Q$14),"")</f>
        <v/>
      </c>
      <c r="K37" s="78" t="e">
        <f>IF(AND('Mapa final'!#REF!="Baja",'Mapa final'!#REF!="Leve"),CONCATENATE("R2C",'Mapa final'!#REF!),"")</f>
        <v>#REF!</v>
      </c>
      <c r="L37" s="78" t="str">
        <f>IF(AND('Mapa final'!$AA$15="Baja",'Mapa final'!$AC$15="Leve"),CONCATENATE("R2C",'Mapa final'!$Q$15),"")</f>
        <v/>
      </c>
      <c r="M37" s="78" t="e">
        <f>IF(AND('Mapa final'!#REF!="Baja",'Mapa final'!#REF!="Leve"),CONCATENATE("R2C",'Mapa final'!#REF!),"")</f>
        <v>#REF!</v>
      </c>
      <c r="N37" s="78" t="e">
        <f>IF(AND('Mapa final'!#REF!="Baja",'Mapa final'!#REF!="Leve"),CONCATENATE("R2C",'Mapa final'!#REF!),"")</f>
        <v>#REF!</v>
      </c>
      <c r="O37" s="79" t="e">
        <f>IF(AND('Mapa final'!#REF!="Baja",'Mapa final'!#REF!="Leve"),CONCATENATE("R2C",'Mapa final'!#REF!),"")</f>
        <v>#REF!</v>
      </c>
      <c r="P37" s="68" t="str">
        <f>IF(AND('Mapa final'!$AA$14="Baja",'Mapa final'!$AC$14="Menor"),CONCATENATE("R2C",'Mapa final'!$Q$14),"")</f>
        <v/>
      </c>
      <c r="Q37" s="69" t="e">
        <f>IF(AND('Mapa final'!#REF!="Baja",'Mapa final'!#REF!="Menor"),CONCATENATE("R2C",'Mapa final'!#REF!),"")</f>
        <v>#REF!</v>
      </c>
      <c r="R37" s="69" t="str">
        <f>IF(AND('Mapa final'!$AA$15="Baja",'Mapa final'!$AC$15="Menor"),CONCATENATE("R2C",'Mapa final'!$Q$15),"")</f>
        <v/>
      </c>
      <c r="S37" s="69" t="e">
        <f>IF(AND('Mapa final'!#REF!="Baja",'Mapa final'!#REF!="Menor"),CONCATENATE("R2C",'Mapa final'!#REF!),"")</f>
        <v>#REF!</v>
      </c>
      <c r="T37" s="69" t="e">
        <f>IF(AND('Mapa final'!#REF!="Baja",'Mapa final'!#REF!="Menor"),CONCATENATE("R2C",'Mapa final'!#REF!),"")</f>
        <v>#REF!</v>
      </c>
      <c r="U37" s="70" t="e">
        <f>IF(AND('Mapa final'!#REF!="Baja",'Mapa final'!#REF!="Menor"),CONCATENATE("R2C",'Mapa final'!#REF!),"")</f>
        <v>#REF!</v>
      </c>
      <c r="V37" s="68" t="str">
        <f>IF(AND('Mapa final'!$AA$14="Baja",'Mapa final'!$AC$14="Moderado"),CONCATENATE("R2C",'Mapa final'!$Q$14),"")</f>
        <v/>
      </c>
      <c r="W37" s="69" t="e">
        <f>IF(AND('Mapa final'!#REF!="Baja",'Mapa final'!#REF!="Moderado"),CONCATENATE("R2C",'Mapa final'!#REF!),"")</f>
        <v>#REF!</v>
      </c>
      <c r="X37" s="69" t="str">
        <f>IF(AND('Mapa final'!$AA$15="Baja",'Mapa final'!$AC$15="Moderado"),CONCATENATE("R2C",'Mapa final'!$Q$15),"")</f>
        <v/>
      </c>
      <c r="Y37" s="69" t="e">
        <f>IF(AND('Mapa final'!#REF!="Baja",'Mapa final'!#REF!="Moderado"),CONCATENATE("R2C",'Mapa final'!#REF!),"")</f>
        <v>#REF!</v>
      </c>
      <c r="Z37" s="69" t="e">
        <f>IF(AND('Mapa final'!#REF!="Baja",'Mapa final'!#REF!="Moderado"),CONCATENATE("R2C",'Mapa final'!#REF!),"")</f>
        <v>#REF!</v>
      </c>
      <c r="AA37" s="70" t="e">
        <f>IF(AND('Mapa final'!#REF!="Baja",'Mapa final'!#REF!="Moderado"),CONCATENATE("R2C",'Mapa final'!#REF!),"")</f>
        <v>#REF!</v>
      </c>
      <c r="AB37" s="52" t="str">
        <f>IF(AND('Mapa final'!$AA$14="Baja",'Mapa final'!$AC$14="Mayor"),CONCATENATE("R2C",'Mapa final'!$Q$14),"")</f>
        <v/>
      </c>
      <c r="AC37" s="53" t="e">
        <f>IF(AND('Mapa final'!#REF!="Baja",'Mapa final'!#REF!="Mayor"),CONCATENATE("R2C",'Mapa final'!#REF!),"")</f>
        <v>#REF!</v>
      </c>
      <c r="AD37" s="53" t="str">
        <f>IF(AND('Mapa final'!$AA$15="Baja",'Mapa final'!$AC$15="Mayor"),CONCATENATE("R2C",'Mapa final'!$Q$15),"")</f>
        <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final'!$AA$14="Baja",'Mapa final'!$AC$14="Catastrófico"),CONCATENATE("R2C",'Mapa final'!$Q$14),"")</f>
        <v/>
      </c>
      <c r="AI37" s="56" t="e">
        <f>IF(AND('Mapa final'!#REF!="Baja",'Mapa final'!#REF!="Catastrófico"),CONCATENATE("R2C",'Mapa final'!#REF!),"")</f>
        <v>#REF!</v>
      </c>
      <c r="AJ37" s="56" t="str">
        <f>IF(AND('Mapa final'!$AA$15="Baja",'Mapa final'!$AC$15="Catastrófico"),CONCATENATE("R2C",'Mapa final'!$Q$15),"")</f>
        <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4"/>
      <c r="AO37" s="443"/>
      <c r="AP37" s="444"/>
      <c r="AQ37" s="444"/>
      <c r="AR37" s="444"/>
      <c r="AS37" s="444"/>
      <c r="AT37" s="44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c r="A38" s="84"/>
      <c r="B38" s="370"/>
      <c r="C38" s="370"/>
      <c r="D38" s="371"/>
      <c r="E38" s="411"/>
      <c r="F38" s="412"/>
      <c r="G38" s="412"/>
      <c r="H38" s="412"/>
      <c r="I38" s="428"/>
      <c r="J38" s="77" t="str">
        <f>IF(AND('Mapa final'!$AA$18="Baja",'Mapa final'!$AC$18="Leve"),CONCATENATE("R3C",'Mapa final'!$Q$18),"")</f>
        <v/>
      </c>
      <c r="K38" s="78" t="str">
        <f>IF(AND('Mapa final'!$AA$19="Baja",'Mapa final'!$AC$19="Leve"),CONCATENATE("R3C",'Mapa final'!$Q$19),"")</f>
        <v/>
      </c>
      <c r="L38" s="78" t="str">
        <f>IF(AND('Mapa final'!$AA$20="Baja",'Mapa final'!$AC$20="Leve"),CONCATENATE("R3C",'Mapa final'!$Q$20),"")</f>
        <v/>
      </c>
      <c r="M38" s="78" t="str">
        <f>IF(AND('Mapa final'!$AA$21="Baja",'Mapa final'!$AC$21="Leve"),CONCATENATE("R3C",'Mapa final'!$Q$21),"")</f>
        <v/>
      </c>
      <c r="N38" s="78" t="str">
        <f>IF(AND('Mapa final'!$AA$22="Baja",'Mapa final'!$AC$22="Leve"),CONCATENATE("R3C",'Mapa final'!$Q$22),"")</f>
        <v/>
      </c>
      <c r="O38" s="79" t="str">
        <f>IF(AND('Mapa final'!$AA$23="Baja",'Mapa final'!$AC$23="Leve"),CONCATENATE("R3C",'Mapa final'!$Q$23),"")</f>
        <v/>
      </c>
      <c r="P38" s="68" t="str">
        <f>IF(AND('Mapa final'!$AA$18="Baja",'Mapa final'!$AC$18="Menor"),CONCATENATE("R3C",'Mapa final'!$Q$18),"")</f>
        <v/>
      </c>
      <c r="Q38" s="69" t="str">
        <f>IF(AND('Mapa final'!$AA$19="Baja",'Mapa final'!$AC$19="Menor"),CONCATENATE("R3C",'Mapa final'!$Q$19),"")</f>
        <v/>
      </c>
      <c r="R38" s="69" t="str">
        <f>IF(AND('Mapa final'!$AA$20="Baja",'Mapa final'!$AC$20="Menor"),CONCATENATE("R3C",'Mapa final'!$Q$20),"")</f>
        <v/>
      </c>
      <c r="S38" s="69" t="str">
        <f>IF(AND('Mapa final'!$AA$21="Baja",'Mapa final'!$AC$21="Menor"),CONCATENATE("R3C",'Mapa final'!$Q$21),"")</f>
        <v/>
      </c>
      <c r="T38" s="69" t="str">
        <f>IF(AND('Mapa final'!$AA$22="Baja",'Mapa final'!$AC$22="Menor"),CONCATENATE("R3C",'Mapa final'!$Q$22),"")</f>
        <v/>
      </c>
      <c r="U38" s="70" t="str">
        <f>IF(AND('Mapa final'!$AA$23="Baja",'Mapa final'!$AC$23="Menor"),CONCATENATE("R3C",'Mapa final'!$Q$23),"")</f>
        <v/>
      </c>
      <c r="V38" s="68" t="str">
        <f>IF(AND('Mapa final'!$AA$18="Baja",'Mapa final'!$AC$18="Moderado"),CONCATENATE("R3C",'Mapa final'!$Q$18),"")</f>
        <v/>
      </c>
      <c r="W38" s="69" t="str">
        <f>IF(AND('Mapa final'!$AA$19="Baja",'Mapa final'!$AC$19="Moderado"),CONCATENATE("R3C",'Mapa final'!$Q$19),"")</f>
        <v/>
      </c>
      <c r="X38" s="69" t="str">
        <f>IF(AND('Mapa final'!$AA$20="Baja",'Mapa final'!$AC$20="Moderado"),CONCATENATE("R3C",'Mapa final'!$Q$20),"")</f>
        <v/>
      </c>
      <c r="Y38" s="69" t="str">
        <f>IF(AND('Mapa final'!$AA$21="Baja",'Mapa final'!$AC$21="Moderado"),CONCATENATE("R3C",'Mapa final'!$Q$21),"")</f>
        <v/>
      </c>
      <c r="Z38" s="69" t="str">
        <f>IF(AND('Mapa final'!$AA$22="Baja",'Mapa final'!$AC$22="Moderado"),CONCATENATE("R3C",'Mapa final'!$Q$22),"")</f>
        <v/>
      </c>
      <c r="AA38" s="70" t="str">
        <f>IF(AND('Mapa final'!$AA$23="Baja",'Mapa final'!$AC$23="Moderado"),CONCATENATE("R3C",'Mapa final'!$Q$23),"")</f>
        <v/>
      </c>
      <c r="AB38" s="52" t="str">
        <f>IF(AND('Mapa final'!$AA$18="Baja",'Mapa final'!$AC$18="Mayor"),CONCATENATE("R3C",'Mapa final'!$Q$18),"")</f>
        <v/>
      </c>
      <c r="AC38" s="53" t="str">
        <f>IF(AND('Mapa final'!$AA$19="Baja",'Mapa final'!$AC$19="Mayor"),CONCATENATE("R3C",'Mapa final'!$Q$19),"")</f>
        <v/>
      </c>
      <c r="AD38" s="53" t="str">
        <f>IF(AND('Mapa final'!$AA$20="Baja",'Mapa final'!$AC$20="Mayor"),CONCATENATE("R3C",'Mapa final'!$Q$20),"")</f>
        <v/>
      </c>
      <c r="AE38" s="53" t="str">
        <f>IF(AND('Mapa final'!$AA$21="Baja",'Mapa final'!$AC$21="Mayor"),CONCATENATE("R3C",'Mapa final'!$Q$21),"")</f>
        <v/>
      </c>
      <c r="AF38" s="53" t="str">
        <f>IF(AND('Mapa final'!$AA$22="Baja",'Mapa final'!$AC$22="Mayor"),CONCATENATE("R3C",'Mapa final'!$Q$22),"")</f>
        <v/>
      </c>
      <c r="AG38" s="54" t="str">
        <f>IF(AND('Mapa final'!$AA$23="Baja",'Mapa final'!$AC$23="Mayor"),CONCATENATE("R3C",'Mapa final'!$Q$23),"")</f>
        <v/>
      </c>
      <c r="AH38" s="55" t="str">
        <f>IF(AND('Mapa final'!$AA$18="Baja",'Mapa final'!$AC$18="Catastrófico"),CONCATENATE("R3C",'Mapa final'!$Q$18),"")</f>
        <v/>
      </c>
      <c r="AI38" s="56" t="str">
        <f>IF(AND('Mapa final'!$AA$19="Baja",'Mapa final'!$AC$19="Catastrófico"),CONCATENATE("R3C",'Mapa final'!$Q$19),"")</f>
        <v/>
      </c>
      <c r="AJ38" s="56" t="str">
        <f>IF(AND('Mapa final'!$AA$20="Baja",'Mapa final'!$AC$20="Catastrófico"),CONCATENATE("R3C",'Mapa final'!$Q$20),"")</f>
        <v/>
      </c>
      <c r="AK38" s="56" t="str">
        <f>IF(AND('Mapa final'!$AA$21="Baja",'Mapa final'!$AC$21="Catastrófico"),CONCATENATE("R3C",'Mapa final'!$Q$21),"")</f>
        <v/>
      </c>
      <c r="AL38" s="56" t="str">
        <f>IF(AND('Mapa final'!$AA$22="Baja",'Mapa final'!$AC$22="Catastrófico"),CONCATENATE("R3C",'Mapa final'!$Q$22),"")</f>
        <v/>
      </c>
      <c r="AM38" s="57" t="str">
        <f>IF(AND('Mapa final'!$AA$23="Baja",'Mapa final'!$AC$23="Catastrófico"),CONCATENATE("R3C",'Mapa final'!$Q$23),"")</f>
        <v/>
      </c>
      <c r="AN38" s="84"/>
      <c r="AO38" s="443"/>
      <c r="AP38" s="444"/>
      <c r="AQ38" s="444"/>
      <c r="AR38" s="444"/>
      <c r="AS38" s="444"/>
      <c r="AT38" s="445"/>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c r="A39" s="84"/>
      <c r="B39" s="370"/>
      <c r="C39" s="370"/>
      <c r="D39" s="371"/>
      <c r="E39" s="411"/>
      <c r="F39" s="412"/>
      <c r="G39" s="412"/>
      <c r="H39" s="412"/>
      <c r="I39" s="428"/>
      <c r="J39" s="77" t="str">
        <f>IF(AND('Mapa final'!$AA$24="Baja",'Mapa final'!$AC$24="Leve"),CONCATENATE("R4C",'Mapa final'!$Q$24),"")</f>
        <v/>
      </c>
      <c r="K39" s="78" t="str">
        <f>IF(AND('Mapa final'!$AA$25="Baja",'Mapa final'!$AC$25="Leve"),CONCATENATE("R4C",'Mapa final'!$Q$25),"")</f>
        <v/>
      </c>
      <c r="L39" s="78" t="str">
        <f>IF(AND('Mapa final'!$AA$26="Baja",'Mapa final'!$AC$26="Leve"),CONCATENATE("R4C",'Mapa final'!$Q$26),"")</f>
        <v/>
      </c>
      <c r="M39" s="78" t="str">
        <f>IF(AND('Mapa final'!$AA$27="Baja",'Mapa final'!$AC$27="Leve"),CONCATENATE("R4C",'Mapa final'!$Q$27),"")</f>
        <v/>
      </c>
      <c r="N39" s="78" t="str">
        <f>IF(AND('Mapa final'!$AA$28="Baja",'Mapa final'!$AC$28="Leve"),CONCATENATE("R4C",'Mapa final'!$Q$28),"")</f>
        <v/>
      </c>
      <c r="O39" s="79" t="str">
        <f>IF(AND('Mapa final'!$AA$29="Baja",'Mapa final'!$AC$29="Leve"),CONCATENATE("R4C",'Mapa final'!$Q$29),"")</f>
        <v/>
      </c>
      <c r="P39" s="68" t="str">
        <f>IF(AND('Mapa final'!$AA$24="Baja",'Mapa final'!$AC$24="Menor"),CONCATENATE("R4C",'Mapa final'!$Q$24),"")</f>
        <v/>
      </c>
      <c r="Q39" s="69" t="str">
        <f>IF(AND('Mapa final'!$AA$25="Baja",'Mapa final'!$AC$25="Menor"),CONCATENATE("R4C",'Mapa final'!$Q$25),"")</f>
        <v/>
      </c>
      <c r="R39" s="69" t="str">
        <f>IF(AND('Mapa final'!$AA$26="Baja",'Mapa final'!$AC$26="Menor"),CONCATENATE("R4C",'Mapa final'!$Q$26),"")</f>
        <v/>
      </c>
      <c r="S39" s="69" t="str">
        <f>IF(AND('Mapa final'!$AA$27="Baja",'Mapa final'!$AC$27="Menor"),CONCATENATE("R4C",'Mapa final'!$Q$27),"")</f>
        <v/>
      </c>
      <c r="T39" s="69" t="str">
        <f>IF(AND('Mapa final'!$AA$28="Baja",'Mapa final'!$AC$28="Menor"),CONCATENATE("R4C",'Mapa final'!$Q$28),"")</f>
        <v/>
      </c>
      <c r="U39" s="70" t="str">
        <f>IF(AND('Mapa final'!$AA$29="Baja",'Mapa final'!$AC$29="Menor"),CONCATENATE("R4C",'Mapa final'!$Q$29),"")</f>
        <v/>
      </c>
      <c r="V39" s="68" t="str">
        <f>IF(AND('Mapa final'!$AA$24="Baja",'Mapa final'!$AC$24="Moderado"),CONCATENATE("R4C",'Mapa final'!$Q$24),"")</f>
        <v/>
      </c>
      <c r="W39" s="69" t="str">
        <f>IF(AND('Mapa final'!$AA$25="Baja",'Mapa final'!$AC$25="Moderado"),CONCATENATE("R4C",'Mapa final'!$Q$25),"")</f>
        <v/>
      </c>
      <c r="X39" s="69" t="str">
        <f>IF(AND('Mapa final'!$AA$26="Baja",'Mapa final'!$AC$26="Moderado"),CONCATENATE("R4C",'Mapa final'!$Q$26),"")</f>
        <v/>
      </c>
      <c r="Y39" s="69" t="str">
        <f>IF(AND('Mapa final'!$AA$27="Baja",'Mapa final'!$AC$27="Moderado"),CONCATENATE("R4C",'Mapa final'!$Q$27),"")</f>
        <v/>
      </c>
      <c r="Z39" s="69" t="str">
        <f>IF(AND('Mapa final'!$AA$28="Baja",'Mapa final'!$AC$28="Moderado"),CONCATENATE("R4C",'Mapa final'!$Q$28),"")</f>
        <v/>
      </c>
      <c r="AA39" s="70" t="str">
        <f>IF(AND('Mapa final'!$AA$29="Baja",'Mapa final'!$AC$29="Moderado"),CONCATENATE("R4C",'Mapa final'!$Q$29),"")</f>
        <v/>
      </c>
      <c r="AB39" s="52" t="str">
        <f>IF(AND('Mapa final'!$AA$24="Baja",'Mapa final'!$AC$24="Mayor"),CONCATENATE("R4C",'Mapa final'!$Q$24),"")</f>
        <v/>
      </c>
      <c r="AC39" s="53" t="str">
        <f>IF(AND('Mapa final'!$AA$25="Baja",'Mapa final'!$AC$25="Mayor"),CONCATENATE("R4C",'Mapa final'!$Q$25),"")</f>
        <v/>
      </c>
      <c r="AD39" s="53" t="str">
        <f>IF(AND('Mapa final'!$AA$26="Baja",'Mapa final'!$AC$26="Mayor"),CONCATENATE("R4C",'Mapa final'!$Q$26),"")</f>
        <v/>
      </c>
      <c r="AE39" s="53" t="str">
        <f>IF(AND('Mapa final'!$AA$27="Baja",'Mapa final'!$AC$27="Mayor"),CONCATENATE("R4C",'Mapa final'!$Q$27),"")</f>
        <v/>
      </c>
      <c r="AF39" s="53" t="str">
        <f>IF(AND('Mapa final'!$AA$28="Baja",'Mapa final'!$AC$28="Mayor"),CONCATENATE("R4C",'Mapa final'!$Q$28),"")</f>
        <v/>
      </c>
      <c r="AG39" s="54" t="str">
        <f>IF(AND('Mapa final'!$AA$29="Baja",'Mapa final'!$AC$29="Mayor"),CONCATENATE("R4C",'Mapa final'!$Q$29),"")</f>
        <v/>
      </c>
      <c r="AH39" s="55" t="str">
        <f>IF(AND('Mapa final'!$AA$24="Baja",'Mapa final'!$AC$24="Catastrófico"),CONCATENATE("R4C",'Mapa final'!$Q$24),"")</f>
        <v/>
      </c>
      <c r="AI39" s="56" t="str">
        <f>IF(AND('Mapa final'!$AA$25="Baja",'Mapa final'!$AC$25="Catastrófico"),CONCATENATE("R4C",'Mapa final'!$Q$25),"")</f>
        <v/>
      </c>
      <c r="AJ39" s="56" t="str">
        <f>IF(AND('Mapa final'!$AA$26="Baja",'Mapa final'!$AC$26="Catastrófico"),CONCATENATE("R4C",'Mapa final'!$Q$26),"")</f>
        <v/>
      </c>
      <c r="AK39" s="56" t="str">
        <f>IF(AND('Mapa final'!$AA$27="Baja",'Mapa final'!$AC$27="Catastrófico"),CONCATENATE("R4C",'Mapa final'!$Q$27),"")</f>
        <v/>
      </c>
      <c r="AL39" s="56" t="str">
        <f>IF(AND('Mapa final'!$AA$28="Baja",'Mapa final'!$AC$28="Catastrófico"),CONCATENATE("R4C",'Mapa final'!$Q$28),"")</f>
        <v/>
      </c>
      <c r="AM39" s="57" t="str">
        <f>IF(AND('Mapa final'!$AA$29="Baja",'Mapa final'!$AC$29="Catastrófico"),CONCATENATE("R4C",'Mapa final'!$Q$29),"")</f>
        <v/>
      </c>
      <c r="AN39" s="84"/>
      <c r="AO39" s="443"/>
      <c r="AP39" s="444"/>
      <c r="AQ39" s="444"/>
      <c r="AR39" s="444"/>
      <c r="AS39" s="444"/>
      <c r="AT39" s="445"/>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c r="A40" s="84"/>
      <c r="B40" s="370"/>
      <c r="C40" s="370"/>
      <c r="D40" s="371"/>
      <c r="E40" s="411"/>
      <c r="F40" s="412"/>
      <c r="G40" s="412"/>
      <c r="H40" s="412"/>
      <c r="I40" s="428"/>
      <c r="J40" s="77" t="str">
        <f>IF(AND('Mapa final'!$AA$30="Baja",'Mapa final'!$AC$30="Leve"),CONCATENATE("R5C",'Mapa final'!$Q$30),"")</f>
        <v/>
      </c>
      <c r="K40" s="78" t="str">
        <f>IF(AND('Mapa final'!$AA$31="Baja",'Mapa final'!$AC$31="Leve"),CONCATENATE("R5C",'Mapa final'!$Q$31),"")</f>
        <v/>
      </c>
      <c r="L40" s="78" t="str">
        <f>IF(AND('Mapa final'!$AA$32="Baja",'Mapa final'!$AC$32="Leve"),CONCATENATE("R5C",'Mapa final'!$Q$32),"")</f>
        <v/>
      </c>
      <c r="M40" s="78" t="str">
        <f>IF(AND('Mapa final'!$AA$33="Baja",'Mapa final'!$AC$33="Leve"),CONCATENATE("R5C",'Mapa final'!$Q$33),"")</f>
        <v/>
      </c>
      <c r="N40" s="78" t="str">
        <f>IF(AND('Mapa final'!$AA$34="Baja",'Mapa final'!$AC$34="Leve"),CONCATENATE("R5C",'Mapa final'!$Q$34),"")</f>
        <v/>
      </c>
      <c r="O40" s="79" t="str">
        <f>IF(AND('Mapa final'!$AA$35="Baja",'Mapa final'!$AC$35="Leve"),CONCATENATE("R5C",'Mapa final'!$Q$35),"")</f>
        <v/>
      </c>
      <c r="P40" s="68" t="str">
        <f>IF(AND('Mapa final'!$AA$30="Baja",'Mapa final'!$AC$30="Menor"),CONCATENATE("R5C",'Mapa final'!$Q$30),"")</f>
        <v/>
      </c>
      <c r="Q40" s="69" t="str">
        <f>IF(AND('Mapa final'!$AA$31="Baja",'Mapa final'!$AC$31="Menor"),CONCATENATE("R5C",'Mapa final'!$Q$31),"")</f>
        <v/>
      </c>
      <c r="R40" s="69" t="str">
        <f>IF(AND('Mapa final'!$AA$32="Baja",'Mapa final'!$AC$32="Menor"),CONCATENATE("R5C",'Mapa final'!$Q$32),"")</f>
        <v/>
      </c>
      <c r="S40" s="69" t="str">
        <f>IF(AND('Mapa final'!$AA$33="Baja",'Mapa final'!$AC$33="Menor"),CONCATENATE("R5C",'Mapa final'!$Q$33),"")</f>
        <v/>
      </c>
      <c r="T40" s="69" t="str">
        <f>IF(AND('Mapa final'!$AA$34="Baja",'Mapa final'!$AC$34="Menor"),CONCATENATE("R5C",'Mapa final'!$Q$34),"")</f>
        <v/>
      </c>
      <c r="U40" s="70" t="str">
        <f>IF(AND('Mapa final'!$AA$35="Baja",'Mapa final'!$AC$35="Menor"),CONCATENATE("R5C",'Mapa final'!$Q$35),"")</f>
        <v/>
      </c>
      <c r="V40" s="68" t="str">
        <f>IF(AND('Mapa final'!$AA$30="Baja",'Mapa final'!$AC$30="Moderado"),CONCATENATE("R5C",'Mapa final'!$Q$30),"")</f>
        <v/>
      </c>
      <c r="W40" s="69" t="str">
        <f>IF(AND('Mapa final'!$AA$31="Baja",'Mapa final'!$AC$31="Moderado"),CONCATENATE("R5C",'Mapa final'!$Q$31),"")</f>
        <v/>
      </c>
      <c r="X40" s="69" t="str">
        <f>IF(AND('Mapa final'!$AA$32="Baja",'Mapa final'!$AC$32="Moderado"),CONCATENATE("R5C",'Mapa final'!$Q$32),"")</f>
        <v/>
      </c>
      <c r="Y40" s="69" t="str">
        <f>IF(AND('Mapa final'!$AA$33="Baja",'Mapa final'!$AC$33="Moderado"),CONCATENATE("R5C",'Mapa final'!$Q$33),"")</f>
        <v/>
      </c>
      <c r="Z40" s="69" t="str">
        <f>IF(AND('Mapa final'!$AA$34="Baja",'Mapa final'!$AC$34="Moderado"),CONCATENATE("R5C",'Mapa final'!$Q$34),"")</f>
        <v/>
      </c>
      <c r="AA40" s="70" t="str">
        <f>IF(AND('Mapa final'!$AA$35="Baja",'Mapa final'!$AC$35="Moderado"),CONCATENATE("R5C",'Mapa final'!$Q$35),"")</f>
        <v/>
      </c>
      <c r="AB40" s="52" t="str">
        <f>IF(AND('Mapa final'!$AA$30="Baja",'Mapa final'!$AC$30="Mayor"),CONCATENATE("R5C",'Mapa final'!$Q$30),"")</f>
        <v/>
      </c>
      <c r="AC40" s="53" t="str">
        <f>IF(AND('Mapa final'!$AA$31="Baja",'Mapa final'!$AC$31="Mayor"),CONCATENATE("R5C",'Mapa final'!$Q$31),"")</f>
        <v/>
      </c>
      <c r="AD40" s="58" t="str">
        <f>IF(AND('Mapa final'!$AA$32="Baja",'Mapa final'!$AC$32="Mayor"),CONCATENATE("R5C",'Mapa final'!$Q$32),"")</f>
        <v/>
      </c>
      <c r="AE40" s="58" t="str">
        <f>IF(AND('Mapa final'!$AA$33="Baja",'Mapa final'!$AC$33="Mayor"),CONCATENATE("R5C",'Mapa final'!$Q$33),"")</f>
        <v/>
      </c>
      <c r="AF40" s="58" t="str">
        <f>IF(AND('Mapa final'!$AA$34="Baja",'Mapa final'!$AC$34="Mayor"),CONCATENATE("R5C",'Mapa final'!$Q$34),"")</f>
        <v/>
      </c>
      <c r="AG40" s="54" t="str">
        <f>IF(AND('Mapa final'!$AA$35="Baja",'Mapa final'!$AC$35="Mayor"),CONCATENATE("R5C",'Mapa final'!$Q$35),"")</f>
        <v/>
      </c>
      <c r="AH40" s="55" t="str">
        <f>IF(AND('Mapa final'!$AA$30="Baja",'Mapa final'!$AC$30="Catastrófico"),CONCATENATE("R5C",'Mapa final'!$Q$30),"")</f>
        <v/>
      </c>
      <c r="AI40" s="56" t="str">
        <f>IF(AND('Mapa final'!$AA$31="Baja",'Mapa final'!$AC$31="Catastrófico"),CONCATENATE("R5C",'Mapa final'!$Q$31),"")</f>
        <v/>
      </c>
      <c r="AJ40" s="56" t="str">
        <f>IF(AND('Mapa final'!$AA$32="Baja",'Mapa final'!$AC$32="Catastrófico"),CONCATENATE("R5C",'Mapa final'!$Q$32),"")</f>
        <v/>
      </c>
      <c r="AK40" s="56" t="str">
        <f>IF(AND('Mapa final'!$AA$33="Baja",'Mapa final'!$AC$33="Catastrófico"),CONCATENATE("R5C",'Mapa final'!$Q$33),"")</f>
        <v/>
      </c>
      <c r="AL40" s="56" t="str">
        <f>IF(AND('Mapa final'!$AA$34="Baja",'Mapa final'!$AC$34="Catastrófico"),CONCATENATE("R5C",'Mapa final'!$Q$34),"")</f>
        <v/>
      </c>
      <c r="AM40" s="57" t="str">
        <f>IF(AND('Mapa final'!$AA$35="Baja",'Mapa final'!$AC$35="Catastrófico"),CONCATENATE("R5C",'Mapa final'!$Q$35),"")</f>
        <v/>
      </c>
      <c r="AN40" s="84"/>
      <c r="AO40" s="443"/>
      <c r="AP40" s="444"/>
      <c r="AQ40" s="444"/>
      <c r="AR40" s="444"/>
      <c r="AS40" s="444"/>
      <c r="AT40" s="445"/>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c r="A41" s="84"/>
      <c r="B41" s="370"/>
      <c r="C41" s="370"/>
      <c r="D41" s="371"/>
      <c r="E41" s="411"/>
      <c r="F41" s="412"/>
      <c r="G41" s="412"/>
      <c r="H41" s="412"/>
      <c r="I41" s="428"/>
      <c r="J41" s="77" t="str">
        <f>IF(AND('Mapa final'!$AA$36="Baja",'Mapa final'!$AC$36="Leve"),CONCATENATE("R6C",'Mapa final'!$Q$36),"")</f>
        <v/>
      </c>
      <c r="K41" s="78" t="str">
        <f>IF(AND('Mapa final'!$AA$37="Baja",'Mapa final'!$AC$37="Leve"),CONCATENATE("R6C",'Mapa final'!$Q$37),"")</f>
        <v/>
      </c>
      <c r="L41" s="78" t="str">
        <f>IF(AND('Mapa final'!$AA$38="Baja",'Mapa final'!$AC$38="Leve"),CONCATENATE("R6C",'Mapa final'!$Q$38),"")</f>
        <v/>
      </c>
      <c r="M41" s="78" t="str">
        <f>IF(AND('Mapa final'!$AA$39="Baja",'Mapa final'!$AC$39="Leve"),CONCATENATE("R6C",'Mapa final'!$Q$39),"")</f>
        <v/>
      </c>
      <c r="N41" s="78" t="str">
        <f>IF(AND('Mapa final'!$AA$40="Baja",'Mapa final'!$AC$40="Leve"),CONCATENATE("R6C",'Mapa final'!$Q$40),"")</f>
        <v/>
      </c>
      <c r="O41" s="79" t="str">
        <f>IF(AND('Mapa final'!$AA$41="Baja",'Mapa final'!$AC$41="Leve"),CONCATENATE("R6C",'Mapa final'!$Q$41),"")</f>
        <v/>
      </c>
      <c r="P41" s="68" t="str">
        <f>IF(AND('Mapa final'!$AA$36="Baja",'Mapa final'!$AC$36="Menor"),CONCATENATE("R6C",'Mapa final'!$Q$36),"")</f>
        <v/>
      </c>
      <c r="Q41" s="69" t="str">
        <f>IF(AND('Mapa final'!$AA$37="Baja",'Mapa final'!$AC$37="Menor"),CONCATENATE("R6C",'Mapa final'!$Q$37),"")</f>
        <v/>
      </c>
      <c r="R41" s="69" t="str">
        <f>IF(AND('Mapa final'!$AA$38="Baja",'Mapa final'!$AC$38="Menor"),CONCATENATE("R6C",'Mapa final'!$Q$38),"")</f>
        <v/>
      </c>
      <c r="S41" s="69" t="str">
        <f>IF(AND('Mapa final'!$AA$39="Baja",'Mapa final'!$AC$39="Menor"),CONCATENATE("R6C",'Mapa final'!$Q$39),"")</f>
        <v/>
      </c>
      <c r="T41" s="69" t="str">
        <f>IF(AND('Mapa final'!$AA$40="Baja",'Mapa final'!$AC$40="Menor"),CONCATENATE("R6C",'Mapa final'!$Q$40),"")</f>
        <v/>
      </c>
      <c r="U41" s="70" t="str">
        <f>IF(AND('Mapa final'!$AA$41="Baja",'Mapa final'!$AC$41="Menor"),CONCATENATE("R6C",'Mapa final'!$Q$41),"")</f>
        <v/>
      </c>
      <c r="V41" s="68" t="str">
        <f>IF(AND('Mapa final'!$AA$36="Baja",'Mapa final'!$AC$36="Moderado"),CONCATENATE("R6C",'Mapa final'!$Q$36),"")</f>
        <v/>
      </c>
      <c r="W41" s="69" t="str">
        <f>IF(AND('Mapa final'!$AA$37="Baja",'Mapa final'!$AC$37="Moderado"),CONCATENATE("R6C",'Mapa final'!$Q$37),"")</f>
        <v/>
      </c>
      <c r="X41" s="69" t="str">
        <f>IF(AND('Mapa final'!$AA$38="Baja",'Mapa final'!$AC$38="Moderado"),CONCATENATE("R6C",'Mapa final'!$Q$38),"")</f>
        <v/>
      </c>
      <c r="Y41" s="69" t="str">
        <f>IF(AND('Mapa final'!$AA$39="Baja",'Mapa final'!$AC$39="Moderado"),CONCATENATE("R6C",'Mapa final'!$Q$39),"")</f>
        <v/>
      </c>
      <c r="Z41" s="69" t="str">
        <f>IF(AND('Mapa final'!$AA$40="Baja",'Mapa final'!$AC$40="Moderado"),CONCATENATE("R6C",'Mapa final'!$Q$40),"")</f>
        <v/>
      </c>
      <c r="AA41" s="70" t="str">
        <f>IF(AND('Mapa final'!$AA$41="Baja",'Mapa final'!$AC$41="Moderado"),CONCATENATE("R6C",'Mapa final'!$Q$41),"")</f>
        <v/>
      </c>
      <c r="AB41" s="52" t="str">
        <f>IF(AND('Mapa final'!$AA$36="Baja",'Mapa final'!$AC$36="Mayor"),CONCATENATE("R6C",'Mapa final'!$Q$36),"")</f>
        <v/>
      </c>
      <c r="AC41" s="53" t="str">
        <f>IF(AND('Mapa final'!$AA$37="Baja",'Mapa final'!$AC$37="Mayor"),CONCATENATE("R6C",'Mapa final'!$Q$37),"")</f>
        <v/>
      </c>
      <c r="AD41" s="58" t="str">
        <f>IF(AND('Mapa final'!$AA$38="Baja",'Mapa final'!$AC$38="Mayor"),CONCATENATE("R6C",'Mapa final'!$Q$38),"")</f>
        <v/>
      </c>
      <c r="AE41" s="58" t="str">
        <f>IF(AND('Mapa final'!$AA$39="Baja",'Mapa final'!$AC$39="Mayor"),CONCATENATE("R6C",'Mapa final'!$Q$39),"")</f>
        <v/>
      </c>
      <c r="AF41" s="58" t="str">
        <f>IF(AND('Mapa final'!$AA$40="Baja",'Mapa final'!$AC$40="Mayor"),CONCATENATE("R6C",'Mapa final'!$Q$40),"")</f>
        <v/>
      </c>
      <c r="AG41" s="54" t="str">
        <f>IF(AND('Mapa final'!$AA$41="Baja",'Mapa final'!$AC$41="Mayor"),CONCATENATE("R6C",'Mapa final'!$Q$41),"")</f>
        <v/>
      </c>
      <c r="AH41" s="55" t="str">
        <f>IF(AND('Mapa final'!$AA$36="Baja",'Mapa final'!$AC$36="Catastrófico"),CONCATENATE("R6C",'Mapa final'!$Q$36),"")</f>
        <v/>
      </c>
      <c r="AI41" s="56" t="str">
        <f>IF(AND('Mapa final'!$AA$37="Baja",'Mapa final'!$AC$37="Catastrófico"),CONCATENATE("R6C",'Mapa final'!$Q$37),"")</f>
        <v/>
      </c>
      <c r="AJ41" s="56" t="str">
        <f>IF(AND('Mapa final'!$AA$38="Baja",'Mapa final'!$AC$38="Catastrófico"),CONCATENATE("R6C",'Mapa final'!$Q$38),"")</f>
        <v/>
      </c>
      <c r="AK41" s="56" t="str">
        <f>IF(AND('Mapa final'!$AA$39="Baja",'Mapa final'!$AC$39="Catastrófico"),CONCATENATE("R6C",'Mapa final'!$Q$39),"")</f>
        <v/>
      </c>
      <c r="AL41" s="56" t="str">
        <f>IF(AND('Mapa final'!$AA$40="Baja",'Mapa final'!$AC$40="Catastrófico"),CONCATENATE("R6C",'Mapa final'!$Q$40),"")</f>
        <v/>
      </c>
      <c r="AM41" s="57" t="str">
        <f>IF(AND('Mapa final'!$AA$41="Baja",'Mapa final'!$AC$41="Catastrófico"),CONCATENATE("R6C",'Mapa final'!$Q$41),"")</f>
        <v/>
      </c>
      <c r="AN41" s="84"/>
      <c r="AO41" s="443"/>
      <c r="AP41" s="444"/>
      <c r="AQ41" s="444"/>
      <c r="AR41" s="444"/>
      <c r="AS41" s="444"/>
      <c r="AT41" s="445"/>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c r="A42" s="84"/>
      <c r="B42" s="370"/>
      <c r="C42" s="370"/>
      <c r="D42" s="371"/>
      <c r="E42" s="411"/>
      <c r="F42" s="412"/>
      <c r="G42" s="412"/>
      <c r="H42" s="412"/>
      <c r="I42" s="428"/>
      <c r="J42" s="77" t="str">
        <f>IF(AND('Mapa final'!$AA$42="Baja",'Mapa final'!$AC$42="Leve"),CONCATENATE("R7C",'Mapa final'!$Q$42),"")</f>
        <v/>
      </c>
      <c r="K42" s="78" t="str">
        <f>IF(AND('Mapa final'!$AA$43="Baja",'Mapa final'!$AC$43="Leve"),CONCATENATE("R7C",'Mapa final'!$Q$43),"")</f>
        <v/>
      </c>
      <c r="L42" s="78" t="str">
        <f>IF(AND('Mapa final'!$AA$44="Baja",'Mapa final'!$AC$44="Leve"),CONCATENATE("R7C",'Mapa final'!$Q$44),"")</f>
        <v/>
      </c>
      <c r="M42" s="78" t="str">
        <f>IF(AND('Mapa final'!$AA$45="Baja",'Mapa final'!$AC$45="Leve"),CONCATENATE("R7C",'Mapa final'!$Q$45),"")</f>
        <v/>
      </c>
      <c r="N42" s="78" t="str">
        <f>IF(AND('Mapa final'!$AA$46="Baja",'Mapa final'!$AC$46="Leve"),CONCATENATE("R7C",'Mapa final'!$Q$46),"")</f>
        <v/>
      </c>
      <c r="O42" s="79" t="str">
        <f>IF(AND('Mapa final'!$AA$47="Baja",'Mapa final'!$AC$47="Leve"),CONCATENATE("R7C",'Mapa final'!$Q$47),"")</f>
        <v/>
      </c>
      <c r="P42" s="68" t="str">
        <f>IF(AND('Mapa final'!$AA$42="Baja",'Mapa final'!$AC$42="Menor"),CONCATENATE("R7C",'Mapa final'!$Q$42),"")</f>
        <v/>
      </c>
      <c r="Q42" s="69" t="str">
        <f>IF(AND('Mapa final'!$AA$43="Baja",'Mapa final'!$AC$43="Menor"),CONCATENATE("R7C",'Mapa final'!$Q$43),"")</f>
        <v/>
      </c>
      <c r="R42" s="69" t="str">
        <f>IF(AND('Mapa final'!$AA$44="Baja",'Mapa final'!$AC$44="Menor"),CONCATENATE("R7C",'Mapa final'!$Q$44),"")</f>
        <v/>
      </c>
      <c r="S42" s="69" t="str">
        <f>IF(AND('Mapa final'!$AA$45="Baja",'Mapa final'!$AC$45="Menor"),CONCATENATE("R7C",'Mapa final'!$Q$45),"")</f>
        <v/>
      </c>
      <c r="T42" s="69" t="str">
        <f>IF(AND('Mapa final'!$AA$46="Baja",'Mapa final'!$AC$46="Menor"),CONCATENATE("R7C",'Mapa final'!$Q$46),"")</f>
        <v/>
      </c>
      <c r="U42" s="70" t="str">
        <f>IF(AND('Mapa final'!$AA$47="Baja",'Mapa final'!$AC$47="Menor"),CONCATENATE("R7C",'Mapa final'!$Q$47),"")</f>
        <v/>
      </c>
      <c r="V42" s="68" t="str">
        <f>IF(AND('Mapa final'!$AA$42="Baja",'Mapa final'!$AC$42="Moderado"),CONCATENATE("R7C",'Mapa final'!$Q$42),"")</f>
        <v/>
      </c>
      <c r="W42" s="69" t="str">
        <f>IF(AND('Mapa final'!$AA$43="Baja",'Mapa final'!$AC$43="Moderado"),CONCATENATE("R7C",'Mapa final'!$Q$43),"")</f>
        <v/>
      </c>
      <c r="X42" s="69" t="str">
        <f>IF(AND('Mapa final'!$AA$44="Baja",'Mapa final'!$AC$44="Moderado"),CONCATENATE("R7C",'Mapa final'!$Q$44),"")</f>
        <v/>
      </c>
      <c r="Y42" s="69" t="str">
        <f>IF(AND('Mapa final'!$AA$45="Baja",'Mapa final'!$AC$45="Moderado"),CONCATENATE("R7C",'Mapa final'!$Q$45),"")</f>
        <v/>
      </c>
      <c r="Z42" s="69" t="str">
        <f>IF(AND('Mapa final'!$AA$46="Baja",'Mapa final'!$AC$46="Moderado"),CONCATENATE("R7C",'Mapa final'!$Q$46),"")</f>
        <v/>
      </c>
      <c r="AA42" s="70" t="str">
        <f>IF(AND('Mapa final'!$AA$47="Baja",'Mapa final'!$AC$47="Moderado"),CONCATENATE("R7C",'Mapa final'!$Q$47),"")</f>
        <v/>
      </c>
      <c r="AB42" s="52" t="str">
        <f>IF(AND('Mapa final'!$AA$42="Baja",'Mapa final'!$AC$42="Mayor"),CONCATENATE("R7C",'Mapa final'!$Q$42),"")</f>
        <v/>
      </c>
      <c r="AC42" s="53" t="str">
        <f>IF(AND('Mapa final'!$AA$43="Baja",'Mapa final'!$AC$43="Mayor"),CONCATENATE("R7C",'Mapa final'!$Q$43),"")</f>
        <v/>
      </c>
      <c r="AD42" s="58" t="str">
        <f>IF(AND('Mapa final'!$AA$44="Baja",'Mapa final'!$AC$44="Mayor"),CONCATENATE("R7C",'Mapa final'!$Q$44),"")</f>
        <v/>
      </c>
      <c r="AE42" s="58" t="str">
        <f>IF(AND('Mapa final'!$AA$45="Baja",'Mapa final'!$AC$45="Mayor"),CONCATENATE("R7C",'Mapa final'!$Q$45),"")</f>
        <v/>
      </c>
      <c r="AF42" s="58" t="str">
        <f>IF(AND('Mapa final'!$AA$46="Baja",'Mapa final'!$AC$46="Mayor"),CONCATENATE("R7C",'Mapa final'!$Q$46),"")</f>
        <v/>
      </c>
      <c r="AG42" s="54" t="str">
        <f>IF(AND('Mapa final'!$AA$47="Baja",'Mapa final'!$AC$47="Mayor"),CONCATENATE("R7C",'Mapa final'!$Q$47),"")</f>
        <v/>
      </c>
      <c r="AH42" s="55" t="str">
        <f>IF(AND('Mapa final'!$AA$42="Baja",'Mapa final'!$AC$42="Catastrófico"),CONCATENATE("R7C",'Mapa final'!$Q$42),"")</f>
        <v/>
      </c>
      <c r="AI42" s="56" t="str">
        <f>IF(AND('Mapa final'!$AA$43="Baja",'Mapa final'!$AC$43="Catastrófico"),CONCATENATE("R7C",'Mapa final'!$Q$43),"")</f>
        <v/>
      </c>
      <c r="AJ42" s="56" t="str">
        <f>IF(AND('Mapa final'!$AA$44="Baja",'Mapa final'!$AC$44="Catastrófico"),CONCATENATE("R7C",'Mapa final'!$Q$44),"")</f>
        <v/>
      </c>
      <c r="AK42" s="56" t="str">
        <f>IF(AND('Mapa final'!$AA$45="Baja",'Mapa final'!$AC$45="Catastrófico"),CONCATENATE("R7C",'Mapa final'!$Q$45),"")</f>
        <v/>
      </c>
      <c r="AL42" s="56" t="str">
        <f>IF(AND('Mapa final'!$AA$46="Baja",'Mapa final'!$AC$46="Catastrófico"),CONCATENATE("R7C",'Mapa final'!$Q$46),"")</f>
        <v/>
      </c>
      <c r="AM42" s="57" t="str">
        <f>IF(AND('Mapa final'!$AA$47="Baja",'Mapa final'!$AC$47="Catastrófico"),CONCATENATE("R7C",'Mapa final'!$Q$47),"")</f>
        <v/>
      </c>
      <c r="AN42" s="84"/>
      <c r="AO42" s="443"/>
      <c r="AP42" s="444"/>
      <c r="AQ42" s="444"/>
      <c r="AR42" s="444"/>
      <c r="AS42" s="444"/>
      <c r="AT42" s="445"/>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c r="A43" s="84"/>
      <c r="B43" s="370"/>
      <c r="C43" s="370"/>
      <c r="D43" s="371"/>
      <c r="E43" s="411"/>
      <c r="F43" s="412"/>
      <c r="G43" s="412"/>
      <c r="H43" s="412"/>
      <c r="I43" s="428"/>
      <c r="J43" s="77" t="str">
        <f>IF(AND('Mapa final'!$AA$48="Baja",'Mapa final'!$AC$48="Leve"),CONCATENATE("R8C",'Mapa final'!$Q$48),"")</f>
        <v/>
      </c>
      <c r="K43" s="78" t="str">
        <f>IF(AND('Mapa final'!$AA$49="Baja",'Mapa final'!$AC$49="Leve"),CONCATENATE("R8C",'Mapa final'!$Q$49),"")</f>
        <v/>
      </c>
      <c r="L43" s="78" t="str">
        <f>IF(AND('Mapa final'!$AA$50="Baja",'Mapa final'!$AC$50="Leve"),CONCATENATE("R8C",'Mapa final'!$Q$50),"")</f>
        <v/>
      </c>
      <c r="M43" s="78" t="str">
        <f>IF(AND('Mapa final'!$AA$51="Baja",'Mapa final'!$AC$51="Leve"),CONCATENATE("R8C",'Mapa final'!$Q$51),"")</f>
        <v/>
      </c>
      <c r="N43" s="78" t="str">
        <f>IF(AND('Mapa final'!$AA$52="Baja",'Mapa final'!$AC$52="Leve"),CONCATENATE("R8C",'Mapa final'!$Q$52),"")</f>
        <v/>
      </c>
      <c r="O43" s="79" t="str">
        <f>IF(AND('Mapa final'!$AA$53="Baja",'Mapa final'!$AC$53="Leve"),CONCATENATE("R8C",'Mapa final'!$Q$53),"")</f>
        <v/>
      </c>
      <c r="P43" s="68" t="str">
        <f>IF(AND('Mapa final'!$AA$48="Baja",'Mapa final'!$AC$48="Menor"),CONCATENATE("R8C",'Mapa final'!$Q$48),"")</f>
        <v/>
      </c>
      <c r="Q43" s="69" t="str">
        <f>IF(AND('Mapa final'!$AA$49="Baja",'Mapa final'!$AC$49="Menor"),CONCATENATE("R8C",'Mapa final'!$Q$49),"")</f>
        <v/>
      </c>
      <c r="R43" s="69" t="str">
        <f>IF(AND('Mapa final'!$AA$50="Baja",'Mapa final'!$AC$50="Menor"),CONCATENATE("R8C",'Mapa final'!$Q$50),"")</f>
        <v/>
      </c>
      <c r="S43" s="69" t="str">
        <f>IF(AND('Mapa final'!$AA$51="Baja",'Mapa final'!$AC$51="Menor"),CONCATENATE("R8C",'Mapa final'!$Q$51),"")</f>
        <v/>
      </c>
      <c r="T43" s="69" t="str">
        <f>IF(AND('Mapa final'!$AA$52="Baja",'Mapa final'!$AC$52="Menor"),CONCATENATE("R8C",'Mapa final'!$Q$52),"")</f>
        <v/>
      </c>
      <c r="U43" s="70" t="str">
        <f>IF(AND('Mapa final'!$AA$53="Baja",'Mapa final'!$AC$53="Menor"),CONCATENATE("R8C",'Mapa final'!$Q$53),"")</f>
        <v/>
      </c>
      <c r="V43" s="68" t="str">
        <f>IF(AND('Mapa final'!$AA$48="Baja",'Mapa final'!$AC$48="Moderado"),CONCATENATE("R8C",'Mapa final'!$Q$48),"")</f>
        <v/>
      </c>
      <c r="W43" s="69" t="str">
        <f>IF(AND('Mapa final'!$AA$49="Baja",'Mapa final'!$AC$49="Moderado"),CONCATENATE("R8C",'Mapa final'!$Q$49),"")</f>
        <v/>
      </c>
      <c r="X43" s="69" t="str">
        <f>IF(AND('Mapa final'!$AA$50="Baja",'Mapa final'!$AC$50="Moderado"),CONCATENATE("R8C",'Mapa final'!$Q$50),"")</f>
        <v/>
      </c>
      <c r="Y43" s="69" t="str">
        <f>IF(AND('Mapa final'!$AA$51="Baja",'Mapa final'!$AC$51="Moderado"),CONCATENATE("R8C",'Mapa final'!$Q$51),"")</f>
        <v/>
      </c>
      <c r="Z43" s="69" t="str">
        <f>IF(AND('Mapa final'!$AA$52="Baja",'Mapa final'!$AC$52="Moderado"),CONCATENATE("R8C",'Mapa final'!$Q$52),"")</f>
        <v/>
      </c>
      <c r="AA43" s="70" t="str">
        <f>IF(AND('Mapa final'!$AA$53="Baja",'Mapa final'!$AC$53="Moderado"),CONCATENATE("R8C",'Mapa final'!$Q$53),"")</f>
        <v/>
      </c>
      <c r="AB43" s="52" t="str">
        <f>IF(AND('Mapa final'!$AA$48="Baja",'Mapa final'!$AC$48="Mayor"),CONCATENATE("R8C",'Mapa final'!$Q$48),"")</f>
        <v/>
      </c>
      <c r="AC43" s="53" t="str">
        <f>IF(AND('Mapa final'!$AA$49="Baja",'Mapa final'!$AC$49="Mayor"),CONCATENATE("R8C",'Mapa final'!$Q$49),"")</f>
        <v/>
      </c>
      <c r="AD43" s="58" t="str">
        <f>IF(AND('Mapa final'!$AA$50="Baja",'Mapa final'!$AC$50="Mayor"),CONCATENATE("R8C",'Mapa final'!$Q$50),"")</f>
        <v/>
      </c>
      <c r="AE43" s="58" t="str">
        <f>IF(AND('Mapa final'!$AA$51="Baja",'Mapa final'!$AC$51="Mayor"),CONCATENATE("R8C",'Mapa final'!$Q$51),"")</f>
        <v/>
      </c>
      <c r="AF43" s="58" t="str">
        <f>IF(AND('Mapa final'!$AA$52="Baja",'Mapa final'!$AC$52="Mayor"),CONCATENATE("R8C",'Mapa final'!$Q$52),"")</f>
        <v/>
      </c>
      <c r="AG43" s="54" t="str">
        <f>IF(AND('Mapa final'!$AA$53="Baja",'Mapa final'!$AC$53="Mayor"),CONCATENATE("R8C",'Mapa final'!$Q$53),"")</f>
        <v/>
      </c>
      <c r="AH43" s="55" t="str">
        <f>IF(AND('Mapa final'!$AA$48="Baja",'Mapa final'!$AC$48="Catastrófico"),CONCATENATE("R8C",'Mapa final'!$Q$48),"")</f>
        <v/>
      </c>
      <c r="AI43" s="56" t="str">
        <f>IF(AND('Mapa final'!$AA$49="Baja",'Mapa final'!$AC$49="Catastrófico"),CONCATENATE("R8C",'Mapa final'!$Q$49),"")</f>
        <v/>
      </c>
      <c r="AJ43" s="56" t="str">
        <f>IF(AND('Mapa final'!$AA$50="Baja",'Mapa final'!$AC$50="Catastrófico"),CONCATENATE("R8C",'Mapa final'!$Q$50),"")</f>
        <v/>
      </c>
      <c r="AK43" s="56" t="str">
        <f>IF(AND('Mapa final'!$AA$51="Baja",'Mapa final'!$AC$51="Catastrófico"),CONCATENATE("R8C",'Mapa final'!$Q$51),"")</f>
        <v/>
      </c>
      <c r="AL43" s="56" t="str">
        <f>IF(AND('Mapa final'!$AA$52="Baja",'Mapa final'!$AC$52="Catastrófico"),CONCATENATE("R8C",'Mapa final'!$Q$52),"")</f>
        <v/>
      </c>
      <c r="AM43" s="57" t="str">
        <f>IF(AND('Mapa final'!$AA$53="Baja",'Mapa final'!$AC$53="Catastrófico"),CONCATENATE("R8C",'Mapa final'!$Q$53),"")</f>
        <v/>
      </c>
      <c r="AN43" s="84"/>
      <c r="AO43" s="443"/>
      <c r="AP43" s="444"/>
      <c r="AQ43" s="444"/>
      <c r="AR43" s="444"/>
      <c r="AS43" s="444"/>
      <c r="AT43" s="445"/>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c r="A44" s="84"/>
      <c r="B44" s="370"/>
      <c r="C44" s="370"/>
      <c r="D44" s="371"/>
      <c r="E44" s="411"/>
      <c r="F44" s="412"/>
      <c r="G44" s="412"/>
      <c r="H44" s="412"/>
      <c r="I44" s="428"/>
      <c r="J44" s="77" t="str">
        <f>IF(AND('Mapa final'!$AA$54="Baja",'Mapa final'!$AC$54="Leve"),CONCATENATE("R9C",'Mapa final'!$Q$54),"")</f>
        <v/>
      </c>
      <c r="K44" s="78" t="str">
        <f>IF(AND('Mapa final'!$AA$55="Baja",'Mapa final'!$AC$55="Leve"),CONCATENATE("R9C",'Mapa final'!$Q$55),"")</f>
        <v/>
      </c>
      <c r="L44" s="78" t="str">
        <f>IF(AND('Mapa final'!$AA$56="Baja",'Mapa final'!$AC$56="Leve"),CONCATENATE("R9C",'Mapa final'!$Q$56),"")</f>
        <v/>
      </c>
      <c r="M44" s="78" t="str">
        <f>IF(AND('Mapa final'!$AA$57="Baja",'Mapa final'!$AC$57="Leve"),CONCATENATE("R9C",'Mapa final'!$Q$57),"")</f>
        <v/>
      </c>
      <c r="N44" s="78" t="str">
        <f>IF(AND('Mapa final'!$AA$58="Baja",'Mapa final'!$AC$58="Leve"),CONCATENATE("R9C",'Mapa final'!$Q$58),"")</f>
        <v/>
      </c>
      <c r="O44" s="79" t="str">
        <f>IF(AND('Mapa final'!$AA$59="Baja",'Mapa final'!$AC$59="Leve"),CONCATENATE("R9C",'Mapa final'!$Q$59),"")</f>
        <v/>
      </c>
      <c r="P44" s="68" t="str">
        <f>IF(AND('Mapa final'!$AA$54="Baja",'Mapa final'!$AC$54="Menor"),CONCATENATE("R9C",'Mapa final'!$Q$54),"")</f>
        <v/>
      </c>
      <c r="Q44" s="69" t="str">
        <f>IF(AND('Mapa final'!$AA$55="Baja",'Mapa final'!$AC$55="Menor"),CONCATENATE("R9C",'Mapa final'!$Q$55),"")</f>
        <v/>
      </c>
      <c r="R44" s="69" t="str">
        <f>IF(AND('Mapa final'!$AA$56="Baja",'Mapa final'!$AC$56="Menor"),CONCATENATE("R9C",'Mapa final'!$Q$56),"")</f>
        <v/>
      </c>
      <c r="S44" s="69" t="str">
        <f>IF(AND('Mapa final'!$AA$57="Baja",'Mapa final'!$AC$57="Menor"),CONCATENATE("R9C",'Mapa final'!$Q$57),"")</f>
        <v/>
      </c>
      <c r="T44" s="69" t="str">
        <f>IF(AND('Mapa final'!$AA$58="Baja",'Mapa final'!$AC$58="Menor"),CONCATENATE("R9C",'Mapa final'!$Q$58),"")</f>
        <v/>
      </c>
      <c r="U44" s="70" t="str">
        <f>IF(AND('Mapa final'!$AA$59="Baja",'Mapa final'!$AC$59="Menor"),CONCATENATE("R9C",'Mapa final'!$Q$59),"")</f>
        <v/>
      </c>
      <c r="V44" s="68" t="str">
        <f>IF(AND('Mapa final'!$AA$54="Baja",'Mapa final'!$AC$54="Moderado"),CONCATENATE("R9C",'Mapa final'!$Q$54),"")</f>
        <v/>
      </c>
      <c r="W44" s="69" t="str">
        <f>IF(AND('Mapa final'!$AA$55="Baja",'Mapa final'!$AC$55="Moderado"),CONCATENATE("R9C",'Mapa final'!$Q$55),"")</f>
        <v/>
      </c>
      <c r="X44" s="69" t="str">
        <f>IF(AND('Mapa final'!$AA$56="Baja",'Mapa final'!$AC$56="Moderado"),CONCATENATE("R9C",'Mapa final'!$Q$56),"")</f>
        <v/>
      </c>
      <c r="Y44" s="69" t="str">
        <f>IF(AND('Mapa final'!$AA$57="Baja",'Mapa final'!$AC$57="Moderado"),CONCATENATE("R9C",'Mapa final'!$Q$57),"")</f>
        <v/>
      </c>
      <c r="Z44" s="69" t="str">
        <f>IF(AND('Mapa final'!$AA$58="Baja",'Mapa final'!$AC$58="Moderado"),CONCATENATE("R9C",'Mapa final'!$Q$58),"")</f>
        <v/>
      </c>
      <c r="AA44" s="70" t="str">
        <f>IF(AND('Mapa final'!$AA$59="Baja",'Mapa final'!$AC$59="Moderado"),CONCATENATE("R9C",'Mapa final'!$Q$59),"")</f>
        <v/>
      </c>
      <c r="AB44" s="52" t="str">
        <f>IF(AND('Mapa final'!$AA$54="Baja",'Mapa final'!$AC$54="Mayor"),CONCATENATE("R9C",'Mapa final'!$Q$54),"")</f>
        <v/>
      </c>
      <c r="AC44" s="53" t="str">
        <f>IF(AND('Mapa final'!$AA$55="Baja",'Mapa final'!$AC$55="Mayor"),CONCATENATE("R9C",'Mapa final'!$Q$55),"")</f>
        <v/>
      </c>
      <c r="AD44" s="58" t="str">
        <f>IF(AND('Mapa final'!$AA$56="Baja",'Mapa final'!$AC$56="Mayor"),CONCATENATE("R9C",'Mapa final'!$Q$56),"")</f>
        <v/>
      </c>
      <c r="AE44" s="58" t="str">
        <f>IF(AND('Mapa final'!$AA$57="Baja",'Mapa final'!$AC$57="Mayor"),CONCATENATE("R9C",'Mapa final'!$Q$57),"")</f>
        <v/>
      </c>
      <c r="AF44" s="58" t="str">
        <f>IF(AND('Mapa final'!$AA$58="Baja",'Mapa final'!$AC$58="Mayor"),CONCATENATE("R9C",'Mapa final'!$Q$58),"")</f>
        <v/>
      </c>
      <c r="AG44" s="54" t="str">
        <f>IF(AND('Mapa final'!$AA$59="Baja",'Mapa final'!$AC$59="Mayor"),CONCATENATE("R9C",'Mapa final'!$Q$59),"")</f>
        <v/>
      </c>
      <c r="AH44" s="55" t="str">
        <f>IF(AND('Mapa final'!$AA$54="Baja",'Mapa final'!$AC$54="Catastrófico"),CONCATENATE("R9C",'Mapa final'!$Q$54),"")</f>
        <v/>
      </c>
      <c r="AI44" s="56" t="str">
        <f>IF(AND('Mapa final'!$AA$55="Baja",'Mapa final'!$AC$55="Catastrófico"),CONCATENATE("R9C",'Mapa final'!$Q$55),"")</f>
        <v/>
      </c>
      <c r="AJ44" s="56" t="str">
        <f>IF(AND('Mapa final'!$AA$56="Baja",'Mapa final'!$AC$56="Catastrófico"),CONCATENATE("R9C",'Mapa final'!$Q$56),"")</f>
        <v/>
      </c>
      <c r="AK44" s="56" t="str">
        <f>IF(AND('Mapa final'!$AA$57="Baja",'Mapa final'!$AC$57="Catastrófico"),CONCATENATE("R9C",'Mapa final'!$Q$57),"")</f>
        <v/>
      </c>
      <c r="AL44" s="56" t="str">
        <f>IF(AND('Mapa final'!$AA$58="Baja",'Mapa final'!$AC$58="Catastrófico"),CONCATENATE("R9C",'Mapa final'!$Q$58),"")</f>
        <v/>
      </c>
      <c r="AM44" s="57" t="str">
        <f>IF(AND('Mapa final'!$AA$59="Baja",'Mapa final'!$AC$59="Catastrófico"),CONCATENATE("R9C",'Mapa final'!$Q$59),"")</f>
        <v/>
      </c>
      <c r="AN44" s="84"/>
      <c r="AO44" s="443"/>
      <c r="AP44" s="444"/>
      <c r="AQ44" s="444"/>
      <c r="AR44" s="444"/>
      <c r="AS44" s="444"/>
      <c r="AT44" s="445"/>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c r="A45" s="84"/>
      <c r="B45" s="370"/>
      <c r="C45" s="370"/>
      <c r="D45" s="371"/>
      <c r="E45" s="414"/>
      <c r="F45" s="415"/>
      <c r="G45" s="415"/>
      <c r="H45" s="415"/>
      <c r="I45" s="415"/>
      <c r="J45" s="80" t="str">
        <f>IF(AND('Mapa final'!$AA$60="Baja",'Mapa final'!$AC$60="Leve"),CONCATENATE("R10C",'Mapa final'!$Q$60),"")</f>
        <v/>
      </c>
      <c r="K45" s="81" t="str">
        <f>IF(AND('Mapa final'!$AA$61="Baja",'Mapa final'!$AC$61="Leve"),CONCATENATE("R10C",'Mapa final'!$Q$61),"")</f>
        <v/>
      </c>
      <c r="L45" s="81" t="str">
        <f>IF(AND('Mapa final'!$AA$62="Baja",'Mapa final'!$AC$62="Leve"),CONCATENATE("R10C",'Mapa final'!$Q$62),"")</f>
        <v/>
      </c>
      <c r="M45" s="81" t="str">
        <f>IF(AND('Mapa final'!$AA$63="Baja",'Mapa final'!$AC$63="Leve"),CONCATENATE("R10C",'Mapa final'!$Q$63),"")</f>
        <v/>
      </c>
      <c r="N45" s="81" t="str">
        <f>IF(AND('Mapa final'!$AA$64="Baja",'Mapa final'!$AC$64="Leve"),CONCATENATE("R10C",'Mapa final'!$Q$64),"")</f>
        <v/>
      </c>
      <c r="O45" s="82" t="str">
        <f>IF(AND('Mapa final'!$AA$65="Baja",'Mapa final'!$AC$65="Leve"),CONCATENATE("R10C",'Mapa final'!$Q$65),"")</f>
        <v/>
      </c>
      <c r="P45" s="68" t="str">
        <f>IF(AND('Mapa final'!$AA$60="Baja",'Mapa final'!$AC$60="Menor"),CONCATENATE("R10C",'Mapa final'!$Q$60),"")</f>
        <v/>
      </c>
      <c r="Q45" s="69" t="str">
        <f>IF(AND('Mapa final'!$AA$61="Baja",'Mapa final'!$AC$61="Menor"),CONCATENATE("R10C",'Mapa final'!$Q$61),"")</f>
        <v/>
      </c>
      <c r="R45" s="69" t="str">
        <f>IF(AND('Mapa final'!$AA$62="Baja",'Mapa final'!$AC$62="Menor"),CONCATENATE("R10C",'Mapa final'!$Q$62),"")</f>
        <v/>
      </c>
      <c r="S45" s="69" t="str">
        <f>IF(AND('Mapa final'!$AA$63="Baja",'Mapa final'!$AC$63="Menor"),CONCATENATE("R10C",'Mapa final'!$Q$63),"")</f>
        <v/>
      </c>
      <c r="T45" s="69" t="str">
        <f>IF(AND('Mapa final'!$AA$64="Baja",'Mapa final'!$AC$64="Menor"),CONCATENATE("R10C",'Mapa final'!$Q$64),"")</f>
        <v/>
      </c>
      <c r="U45" s="70" t="str">
        <f>IF(AND('Mapa final'!$AA$65="Baja",'Mapa final'!$AC$65="Menor"),CONCATENATE("R10C",'Mapa final'!$Q$65),"")</f>
        <v/>
      </c>
      <c r="V45" s="71" t="str">
        <f>IF(AND('Mapa final'!$AA$60="Baja",'Mapa final'!$AC$60="Moderado"),CONCATENATE("R10C",'Mapa final'!$Q$60),"")</f>
        <v/>
      </c>
      <c r="W45" s="72" t="str">
        <f>IF(AND('Mapa final'!$AA$61="Baja",'Mapa final'!$AC$61="Moderado"),CONCATENATE("R10C",'Mapa final'!$Q$61),"")</f>
        <v/>
      </c>
      <c r="X45" s="72" t="str">
        <f>IF(AND('Mapa final'!$AA$62="Baja",'Mapa final'!$AC$62="Moderado"),CONCATENATE("R10C",'Mapa final'!$Q$62),"")</f>
        <v/>
      </c>
      <c r="Y45" s="72" t="str">
        <f>IF(AND('Mapa final'!$AA$63="Baja",'Mapa final'!$AC$63="Moderado"),CONCATENATE("R10C",'Mapa final'!$Q$63),"")</f>
        <v/>
      </c>
      <c r="Z45" s="72" t="str">
        <f>IF(AND('Mapa final'!$AA$64="Baja",'Mapa final'!$AC$64="Moderado"),CONCATENATE("R10C",'Mapa final'!$Q$64),"")</f>
        <v/>
      </c>
      <c r="AA45" s="73" t="str">
        <f>IF(AND('Mapa final'!$AA$65="Baja",'Mapa final'!$AC$65="Moderado"),CONCATENATE("R10C",'Mapa final'!$Q$65),"")</f>
        <v/>
      </c>
      <c r="AB45" s="59" t="str">
        <f>IF(AND('Mapa final'!$AA$60="Baja",'Mapa final'!$AC$60="Mayor"),CONCATENATE("R10C",'Mapa final'!$Q$60),"")</f>
        <v/>
      </c>
      <c r="AC45" s="60" t="str">
        <f>IF(AND('Mapa final'!$AA$61="Baja",'Mapa final'!$AC$61="Mayor"),CONCATENATE("R10C",'Mapa final'!$Q$61),"")</f>
        <v/>
      </c>
      <c r="AD45" s="60" t="str">
        <f>IF(AND('Mapa final'!$AA$62="Baja",'Mapa final'!$AC$62="Mayor"),CONCATENATE("R10C",'Mapa final'!$Q$62),"")</f>
        <v/>
      </c>
      <c r="AE45" s="60" t="str">
        <f>IF(AND('Mapa final'!$AA$63="Baja",'Mapa final'!$AC$63="Mayor"),CONCATENATE("R10C",'Mapa final'!$Q$63),"")</f>
        <v/>
      </c>
      <c r="AF45" s="60" t="str">
        <f>IF(AND('Mapa final'!$AA$64="Baja",'Mapa final'!$AC$64="Mayor"),CONCATENATE("R10C",'Mapa final'!$Q$64),"")</f>
        <v/>
      </c>
      <c r="AG45" s="61" t="str">
        <f>IF(AND('Mapa final'!$AA$65="Baja",'Mapa final'!$AC$65="Mayor"),CONCATENATE("R10C",'Mapa final'!$Q$65),"")</f>
        <v/>
      </c>
      <c r="AH45" s="62" t="str">
        <f>IF(AND('Mapa final'!$AA$60="Baja",'Mapa final'!$AC$60="Catastrófico"),CONCATENATE("R10C",'Mapa final'!$Q$60),"")</f>
        <v/>
      </c>
      <c r="AI45" s="63" t="str">
        <f>IF(AND('Mapa final'!$AA$61="Baja",'Mapa final'!$AC$61="Catastrófico"),CONCATENATE("R10C",'Mapa final'!$Q$61),"")</f>
        <v/>
      </c>
      <c r="AJ45" s="63" t="str">
        <f>IF(AND('Mapa final'!$AA$62="Baja",'Mapa final'!$AC$62="Catastrófico"),CONCATENATE("R10C",'Mapa final'!$Q$62),"")</f>
        <v/>
      </c>
      <c r="AK45" s="63" t="str">
        <f>IF(AND('Mapa final'!$AA$63="Baja",'Mapa final'!$AC$63="Catastrófico"),CONCATENATE("R10C",'Mapa final'!$Q$63),"")</f>
        <v/>
      </c>
      <c r="AL45" s="63" t="str">
        <f>IF(AND('Mapa final'!$AA$64="Baja",'Mapa final'!$AC$64="Catastrófico"),CONCATENATE("R10C",'Mapa final'!$Q$64),"")</f>
        <v/>
      </c>
      <c r="AM45" s="64" t="str">
        <f>IF(AND('Mapa final'!$AA$65="Baja",'Mapa final'!$AC$65="Catastrófico"),CONCATENATE("R10C",'Mapa final'!$Q$65),"")</f>
        <v/>
      </c>
      <c r="AN45" s="84"/>
      <c r="AO45" s="446"/>
      <c r="AP45" s="447"/>
      <c r="AQ45" s="447"/>
      <c r="AR45" s="447"/>
      <c r="AS45" s="447"/>
      <c r="AT45" s="448"/>
    </row>
    <row r="46" spans="1:80" ht="46.5" customHeight="1">
      <c r="A46" s="84"/>
      <c r="B46" s="370"/>
      <c r="C46" s="370"/>
      <c r="D46" s="371"/>
      <c r="E46" s="408" t="s">
        <v>113</v>
      </c>
      <c r="F46" s="409"/>
      <c r="G46" s="409"/>
      <c r="H46" s="409"/>
      <c r="I46" s="410"/>
      <c r="J46" s="74" t="str">
        <f ca="1">IF(AND('Mapa final'!$AA$10="Muy Baja",'Mapa final'!$AC$10="Leve"),CONCATENATE("R1C",'Mapa final'!$Q$10),"")</f>
        <v/>
      </c>
      <c r="K46" s="75" t="str">
        <f ca="1">IF(AND('Mapa final'!$AA$11="Muy Baja",'Mapa final'!$AC$11="Leve"),CONCATENATE("R1C",'Mapa final'!$Q$11),"")</f>
        <v/>
      </c>
      <c r="L46" s="75" t="str">
        <f ca="1">IF(AND('Mapa final'!$AA$12="Muy Baja",'Mapa final'!$AC$12="Leve"),CONCATENATE("R1C",'Mapa final'!$Q$12),"")</f>
        <v/>
      </c>
      <c r="M46" s="75" t="str">
        <f>IF(AND('Mapa final'!$AA$13="Muy Baja",'Mapa final'!$AC$13="Leve"),CONCATENATE("R1C",'Mapa final'!$Q$13),"")</f>
        <v/>
      </c>
      <c r="N46" s="75" t="e">
        <f>IF(AND('Mapa final'!#REF!="Muy Baja",'Mapa final'!#REF!="Leve"),CONCATENATE("R1C",'Mapa final'!#REF!),"")</f>
        <v>#REF!</v>
      </c>
      <c r="O46" s="76" t="e">
        <f>IF(AND('Mapa final'!#REF!="Muy Baja",'Mapa final'!#REF!="Leve"),CONCATENATE("R1C",'Mapa final'!#REF!),"")</f>
        <v>#REF!</v>
      </c>
      <c r="P46" s="74" t="str">
        <f ca="1">IF(AND('Mapa final'!$AA$10="Muy Baja",'Mapa final'!$AC$10="Menor"),CONCATENATE("R1C",'Mapa final'!$Q$10),"")</f>
        <v/>
      </c>
      <c r="Q46" s="75" t="str">
        <f ca="1">IF(AND('Mapa final'!$AA$11="Muy Baja",'Mapa final'!$AC$11="Menor"),CONCATENATE("R1C",'Mapa final'!$Q$11),"")</f>
        <v/>
      </c>
      <c r="R46" s="75" t="str">
        <f ca="1">IF(AND('Mapa final'!$AA$12="Muy Baja",'Mapa final'!$AC$12="Menor"),CONCATENATE("R1C",'Mapa final'!$Q$12),"")</f>
        <v/>
      </c>
      <c r="S46" s="75" t="str">
        <f>IF(AND('Mapa final'!$AA$13="Muy Baja",'Mapa final'!$AC$13="Menor"),CONCATENATE("R1C",'Mapa final'!$Q$13),"")</f>
        <v/>
      </c>
      <c r="T46" s="75" t="e">
        <f>IF(AND('Mapa final'!#REF!="Muy Baja",'Mapa final'!#REF!="Menor"),CONCATENATE("R1C",'Mapa final'!#REF!),"")</f>
        <v>#REF!</v>
      </c>
      <c r="U46" s="76" t="e">
        <f>IF(AND('Mapa final'!#REF!="Muy Baja",'Mapa final'!#REF!="Menor"),CONCATENATE("R1C",'Mapa final'!#REF!),"")</f>
        <v>#REF!</v>
      </c>
      <c r="V46" s="65" t="str">
        <f ca="1">IF(AND('Mapa final'!$AA$10="Muy Baja",'Mapa final'!$AC$10="Moderado"),CONCATENATE("R1C",'Mapa final'!$Q$10),"")</f>
        <v/>
      </c>
      <c r="W46" s="83" t="str">
        <f ca="1">IF(AND('Mapa final'!$AA$11="Muy Baja",'Mapa final'!$AC$11="Moderado"),CONCATENATE("R1C",'Mapa final'!$Q$11),"")</f>
        <v/>
      </c>
      <c r="X46" s="66" t="str">
        <f ca="1">IF(AND('Mapa final'!$AA$12="Muy Baja",'Mapa final'!$AC$12="Moderado"),CONCATENATE("R1C",'Mapa final'!$Q$12),"")</f>
        <v/>
      </c>
      <c r="Y46" s="66" t="str">
        <f>IF(AND('Mapa final'!$AA$13="Muy Baja",'Mapa final'!$AC$13="Moderado"),CONCATENATE("R1C",'Mapa final'!$Q$13),"")</f>
        <v/>
      </c>
      <c r="Z46" s="66" t="e">
        <f>IF(AND('Mapa final'!#REF!="Muy Baja",'Mapa final'!#REF!="Moderado"),CONCATENATE("R1C",'Mapa final'!#REF!),"")</f>
        <v>#REF!</v>
      </c>
      <c r="AA46" s="67" t="e">
        <f>IF(AND('Mapa final'!#REF!="Muy Baja",'Mapa final'!#REF!="Moderado"),CONCATENATE("R1C",'Mapa final'!#REF!),"")</f>
        <v>#REF!</v>
      </c>
      <c r="AB46" s="46" t="str">
        <f ca="1">IF(AND('Mapa final'!$AA$10="Muy Baja",'Mapa final'!$AC$10="Mayor"),CONCATENATE("R1C",'Mapa final'!$Q$10),"")</f>
        <v/>
      </c>
      <c r="AC46" s="47" t="str">
        <f ca="1">IF(AND('Mapa final'!$AA$11="Muy Baja",'Mapa final'!$AC$11="Mayor"),CONCATENATE("R1C",'Mapa final'!$Q$11),"")</f>
        <v/>
      </c>
      <c r="AD46" s="47" t="str">
        <f ca="1">IF(AND('Mapa final'!$AA$12="Muy Baja",'Mapa final'!$AC$12="Mayor"),CONCATENATE("R1C",'Mapa final'!$Q$12),"")</f>
        <v>R1C3</v>
      </c>
      <c r="AE46" s="47" t="str">
        <f>IF(AND('Mapa final'!$AA$13="Muy Baja",'Mapa final'!$AC$13="Mayor"),CONCATENATE("R1C",'Mapa final'!$Q$13),"")</f>
        <v/>
      </c>
      <c r="AF46" s="47" t="e">
        <f>IF(AND('Mapa final'!#REF!="Muy Baja",'Mapa final'!#REF!="Mayor"),CONCATENATE("R1C",'Mapa final'!#REF!),"")</f>
        <v>#REF!</v>
      </c>
      <c r="AG46" s="48" t="e">
        <f>IF(AND('Mapa final'!#REF!="Muy Baja",'Mapa final'!#REF!="Mayor"),CONCATENATE("R1C",'Mapa final'!#REF!),"")</f>
        <v>#REF!</v>
      </c>
      <c r="AH46" s="49" t="str">
        <f ca="1">IF(AND('Mapa final'!$AA$10="Muy Baja",'Mapa final'!$AC$10="Catastrófico"),CONCATENATE("R1C",'Mapa final'!$Q$10),"")</f>
        <v/>
      </c>
      <c r="AI46" s="50" t="str">
        <f ca="1">IF(AND('Mapa final'!$AA$11="Muy Baja",'Mapa final'!$AC$11="Catastrófico"),CONCATENATE("R1C",'Mapa final'!$Q$11),"")</f>
        <v/>
      </c>
      <c r="AJ46" s="50" t="str">
        <f ca="1">IF(AND('Mapa final'!$AA$12="Muy Baja",'Mapa final'!$AC$12="Catastrófico"),CONCATENATE("R1C",'Mapa final'!$Q$12),"")</f>
        <v/>
      </c>
      <c r="AK46" s="50" t="str">
        <f>IF(AND('Mapa final'!$AA$13="Muy Baja",'Mapa final'!$AC$13="Catastrófico"),CONCATENATE("R1C",'Mapa final'!$Q$13),"")</f>
        <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c r="A47" s="84"/>
      <c r="B47" s="370"/>
      <c r="C47" s="370"/>
      <c r="D47" s="371"/>
      <c r="E47" s="427"/>
      <c r="F47" s="428"/>
      <c r="G47" s="428"/>
      <c r="H47" s="428"/>
      <c r="I47" s="413"/>
      <c r="J47" s="77" t="str">
        <f>IF(AND('Mapa final'!$AA$14="Muy Baja",'Mapa final'!$AC$14="Leve"),CONCATENATE("R2C",'Mapa final'!$Q$14),"")</f>
        <v/>
      </c>
      <c r="K47" s="78" t="e">
        <f>IF(AND('Mapa final'!#REF!="Muy Baja",'Mapa final'!#REF!="Leve"),CONCATENATE("R2C",'Mapa final'!#REF!),"")</f>
        <v>#REF!</v>
      </c>
      <c r="L47" s="78" t="str">
        <f>IF(AND('Mapa final'!$AA$15="Muy Baja",'Mapa final'!$AC$15="Leve"),CONCATENATE("R2C",'Mapa final'!$Q$15),"")</f>
        <v/>
      </c>
      <c r="M47" s="78" t="e">
        <f>IF(AND('Mapa final'!#REF!="Muy Baja",'Mapa final'!#REF!="Leve"),CONCATENATE("R2C",'Mapa final'!#REF!),"")</f>
        <v>#REF!</v>
      </c>
      <c r="N47" s="78" t="e">
        <f>IF(AND('Mapa final'!#REF!="Muy Baja",'Mapa final'!#REF!="Leve"),CONCATENATE("R2C",'Mapa final'!#REF!),"")</f>
        <v>#REF!</v>
      </c>
      <c r="O47" s="79" t="e">
        <f>IF(AND('Mapa final'!#REF!="Muy Baja",'Mapa final'!#REF!="Leve"),CONCATENATE("R2C",'Mapa final'!#REF!),"")</f>
        <v>#REF!</v>
      </c>
      <c r="P47" s="77" t="str">
        <f>IF(AND('Mapa final'!$AA$14="Muy Baja",'Mapa final'!$AC$14="Menor"),CONCATENATE("R2C",'Mapa final'!$Q$14),"")</f>
        <v/>
      </c>
      <c r="Q47" s="78" t="e">
        <f>IF(AND('Mapa final'!#REF!="Muy Baja",'Mapa final'!#REF!="Menor"),CONCATENATE("R2C",'Mapa final'!#REF!),"")</f>
        <v>#REF!</v>
      </c>
      <c r="R47" s="78" t="str">
        <f>IF(AND('Mapa final'!$AA$15="Muy Baja",'Mapa final'!$AC$15="Menor"),CONCATENATE("R2C",'Mapa final'!$Q$15),"")</f>
        <v/>
      </c>
      <c r="S47" s="78" t="e">
        <f>IF(AND('Mapa final'!#REF!="Muy Baja",'Mapa final'!#REF!="Menor"),CONCATENATE("R2C",'Mapa final'!#REF!),"")</f>
        <v>#REF!</v>
      </c>
      <c r="T47" s="78" t="e">
        <f>IF(AND('Mapa final'!#REF!="Muy Baja",'Mapa final'!#REF!="Menor"),CONCATENATE("R2C",'Mapa final'!#REF!),"")</f>
        <v>#REF!</v>
      </c>
      <c r="U47" s="79" t="e">
        <f>IF(AND('Mapa final'!#REF!="Muy Baja",'Mapa final'!#REF!="Menor"),CONCATENATE("R2C",'Mapa final'!#REF!),"")</f>
        <v>#REF!</v>
      </c>
      <c r="V47" s="68" t="str">
        <f>IF(AND('Mapa final'!$AA$14="Muy Baja",'Mapa final'!$AC$14="Moderado"),CONCATENATE("R2C",'Mapa final'!$Q$14),"")</f>
        <v/>
      </c>
      <c r="W47" s="69" t="e">
        <f>IF(AND('Mapa final'!#REF!="Muy Baja",'Mapa final'!#REF!="Moderado"),CONCATENATE("R2C",'Mapa final'!#REF!),"")</f>
        <v>#REF!</v>
      </c>
      <c r="X47" s="69" t="str">
        <f>IF(AND('Mapa final'!$AA$15="Muy Baja",'Mapa final'!$AC$15="Moderado"),CONCATENATE("R2C",'Mapa final'!$Q$15),"")</f>
        <v/>
      </c>
      <c r="Y47" s="69" t="e">
        <f>IF(AND('Mapa final'!#REF!="Muy Baja",'Mapa final'!#REF!="Moderado"),CONCATENATE("R2C",'Mapa final'!#REF!),"")</f>
        <v>#REF!</v>
      </c>
      <c r="Z47" s="69" t="e">
        <f>IF(AND('Mapa final'!#REF!="Muy Baja",'Mapa final'!#REF!="Moderado"),CONCATENATE("R2C",'Mapa final'!#REF!),"")</f>
        <v>#REF!</v>
      </c>
      <c r="AA47" s="70" t="e">
        <f>IF(AND('Mapa final'!#REF!="Muy Baja",'Mapa final'!#REF!="Moderado"),CONCATENATE("R2C",'Mapa final'!#REF!),"")</f>
        <v>#REF!</v>
      </c>
      <c r="AB47" s="52" t="str">
        <f>IF(AND('Mapa final'!$AA$14="Muy Baja",'Mapa final'!$AC$14="Mayor"),CONCATENATE("R2C",'Mapa final'!$Q$14),"")</f>
        <v/>
      </c>
      <c r="AC47" s="53" t="e">
        <f>IF(AND('Mapa final'!#REF!="Muy Baja",'Mapa final'!#REF!="Mayor"),CONCATENATE("R2C",'Mapa final'!#REF!),"")</f>
        <v>#REF!</v>
      </c>
      <c r="AD47" s="53" t="str">
        <f>IF(AND('Mapa final'!$AA$15="Muy Baja",'Mapa final'!$AC$15="Mayor"),CONCATENATE("R2C",'Mapa final'!$Q$15),"")</f>
        <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final'!$AA$14="Muy Baja",'Mapa final'!$AC$14="Catastrófico"),CONCATENATE("R2C",'Mapa final'!$Q$14),"")</f>
        <v/>
      </c>
      <c r="AI47" s="56" t="e">
        <f>IF(AND('Mapa final'!#REF!="Muy Baja",'Mapa final'!#REF!="Catastrófico"),CONCATENATE("R2C",'Mapa final'!#REF!),"")</f>
        <v>#REF!</v>
      </c>
      <c r="AJ47" s="56" t="str">
        <f>IF(AND('Mapa final'!$AA$15="Muy Baja",'Mapa final'!$AC$15="Catastrófico"),CONCATENATE("R2C",'Mapa final'!$Q$15),"")</f>
        <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c r="A48" s="84"/>
      <c r="B48" s="370"/>
      <c r="C48" s="370"/>
      <c r="D48" s="371"/>
      <c r="E48" s="427"/>
      <c r="F48" s="428"/>
      <c r="G48" s="428"/>
      <c r="H48" s="428"/>
      <c r="I48" s="413"/>
      <c r="J48" s="77" t="str">
        <f>IF(AND('Mapa final'!$AA$18="Muy Baja",'Mapa final'!$AC$18="Leve"),CONCATENATE("R3C",'Mapa final'!$Q$18),"")</f>
        <v/>
      </c>
      <c r="K48" s="78" t="str">
        <f>IF(AND('Mapa final'!$AA$19="Muy Baja",'Mapa final'!$AC$19="Leve"),CONCATENATE("R3C",'Mapa final'!$Q$19),"")</f>
        <v/>
      </c>
      <c r="L48" s="78" t="str">
        <f>IF(AND('Mapa final'!$AA$20="Muy Baja",'Mapa final'!$AC$20="Leve"),CONCATENATE("R3C",'Mapa final'!$Q$20),"")</f>
        <v/>
      </c>
      <c r="M48" s="78" t="str">
        <f>IF(AND('Mapa final'!$AA$21="Muy Baja",'Mapa final'!$AC$21="Leve"),CONCATENATE("R3C",'Mapa final'!$Q$21),"")</f>
        <v/>
      </c>
      <c r="N48" s="78" t="str">
        <f>IF(AND('Mapa final'!$AA$22="Muy Baja",'Mapa final'!$AC$22="Leve"),CONCATENATE("R3C",'Mapa final'!$Q$22),"")</f>
        <v/>
      </c>
      <c r="O48" s="79" t="str">
        <f>IF(AND('Mapa final'!$AA$23="Muy Baja",'Mapa final'!$AC$23="Leve"),CONCATENATE("R3C",'Mapa final'!$Q$23),"")</f>
        <v/>
      </c>
      <c r="P48" s="77" t="str">
        <f>IF(AND('Mapa final'!$AA$18="Muy Baja",'Mapa final'!$AC$18="Menor"),CONCATENATE("R3C",'Mapa final'!$Q$18),"")</f>
        <v/>
      </c>
      <c r="Q48" s="78" t="str">
        <f>IF(AND('Mapa final'!$AA$19="Muy Baja",'Mapa final'!$AC$19="Menor"),CONCATENATE("R3C",'Mapa final'!$Q$19),"")</f>
        <v/>
      </c>
      <c r="R48" s="78" t="str">
        <f>IF(AND('Mapa final'!$AA$20="Muy Baja",'Mapa final'!$AC$20="Menor"),CONCATENATE("R3C",'Mapa final'!$Q$20),"")</f>
        <v/>
      </c>
      <c r="S48" s="78" t="str">
        <f>IF(AND('Mapa final'!$AA$21="Muy Baja",'Mapa final'!$AC$21="Menor"),CONCATENATE("R3C",'Mapa final'!$Q$21),"")</f>
        <v/>
      </c>
      <c r="T48" s="78" t="str">
        <f>IF(AND('Mapa final'!$AA$22="Muy Baja",'Mapa final'!$AC$22="Menor"),CONCATENATE("R3C",'Mapa final'!$Q$22),"")</f>
        <v/>
      </c>
      <c r="U48" s="79" t="str">
        <f>IF(AND('Mapa final'!$AA$23="Muy Baja",'Mapa final'!$AC$23="Menor"),CONCATENATE("R3C",'Mapa final'!$Q$23),"")</f>
        <v/>
      </c>
      <c r="V48" s="68" t="str">
        <f>IF(AND('Mapa final'!$AA$18="Muy Baja",'Mapa final'!$AC$18="Moderado"),CONCATENATE("R3C",'Mapa final'!$Q$18),"")</f>
        <v/>
      </c>
      <c r="W48" s="69" t="str">
        <f>IF(AND('Mapa final'!$AA$19="Muy Baja",'Mapa final'!$AC$19="Moderado"),CONCATENATE("R3C",'Mapa final'!$Q$19),"")</f>
        <v/>
      </c>
      <c r="X48" s="69" t="str">
        <f>IF(AND('Mapa final'!$AA$20="Muy Baja",'Mapa final'!$AC$20="Moderado"),CONCATENATE("R3C",'Mapa final'!$Q$20),"")</f>
        <v/>
      </c>
      <c r="Y48" s="69" t="str">
        <f>IF(AND('Mapa final'!$AA$21="Muy Baja",'Mapa final'!$AC$21="Moderado"),CONCATENATE("R3C",'Mapa final'!$Q$21),"")</f>
        <v/>
      </c>
      <c r="Z48" s="69" t="str">
        <f>IF(AND('Mapa final'!$AA$22="Muy Baja",'Mapa final'!$AC$22="Moderado"),CONCATENATE("R3C",'Mapa final'!$Q$22),"")</f>
        <v/>
      </c>
      <c r="AA48" s="70" t="str">
        <f>IF(AND('Mapa final'!$AA$23="Muy Baja",'Mapa final'!$AC$23="Moderado"),CONCATENATE("R3C",'Mapa final'!$Q$23),"")</f>
        <v/>
      </c>
      <c r="AB48" s="52" t="str">
        <f>IF(AND('Mapa final'!$AA$18="Muy Baja",'Mapa final'!$AC$18="Mayor"),CONCATENATE("R3C",'Mapa final'!$Q$18),"")</f>
        <v/>
      </c>
      <c r="AC48" s="53" t="str">
        <f>IF(AND('Mapa final'!$AA$19="Muy Baja",'Mapa final'!$AC$19="Mayor"),CONCATENATE("R3C",'Mapa final'!$Q$19),"")</f>
        <v/>
      </c>
      <c r="AD48" s="53" t="str">
        <f>IF(AND('Mapa final'!$AA$20="Muy Baja",'Mapa final'!$AC$20="Mayor"),CONCATENATE("R3C",'Mapa final'!$Q$20),"")</f>
        <v/>
      </c>
      <c r="AE48" s="53" t="str">
        <f>IF(AND('Mapa final'!$AA$21="Muy Baja",'Mapa final'!$AC$21="Mayor"),CONCATENATE("R3C",'Mapa final'!$Q$21),"")</f>
        <v/>
      </c>
      <c r="AF48" s="53" t="str">
        <f>IF(AND('Mapa final'!$AA$22="Muy Baja",'Mapa final'!$AC$22="Mayor"),CONCATENATE("R3C",'Mapa final'!$Q$22),"")</f>
        <v/>
      </c>
      <c r="AG48" s="54" t="str">
        <f>IF(AND('Mapa final'!$AA$23="Muy Baja",'Mapa final'!$AC$23="Mayor"),CONCATENATE("R3C",'Mapa final'!$Q$23),"")</f>
        <v/>
      </c>
      <c r="AH48" s="55" t="str">
        <f>IF(AND('Mapa final'!$AA$18="Muy Baja",'Mapa final'!$AC$18="Catastrófico"),CONCATENATE("R3C",'Mapa final'!$Q$18),"")</f>
        <v/>
      </c>
      <c r="AI48" s="56" t="str">
        <f>IF(AND('Mapa final'!$AA$19="Muy Baja",'Mapa final'!$AC$19="Catastrófico"),CONCATENATE("R3C",'Mapa final'!$Q$19),"")</f>
        <v/>
      </c>
      <c r="AJ48" s="56" t="str">
        <f>IF(AND('Mapa final'!$AA$20="Muy Baja",'Mapa final'!$AC$20="Catastrófico"),CONCATENATE("R3C",'Mapa final'!$Q$20),"")</f>
        <v/>
      </c>
      <c r="AK48" s="56" t="str">
        <f>IF(AND('Mapa final'!$AA$21="Muy Baja",'Mapa final'!$AC$21="Catastrófico"),CONCATENATE("R3C",'Mapa final'!$Q$21),"")</f>
        <v/>
      </c>
      <c r="AL48" s="56" t="str">
        <f>IF(AND('Mapa final'!$AA$22="Muy Baja",'Mapa final'!$AC$22="Catastrófico"),CONCATENATE("R3C",'Mapa final'!$Q$22),"")</f>
        <v/>
      </c>
      <c r="AM48" s="57" t="str">
        <f>IF(AND('Mapa final'!$AA$23="Muy Baja",'Mapa final'!$AC$23="Catastrófico"),CONCATENATE("R3C",'Mapa final'!$Q$23),"")</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c r="A49" s="84"/>
      <c r="B49" s="370"/>
      <c r="C49" s="370"/>
      <c r="D49" s="371"/>
      <c r="E49" s="411"/>
      <c r="F49" s="412"/>
      <c r="G49" s="412"/>
      <c r="H49" s="412"/>
      <c r="I49" s="413"/>
      <c r="J49" s="77" t="str">
        <f>IF(AND('Mapa final'!$AA$24="Muy Baja",'Mapa final'!$AC$24="Leve"),CONCATENATE("R4C",'Mapa final'!$Q$24),"")</f>
        <v/>
      </c>
      <c r="K49" s="78" t="str">
        <f>IF(AND('Mapa final'!$AA$25="Muy Baja",'Mapa final'!$AC$25="Leve"),CONCATENATE("R4C",'Mapa final'!$Q$25),"")</f>
        <v/>
      </c>
      <c r="L49" s="78" t="str">
        <f>IF(AND('Mapa final'!$AA$26="Muy Baja",'Mapa final'!$AC$26="Leve"),CONCATENATE("R4C",'Mapa final'!$Q$26),"")</f>
        <v/>
      </c>
      <c r="M49" s="78" t="str">
        <f>IF(AND('Mapa final'!$AA$27="Muy Baja",'Mapa final'!$AC$27="Leve"),CONCATENATE("R4C",'Mapa final'!$Q$27),"")</f>
        <v/>
      </c>
      <c r="N49" s="78" t="str">
        <f>IF(AND('Mapa final'!$AA$28="Muy Baja",'Mapa final'!$AC$28="Leve"),CONCATENATE("R4C",'Mapa final'!$Q$28),"")</f>
        <v/>
      </c>
      <c r="O49" s="79" t="str">
        <f>IF(AND('Mapa final'!$AA$29="Muy Baja",'Mapa final'!$AC$29="Leve"),CONCATENATE("R4C",'Mapa final'!$Q$29),"")</f>
        <v/>
      </c>
      <c r="P49" s="77" t="str">
        <f>IF(AND('Mapa final'!$AA$24="Muy Baja",'Mapa final'!$AC$24="Menor"),CONCATENATE("R4C",'Mapa final'!$Q$24),"")</f>
        <v/>
      </c>
      <c r="Q49" s="78" t="str">
        <f>IF(AND('Mapa final'!$AA$25="Muy Baja",'Mapa final'!$AC$25="Menor"),CONCATENATE("R4C",'Mapa final'!$Q$25),"")</f>
        <v/>
      </c>
      <c r="R49" s="78" t="str">
        <f>IF(AND('Mapa final'!$AA$26="Muy Baja",'Mapa final'!$AC$26="Menor"),CONCATENATE("R4C",'Mapa final'!$Q$26),"")</f>
        <v/>
      </c>
      <c r="S49" s="78" t="str">
        <f>IF(AND('Mapa final'!$AA$27="Muy Baja",'Mapa final'!$AC$27="Menor"),CONCATENATE("R4C",'Mapa final'!$Q$27),"")</f>
        <v/>
      </c>
      <c r="T49" s="78" t="str">
        <f>IF(AND('Mapa final'!$AA$28="Muy Baja",'Mapa final'!$AC$28="Menor"),CONCATENATE("R4C",'Mapa final'!$Q$28),"")</f>
        <v/>
      </c>
      <c r="U49" s="79" t="str">
        <f>IF(AND('Mapa final'!$AA$29="Muy Baja",'Mapa final'!$AC$29="Menor"),CONCATENATE("R4C",'Mapa final'!$Q$29),"")</f>
        <v/>
      </c>
      <c r="V49" s="68" t="str">
        <f>IF(AND('Mapa final'!$AA$24="Muy Baja",'Mapa final'!$AC$24="Moderado"),CONCATENATE("R4C",'Mapa final'!$Q$24),"")</f>
        <v/>
      </c>
      <c r="W49" s="69" t="str">
        <f>IF(AND('Mapa final'!$AA$25="Muy Baja",'Mapa final'!$AC$25="Moderado"),CONCATENATE("R4C",'Mapa final'!$Q$25),"")</f>
        <v/>
      </c>
      <c r="X49" s="69" t="str">
        <f>IF(AND('Mapa final'!$AA$26="Muy Baja",'Mapa final'!$AC$26="Moderado"),CONCATENATE("R4C",'Mapa final'!$Q$26),"")</f>
        <v/>
      </c>
      <c r="Y49" s="69" t="str">
        <f>IF(AND('Mapa final'!$AA$27="Muy Baja",'Mapa final'!$AC$27="Moderado"),CONCATENATE("R4C",'Mapa final'!$Q$27),"")</f>
        <v/>
      </c>
      <c r="Z49" s="69" t="str">
        <f>IF(AND('Mapa final'!$AA$28="Muy Baja",'Mapa final'!$AC$28="Moderado"),CONCATENATE("R4C",'Mapa final'!$Q$28),"")</f>
        <v/>
      </c>
      <c r="AA49" s="70" t="str">
        <f>IF(AND('Mapa final'!$AA$29="Muy Baja",'Mapa final'!$AC$29="Moderado"),CONCATENATE("R4C",'Mapa final'!$Q$29),"")</f>
        <v/>
      </c>
      <c r="AB49" s="52" t="str">
        <f>IF(AND('Mapa final'!$AA$24="Muy Baja",'Mapa final'!$AC$24="Mayor"),CONCATENATE("R4C",'Mapa final'!$Q$24),"")</f>
        <v/>
      </c>
      <c r="AC49" s="53" t="str">
        <f>IF(AND('Mapa final'!$AA$25="Muy Baja",'Mapa final'!$AC$25="Mayor"),CONCATENATE("R4C",'Mapa final'!$Q$25),"")</f>
        <v/>
      </c>
      <c r="AD49" s="53" t="str">
        <f>IF(AND('Mapa final'!$AA$26="Muy Baja",'Mapa final'!$AC$26="Mayor"),CONCATENATE("R4C",'Mapa final'!$Q$26),"")</f>
        <v/>
      </c>
      <c r="AE49" s="53" t="str">
        <f>IF(AND('Mapa final'!$AA$27="Muy Baja",'Mapa final'!$AC$27="Mayor"),CONCATENATE("R4C",'Mapa final'!$Q$27),"")</f>
        <v/>
      </c>
      <c r="AF49" s="53" t="str">
        <f>IF(AND('Mapa final'!$AA$28="Muy Baja",'Mapa final'!$AC$28="Mayor"),CONCATENATE("R4C",'Mapa final'!$Q$28),"")</f>
        <v/>
      </c>
      <c r="AG49" s="54" t="str">
        <f>IF(AND('Mapa final'!$AA$29="Muy Baja",'Mapa final'!$AC$29="Mayor"),CONCATENATE("R4C",'Mapa final'!$Q$29),"")</f>
        <v/>
      </c>
      <c r="AH49" s="55" t="str">
        <f>IF(AND('Mapa final'!$AA$24="Muy Baja",'Mapa final'!$AC$24="Catastrófico"),CONCATENATE("R4C",'Mapa final'!$Q$24),"")</f>
        <v/>
      </c>
      <c r="AI49" s="56" t="str">
        <f>IF(AND('Mapa final'!$AA$25="Muy Baja",'Mapa final'!$AC$25="Catastrófico"),CONCATENATE("R4C",'Mapa final'!$Q$25),"")</f>
        <v/>
      </c>
      <c r="AJ49" s="56" t="str">
        <f>IF(AND('Mapa final'!$AA$26="Muy Baja",'Mapa final'!$AC$26="Catastrófico"),CONCATENATE("R4C",'Mapa final'!$Q$26),"")</f>
        <v/>
      </c>
      <c r="AK49" s="56" t="str">
        <f>IF(AND('Mapa final'!$AA$27="Muy Baja",'Mapa final'!$AC$27="Catastrófico"),CONCATENATE("R4C",'Mapa final'!$Q$27),"")</f>
        <v/>
      </c>
      <c r="AL49" s="56" t="str">
        <f>IF(AND('Mapa final'!$AA$28="Muy Baja",'Mapa final'!$AC$28="Catastrófico"),CONCATENATE("R4C",'Mapa final'!$Q$28),"")</f>
        <v/>
      </c>
      <c r="AM49" s="57" t="str">
        <f>IF(AND('Mapa final'!$AA$29="Muy Baja",'Mapa final'!$AC$29="Catastrófico"),CONCATENATE("R4C",'Mapa final'!$Q$29),"")</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c r="A50" s="84"/>
      <c r="B50" s="370"/>
      <c r="C50" s="370"/>
      <c r="D50" s="371"/>
      <c r="E50" s="411"/>
      <c r="F50" s="412"/>
      <c r="G50" s="412"/>
      <c r="H50" s="412"/>
      <c r="I50" s="413"/>
      <c r="J50" s="77" t="str">
        <f>IF(AND('Mapa final'!$AA$30="Muy Baja",'Mapa final'!$AC$30="Leve"),CONCATENATE("R5C",'Mapa final'!$Q$30),"")</f>
        <v/>
      </c>
      <c r="K50" s="78" t="str">
        <f>IF(AND('Mapa final'!$AA$31="Muy Baja",'Mapa final'!$AC$31="Leve"),CONCATENATE("R5C",'Mapa final'!$Q$31),"")</f>
        <v/>
      </c>
      <c r="L50" s="78" t="str">
        <f>IF(AND('Mapa final'!$AA$32="Muy Baja",'Mapa final'!$AC$32="Leve"),CONCATENATE("R5C",'Mapa final'!$Q$32),"")</f>
        <v/>
      </c>
      <c r="M50" s="78" t="str">
        <f>IF(AND('Mapa final'!$AA$33="Muy Baja",'Mapa final'!$AC$33="Leve"),CONCATENATE("R5C",'Mapa final'!$Q$33),"")</f>
        <v/>
      </c>
      <c r="N50" s="78" t="str">
        <f>IF(AND('Mapa final'!$AA$34="Muy Baja",'Mapa final'!$AC$34="Leve"),CONCATENATE("R5C",'Mapa final'!$Q$34),"")</f>
        <v/>
      </c>
      <c r="O50" s="79" t="str">
        <f>IF(AND('Mapa final'!$AA$35="Muy Baja",'Mapa final'!$AC$35="Leve"),CONCATENATE("R5C",'Mapa final'!$Q$35),"")</f>
        <v/>
      </c>
      <c r="P50" s="77" t="str">
        <f>IF(AND('Mapa final'!$AA$30="Muy Baja",'Mapa final'!$AC$30="Menor"),CONCATENATE("R5C",'Mapa final'!$Q$30),"")</f>
        <v/>
      </c>
      <c r="Q50" s="78" t="str">
        <f>IF(AND('Mapa final'!$AA$31="Muy Baja",'Mapa final'!$AC$31="Menor"),CONCATENATE("R5C",'Mapa final'!$Q$31),"")</f>
        <v/>
      </c>
      <c r="R50" s="78" t="str">
        <f>IF(AND('Mapa final'!$AA$32="Muy Baja",'Mapa final'!$AC$32="Menor"),CONCATENATE("R5C",'Mapa final'!$Q$32),"")</f>
        <v/>
      </c>
      <c r="S50" s="78" t="str">
        <f>IF(AND('Mapa final'!$AA$33="Muy Baja",'Mapa final'!$AC$33="Menor"),CONCATENATE("R5C",'Mapa final'!$Q$33),"")</f>
        <v/>
      </c>
      <c r="T50" s="78" t="str">
        <f>IF(AND('Mapa final'!$AA$34="Muy Baja",'Mapa final'!$AC$34="Menor"),CONCATENATE("R5C",'Mapa final'!$Q$34),"")</f>
        <v/>
      </c>
      <c r="U50" s="79" t="str">
        <f>IF(AND('Mapa final'!$AA$35="Muy Baja",'Mapa final'!$AC$35="Menor"),CONCATENATE("R5C",'Mapa final'!$Q$35),"")</f>
        <v/>
      </c>
      <c r="V50" s="68" t="str">
        <f>IF(AND('Mapa final'!$AA$30="Muy Baja",'Mapa final'!$AC$30="Moderado"),CONCATENATE("R5C",'Mapa final'!$Q$30),"")</f>
        <v/>
      </c>
      <c r="W50" s="69" t="str">
        <f>IF(AND('Mapa final'!$AA$31="Muy Baja",'Mapa final'!$AC$31="Moderado"),CONCATENATE("R5C",'Mapa final'!$Q$31),"")</f>
        <v/>
      </c>
      <c r="X50" s="69" t="str">
        <f>IF(AND('Mapa final'!$AA$32="Muy Baja",'Mapa final'!$AC$32="Moderado"),CONCATENATE("R5C",'Mapa final'!$Q$32),"")</f>
        <v/>
      </c>
      <c r="Y50" s="69" t="str">
        <f>IF(AND('Mapa final'!$AA$33="Muy Baja",'Mapa final'!$AC$33="Moderado"),CONCATENATE("R5C",'Mapa final'!$Q$33),"")</f>
        <v/>
      </c>
      <c r="Z50" s="69" t="str">
        <f>IF(AND('Mapa final'!$AA$34="Muy Baja",'Mapa final'!$AC$34="Moderado"),CONCATENATE("R5C",'Mapa final'!$Q$34),"")</f>
        <v/>
      </c>
      <c r="AA50" s="70" t="str">
        <f>IF(AND('Mapa final'!$AA$35="Muy Baja",'Mapa final'!$AC$35="Moderado"),CONCATENATE("R5C",'Mapa final'!$Q$35),"")</f>
        <v/>
      </c>
      <c r="AB50" s="52" t="str">
        <f>IF(AND('Mapa final'!$AA$30="Muy Baja",'Mapa final'!$AC$30="Mayor"),CONCATENATE("R5C",'Mapa final'!$Q$30),"")</f>
        <v/>
      </c>
      <c r="AC50" s="53" t="str">
        <f>IF(AND('Mapa final'!$AA$31="Muy Baja",'Mapa final'!$AC$31="Mayor"),CONCATENATE("R5C",'Mapa final'!$Q$31),"")</f>
        <v/>
      </c>
      <c r="AD50" s="58" t="str">
        <f>IF(AND('Mapa final'!$AA$32="Muy Baja",'Mapa final'!$AC$32="Mayor"),CONCATENATE("R5C",'Mapa final'!$Q$32),"")</f>
        <v/>
      </c>
      <c r="AE50" s="58" t="str">
        <f>IF(AND('Mapa final'!$AA$33="Muy Baja",'Mapa final'!$AC$33="Mayor"),CONCATENATE("R5C",'Mapa final'!$Q$33),"")</f>
        <v/>
      </c>
      <c r="AF50" s="58" t="str">
        <f>IF(AND('Mapa final'!$AA$34="Muy Baja",'Mapa final'!$AC$34="Mayor"),CONCATENATE("R5C",'Mapa final'!$Q$34),"")</f>
        <v/>
      </c>
      <c r="AG50" s="54" t="str">
        <f>IF(AND('Mapa final'!$AA$35="Muy Baja",'Mapa final'!$AC$35="Mayor"),CONCATENATE("R5C",'Mapa final'!$Q$35),"")</f>
        <v/>
      </c>
      <c r="AH50" s="55" t="str">
        <f>IF(AND('Mapa final'!$AA$30="Muy Baja",'Mapa final'!$AC$30="Catastrófico"),CONCATENATE("R5C",'Mapa final'!$Q$30),"")</f>
        <v/>
      </c>
      <c r="AI50" s="56" t="str">
        <f>IF(AND('Mapa final'!$AA$31="Muy Baja",'Mapa final'!$AC$31="Catastrófico"),CONCATENATE("R5C",'Mapa final'!$Q$31),"")</f>
        <v/>
      </c>
      <c r="AJ50" s="56" t="str">
        <f>IF(AND('Mapa final'!$AA$32="Muy Baja",'Mapa final'!$AC$32="Catastrófico"),CONCATENATE("R5C",'Mapa final'!$Q$32),"")</f>
        <v/>
      </c>
      <c r="AK50" s="56" t="str">
        <f>IF(AND('Mapa final'!$AA$33="Muy Baja",'Mapa final'!$AC$33="Catastrófico"),CONCATENATE("R5C",'Mapa final'!$Q$33),"")</f>
        <v/>
      </c>
      <c r="AL50" s="56" t="str">
        <f>IF(AND('Mapa final'!$AA$34="Muy Baja",'Mapa final'!$AC$34="Catastrófico"),CONCATENATE("R5C",'Mapa final'!$Q$34),"")</f>
        <v/>
      </c>
      <c r="AM50" s="57" t="str">
        <f>IF(AND('Mapa final'!$AA$35="Muy Baja",'Mapa final'!$AC$35="Catastrófico"),CONCATENATE("R5C",'Mapa final'!$Q$35),"")</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c r="A51" s="84"/>
      <c r="B51" s="370"/>
      <c r="C51" s="370"/>
      <c r="D51" s="371"/>
      <c r="E51" s="411"/>
      <c r="F51" s="412"/>
      <c r="G51" s="412"/>
      <c r="H51" s="412"/>
      <c r="I51" s="413"/>
      <c r="J51" s="77" t="str">
        <f>IF(AND('Mapa final'!$AA$36="Muy Baja",'Mapa final'!$AC$36="Leve"),CONCATENATE("R6C",'Mapa final'!$Q$36),"")</f>
        <v/>
      </c>
      <c r="K51" s="78" t="str">
        <f>IF(AND('Mapa final'!$AA$37="Muy Baja",'Mapa final'!$AC$37="Leve"),CONCATENATE("R6C",'Mapa final'!$Q$37),"")</f>
        <v/>
      </c>
      <c r="L51" s="78" t="str">
        <f>IF(AND('Mapa final'!$AA$38="Muy Baja",'Mapa final'!$AC$38="Leve"),CONCATENATE("R6C",'Mapa final'!$Q$38),"")</f>
        <v/>
      </c>
      <c r="M51" s="78" t="str">
        <f>IF(AND('Mapa final'!$AA$39="Muy Baja",'Mapa final'!$AC$39="Leve"),CONCATENATE("R6C",'Mapa final'!$Q$39),"")</f>
        <v/>
      </c>
      <c r="N51" s="78" t="str">
        <f>IF(AND('Mapa final'!$AA$40="Muy Baja",'Mapa final'!$AC$40="Leve"),CONCATENATE("R6C",'Mapa final'!$Q$40),"")</f>
        <v/>
      </c>
      <c r="O51" s="79" t="str">
        <f>IF(AND('Mapa final'!$AA$41="Muy Baja",'Mapa final'!$AC$41="Leve"),CONCATENATE("R6C",'Mapa final'!$Q$41),"")</f>
        <v/>
      </c>
      <c r="P51" s="77" t="str">
        <f>IF(AND('Mapa final'!$AA$36="Muy Baja",'Mapa final'!$AC$36="Menor"),CONCATENATE("R6C",'Mapa final'!$Q$36),"")</f>
        <v/>
      </c>
      <c r="Q51" s="78" t="str">
        <f>IF(AND('Mapa final'!$AA$37="Muy Baja",'Mapa final'!$AC$37="Menor"),CONCATENATE("R6C",'Mapa final'!$Q$37),"")</f>
        <v/>
      </c>
      <c r="R51" s="78" t="str">
        <f>IF(AND('Mapa final'!$AA$38="Muy Baja",'Mapa final'!$AC$38="Menor"),CONCATENATE("R6C",'Mapa final'!$Q$38),"")</f>
        <v/>
      </c>
      <c r="S51" s="78" t="str">
        <f>IF(AND('Mapa final'!$AA$39="Muy Baja",'Mapa final'!$AC$39="Menor"),CONCATENATE("R6C",'Mapa final'!$Q$39),"")</f>
        <v/>
      </c>
      <c r="T51" s="78" t="str">
        <f>IF(AND('Mapa final'!$AA$40="Muy Baja",'Mapa final'!$AC$40="Menor"),CONCATENATE("R6C",'Mapa final'!$Q$40),"")</f>
        <v/>
      </c>
      <c r="U51" s="79" t="str">
        <f>IF(AND('Mapa final'!$AA$41="Muy Baja",'Mapa final'!$AC$41="Menor"),CONCATENATE("R6C",'Mapa final'!$Q$41),"")</f>
        <v/>
      </c>
      <c r="V51" s="68" t="str">
        <f>IF(AND('Mapa final'!$AA$36="Muy Baja",'Mapa final'!$AC$36="Moderado"),CONCATENATE("R6C",'Mapa final'!$Q$36),"")</f>
        <v/>
      </c>
      <c r="W51" s="69" t="str">
        <f>IF(AND('Mapa final'!$AA$37="Muy Baja",'Mapa final'!$AC$37="Moderado"),CONCATENATE("R6C",'Mapa final'!$Q$37),"")</f>
        <v/>
      </c>
      <c r="X51" s="69" t="str">
        <f>IF(AND('Mapa final'!$AA$38="Muy Baja",'Mapa final'!$AC$38="Moderado"),CONCATENATE("R6C",'Mapa final'!$Q$38),"")</f>
        <v/>
      </c>
      <c r="Y51" s="69" t="str">
        <f>IF(AND('Mapa final'!$AA$39="Muy Baja",'Mapa final'!$AC$39="Moderado"),CONCATENATE("R6C",'Mapa final'!$Q$39),"")</f>
        <v/>
      </c>
      <c r="Z51" s="69" t="str">
        <f>IF(AND('Mapa final'!$AA$40="Muy Baja",'Mapa final'!$AC$40="Moderado"),CONCATENATE("R6C",'Mapa final'!$Q$40),"")</f>
        <v/>
      </c>
      <c r="AA51" s="70" t="str">
        <f>IF(AND('Mapa final'!$AA$41="Muy Baja",'Mapa final'!$AC$41="Moderado"),CONCATENATE("R6C",'Mapa final'!$Q$41),"")</f>
        <v/>
      </c>
      <c r="AB51" s="52" t="str">
        <f>IF(AND('Mapa final'!$AA$36="Muy Baja",'Mapa final'!$AC$36="Mayor"),CONCATENATE("R6C",'Mapa final'!$Q$36),"")</f>
        <v/>
      </c>
      <c r="AC51" s="53" t="str">
        <f>IF(AND('Mapa final'!$AA$37="Muy Baja",'Mapa final'!$AC$37="Mayor"),CONCATENATE("R6C",'Mapa final'!$Q$37),"")</f>
        <v/>
      </c>
      <c r="AD51" s="58" t="str">
        <f>IF(AND('Mapa final'!$AA$38="Muy Baja",'Mapa final'!$AC$38="Mayor"),CONCATENATE("R6C",'Mapa final'!$Q$38),"")</f>
        <v/>
      </c>
      <c r="AE51" s="58" t="str">
        <f>IF(AND('Mapa final'!$AA$39="Muy Baja",'Mapa final'!$AC$39="Mayor"),CONCATENATE("R6C",'Mapa final'!$Q$39),"")</f>
        <v/>
      </c>
      <c r="AF51" s="58" t="str">
        <f>IF(AND('Mapa final'!$AA$40="Muy Baja",'Mapa final'!$AC$40="Mayor"),CONCATENATE("R6C",'Mapa final'!$Q$40),"")</f>
        <v/>
      </c>
      <c r="AG51" s="54" t="str">
        <f>IF(AND('Mapa final'!$AA$41="Muy Baja",'Mapa final'!$AC$41="Mayor"),CONCATENATE("R6C",'Mapa final'!$Q$41),"")</f>
        <v/>
      </c>
      <c r="AH51" s="55" t="str">
        <f>IF(AND('Mapa final'!$AA$36="Muy Baja",'Mapa final'!$AC$36="Catastrófico"),CONCATENATE("R6C",'Mapa final'!$Q$36),"")</f>
        <v/>
      </c>
      <c r="AI51" s="56" t="str">
        <f>IF(AND('Mapa final'!$AA$37="Muy Baja",'Mapa final'!$AC$37="Catastrófico"),CONCATENATE("R6C",'Mapa final'!$Q$37),"")</f>
        <v/>
      </c>
      <c r="AJ51" s="56" t="str">
        <f>IF(AND('Mapa final'!$AA$38="Muy Baja",'Mapa final'!$AC$38="Catastrófico"),CONCATENATE("R6C",'Mapa final'!$Q$38),"")</f>
        <v/>
      </c>
      <c r="AK51" s="56" t="str">
        <f>IF(AND('Mapa final'!$AA$39="Muy Baja",'Mapa final'!$AC$39="Catastrófico"),CONCATENATE("R6C",'Mapa final'!$Q$39),"")</f>
        <v/>
      </c>
      <c r="AL51" s="56" t="str">
        <f>IF(AND('Mapa final'!$AA$40="Muy Baja",'Mapa final'!$AC$40="Catastrófico"),CONCATENATE("R6C",'Mapa final'!$Q$40),"")</f>
        <v/>
      </c>
      <c r="AM51" s="57" t="str">
        <f>IF(AND('Mapa final'!$AA$41="Muy Baja",'Mapa final'!$AC$41="Catastrófico"),CONCATENATE("R6C",'Mapa final'!$Q$41),"")</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c r="A52" s="84"/>
      <c r="B52" s="370"/>
      <c r="C52" s="370"/>
      <c r="D52" s="371"/>
      <c r="E52" s="411"/>
      <c r="F52" s="412"/>
      <c r="G52" s="412"/>
      <c r="H52" s="412"/>
      <c r="I52" s="413"/>
      <c r="J52" s="77" t="str">
        <f>IF(AND('Mapa final'!$AA$42="Muy Baja",'Mapa final'!$AC$42="Leve"),CONCATENATE("R7C",'Mapa final'!$Q$42),"")</f>
        <v/>
      </c>
      <c r="K52" s="78" t="str">
        <f>IF(AND('Mapa final'!$AA$43="Muy Baja",'Mapa final'!$AC$43="Leve"),CONCATENATE("R7C",'Mapa final'!$Q$43),"")</f>
        <v/>
      </c>
      <c r="L52" s="78" t="str">
        <f>IF(AND('Mapa final'!$AA$44="Muy Baja",'Mapa final'!$AC$44="Leve"),CONCATENATE("R7C",'Mapa final'!$Q$44),"")</f>
        <v/>
      </c>
      <c r="M52" s="78" t="str">
        <f>IF(AND('Mapa final'!$AA$45="Muy Baja",'Mapa final'!$AC$45="Leve"),CONCATENATE("R7C",'Mapa final'!$Q$45),"")</f>
        <v/>
      </c>
      <c r="N52" s="78" t="str">
        <f>IF(AND('Mapa final'!$AA$46="Muy Baja",'Mapa final'!$AC$46="Leve"),CONCATENATE("R7C",'Mapa final'!$Q$46),"")</f>
        <v/>
      </c>
      <c r="O52" s="79" t="str">
        <f>IF(AND('Mapa final'!$AA$47="Muy Baja",'Mapa final'!$AC$47="Leve"),CONCATENATE("R7C",'Mapa final'!$Q$47),"")</f>
        <v/>
      </c>
      <c r="P52" s="77" t="str">
        <f>IF(AND('Mapa final'!$AA$42="Muy Baja",'Mapa final'!$AC$42="Menor"),CONCATENATE("R7C",'Mapa final'!$Q$42),"")</f>
        <v/>
      </c>
      <c r="Q52" s="78" t="str">
        <f>IF(AND('Mapa final'!$AA$43="Muy Baja",'Mapa final'!$AC$43="Menor"),CONCATENATE("R7C",'Mapa final'!$Q$43),"")</f>
        <v/>
      </c>
      <c r="R52" s="78" t="str">
        <f>IF(AND('Mapa final'!$AA$44="Muy Baja",'Mapa final'!$AC$44="Menor"),CONCATENATE("R7C",'Mapa final'!$Q$44),"")</f>
        <v/>
      </c>
      <c r="S52" s="78" t="str">
        <f>IF(AND('Mapa final'!$AA$45="Muy Baja",'Mapa final'!$AC$45="Menor"),CONCATENATE("R7C",'Mapa final'!$Q$45),"")</f>
        <v/>
      </c>
      <c r="T52" s="78" t="str">
        <f>IF(AND('Mapa final'!$AA$46="Muy Baja",'Mapa final'!$AC$46="Menor"),CONCATENATE("R7C",'Mapa final'!$Q$46),"")</f>
        <v/>
      </c>
      <c r="U52" s="79" t="str">
        <f>IF(AND('Mapa final'!$AA$47="Muy Baja",'Mapa final'!$AC$47="Menor"),CONCATENATE("R7C",'Mapa final'!$Q$47),"")</f>
        <v/>
      </c>
      <c r="V52" s="68" t="str">
        <f>IF(AND('Mapa final'!$AA$42="Muy Baja",'Mapa final'!$AC$42="Moderado"),CONCATENATE("R7C",'Mapa final'!$Q$42),"")</f>
        <v/>
      </c>
      <c r="W52" s="69" t="str">
        <f>IF(AND('Mapa final'!$AA$43="Muy Baja",'Mapa final'!$AC$43="Moderado"),CONCATENATE("R7C",'Mapa final'!$Q$43),"")</f>
        <v/>
      </c>
      <c r="X52" s="69" t="str">
        <f>IF(AND('Mapa final'!$AA$44="Muy Baja",'Mapa final'!$AC$44="Moderado"),CONCATENATE("R7C",'Mapa final'!$Q$44),"")</f>
        <v/>
      </c>
      <c r="Y52" s="69" t="str">
        <f>IF(AND('Mapa final'!$AA$45="Muy Baja",'Mapa final'!$AC$45="Moderado"),CONCATENATE("R7C",'Mapa final'!$Q$45),"")</f>
        <v/>
      </c>
      <c r="Z52" s="69" t="str">
        <f>IF(AND('Mapa final'!$AA$46="Muy Baja",'Mapa final'!$AC$46="Moderado"),CONCATENATE("R7C",'Mapa final'!$Q$46),"")</f>
        <v/>
      </c>
      <c r="AA52" s="70" t="str">
        <f>IF(AND('Mapa final'!$AA$47="Muy Baja",'Mapa final'!$AC$47="Moderado"),CONCATENATE("R7C",'Mapa final'!$Q$47),"")</f>
        <v/>
      </c>
      <c r="AB52" s="52" t="str">
        <f>IF(AND('Mapa final'!$AA$42="Muy Baja",'Mapa final'!$AC$42="Mayor"),CONCATENATE("R7C",'Mapa final'!$Q$42),"")</f>
        <v/>
      </c>
      <c r="AC52" s="53" t="str">
        <f>IF(AND('Mapa final'!$AA$43="Muy Baja",'Mapa final'!$AC$43="Mayor"),CONCATENATE("R7C",'Mapa final'!$Q$43),"")</f>
        <v/>
      </c>
      <c r="AD52" s="58" t="str">
        <f>IF(AND('Mapa final'!$AA$44="Muy Baja",'Mapa final'!$AC$44="Mayor"),CONCATENATE("R7C",'Mapa final'!$Q$44),"")</f>
        <v/>
      </c>
      <c r="AE52" s="58" t="str">
        <f>IF(AND('Mapa final'!$AA$45="Muy Baja",'Mapa final'!$AC$45="Mayor"),CONCATENATE("R7C",'Mapa final'!$Q$45),"")</f>
        <v/>
      </c>
      <c r="AF52" s="58" t="str">
        <f>IF(AND('Mapa final'!$AA$46="Muy Baja",'Mapa final'!$AC$46="Mayor"),CONCATENATE("R7C",'Mapa final'!$Q$46),"")</f>
        <v/>
      </c>
      <c r="AG52" s="54" t="str">
        <f>IF(AND('Mapa final'!$AA$47="Muy Baja",'Mapa final'!$AC$47="Mayor"),CONCATENATE("R7C",'Mapa final'!$Q$47),"")</f>
        <v/>
      </c>
      <c r="AH52" s="55" t="str">
        <f>IF(AND('Mapa final'!$AA$42="Muy Baja",'Mapa final'!$AC$42="Catastrófico"),CONCATENATE("R7C",'Mapa final'!$Q$42),"")</f>
        <v/>
      </c>
      <c r="AI52" s="56" t="str">
        <f>IF(AND('Mapa final'!$AA$43="Muy Baja",'Mapa final'!$AC$43="Catastrófico"),CONCATENATE("R7C",'Mapa final'!$Q$43),"")</f>
        <v/>
      </c>
      <c r="AJ52" s="56" t="str">
        <f>IF(AND('Mapa final'!$AA$44="Muy Baja",'Mapa final'!$AC$44="Catastrófico"),CONCATENATE("R7C",'Mapa final'!$Q$44),"")</f>
        <v/>
      </c>
      <c r="AK52" s="56" t="str">
        <f>IF(AND('Mapa final'!$AA$45="Muy Baja",'Mapa final'!$AC$45="Catastrófico"),CONCATENATE("R7C",'Mapa final'!$Q$45),"")</f>
        <v/>
      </c>
      <c r="AL52" s="56" t="str">
        <f>IF(AND('Mapa final'!$AA$46="Muy Baja",'Mapa final'!$AC$46="Catastrófico"),CONCATENATE("R7C",'Mapa final'!$Q$46),"")</f>
        <v/>
      </c>
      <c r="AM52" s="57" t="str">
        <f>IF(AND('Mapa final'!$AA$47="Muy Baja",'Mapa final'!$AC$47="Catastrófico"),CONCATENATE("R7C",'Mapa final'!$Q$47),"")</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370"/>
      <c r="C53" s="370"/>
      <c r="D53" s="371"/>
      <c r="E53" s="411"/>
      <c r="F53" s="412"/>
      <c r="G53" s="412"/>
      <c r="H53" s="412"/>
      <c r="I53" s="413"/>
      <c r="J53" s="77" t="str">
        <f>IF(AND('Mapa final'!$AA$48="Muy Baja",'Mapa final'!$AC$48="Leve"),CONCATENATE("R8C",'Mapa final'!$Q$48),"")</f>
        <v/>
      </c>
      <c r="K53" s="78" t="str">
        <f>IF(AND('Mapa final'!$AA$49="Muy Baja",'Mapa final'!$AC$49="Leve"),CONCATENATE("R8C",'Mapa final'!$Q$49),"")</f>
        <v/>
      </c>
      <c r="L53" s="78" t="str">
        <f>IF(AND('Mapa final'!$AA$50="Muy Baja",'Mapa final'!$AC$50="Leve"),CONCATENATE("R8C",'Mapa final'!$Q$50),"")</f>
        <v/>
      </c>
      <c r="M53" s="78" t="str">
        <f>IF(AND('Mapa final'!$AA$51="Muy Baja",'Mapa final'!$AC$51="Leve"),CONCATENATE("R8C",'Mapa final'!$Q$51),"")</f>
        <v/>
      </c>
      <c r="N53" s="78" t="str">
        <f>IF(AND('Mapa final'!$AA$52="Muy Baja",'Mapa final'!$AC$52="Leve"),CONCATENATE("R8C",'Mapa final'!$Q$52),"")</f>
        <v/>
      </c>
      <c r="O53" s="79" t="str">
        <f>IF(AND('Mapa final'!$AA$53="Muy Baja",'Mapa final'!$AC$53="Leve"),CONCATENATE("R8C",'Mapa final'!$Q$53),"")</f>
        <v/>
      </c>
      <c r="P53" s="77" t="str">
        <f>IF(AND('Mapa final'!$AA$48="Muy Baja",'Mapa final'!$AC$48="Menor"),CONCATENATE("R8C",'Mapa final'!$Q$48),"")</f>
        <v/>
      </c>
      <c r="Q53" s="78" t="str">
        <f>IF(AND('Mapa final'!$AA$49="Muy Baja",'Mapa final'!$AC$49="Menor"),CONCATENATE("R8C",'Mapa final'!$Q$49),"")</f>
        <v/>
      </c>
      <c r="R53" s="78" t="str">
        <f>IF(AND('Mapa final'!$AA$50="Muy Baja",'Mapa final'!$AC$50="Menor"),CONCATENATE("R8C",'Mapa final'!$Q$50),"")</f>
        <v/>
      </c>
      <c r="S53" s="78" t="str">
        <f>IF(AND('Mapa final'!$AA$51="Muy Baja",'Mapa final'!$AC$51="Menor"),CONCATENATE("R8C",'Mapa final'!$Q$51),"")</f>
        <v/>
      </c>
      <c r="T53" s="78" t="str">
        <f>IF(AND('Mapa final'!$AA$52="Muy Baja",'Mapa final'!$AC$52="Menor"),CONCATENATE("R8C",'Mapa final'!$Q$52),"")</f>
        <v/>
      </c>
      <c r="U53" s="79" t="str">
        <f>IF(AND('Mapa final'!$AA$53="Muy Baja",'Mapa final'!$AC$53="Menor"),CONCATENATE("R8C",'Mapa final'!$Q$53),"")</f>
        <v/>
      </c>
      <c r="V53" s="68" t="str">
        <f>IF(AND('Mapa final'!$AA$48="Muy Baja",'Mapa final'!$AC$48="Moderado"),CONCATENATE("R8C",'Mapa final'!$Q$48),"")</f>
        <v/>
      </c>
      <c r="W53" s="69" t="str">
        <f>IF(AND('Mapa final'!$AA$49="Muy Baja",'Mapa final'!$AC$49="Moderado"),CONCATENATE("R8C",'Mapa final'!$Q$49),"")</f>
        <v/>
      </c>
      <c r="X53" s="69" t="str">
        <f>IF(AND('Mapa final'!$AA$50="Muy Baja",'Mapa final'!$AC$50="Moderado"),CONCATENATE("R8C",'Mapa final'!$Q$50),"")</f>
        <v/>
      </c>
      <c r="Y53" s="69" t="str">
        <f>IF(AND('Mapa final'!$AA$51="Muy Baja",'Mapa final'!$AC$51="Moderado"),CONCATENATE("R8C",'Mapa final'!$Q$51),"")</f>
        <v/>
      </c>
      <c r="Z53" s="69" t="str">
        <f>IF(AND('Mapa final'!$AA$52="Muy Baja",'Mapa final'!$AC$52="Moderado"),CONCATENATE("R8C",'Mapa final'!$Q$52),"")</f>
        <v/>
      </c>
      <c r="AA53" s="70" t="str">
        <f>IF(AND('Mapa final'!$AA$53="Muy Baja",'Mapa final'!$AC$53="Moderado"),CONCATENATE("R8C",'Mapa final'!$Q$53),"")</f>
        <v/>
      </c>
      <c r="AB53" s="52" t="str">
        <f>IF(AND('Mapa final'!$AA$48="Muy Baja",'Mapa final'!$AC$48="Mayor"),CONCATENATE("R8C",'Mapa final'!$Q$48),"")</f>
        <v/>
      </c>
      <c r="AC53" s="53" t="str">
        <f>IF(AND('Mapa final'!$AA$49="Muy Baja",'Mapa final'!$AC$49="Mayor"),CONCATENATE("R8C",'Mapa final'!$Q$49),"")</f>
        <v/>
      </c>
      <c r="AD53" s="58" t="str">
        <f>IF(AND('Mapa final'!$AA$50="Muy Baja",'Mapa final'!$AC$50="Mayor"),CONCATENATE("R8C",'Mapa final'!$Q$50),"")</f>
        <v/>
      </c>
      <c r="AE53" s="58" t="str">
        <f>IF(AND('Mapa final'!$AA$51="Muy Baja",'Mapa final'!$AC$51="Mayor"),CONCATENATE("R8C",'Mapa final'!$Q$51),"")</f>
        <v/>
      </c>
      <c r="AF53" s="58" t="str">
        <f>IF(AND('Mapa final'!$AA$52="Muy Baja",'Mapa final'!$AC$52="Mayor"),CONCATENATE("R8C",'Mapa final'!$Q$52),"")</f>
        <v/>
      </c>
      <c r="AG53" s="54" t="str">
        <f>IF(AND('Mapa final'!$AA$53="Muy Baja",'Mapa final'!$AC$53="Mayor"),CONCATENATE("R8C",'Mapa final'!$Q$53),"")</f>
        <v/>
      </c>
      <c r="AH53" s="55" t="str">
        <f>IF(AND('Mapa final'!$AA$48="Muy Baja",'Mapa final'!$AC$48="Catastrófico"),CONCATENATE("R8C",'Mapa final'!$Q$48),"")</f>
        <v/>
      </c>
      <c r="AI53" s="56" t="str">
        <f>IF(AND('Mapa final'!$AA$49="Muy Baja",'Mapa final'!$AC$49="Catastrófico"),CONCATENATE("R8C",'Mapa final'!$Q$49),"")</f>
        <v/>
      </c>
      <c r="AJ53" s="56" t="str">
        <f>IF(AND('Mapa final'!$AA$50="Muy Baja",'Mapa final'!$AC$50="Catastrófico"),CONCATENATE("R8C",'Mapa final'!$Q$50),"")</f>
        <v/>
      </c>
      <c r="AK53" s="56" t="str">
        <f>IF(AND('Mapa final'!$AA$51="Muy Baja",'Mapa final'!$AC$51="Catastrófico"),CONCATENATE("R8C",'Mapa final'!$Q$51),"")</f>
        <v/>
      </c>
      <c r="AL53" s="56" t="str">
        <f>IF(AND('Mapa final'!$AA$52="Muy Baja",'Mapa final'!$AC$52="Catastrófico"),CONCATENATE("R8C",'Mapa final'!$Q$52),"")</f>
        <v/>
      </c>
      <c r="AM53" s="57" t="str">
        <f>IF(AND('Mapa final'!$AA$53="Muy Baja",'Mapa final'!$AC$53="Catastrófico"),CONCATENATE("R8C",'Mapa final'!$Q$53),"")</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370"/>
      <c r="C54" s="370"/>
      <c r="D54" s="371"/>
      <c r="E54" s="411"/>
      <c r="F54" s="412"/>
      <c r="G54" s="412"/>
      <c r="H54" s="412"/>
      <c r="I54" s="413"/>
      <c r="J54" s="77" t="str">
        <f>IF(AND('Mapa final'!$AA$54="Muy Baja",'Mapa final'!$AC$54="Leve"),CONCATENATE("R9C",'Mapa final'!$Q$54),"")</f>
        <v/>
      </c>
      <c r="K54" s="78" t="str">
        <f>IF(AND('Mapa final'!$AA$55="Muy Baja",'Mapa final'!$AC$55="Leve"),CONCATENATE("R9C",'Mapa final'!$Q$55),"")</f>
        <v/>
      </c>
      <c r="L54" s="78" t="str">
        <f>IF(AND('Mapa final'!$AA$56="Muy Baja",'Mapa final'!$AC$56="Leve"),CONCATENATE("R9C",'Mapa final'!$Q$56),"")</f>
        <v/>
      </c>
      <c r="M54" s="78" t="str">
        <f>IF(AND('Mapa final'!$AA$57="Muy Baja",'Mapa final'!$AC$57="Leve"),CONCATENATE("R9C",'Mapa final'!$Q$57),"")</f>
        <v/>
      </c>
      <c r="N54" s="78" t="str">
        <f>IF(AND('Mapa final'!$AA$58="Muy Baja",'Mapa final'!$AC$58="Leve"),CONCATENATE("R9C",'Mapa final'!$Q$58),"")</f>
        <v/>
      </c>
      <c r="O54" s="79" t="str">
        <f>IF(AND('Mapa final'!$AA$59="Muy Baja",'Mapa final'!$AC$59="Leve"),CONCATENATE("R9C",'Mapa final'!$Q$59),"")</f>
        <v/>
      </c>
      <c r="P54" s="77" t="str">
        <f>IF(AND('Mapa final'!$AA$54="Muy Baja",'Mapa final'!$AC$54="Menor"),CONCATENATE("R9C",'Mapa final'!$Q$54),"")</f>
        <v/>
      </c>
      <c r="Q54" s="78" t="str">
        <f>IF(AND('Mapa final'!$AA$55="Muy Baja",'Mapa final'!$AC$55="Menor"),CONCATENATE("R9C",'Mapa final'!$Q$55),"")</f>
        <v/>
      </c>
      <c r="R54" s="78" t="str">
        <f>IF(AND('Mapa final'!$AA$56="Muy Baja",'Mapa final'!$AC$56="Menor"),CONCATENATE("R9C",'Mapa final'!$Q$56),"")</f>
        <v/>
      </c>
      <c r="S54" s="78" t="str">
        <f>IF(AND('Mapa final'!$AA$57="Muy Baja",'Mapa final'!$AC$57="Menor"),CONCATENATE("R9C",'Mapa final'!$Q$57),"")</f>
        <v/>
      </c>
      <c r="T54" s="78" t="str">
        <f>IF(AND('Mapa final'!$AA$58="Muy Baja",'Mapa final'!$AC$58="Menor"),CONCATENATE("R9C",'Mapa final'!$Q$58),"")</f>
        <v/>
      </c>
      <c r="U54" s="79" t="str">
        <f>IF(AND('Mapa final'!$AA$59="Muy Baja",'Mapa final'!$AC$59="Menor"),CONCATENATE("R9C",'Mapa final'!$Q$59),"")</f>
        <v/>
      </c>
      <c r="V54" s="68" t="str">
        <f>IF(AND('Mapa final'!$AA$54="Muy Baja",'Mapa final'!$AC$54="Moderado"),CONCATENATE("R9C",'Mapa final'!$Q$54),"")</f>
        <v/>
      </c>
      <c r="W54" s="69" t="str">
        <f>IF(AND('Mapa final'!$AA$55="Muy Baja",'Mapa final'!$AC$55="Moderado"),CONCATENATE("R9C",'Mapa final'!$Q$55),"")</f>
        <v/>
      </c>
      <c r="X54" s="69" t="str">
        <f>IF(AND('Mapa final'!$AA$56="Muy Baja",'Mapa final'!$AC$56="Moderado"),CONCATENATE("R9C",'Mapa final'!$Q$56),"")</f>
        <v/>
      </c>
      <c r="Y54" s="69" t="str">
        <f>IF(AND('Mapa final'!$AA$57="Muy Baja",'Mapa final'!$AC$57="Moderado"),CONCATENATE("R9C",'Mapa final'!$Q$57),"")</f>
        <v/>
      </c>
      <c r="Z54" s="69" t="str">
        <f>IF(AND('Mapa final'!$AA$58="Muy Baja",'Mapa final'!$AC$58="Moderado"),CONCATENATE("R9C",'Mapa final'!$Q$58),"")</f>
        <v/>
      </c>
      <c r="AA54" s="70" t="str">
        <f>IF(AND('Mapa final'!$AA$59="Muy Baja",'Mapa final'!$AC$59="Moderado"),CONCATENATE("R9C",'Mapa final'!$Q$59),"")</f>
        <v/>
      </c>
      <c r="AB54" s="52" t="str">
        <f>IF(AND('Mapa final'!$AA$54="Muy Baja",'Mapa final'!$AC$54="Mayor"),CONCATENATE("R9C",'Mapa final'!$Q$54),"")</f>
        <v/>
      </c>
      <c r="AC54" s="53" t="str">
        <f>IF(AND('Mapa final'!$AA$55="Muy Baja",'Mapa final'!$AC$55="Mayor"),CONCATENATE("R9C",'Mapa final'!$Q$55),"")</f>
        <v/>
      </c>
      <c r="AD54" s="58" t="str">
        <f>IF(AND('Mapa final'!$AA$56="Muy Baja",'Mapa final'!$AC$56="Mayor"),CONCATENATE("R9C",'Mapa final'!$Q$56),"")</f>
        <v/>
      </c>
      <c r="AE54" s="58" t="str">
        <f>IF(AND('Mapa final'!$AA$57="Muy Baja",'Mapa final'!$AC$57="Mayor"),CONCATENATE("R9C",'Mapa final'!$Q$57),"")</f>
        <v/>
      </c>
      <c r="AF54" s="58" t="str">
        <f>IF(AND('Mapa final'!$AA$58="Muy Baja",'Mapa final'!$AC$58="Mayor"),CONCATENATE("R9C",'Mapa final'!$Q$58),"")</f>
        <v/>
      </c>
      <c r="AG54" s="54" t="str">
        <f>IF(AND('Mapa final'!$AA$59="Muy Baja",'Mapa final'!$AC$59="Mayor"),CONCATENATE("R9C",'Mapa final'!$Q$59),"")</f>
        <v/>
      </c>
      <c r="AH54" s="55" t="str">
        <f>IF(AND('Mapa final'!$AA$54="Muy Baja",'Mapa final'!$AC$54="Catastrófico"),CONCATENATE("R9C",'Mapa final'!$Q$54),"")</f>
        <v/>
      </c>
      <c r="AI54" s="56" t="str">
        <f>IF(AND('Mapa final'!$AA$55="Muy Baja",'Mapa final'!$AC$55="Catastrófico"),CONCATENATE("R9C",'Mapa final'!$Q$55),"")</f>
        <v/>
      </c>
      <c r="AJ54" s="56" t="str">
        <f>IF(AND('Mapa final'!$AA$56="Muy Baja",'Mapa final'!$AC$56="Catastrófico"),CONCATENATE("R9C",'Mapa final'!$Q$56),"")</f>
        <v/>
      </c>
      <c r="AK54" s="56" t="str">
        <f>IF(AND('Mapa final'!$AA$57="Muy Baja",'Mapa final'!$AC$57="Catastrófico"),CONCATENATE("R9C",'Mapa final'!$Q$57),"")</f>
        <v/>
      </c>
      <c r="AL54" s="56" t="str">
        <f>IF(AND('Mapa final'!$AA$58="Muy Baja",'Mapa final'!$AC$58="Catastrófico"),CONCATENATE("R9C",'Mapa final'!$Q$58),"")</f>
        <v/>
      </c>
      <c r="AM54" s="57" t="str">
        <f>IF(AND('Mapa final'!$AA$59="Muy Baja",'Mapa final'!$AC$59="Catastrófico"),CONCATENATE("R9C",'Mapa final'!$Q$59),"")</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c r="A55" s="84"/>
      <c r="B55" s="370"/>
      <c r="C55" s="370"/>
      <c r="D55" s="371"/>
      <c r="E55" s="414"/>
      <c r="F55" s="415"/>
      <c r="G55" s="415"/>
      <c r="H55" s="415"/>
      <c r="I55" s="416"/>
      <c r="J55" s="80" t="str">
        <f>IF(AND('Mapa final'!$AA$60="Muy Baja",'Mapa final'!$AC$60="Leve"),CONCATENATE("R10C",'Mapa final'!$Q$60),"")</f>
        <v/>
      </c>
      <c r="K55" s="81" t="str">
        <f>IF(AND('Mapa final'!$AA$61="Muy Baja",'Mapa final'!$AC$61="Leve"),CONCATENATE("R10C",'Mapa final'!$Q$61),"")</f>
        <v/>
      </c>
      <c r="L55" s="81" t="str">
        <f>IF(AND('Mapa final'!$AA$62="Muy Baja",'Mapa final'!$AC$62="Leve"),CONCATENATE("R10C",'Mapa final'!$Q$62),"")</f>
        <v/>
      </c>
      <c r="M55" s="81" t="str">
        <f>IF(AND('Mapa final'!$AA$63="Muy Baja",'Mapa final'!$AC$63="Leve"),CONCATENATE("R10C",'Mapa final'!$Q$63),"")</f>
        <v/>
      </c>
      <c r="N55" s="81" t="str">
        <f>IF(AND('Mapa final'!$AA$64="Muy Baja",'Mapa final'!$AC$64="Leve"),CONCATENATE("R10C",'Mapa final'!$Q$64),"")</f>
        <v/>
      </c>
      <c r="O55" s="82" t="str">
        <f>IF(AND('Mapa final'!$AA$65="Muy Baja",'Mapa final'!$AC$65="Leve"),CONCATENATE("R10C",'Mapa final'!$Q$65),"")</f>
        <v/>
      </c>
      <c r="P55" s="80" t="str">
        <f>IF(AND('Mapa final'!$AA$60="Muy Baja",'Mapa final'!$AC$60="Menor"),CONCATENATE("R10C",'Mapa final'!$Q$60),"")</f>
        <v/>
      </c>
      <c r="Q55" s="81" t="str">
        <f>IF(AND('Mapa final'!$AA$61="Muy Baja",'Mapa final'!$AC$61="Menor"),CONCATENATE("R10C",'Mapa final'!$Q$61),"")</f>
        <v/>
      </c>
      <c r="R55" s="81" t="str">
        <f>IF(AND('Mapa final'!$AA$62="Muy Baja",'Mapa final'!$AC$62="Menor"),CONCATENATE("R10C",'Mapa final'!$Q$62),"")</f>
        <v/>
      </c>
      <c r="S55" s="81" t="str">
        <f>IF(AND('Mapa final'!$AA$63="Muy Baja",'Mapa final'!$AC$63="Menor"),CONCATENATE("R10C",'Mapa final'!$Q$63),"")</f>
        <v/>
      </c>
      <c r="T55" s="81" t="str">
        <f>IF(AND('Mapa final'!$AA$64="Muy Baja",'Mapa final'!$AC$64="Menor"),CONCATENATE("R10C",'Mapa final'!$Q$64),"")</f>
        <v/>
      </c>
      <c r="U55" s="82" t="str">
        <f>IF(AND('Mapa final'!$AA$65="Muy Baja",'Mapa final'!$AC$65="Menor"),CONCATENATE("R10C",'Mapa final'!$Q$65),"")</f>
        <v/>
      </c>
      <c r="V55" s="71" t="str">
        <f>IF(AND('Mapa final'!$AA$60="Muy Baja",'Mapa final'!$AC$60="Moderado"),CONCATENATE("R10C",'Mapa final'!$Q$60),"")</f>
        <v/>
      </c>
      <c r="W55" s="72" t="str">
        <f>IF(AND('Mapa final'!$AA$61="Muy Baja",'Mapa final'!$AC$61="Moderado"),CONCATENATE("R10C",'Mapa final'!$Q$61),"")</f>
        <v/>
      </c>
      <c r="X55" s="72" t="str">
        <f>IF(AND('Mapa final'!$AA$62="Muy Baja",'Mapa final'!$AC$62="Moderado"),CONCATENATE("R10C",'Mapa final'!$Q$62),"")</f>
        <v/>
      </c>
      <c r="Y55" s="72" t="str">
        <f>IF(AND('Mapa final'!$AA$63="Muy Baja",'Mapa final'!$AC$63="Moderado"),CONCATENATE("R10C",'Mapa final'!$Q$63),"")</f>
        <v/>
      </c>
      <c r="Z55" s="72" t="str">
        <f>IF(AND('Mapa final'!$AA$64="Muy Baja",'Mapa final'!$AC$64="Moderado"),CONCATENATE("R10C",'Mapa final'!$Q$64),"")</f>
        <v/>
      </c>
      <c r="AA55" s="73" t="str">
        <f>IF(AND('Mapa final'!$AA$65="Muy Baja",'Mapa final'!$AC$65="Moderado"),CONCATENATE("R10C",'Mapa final'!$Q$65),"")</f>
        <v/>
      </c>
      <c r="AB55" s="59" t="str">
        <f>IF(AND('Mapa final'!$AA$60="Muy Baja",'Mapa final'!$AC$60="Mayor"),CONCATENATE("R10C",'Mapa final'!$Q$60),"")</f>
        <v/>
      </c>
      <c r="AC55" s="60" t="str">
        <f>IF(AND('Mapa final'!$AA$61="Muy Baja",'Mapa final'!$AC$61="Mayor"),CONCATENATE("R10C",'Mapa final'!$Q$61),"")</f>
        <v/>
      </c>
      <c r="AD55" s="60" t="str">
        <f>IF(AND('Mapa final'!$AA$62="Muy Baja",'Mapa final'!$AC$62="Mayor"),CONCATENATE("R10C",'Mapa final'!$Q$62),"")</f>
        <v/>
      </c>
      <c r="AE55" s="60" t="str">
        <f>IF(AND('Mapa final'!$AA$63="Muy Baja",'Mapa final'!$AC$63="Mayor"),CONCATENATE("R10C",'Mapa final'!$Q$63),"")</f>
        <v/>
      </c>
      <c r="AF55" s="60" t="str">
        <f>IF(AND('Mapa final'!$AA$64="Muy Baja",'Mapa final'!$AC$64="Mayor"),CONCATENATE("R10C",'Mapa final'!$Q$64),"")</f>
        <v/>
      </c>
      <c r="AG55" s="61" t="str">
        <f>IF(AND('Mapa final'!$AA$65="Muy Baja",'Mapa final'!$AC$65="Mayor"),CONCATENATE("R10C",'Mapa final'!$Q$65),"")</f>
        <v/>
      </c>
      <c r="AH55" s="62" t="str">
        <f>IF(AND('Mapa final'!$AA$60="Muy Baja",'Mapa final'!$AC$60="Catastrófico"),CONCATENATE("R10C",'Mapa final'!$Q$60),"")</f>
        <v/>
      </c>
      <c r="AI55" s="63" t="str">
        <f>IF(AND('Mapa final'!$AA$61="Muy Baja",'Mapa final'!$AC$61="Catastrófico"),CONCATENATE("R10C",'Mapa final'!$Q$61),"")</f>
        <v/>
      </c>
      <c r="AJ55" s="63" t="str">
        <f>IF(AND('Mapa final'!$AA$62="Muy Baja",'Mapa final'!$AC$62="Catastrófico"),CONCATENATE("R10C",'Mapa final'!$Q$62),"")</f>
        <v/>
      </c>
      <c r="AK55" s="63" t="str">
        <f>IF(AND('Mapa final'!$AA$63="Muy Baja",'Mapa final'!$AC$63="Catastrófico"),CONCATENATE("R10C",'Mapa final'!$Q$63),"")</f>
        <v/>
      </c>
      <c r="AL55" s="63" t="str">
        <f>IF(AND('Mapa final'!$AA$64="Muy Baja",'Mapa final'!$AC$64="Catastrófico"),CONCATENATE("R10C",'Mapa final'!$Q$64),"")</f>
        <v/>
      </c>
      <c r="AM55" s="64" t="str">
        <f>IF(AND('Mapa final'!$AA$65="Muy Baja",'Mapa final'!$AC$65="Catastrófico"),CONCATENATE("R10C",'Mapa final'!$Q$65),"")</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408" t="s">
        <v>112</v>
      </c>
      <c r="K56" s="409"/>
      <c r="L56" s="409"/>
      <c r="M56" s="409"/>
      <c r="N56" s="409"/>
      <c r="O56" s="410"/>
      <c r="P56" s="408" t="s">
        <v>111</v>
      </c>
      <c r="Q56" s="409"/>
      <c r="R56" s="409"/>
      <c r="S56" s="409"/>
      <c r="T56" s="409"/>
      <c r="U56" s="410"/>
      <c r="V56" s="408" t="s">
        <v>110</v>
      </c>
      <c r="W56" s="409"/>
      <c r="X56" s="409"/>
      <c r="Y56" s="409"/>
      <c r="Z56" s="409"/>
      <c r="AA56" s="410"/>
      <c r="AB56" s="408" t="s">
        <v>109</v>
      </c>
      <c r="AC56" s="417"/>
      <c r="AD56" s="409"/>
      <c r="AE56" s="409"/>
      <c r="AF56" s="409"/>
      <c r="AG56" s="410"/>
      <c r="AH56" s="408" t="s">
        <v>108</v>
      </c>
      <c r="AI56" s="409"/>
      <c r="AJ56" s="409"/>
      <c r="AK56" s="409"/>
      <c r="AL56" s="409"/>
      <c r="AM56" s="410"/>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411"/>
      <c r="K57" s="412"/>
      <c r="L57" s="412"/>
      <c r="M57" s="412"/>
      <c r="N57" s="412"/>
      <c r="O57" s="413"/>
      <c r="P57" s="411"/>
      <c r="Q57" s="412"/>
      <c r="R57" s="412"/>
      <c r="S57" s="412"/>
      <c r="T57" s="412"/>
      <c r="U57" s="413"/>
      <c r="V57" s="411"/>
      <c r="W57" s="412"/>
      <c r="X57" s="412"/>
      <c r="Y57" s="412"/>
      <c r="Z57" s="412"/>
      <c r="AA57" s="413"/>
      <c r="AB57" s="411"/>
      <c r="AC57" s="412"/>
      <c r="AD57" s="412"/>
      <c r="AE57" s="412"/>
      <c r="AF57" s="412"/>
      <c r="AG57" s="413"/>
      <c r="AH57" s="411"/>
      <c r="AI57" s="412"/>
      <c r="AJ57" s="412"/>
      <c r="AK57" s="412"/>
      <c r="AL57" s="412"/>
      <c r="AM57" s="413"/>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411"/>
      <c r="K58" s="412"/>
      <c r="L58" s="412"/>
      <c r="M58" s="412"/>
      <c r="N58" s="412"/>
      <c r="O58" s="413"/>
      <c r="P58" s="411"/>
      <c r="Q58" s="412"/>
      <c r="R58" s="412"/>
      <c r="S58" s="412"/>
      <c r="T58" s="412"/>
      <c r="U58" s="413"/>
      <c r="V58" s="411"/>
      <c r="W58" s="412"/>
      <c r="X58" s="412"/>
      <c r="Y58" s="412"/>
      <c r="Z58" s="412"/>
      <c r="AA58" s="413"/>
      <c r="AB58" s="411"/>
      <c r="AC58" s="412"/>
      <c r="AD58" s="412"/>
      <c r="AE58" s="412"/>
      <c r="AF58" s="412"/>
      <c r="AG58" s="413"/>
      <c r="AH58" s="411"/>
      <c r="AI58" s="412"/>
      <c r="AJ58" s="412"/>
      <c r="AK58" s="412"/>
      <c r="AL58" s="412"/>
      <c r="AM58" s="41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411"/>
      <c r="K59" s="412"/>
      <c r="L59" s="412"/>
      <c r="M59" s="412"/>
      <c r="N59" s="412"/>
      <c r="O59" s="413"/>
      <c r="P59" s="411"/>
      <c r="Q59" s="412"/>
      <c r="R59" s="412"/>
      <c r="S59" s="412"/>
      <c r="T59" s="412"/>
      <c r="U59" s="413"/>
      <c r="V59" s="411"/>
      <c r="W59" s="412"/>
      <c r="X59" s="412"/>
      <c r="Y59" s="412"/>
      <c r="Z59" s="412"/>
      <c r="AA59" s="413"/>
      <c r="AB59" s="411"/>
      <c r="AC59" s="412"/>
      <c r="AD59" s="412"/>
      <c r="AE59" s="412"/>
      <c r="AF59" s="412"/>
      <c r="AG59" s="413"/>
      <c r="AH59" s="411"/>
      <c r="AI59" s="412"/>
      <c r="AJ59" s="412"/>
      <c r="AK59" s="412"/>
      <c r="AL59" s="412"/>
      <c r="AM59" s="41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411"/>
      <c r="K60" s="412"/>
      <c r="L60" s="412"/>
      <c r="M60" s="412"/>
      <c r="N60" s="412"/>
      <c r="O60" s="413"/>
      <c r="P60" s="411"/>
      <c r="Q60" s="412"/>
      <c r="R60" s="412"/>
      <c r="S60" s="412"/>
      <c r="T60" s="412"/>
      <c r="U60" s="413"/>
      <c r="V60" s="411"/>
      <c r="W60" s="412"/>
      <c r="X60" s="412"/>
      <c r="Y60" s="412"/>
      <c r="Z60" s="412"/>
      <c r="AA60" s="413"/>
      <c r="AB60" s="411"/>
      <c r="AC60" s="412"/>
      <c r="AD60" s="412"/>
      <c r="AE60" s="412"/>
      <c r="AF60" s="412"/>
      <c r="AG60" s="413"/>
      <c r="AH60" s="411"/>
      <c r="AI60" s="412"/>
      <c r="AJ60" s="412"/>
      <c r="AK60" s="412"/>
      <c r="AL60" s="412"/>
      <c r="AM60" s="413"/>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c r="A61" s="84"/>
      <c r="B61" s="84"/>
      <c r="C61" s="84"/>
      <c r="D61" s="84"/>
      <c r="E61" s="84"/>
      <c r="F61" s="84"/>
      <c r="G61" s="84"/>
      <c r="H61" s="84"/>
      <c r="I61" s="84"/>
      <c r="J61" s="414"/>
      <c r="K61" s="415"/>
      <c r="L61" s="415"/>
      <c r="M61" s="415"/>
      <c r="N61" s="415"/>
      <c r="O61" s="416"/>
      <c r="P61" s="414"/>
      <c r="Q61" s="415"/>
      <c r="R61" s="415"/>
      <c r="S61" s="415"/>
      <c r="T61" s="415"/>
      <c r="U61" s="416"/>
      <c r="V61" s="414"/>
      <c r="W61" s="415"/>
      <c r="X61" s="415"/>
      <c r="Y61" s="415"/>
      <c r="Z61" s="415"/>
      <c r="AA61" s="416"/>
      <c r="AB61" s="414"/>
      <c r="AC61" s="415"/>
      <c r="AD61" s="415"/>
      <c r="AE61" s="415"/>
      <c r="AF61" s="415"/>
      <c r="AG61" s="416"/>
      <c r="AH61" s="414"/>
      <c r="AI61" s="415"/>
      <c r="AJ61" s="415"/>
      <c r="AK61" s="415"/>
      <c r="AL61" s="415"/>
      <c r="AM61" s="416"/>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c r="A245" s="84"/>
    </row>
    <row r="246" spans="1:60">
      <c r="A246" s="84"/>
    </row>
    <row r="247" spans="1:60">
      <c r="A247" s="84"/>
    </row>
    <row r="248" spans="1:60">
      <c r="A248" s="84"/>
    </row>
  </sheetData>
  <sheetProtection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rgb="FF00B0F0"/>
  </sheetPr>
  <dimension ref="A1:AK55"/>
  <sheetViews>
    <sheetView zoomScale="80" zoomScaleNormal="80" workbookViewId="0">
      <selection activeCell="C5" sqref="C5"/>
    </sheetView>
  </sheetViews>
  <sheetFormatPr baseColWidth="10" defaultRowHeight="15"/>
  <cols>
    <col min="2" max="2" width="24.140625" customWidth="1"/>
    <col min="3" max="3" width="70.140625" customWidth="1"/>
    <col min="4" max="4" width="29.85546875" customWidth="1"/>
  </cols>
  <sheetData>
    <row r="1" spans="1:37" ht="23.25">
      <c r="A1" s="84"/>
      <c r="B1" s="458" t="s">
        <v>55</v>
      </c>
      <c r="C1" s="458"/>
      <c r="D1" s="458"/>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c r="A35" s="84"/>
    </row>
    <row r="36" spans="1:31">
      <c r="A36" s="84"/>
    </row>
    <row r="37" spans="1:31">
      <c r="A37" s="84"/>
    </row>
    <row r="38" spans="1:31">
      <c r="A38" s="84"/>
    </row>
    <row r="39" spans="1:31">
      <c r="A39" s="84"/>
    </row>
    <row r="40" spans="1:31">
      <c r="A40" s="84"/>
    </row>
    <row r="41" spans="1:31">
      <c r="A41" s="84"/>
    </row>
    <row r="42" spans="1:31">
      <c r="A42" s="84"/>
    </row>
    <row r="43" spans="1:31">
      <c r="A43" s="84"/>
    </row>
    <row r="44" spans="1:31">
      <c r="A44" s="84"/>
    </row>
    <row r="45" spans="1:31">
      <c r="A45" s="84"/>
    </row>
    <row r="46" spans="1:31">
      <c r="A46" s="84"/>
    </row>
    <row r="47" spans="1:31">
      <c r="A47" s="84"/>
    </row>
    <row r="48" spans="1:31">
      <c r="A48" s="84"/>
    </row>
    <row r="49" spans="1:1">
      <c r="A49" s="84"/>
    </row>
    <row r="50" spans="1:1">
      <c r="A50" s="84"/>
    </row>
    <row r="51" spans="1:1">
      <c r="A51" s="84"/>
    </row>
    <row r="52" spans="1:1">
      <c r="A52" s="84"/>
    </row>
    <row r="53" spans="1:1">
      <c r="A53" s="84"/>
    </row>
    <row r="54" spans="1:1">
      <c r="A54" s="84"/>
    </row>
    <row r="55" spans="1:1">
      <c r="A55" s="84"/>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tabColor theme="7" tint="-0.249977111117893"/>
  </sheetPr>
  <dimension ref="B1:F16"/>
  <sheetViews>
    <sheetView workbookViewId="0">
      <selection activeCell="D9" sqref="D9:D10"/>
    </sheetView>
  </sheetViews>
  <sheetFormatPr baseColWidth="10" defaultColWidth="14.28515625" defaultRowHeight="12.75"/>
  <cols>
    <col min="1" max="2" width="14.28515625" style="89"/>
    <col min="3" max="3" width="17" style="89" customWidth="1"/>
    <col min="4" max="4" width="14.28515625" style="89"/>
    <col min="5" max="5" width="46" style="89" customWidth="1"/>
    <col min="6" max="16384" width="14.28515625" style="89"/>
  </cols>
  <sheetData>
    <row r="1" spans="2:6" ht="24" customHeight="1" thickBot="1">
      <c r="B1" s="459" t="s">
        <v>78</v>
      </c>
      <c r="C1" s="460"/>
      <c r="D1" s="460"/>
      <c r="E1" s="460"/>
      <c r="F1" s="461"/>
    </row>
    <row r="2" spans="2:6" ht="16.5" thickBot="1">
      <c r="B2" s="90"/>
      <c r="C2" s="90"/>
      <c r="D2" s="90"/>
      <c r="E2" s="90"/>
      <c r="F2" s="90"/>
    </row>
    <row r="3" spans="2:6" ht="16.5" thickBot="1">
      <c r="B3" s="463" t="s">
        <v>64</v>
      </c>
      <c r="C3" s="464"/>
      <c r="D3" s="464"/>
      <c r="E3" s="102" t="s">
        <v>65</v>
      </c>
      <c r="F3" s="103" t="s">
        <v>66</v>
      </c>
    </row>
    <row r="4" spans="2:6" ht="31.5">
      <c r="B4" s="465" t="s">
        <v>67</v>
      </c>
      <c r="C4" s="467" t="s">
        <v>13</v>
      </c>
      <c r="D4" s="91" t="s">
        <v>14</v>
      </c>
      <c r="E4" s="92" t="s">
        <v>68</v>
      </c>
      <c r="F4" s="93">
        <v>0.25</v>
      </c>
    </row>
    <row r="5" spans="2:6" ht="47.25">
      <c r="B5" s="466"/>
      <c r="C5" s="468"/>
      <c r="D5" s="94" t="s">
        <v>15</v>
      </c>
      <c r="E5" s="95" t="s">
        <v>69</v>
      </c>
      <c r="F5" s="96">
        <v>0.15</v>
      </c>
    </row>
    <row r="6" spans="2:6" ht="47.25">
      <c r="B6" s="466"/>
      <c r="C6" s="468"/>
      <c r="D6" s="94" t="s">
        <v>16</v>
      </c>
      <c r="E6" s="95" t="s">
        <v>70</v>
      </c>
      <c r="F6" s="96">
        <v>0.1</v>
      </c>
    </row>
    <row r="7" spans="2:6" ht="63">
      <c r="B7" s="466"/>
      <c r="C7" s="468" t="s">
        <v>17</v>
      </c>
      <c r="D7" s="94" t="s">
        <v>10</v>
      </c>
      <c r="E7" s="95" t="s">
        <v>71</v>
      </c>
      <c r="F7" s="96">
        <v>0.25</v>
      </c>
    </row>
    <row r="8" spans="2:6" ht="31.5">
      <c r="B8" s="466"/>
      <c r="C8" s="468"/>
      <c r="D8" s="94" t="s">
        <v>9</v>
      </c>
      <c r="E8" s="95" t="s">
        <v>72</v>
      </c>
      <c r="F8" s="96">
        <v>0.15</v>
      </c>
    </row>
    <row r="9" spans="2:6" ht="47.25">
      <c r="B9" s="466" t="s">
        <v>162</v>
      </c>
      <c r="C9" s="468" t="s">
        <v>18</v>
      </c>
      <c r="D9" s="94" t="s">
        <v>19</v>
      </c>
      <c r="E9" s="95" t="s">
        <v>73</v>
      </c>
      <c r="F9" s="97" t="s">
        <v>74</v>
      </c>
    </row>
    <row r="10" spans="2:6" ht="63">
      <c r="B10" s="466"/>
      <c r="C10" s="468"/>
      <c r="D10" s="94" t="s">
        <v>20</v>
      </c>
      <c r="E10" s="95" t="s">
        <v>75</v>
      </c>
      <c r="F10" s="97" t="s">
        <v>74</v>
      </c>
    </row>
    <row r="11" spans="2:6" ht="47.25">
      <c r="B11" s="466"/>
      <c r="C11" s="468" t="s">
        <v>21</v>
      </c>
      <c r="D11" s="94" t="s">
        <v>22</v>
      </c>
      <c r="E11" s="95" t="s">
        <v>76</v>
      </c>
      <c r="F11" s="97" t="s">
        <v>74</v>
      </c>
    </row>
    <row r="12" spans="2:6" ht="47.25">
      <c r="B12" s="466"/>
      <c r="C12" s="468"/>
      <c r="D12" s="94" t="s">
        <v>23</v>
      </c>
      <c r="E12" s="95" t="s">
        <v>77</v>
      </c>
      <c r="F12" s="97" t="s">
        <v>74</v>
      </c>
    </row>
    <row r="13" spans="2:6" ht="31.5">
      <c r="B13" s="466"/>
      <c r="C13" s="468" t="s">
        <v>24</v>
      </c>
      <c r="D13" s="94" t="s">
        <v>119</v>
      </c>
      <c r="E13" s="95" t="s">
        <v>122</v>
      </c>
      <c r="F13" s="97" t="s">
        <v>74</v>
      </c>
    </row>
    <row r="14" spans="2:6" ht="32.25" thickBot="1">
      <c r="B14" s="469"/>
      <c r="C14" s="470"/>
      <c r="D14" s="98" t="s">
        <v>120</v>
      </c>
      <c r="E14" s="99" t="s">
        <v>121</v>
      </c>
      <c r="F14" s="100" t="s">
        <v>74</v>
      </c>
    </row>
    <row r="15" spans="2:6" ht="49.5" customHeight="1">
      <c r="B15" s="462" t="s">
        <v>159</v>
      </c>
      <c r="C15" s="462"/>
      <c r="D15" s="462"/>
      <c r="E15" s="462"/>
      <c r="F15" s="462"/>
    </row>
    <row r="16" spans="2:6" ht="27" customHeight="1">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2:E19"/>
  <sheetViews>
    <sheetView topLeftCell="A4" workbookViewId="0">
      <selection activeCell="B13" sqref="B13:B19"/>
    </sheetView>
  </sheetViews>
  <sheetFormatPr baseColWidth="10" defaultRowHeight="15"/>
  <sheetData>
    <row r="2" spans="2:5">
      <c r="B2" t="s">
        <v>31</v>
      </c>
      <c r="E2" t="s">
        <v>133</v>
      </c>
    </row>
    <row r="3" spans="2:5">
      <c r="B3" t="s">
        <v>32</v>
      </c>
      <c r="E3" t="s">
        <v>132</v>
      </c>
    </row>
    <row r="4" spans="2:5">
      <c r="B4" t="s">
        <v>137</v>
      </c>
      <c r="E4" t="s">
        <v>134</v>
      </c>
    </row>
    <row r="5" spans="2:5">
      <c r="B5" t="s">
        <v>136</v>
      </c>
    </row>
    <row r="8" spans="2:5">
      <c r="B8" t="s">
        <v>86</v>
      </c>
    </row>
    <row r="9" spans="2:5">
      <c r="B9" t="s">
        <v>40</v>
      </c>
    </row>
    <row r="10" spans="2:5">
      <c r="B10" t="s">
        <v>41</v>
      </c>
    </row>
    <row r="13" spans="2:5">
      <c r="B13" t="s">
        <v>129</v>
      </c>
    </row>
    <row r="14" spans="2:5">
      <c r="B14" t="s">
        <v>123</v>
      </c>
    </row>
    <row r="15" spans="2:5">
      <c r="B15" t="s">
        <v>126</v>
      </c>
    </row>
    <row r="16" spans="2:5">
      <c r="B16" t="s">
        <v>124</v>
      </c>
    </row>
    <row r="17" spans="2:2">
      <c r="B17" t="s">
        <v>125</v>
      </c>
    </row>
    <row r="18" spans="2:2">
      <c r="B18" t="s">
        <v>127</v>
      </c>
    </row>
    <row r="19" spans="2:2">
      <c r="B19" t="s">
        <v>128</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3:A21"/>
  <sheetViews>
    <sheetView workbookViewId="0">
      <selection activeCell="A19" sqref="A19"/>
    </sheetView>
  </sheetViews>
  <sheetFormatPr baseColWidth="10" defaultColWidth="11.42578125" defaultRowHeight="12.75"/>
  <cols>
    <col min="1" max="1" width="32.85546875" style="9" customWidth="1"/>
    <col min="2" max="16384" width="11.42578125" style="9"/>
  </cols>
  <sheetData>
    <row r="3" spans="1:1">
      <c r="A3" s="10" t="s">
        <v>14</v>
      </c>
    </row>
    <row r="4" spans="1:1">
      <c r="A4" s="10" t="s">
        <v>15</v>
      </c>
    </row>
    <row r="5" spans="1:1">
      <c r="A5" s="10" t="s">
        <v>16</v>
      </c>
    </row>
    <row r="6" spans="1:1">
      <c r="A6" s="10" t="s">
        <v>10</v>
      </c>
    </row>
    <row r="7" spans="1:1">
      <c r="A7" s="10" t="s">
        <v>9</v>
      </c>
    </row>
    <row r="8" spans="1:1">
      <c r="A8" s="10" t="s">
        <v>19</v>
      </c>
    </row>
    <row r="9" spans="1:1">
      <c r="A9" s="10" t="s">
        <v>20</v>
      </c>
    </row>
    <row r="10" spans="1:1">
      <c r="A10" s="10" t="s">
        <v>22</v>
      </c>
    </row>
    <row r="11" spans="1:1">
      <c r="A11" s="10" t="s">
        <v>23</v>
      </c>
    </row>
    <row r="12" spans="1:1">
      <c r="A12" s="10" t="s">
        <v>25</v>
      </c>
    </row>
    <row r="13" spans="1:1">
      <c r="A13" s="10" t="s">
        <v>26</v>
      </c>
    </row>
    <row r="14" spans="1:1">
      <c r="A14" s="10" t="s">
        <v>27</v>
      </c>
    </row>
    <row r="16" spans="1:1">
      <c r="A16" s="10" t="s">
        <v>30</v>
      </c>
    </row>
    <row r="17" spans="1:1">
      <c r="A17" s="10" t="s">
        <v>31</v>
      </c>
    </row>
    <row r="18" spans="1:1">
      <c r="A18" s="10" t="s">
        <v>32</v>
      </c>
    </row>
    <row r="20" spans="1:1">
      <c r="A20" s="10" t="s">
        <v>40</v>
      </c>
    </row>
    <row r="21" spans="1:1">
      <c r="A21" s="10" t="s">
        <v>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3:S12"/>
  <sheetViews>
    <sheetView workbookViewId="0">
      <selection activeCell="B3" sqref="B3:E10"/>
    </sheetView>
  </sheetViews>
  <sheetFormatPr baseColWidth="10" defaultRowHeight="15"/>
  <cols>
    <col min="2" max="3" width="14.140625" customWidth="1"/>
    <col min="4" max="4" width="15.140625" customWidth="1"/>
    <col min="5" max="5" width="14.28515625" customWidth="1"/>
    <col min="6" max="6" width="7" customWidth="1"/>
    <col min="7" max="7" width="6.42578125" customWidth="1"/>
    <col min="8" max="8" width="4.7109375" customWidth="1"/>
  </cols>
  <sheetData>
    <row r="3" spans="2:19" ht="13.5" customHeight="1">
      <c r="B3" s="474" t="s">
        <v>230</v>
      </c>
      <c r="C3" s="474"/>
      <c r="D3" s="474"/>
      <c r="E3" s="474"/>
      <c r="F3" s="175"/>
      <c r="I3" s="471" t="s">
        <v>225</v>
      </c>
      <c r="J3" s="472"/>
      <c r="K3" s="472"/>
      <c r="L3" s="472"/>
      <c r="M3" s="472"/>
      <c r="N3" s="472"/>
      <c r="O3" s="472"/>
      <c r="P3" s="472"/>
    </row>
    <row r="4" spans="2:19" ht="8.25" customHeight="1">
      <c r="B4" s="474"/>
      <c r="C4" s="474"/>
      <c r="D4" s="474"/>
      <c r="E4" s="474"/>
      <c r="F4" s="175"/>
    </row>
    <row r="5" spans="2:19" ht="20.25" customHeight="1">
      <c r="B5" s="474"/>
      <c r="C5" s="474"/>
      <c r="D5" s="474"/>
      <c r="E5" s="474"/>
      <c r="F5" s="175"/>
    </row>
    <row r="6" spans="2:19" ht="20.25" customHeight="1">
      <c r="B6" s="474"/>
      <c r="C6" s="474"/>
      <c r="D6" s="474"/>
      <c r="E6" s="474"/>
      <c r="F6" s="175"/>
      <c r="I6" s="471" t="s">
        <v>226</v>
      </c>
      <c r="J6" s="472"/>
      <c r="K6" s="472"/>
      <c r="L6" s="472"/>
      <c r="M6" s="472"/>
      <c r="N6" s="472"/>
      <c r="O6" s="472"/>
    </row>
    <row r="7" spans="2:19">
      <c r="B7" s="474"/>
      <c r="C7" s="474"/>
      <c r="D7" s="474"/>
      <c r="E7" s="474"/>
      <c r="F7" s="175"/>
    </row>
    <row r="8" spans="2:19" ht="21.75" customHeight="1">
      <c r="B8" s="474"/>
      <c r="C8" s="474"/>
      <c r="D8" s="474"/>
      <c r="E8" s="474"/>
      <c r="F8" s="175"/>
      <c r="I8" s="174" t="s">
        <v>227</v>
      </c>
      <c r="J8" s="174"/>
      <c r="K8" s="174"/>
      <c r="L8" s="174"/>
      <c r="M8" s="174"/>
      <c r="N8" s="174"/>
    </row>
    <row r="9" spans="2:19" ht="20.25" customHeight="1">
      <c r="B9" s="474"/>
      <c r="C9" s="474"/>
      <c r="D9" s="474"/>
      <c r="E9" s="474"/>
      <c r="F9" s="175"/>
      <c r="I9" s="174" t="s">
        <v>229</v>
      </c>
      <c r="J9" s="174"/>
      <c r="K9" s="174"/>
      <c r="L9" s="174"/>
      <c r="M9" s="174"/>
    </row>
    <row r="10" spans="2:19" ht="23.25" customHeight="1">
      <c r="B10" s="474"/>
      <c r="C10" s="474"/>
      <c r="D10" s="474"/>
      <c r="E10" s="474"/>
      <c r="F10" s="175"/>
    </row>
    <row r="11" spans="2:19" ht="25.5" customHeight="1">
      <c r="B11" s="175"/>
      <c r="C11" s="175"/>
      <c r="D11" s="175"/>
      <c r="E11" s="175"/>
      <c r="F11" s="175"/>
      <c r="I11" s="473" t="s">
        <v>228</v>
      </c>
      <c r="J11" s="473"/>
      <c r="K11" s="473"/>
      <c r="L11" s="473"/>
      <c r="M11" s="473"/>
      <c r="N11" s="473"/>
      <c r="O11" s="473"/>
      <c r="P11" s="473"/>
      <c r="Q11" s="473"/>
      <c r="R11" s="473"/>
      <c r="S11" s="473"/>
    </row>
    <row r="12" spans="2:19" ht="27.75" customHeight="1">
      <c r="I12" s="473"/>
      <c r="J12" s="473"/>
      <c r="K12" s="473"/>
      <c r="L12" s="473"/>
      <c r="M12" s="473"/>
      <c r="N12" s="473"/>
      <c r="O12" s="473"/>
      <c r="P12" s="473"/>
      <c r="Q12" s="473"/>
      <c r="R12" s="473"/>
      <c r="S12" s="473"/>
    </row>
  </sheetData>
  <mergeCells count="4">
    <mergeCell ref="I3:P3"/>
    <mergeCell ref="I6:O6"/>
    <mergeCell ref="I11:S12"/>
    <mergeCell ref="B3:E10"/>
  </mergeCells>
  <pageMargins left="0.7" right="0.7" top="0.75" bottom="0.75" header="0.3" footer="0.3"/>
  <pageSetup paperSize="9"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Tabla Impacto</vt:lpstr>
      <vt:lpstr>Mapa final</vt:lpstr>
      <vt:lpstr>Hoja2</vt:lpstr>
      <vt:lpstr>Matriz Calor Inherente</vt:lpstr>
      <vt:lpstr>Matriz Calor Residual</vt:lpstr>
      <vt:lpstr>Tabla probabilidad</vt:lpstr>
      <vt:lpstr>Tabla Valoración controles</vt:lpstr>
      <vt:lpstr>Opciones Tratamiento</vt:lpstr>
      <vt:lpstr>Hoja1</vt:lpstr>
      <vt:lpstr>Hoja3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LUCHOTURISMO</cp:lastModifiedBy>
  <cp:lastPrinted>2020-05-13T01:12:22Z</cp:lastPrinted>
  <dcterms:created xsi:type="dcterms:W3CDTF">2020-03-24T23:12:47Z</dcterms:created>
  <dcterms:modified xsi:type="dcterms:W3CDTF">2022-01-27T20:33:28Z</dcterms:modified>
</cp:coreProperties>
</file>