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FORTALECIMIENTO DOCUMENTOS\GESTIÓN PROCESO RECURSOS FÍSICOS\DOCUMENTOS PARA ACTUALIZAR EN SIGAMI\"/>
    </mc:Choice>
  </mc:AlternateContent>
  <bookViews>
    <workbookView xWindow="0" yWindow="0" windowWidth="20490" windowHeight="7755" firstSheet="1"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 r:id="rId11"/>
  </externalReferences>
  <definedNames>
    <definedName name="_xlnm.Print_Area" localSheetId="0">Intructivo!$B$40:$H$44</definedName>
    <definedName name="_xlnm.Print_Area" localSheetId="1">'Mapa final'!$A$1:$AL$11</definedName>
  </definedNames>
  <calcPr calcId="152511"/>
  <pivotCaches>
    <pivotCache cacheId="0" r:id="rId12"/>
  </pivotCaches>
</workbook>
</file>

<file path=xl/calcChain.xml><?xml version="1.0" encoding="utf-8"?>
<calcChain xmlns="http://schemas.openxmlformats.org/spreadsheetml/2006/main">
  <c r="J15" i="1" l="1"/>
  <c r="K15" i="1" s="1"/>
  <c r="J21" i="1"/>
  <c r="J27" i="1"/>
  <c r="K27" i="1" s="1"/>
  <c r="J33" i="1"/>
  <c r="K33" i="1" s="1"/>
  <c r="J39" i="1"/>
  <c r="K39" i="1" s="1"/>
  <c r="J45" i="1"/>
  <c r="K45" i="1" s="1"/>
  <c r="J51" i="1"/>
  <c r="K51" i="1" s="1"/>
  <c r="J57" i="1"/>
  <c r="K57" i="1" s="1"/>
  <c r="V26" i="1"/>
  <c r="S26" i="1"/>
  <c r="V25" i="1"/>
  <c r="S25" i="1"/>
  <c r="V24" i="1"/>
  <c r="S24" i="1"/>
  <c r="V23" i="1"/>
  <c r="S23" i="1"/>
  <c r="V22" i="1"/>
  <c r="S22" i="1"/>
  <c r="V21" i="1"/>
  <c r="S21" i="1"/>
  <c r="V20" i="1"/>
  <c r="S20" i="1"/>
  <c r="V19" i="1"/>
  <c r="S19" i="1"/>
  <c r="V18" i="1"/>
  <c r="S18" i="1"/>
  <c r="V17" i="1"/>
  <c r="S17" i="1"/>
  <c r="V16" i="1"/>
  <c r="S16" i="1"/>
  <c r="V15" i="1"/>
  <c r="S15" i="1"/>
  <c r="AD16" i="1" s="1"/>
  <c r="AC16" i="1" s="1"/>
  <c r="V14" i="1"/>
  <c r="V13" i="1"/>
  <c r="V12" i="1"/>
  <c r="M62" i="1"/>
  <c r="M28" i="1"/>
  <c r="M50" i="1"/>
  <c r="M41" i="1"/>
  <c r="M37" i="1"/>
  <c r="M34" i="1"/>
  <c r="M17" i="1"/>
  <c r="M40" i="1"/>
  <c r="M49" i="1"/>
  <c r="M18" i="1"/>
  <c r="M26" i="1"/>
  <c r="M54" i="1"/>
  <c r="M31" i="1"/>
  <c r="M43" i="1"/>
  <c r="M42" i="1"/>
  <c r="M29" i="1"/>
  <c r="M30" i="1"/>
  <c r="M35" i="1"/>
  <c r="M20" i="1"/>
  <c r="M23" i="1"/>
  <c r="M32" i="1"/>
  <c r="M55" i="1"/>
  <c r="M25" i="1"/>
  <c r="M47" i="1"/>
  <c r="M24" i="1"/>
  <c r="M16" i="1"/>
  <c r="M36" i="1"/>
  <c r="M38" i="1"/>
  <c r="M60" i="1"/>
  <c r="M53" i="1"/>
  <c r="M48" i="1"/>
  <c r="M44" i="1"/>
  <c r="M52" i="1"/>
  <c r="M46" i="1"/>
  <c r="M58" i="1"/>
  <c r="M22" i="1"/>
  <c r="M19" i="1"/>
  <c r="M56" i="1"/>
  <c r="M59" i="1"/>
  <c r="M61" i="1"/>
  <c r="AD24" i="1" l="1"/>
  <c r="AC24" i="1" s="1"/>
  <c r="Z20" i="1"/>
  <c r="AB20" i="1" s="1"/>
  <c r="AD17" i="1"/>
  <c r="AC17" i="1" s="1"/>
  <c r="AD25" i="1"/>
  <c r="AC25" i="1" s="1"/>
  <c r="AD19" i="1"/>
  <c r="AC19" i="1" s="1"/>
  <c r="Z23" i="1"/>
  <c r="AA23" i="1" s="1"/>
  <c r="AD18" i="1"/>
  <c r="AC18" i="1" s="1"/>
  <c r="AD22" i="1"/>
  <c r="AC22" i="1" s="1"/>
  <c r="AD26" i="1"/>
  <c r="AC26" i="1" s="1"/>
  <c r="K21" i="1"/>
  <c r="AB23" i="1"/>
  <c r="Z21" i="1"/>
  <c r="Z25" i="1"/>
  <c r="AD21" i="1"/>
  <c r="AC21" i="1" s="1"/>
  <c r="AD23" i="1"/>
  <c r="AC23" i="1" s="1"/>
  <c r="Z22" i="1"/>
  <c r="Z24" i="1"/>
  <c r="Z26" i="1"/>
  <c r="Z17" i="1"/>
  <c r="Z15" i="1"/>
  <c r="Z19" i="1"/>
  <c r="AD15" i="1"/>
  <c r="AC15" i="1" s="1"/>
  <c r="Z18" i="1"/>
  <c r="Z16" i="1"/>
  <c r="AD20" i="1"/>
  <c r="AC20" i="1" s="1"/>
  <c r="AA20" i="1" l="1"/>
  <c r="AB25" i="1"/>
  <c r="AA25" i="1"/>
  <c r="AE25" i="1" s="1"/>
  <c r="AB24" i="1"/>
  <c r="AA24" i="1"/>
  <c r="AE24" i="1" s="1"/>
  <c r="AB21" i="1"/>
  <c r="AA21" i="1"/>
  <c r="AE21" i="1" s="1"/>
  <c r="AA26" i="1"/>
  <c r="AE26" i="1" s="1"/>
  <c r="AB26" i="1"/>
  <c r="AB22" i="1"/>
  <c r="AA22" i="1"/>
  <c r="AE22" i="1" s="1"/>
  <c r="AE23" i="1"/>
  <c r="AB16" i="1"/>
  <c r="AA16" i="1"/>
  <c r="AE16" i="1" s="1"/>
  <c r="AB15" i="1"/>
  <c r="AA15" i="1"/>
  <c r="AE15" i="1" s="1"/>
  <c r="AE20" i="1"/>
  <c r="AB18" i="1"/>
  <c r="AA18" i="1"/>
  <c r="AE18" i="1" s="1"/>
  <c r="AB19" i="1"/>
  <c r="AA19" i="1"/>
  <c r="AE19" i="1" s="1"/>
  <c r="AB17" i="1"/>
  <c r="AA17" i="1"/>
  <c r="AE17" i="1" s="1"/>
  <c r="F217" i="13" l="1"/>
  <c r="V10" i="1" l="1"/>
  <c r="S10" i="1"/>
  <c r="J10" i="1" l="1"/>
  <c r="K10" i="1" s="1"/>
  <c r="M13" i="1"/>
  <c r="M14" i="1"/>
  <c r="F221" i="13" l="1"/>
  <c r="F211" i="13"/>
  <c r="F212" i="13"/>
  <c r="F213" i="13"/>
  <c r="F214" i="13"/>
  <c r="F215" i="13"/>
  <c r="F216" i="13"/>
  <c r="F218" i="13"/>
  <c r="F219" i="13"/>
  <c r="F220" i="13"/>
  <c r="F210" i="13"/>
  <c r="B221" i="13" a="1"/>
  <c r="M11" i="1"/>
  <c r="B221" i="13" l="1"/>
  <c r="S45"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2" i="1" l="1"/>
  <c r="S62" i="1"/>
  <c r="V61" i="1"/>
  <c r="S61" i="1"/>
  <c r="V60" i="1"/>
  <c r="S60" i="1"/>
  <c r="V59" i="1"/>
  <c r="S59" i="1"/>
  <c r="V58" i="1"/>
  <c r="S58" i="1"/>
  <c r="V57" i="1"/>
  <c r="S57" i="1"/>
  <c r="V56" i="1"/>
  <c r="S56" i="1"/>
  <c r="V55" i="1"/>
  <c r="S55" i="1"/>
  <c r="V54" i="1"/>
  <c r="S54" i="1"/>
  <c r="V53" i="1"/>
  <c r="S53" i="1"/>
  <c r="V52" i="1"/>
  <c r="S52" i="1"/>
  <c r="V51" i="1"/>
  <c r="S51" i="1"/>
  <c r="V50" i="1"/>
  <c r="S50" i="1"/>
  <c r="V49" i="1"/>
  <c r="S49" i="1"/>
  <c r="V48" i="1"/>
  <c r="S48" i="1"/>
  <c r="V47" i="1"/>
  <c r="S47" i="1"/>
  <c r="V46" i="1"/>
  <c r="S46" i="1"/>
  <c r="AD46" i="1" s="1"/>
  <c r="V45" i="1"/>
  <c r="J12" i="1"/>
  <c r="S14" i="1"/>
  <c r="S13" i="1"/>
  <c r="S12" i="1"/>
  <c r="Z13" i="1" l="1"/>
  <c r="AD13" i="1"/>
  <c r="AC13" i="1" s="1"/>
  <c r="AD14" i="1"/>
  <c r="AC14" i="1" s="1"/>
  <c r="Z14" i="1"/>
  <c r="AD58" i="1"/>
  <c r="AD52" i="1"/>
  <c r="K12" i="1"/>
  <c r="Z12" i="1" s="1"/>
  <c r="Z57" i="1"/>
  <c r="Z51" i="1"/>
  <c r="Z45" i="1"/>
  <c r="AB12" i="1" l="1"/>
  <c r="AA12" i="1"/>
  <c r="AA14" i="1"/>
  <c r="AE14" i="1" s="1"/>
  <c r="AB14" i="1"/>
  <c r="AA13" i="1"/>
  <c r="AE13" i="1" s="1"/>
  <c r="AB13" i="1"/>
  <c r="AA57" i="1"/>
  <c r="AB57" i="1"/>
  <c r="Z58" i="1" s="1"/>
  <c r="AA58" i="1" s="1"/>
  <c r="AA51" i="1"/>
  <c r="AB51" i="1"/>
  <c r="Z52" i="1" s="1"/>
  <c r="AB52" i="1" s="1"/>
  <c r="Z53" i="1" s="1"/>
  <c r="AA45" i="1"/>
  <c r="AB45" i="1"/>
  <c r="Z46" i="1" s="1"/>
  <c r="AB46" i="1" s="1"/>
  <c r="Z47" i="1" s="1"/>
  <c r="AA52" i="1" l="1"/>
  <c r="AA46" i="1"/>
  <c r="AB53" i="1"/>
  <c r="Z54" i="1" s="1"/>
  <c r="AA53" i="1"/>
  <c r="AB47" i="1"/>
  <c r="Z48" i="1" s="1"/>
  <c r="AA47" i="1"/>
  <c r="AB58" i="1"/>
  <c r="Z59"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54" i="1" l="1"/>
  <c r="AB54" i="1"/>
  <c r="AA48" i="1"/>
  <c r="AB48" i="1"/>
  <c r="Z49" i="1" s="1"/>
  <c r="AA59" i="1"/>
  <c r="AB59" i="1"/>
  <c r="Z60" i="1" s="1"/>
  <c r="AA49" i="1" l="1"/>
  <c r="AB49" i="1"/>
  <c r="Z50" i="1" s="1"/>
  <c r="Z55" i="1"/>
  <c r="Z56" i="1"/>
  <c r="AB60" i="1"/>
  <c r="AA60" i="1"/>
  <c r="AA56" i="1" l="1"/>
  <c r="AB56" i="1"/>
  <c r="AA55" i="1"/>
  <c r="AB55" i="1"/>
  <c r="AA50" i="1"/>
  <c r="AB50" i="1"/>
  <c r="Z61" i="1"/>
  <c r="Z62" i="1"/>
  <c r="Z10" i="1"/>
  <c r="AA10" i="1" s="1"/>
  <c r="AA62" i="1" l="1"/>
  <c r="AB62" i="1"/>
  <c r="AA61" i="1"/>
  <c r="AB61" i="1"/>
  <c r="AB10" i="1" l="1"/>
  <c r="AD57" i="1" l="1"/>
  <c r="AC57" i="1" l="1"/>
  <c r="AD59" i="1"/>
  <c r="AD51" i="1"/>
  <c r="AD45" i="1"/>
  <c r="AC45"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AE57" i="1"/>
  <c r="P25" i="19"/>
  <c r="V55" i="19"/>
  <c r="J15" i="19"/>
  <c r="AB15" i="19"/>
  <c r="J35" i="19"/>
  <c r="AB35" i="19"/>
  <c r="J55" i="19"/>
  <c r="AB25" i="19"/>
  <c r="P35" i="19"/>
  <c r="P55" i="19"/>
  <c r="AB45" i="19"/>
  <c r="P15" i="19"/>
  <c r="AE4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1" i="1"/>
  <c r="AC5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59" i="1"/>
  <c r="AD60" i="1"/>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C46" i="1"/>
  <c r="AD47" i="1"/>
  <c r="AC52" i="1"/>
  <c r="AD53"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C60" i="1"/>
  <c r="AD61" i="1"/>
  <c r="K35" i="19"/>
  <c r="AC25" i="19"/>
  <c r="K45" i="19"/>
  <c r="AI45" i="19"/>
  <c r="W45" i="19"/>
  <c r="Q35" i="19"/>
  <c r="K55" i="19"/>
  <c r="AC15" i="19"/>
  <c r="Q15" i="19"/>
  <c r="AC35" i="19"/>
  <c r="AI35" i="19"/>
  <c r="Q55" i="19"/>
  <c r="AI25" i="19"/>
  <c r="AE58"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2"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E59"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1"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C47" i="1"/>
  <c r="AD48"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C53" i="1"/>
  <c r="AD54"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E46"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C48" i="1"/>
  <c r="AD49" i="1"/>
  <c r="AC61" i="1"/>
  <c r="AD62" i="1"/>
  <c r="AC62"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E47" i="1"/>
  <c r="X23" i="19"/>
  <c r="R33" i="19"/>
  <c r="R43" i="19"/>
  <c r="AD53" i="19"/>
  <c r="AJ13" i="19"/>
  <c r="R23" i="19"/>
  <c r="R13" i="19"/>
  <c r="AJ53" i="19"/>
  <c r="L33" i="19"/>
  <c r="L23" i="19"/>
  <c r="X43" i="19"/>
  <c r="X53" i="19"/>
  <c r="AD13" i="19"/>
  <c r="L53" i="19"/>
  <c r="L13" i="19"/>
  <c r="AD23" i="19"/>
  <c r="AJ33" i="19"/>
  <c r="AJ23" i="19"/>
  <c r="R53" i="19"/>
  <c r="M55" i="19"/>
  <c r="AK15" i="19"/>
  <c r="AE25" i="19"/>
  <c r="AE60"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C54" i="1"/>
  <c r="AD55"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E53"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4"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E62"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1"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C49" i="1"/>
  <c r="AD50" i="1"/>
  <c r="AC50"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5" i="1"/>
  <c r="AD56" i="1"/>
  <c r="AC56"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48"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56" i="1"/>
  <c r="AA14" i="19"/>
  <c r="O54" i="19"/>
  <c r="U44" i="19"/>
  <c r="U43" i="19"/>
  <c r="U13" i="19"/>
  <c r="AM53" i="19"/>
  <c r="AA53" i="19"/>
  <c r="AA43" i="19"/>
  <c r="O53" i="19"/>
  <c r="O23" i="19"/>
  <c r="O13" i="19"/>
  <c r="AG43" i="19"/>
  <c r="U33" i="19"/>
  <c r="U23" i="19"/>
  <c r="AM13" i="19"/>
  <c r="AM23" i="19"/>
  <c r="AG13" i="19"/>
  <c r="AA23" i="19"/>
  <c r="AG33" i="19"/>
  <c r="AA33" i="19"/>
  <c r="AM33" i="19"/>
  <c r="AA13" i="19"/>
  <c r="AE5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5" i="1"/>
  <c r="AF53" i="19"/>
  <c r="T43" i="19"/>
  <c r="Z53" i="19"/>
  <c r="N43" i="19"/>
  <c r="T23" i="19"/>
  <c r="AF43" i="19"/>
  <c r="Z13" i="19"/>
  <c r="Z43" i="19"/>
  <c r="AF23" i="19"/>
  <c r="AL13" i="19"/>
  <c r="Z23" i="19"/>
  <c r="AL43" i="19"/>
  <c r="AF13" i="19"/>
  <c r="AL23" i="19"/>
  <c r="N13" i="19"/>
  <c r="T33" i="19"/>
  <c r="AL53" i="19"/>
  <c r="N23" i="19"/>
  <c r="N53" i="19"/>
  <c r="AF33" i="19"/>
  <c r="N33" i="19"/>
  <c r="AE49"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5" i="1" l="1"/>
  <c r="N15" i="1" s="1"/>
  <c r="M10" i="1"/>
  <c r="N10" i="1" s="1"/>
  <c r="M39" i="1"/>
  <c r="N39" i="1" s="1"/>
  <c r="M12" i="1"/>
  <c r="N12" i="1" s="1"/>
  <c r="M21" i="1"/>
  <c r="N21" i="1" s="1"/>
  <c r="M45" i="1"/>
  <c r="N45" i="1" s="1"/>
  <c r="M27" i="1"/>
  <c r="N27" i="1" s="1"/>
  <c r="M33" i="1"/>
  <c r="N33" i="1" s="1"/>
  <c r="M51" i="1"/>
  <c r="N51" i="1" s="1"/>
  <c r="M57" i="1"/>
  <c r="N57" i="1" s="1"/>
  <c r="O33" i="1" l="1"/>
  <c r="P33" i="1"/>
  <c r="AL32" i="18"/>
  <c r="N40" i="18"/>
  <c r="AF16" i="18"/>
  <c r="AL40" i="18"/>
  <c r="T8" i="18"/>
  <c r="T40" i="18"/>
  <c r="AL8" i="18"/>
  <c r="N8" i="18"/>
  <c r="AF32" i="18"/>
  <c r="AF8" i="18"/>
  <c r="AF24" i="18"/>
  <c r="AL24" i="18"/>
  <c r="T24" i="18"/>
  <c r="N16" i="18"/>
  <c r="Z32" i="18"/>
  <c r="Z40" i="18"/>
  <c r="Z16" i="18"/>
  <c r="T16" i="18"/>
  <c r="N24" i="18"/>
  <c r="Z8" i="18"/>
  <c r="N32" i="18"/>
  <c r="AF40" i="18"/>
  <c r="AL16" i="18"/>
  <c r="Z24" i="18"/>
  <c r="T32" i="18"/>
  <c r="O57" i="1"/>
  <c r="P57" i="1"/>
  <c r="V12" i="18"/>
  <c r="V36" i="18"/>
  <c r="V20" i="18"/>
  <c r="AH28" i="18"/>
  <c r="J28" i="18"/>
  <c r="P20" i="18"/>
  <c r="AB20" i="18"/>
  <c r="AH36" i="18"/>
  <c r="J36" i="18"/>
  <c r="V28" i="18"/>
  <c r="AB36" i="18"/>
  <c r="J12" i="18"/>
  <c r="J44" i="18"/>
  <c r="AB28" i="18"/>
  <c r="AH12" i="18"/>
  <c r="J20" i="18"/>
  <c r="P12" i="18"/>
  <c r="AH44" i="18"/>
  <c r="P28" i="18"/>
  <c r="P44" i="18"/>
  <c r="AB12" i="18"/>
  <c r="AH20" i="18"/>
  <c r="AB44" i="18"/>
  <c r="V44" i="18"/>
  <c r="P36" i="18"/>
  <c r="O27" i="1"/>
  <c r="P27" i="1"/>
  <c r="L16" i="18"/>
  <c r="AJ16" i="18"/>
  <c r="R8" i="18"/>
  <c r="AJ40" i="18"/>
  <c r="R32" i="18"/>
  <c r="AD8" i="18"/>
  <c r="X40" i="18"/>
  <c r="AJ32" i="18"/>
  <c r="L32" i="18"/>
  <c r="X8" i="18"/>
  <c r="AD40" i="18"/>
  <c r="R24" i="18"/>
  <c r="R40" i="18"/>
  <c r="L40" i="18"/>
  <c r="X16" i="18"/>
  <c r="R16" i="18"/>
  <c r="L8" i="18"/>
  <c r="X32" i="18"/>
  <c r="AD24" i="18"/>
  <c r="L24" i="18"/>
  <c r="X24" i="18"/>
  <c r="AD32" i="18"/>
  <c r="AJ24" i="18"/>
  <c r="AD16" i="18"/>
  <c r="AJ8" i="18"/>
  <c r="O45" i="1"/>
  <c r="P45" i="1"/>
  <c r="R18" i="18"/>
  <c r="AJ10" i="18"/>
  <c r="L18" i="18"/>
  <c r="AJ34" i="18"/>
  <c r="R26" i="18"/>
  <c r="AJ42" i="18"/>
  <c r="R10" i="18"/>
  <c r="R34" i="18"/>
  <c r="L34" i="18"/>
  <c r="AJ18" i="18"/>
  <c r="R42" i="18"/>
  <c r="X26" i="18"/>
  <c r="AD26" i="18"/>
  <c r="AJ26" i="18"/>
  <c r="X34" i="18"/>
  <c r="L10" i="18"/>
  <c r="X10" i="18"/>
  <c r="AD18" i="18"/>
  <c r="AD10" i="18"/>
  <c r="X42" i="18"/>
  <c r="AD34" i="18"/>
  <c r="X18" i="18"/>
  <c r="L42" i="18"/>
  <c r="L26" i="18"/>
  <c r="AD42" i="18"/>
  <c r="O21" i="1"/>
  <c r="P21" i="1"/>
  <c r="P16" i="18"/>
  <c r="P40" i="18"/>
  <c r="V32" i="18"/>
  <c r="J32" i="18"/>
  <c r="AH16" i="18"/>
  <c r="V8" i="18"/>
  <c r="AH24" i="18"/>
  <c r="AH8" i="18"/>
  <c r="J8" i="18"/>
  <c r="AB32" i="18"/>
  <c r="AB8" i="18"/>
  <c r="J24" i="18"/>
  <c r="AH40" i="18"/>
  <c r="P8" i="18"/>
  <c r="P32" i="18"/>
  <c r="V16" i="18"/>
  <c r="AB16" i="18"/>
  <c r="V40" i="18"/>
  <c r="AB24" i="18"/>
  <c r="J16" i="18"/>
  <c r="J40" i="18"/>
  <c r="AB40" i="18"/>
  <c r="AH32" i="18"/>
  <c r="P24" i="18"/>
  <c r="V24" i="18"/>
  <c r="L30" i="18"/>
  <c r="R38" i="18"/>
  <c r="AJ14" i="18"/>
  <c r="R14" i="18"/>
  <c r="AJ38" i="18"/>
  <c r="X30" i="18"/>
  <c r="AD6" i="18"/>
  <c r="L22" i="18"/>
  <c r="AD30" i="18"/>
  <c r="AJ22" i="18"/>
  <c r="AJ6" i="18"/>
  <c r="L38" i="18"/>
  <c r="AD14" i="18"/>
  <c r="L14" i="18"/>
  <c r="X38" i="18"/>
  <c r="R6" i="18"/>
  <c r="O12" i="1"/>
  <c r="AD12" i="1" s="1"/>
  <c r="AC12" i="1" s="1"/>
  <c r="X14" i="18"/>
  <c r="R22" i="18"/>
  <c r="AD22" i="18"/>
  <c r="X6" i="18"/>
  <c r="AJ30" i="18"/>
  <c r="P12" i="1"/>
  <c r="L6" i="18"/>
  <c r="R30" i="18"/>
  <c r="X22" i="18"/>
  <c r="AD38" i="18"/>
  <c r="O39" i="1"/>
  <c r="P39" i="1"/>
  <c r="AB10" i="18"/>
  <c r="J18" i="18"/>
  <c r="P18" i="18"/>
  <c r="J26" i="18"/>
  <c r="AB42" i="18"/>
  <c r="AB18" i="18"/>
  <c r="AH10" i="18"/>
  <c r="V18" i="18"/>
  <c r="AB34" i="18"/>
  <c r="V10" i="18"/>
  <c r="V42" i="18"/>
  <c r="P26" i="18"/>
  <c r="P34" i="18"/>
  <c r="V34" i="18"/>
  <c r="J10" i="18"/>
  <c r="J42" i="18"/>
  <c r="P10" i="18"/>
  <c r="AB26" i="18"/>
  <c r="P42" i="18"/>
  <c r="V26" i="18"/>
  <c r="J34" i="18"/>
  <c r="AH34" i="18"/>
  <c r="AH26" i="18"/>
  <c r="AH18" i="18"/>
  <c r="AH42" i="18"/>
  <c r="J30" i="18"/>
  <c r="P38" i="18"/>
  <c r="AB6" i="18"/>
  <c r="AH6" i="18"/>
  <c r="AB38" i="18"/>
  <c r="O10" i="1"/>
  <c r="AD10" i="1" s="1"/>
  <c r="AC10" i="1" s="1"/>
  <c r="J38" i="18"/>
  <c r="V6" i="18"/>
  <c r="J6" i="18"/>
  <c r="P30" i="18"/>
  <c r="AH22" i="18"/>
  <c r="P6" i="18"/>
  <c r="AB30" i="18"/>
  <c r="J22" i="18"/>
  <c r="V38" i="18"/>
  <c r="V22" i="18"/>
  <c r="P22" i="18"/>
  <c r="AB22" i="18"/>
  <c r="AH30" i="18"/>
  <c r="P10" i="1"/>
  <c r="V14" i="18"/>
  <c r="J14" i="18"/>
  <c r="P14" i="18"/>
  <c r="AH14" i="18"/>
  <c r="AH38" i="18"/>
  <c r="AB14" i="18"/>
  <c r="V30" i="18"/>
  <c r="O51" i="1"/>
  <c r="P51" i="1"/>
  <c r="Z42" i="18"/>
  <c r="T18" i="18"/>
  <c r="N18" i="18"/>
  <c r="T26" i="18"/>
  <c r="N42" i="18"/>
  <c r="Z18" i="18"/>
  <c r="N10" i="18"/>
  <c r="AF26" i="18"/>
  <c r="Z10" i="18"/>
  <c r="AL34" i="18"/>
  <c r="N26" i="18"/>
  <c r="AL18" i="18"/>
  <c r="AL42" i="18"/>
  <c r="AF18" i="18"/>
  <c r="Z26" i="18"/>
  <c r="AF10" i="18"/>
  <c r="T10" i="18"/>
  <c r="T42" i="18"/>
  <c r="Z34" i="18"/>
  <c r="N34" i="18"/>
  <c r="AF34" i="18"/>
  <c r="AF42" i="18"/>
  <c r="T34" i="18"/>
  <c r="AL10" i="18"/>
  <c r="AL26" i="18"/>
  <c r="O15" i="1"/>
  <c r="P15" i="1"/>
  <c r="AL6" i="18"/>
  <c r="Z30" i="18"/>
  <c r="N30" i="18"/>
  <c r="Z6" i="18"/>
  <c r="AL38" i="18"/>
  <c r="N14" i="18"/>
  <c r="T14" i="18"/>
  <c r="AL14" i="18"/>
  <c r="N22" i="18"/>
  <c r="T6" i="18"/>
  <c r="T22" i="18"/>
  <c r="AF6" i="18"/>
  <c r="AF38" i="18"/>
  <c r="AF30" i="18"/>
  <c r="T38" i="18"/>
  <c r="N6" i="18"/>
  <c r="AL22" i="18"/>
  <c r="AF22" i="18"/>
  <c r="AL30" i="18"/>
  <c r="T30" i="18"/>
  <c r="Z14" i="18"/>
  <c r="N38" i="18"/>
  <c r="Z22" i="18"/>
  <c r="Z38" i="18"/>
  <c r="AF14" i="18"/>
  <c r="V26" i="19" l="1"/>
  <c r="AH36" i="19"/>
  <c r="P26" i="19"/>
  <c r="AB16" i="19"/>
  <c r="J16" i="19"/>
  <c r="V16" i="19"/>
  <c r="V36" i="19"/>
  <c r="AE10" i="1"/>
  <c r="P46" i="19"/>
  <c r="AB36" i="19"/>
  <c r="AB6" i="19"/>
  <c r="P36" i="19"/>
  <c r="J36" i="19"/>
  <c r="AH16" i="19"/>
  <c r="J26" i="19"/>
  <c r="V6" i="19"/>
  <c r="J46" i="19"/>
  <c r="P16" i="19"/>
  <c r="P6" i="19"/>
  <c r="AH6" i="19"/>
  <c r="AH26" i="19"/>
  <c r="V46" i="19"/>
  <c r="AH46" i="19"/>
  <c r="AB46" i="19"/>
  <c r="J6" i="19"/>
  <c r="AB26" i="19"/>
  <c r="AE12" i="1"/>
  <c r="AH7" i="19"/>
  <c r="V7" i="19"/>
  <c r="AB17" i="19"/>
  <c r="AH47" i="19"/>
  <c r="P47" i="19"/>
  <c r="AH37" i="19"/>
  <c r="J7" i="19"/>
  <c r="J47" i="19"/>
  <c r="AB47" i="19"/>
  <c r="AB27" i="19"/>
  <c r="P27" i="19"/>
  <c r="V37" i="19"/>
  <c r="J17" i="19"/>
  <c r="AB7" i="19"/>
  <c r="AH17" i="19"/>
  <c r="AB37" i="19"/>
  <c r="V47" i="19"/>
  <c r="P17" i="19"/>
  <c r="P7" i="19"/>
  <c r="P37" i="19"/>
  <c r="J37" i="19"/>
  <c r="V17" i="19"/>
  <c r="AH27" i="19"/>
  <c r="V27" i="19"/>
  <c r="J2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<sst xmlns="http://schemas.openxmlformats.org/spreadsheetml/2006/main" count="472" uniqueCount="228">
  <si>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</si>
  <si>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</si>
  <si>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</si>
  <si>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</si>
  <si>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</si>
  <si>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</si>
  <si>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</si>
  <si>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</si>
  <si>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</si>
  <si>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</si>
  <si>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</si>
  <si>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</si>
  <si>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</si>
  <si>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</si>
  <si>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</si>
  <si>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</si>
  <si>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</si>
  <si>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</si>
  <si>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</si>
  <si>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</si>
  <si>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</si>
  <si>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</si>
  <si>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</si>
  <si>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</si>
  <si>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</si>
  <si>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</si>
  <si>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</si>
  <si>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</si>
  <si>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</si>
  <si>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</si>
  <si>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</si>
  <si>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</si>
  <si>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</si>
  <si>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</si>
  <si>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</si>
  <si>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</si>
  <si>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</si>
  <si>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</si>
  <si>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</si>
  <si>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</si>
  <si>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</si>
  <si>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</si>
  <si>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</si>
  <si>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</si>
  <si>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</si>
  <si>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</si>
  <si>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</si>
  <si>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</si>
  <si>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</si>
  <si>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</si>
  <si>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</si>
  <si>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</si>
  <si>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</si>
  <si>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</si>
  <si>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</si>
  <si>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</si>
  <si>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</si>
  <si>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</si>
  <si>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</si>
  <si>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</si>
  <si>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</si>
  <si>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</si>
  <si>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</si>
  <si>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</si>
  <si>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</si>
  <si>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</si>
  <si>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</si>
  <si>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</si>
  <si>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</si>
  <si>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</si>
  <si>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</si>
  <si>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</si>
  <si>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</si>
  <si>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</si>
  <si>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</si>
  <si>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</si>
  <si>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</si>
  <si>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</si>
  <si>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</si>
  <si>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</si>
  <si>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</si>
  <si>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</si>
  <si>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</si>
  <si>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</si>
  <si>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</si>
  <si>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</si>
  <si>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</si>
  <si>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</si>
  <si>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</si>
  <si>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</si>
  <si>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</si>
  <si>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</si>
  <si>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</si>
  <si>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</si>
  <si>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</si>
  <si>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</si>
  <si>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</si>
  <si>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</si>
  <si>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</si>
  <si>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</si>
  <si>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</si>
  <si>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</si>
  <si>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</si>
  <si>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</si>
  <si>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</si>
  <si>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</si>
  <si>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</si>
  <si>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</si>
  <si>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</si>
  <si>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</si>
  <si>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</si>
  <si>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</si>
  <si>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</si>
  <si>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</si>
  <si>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</si>
  <si>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</si>
  <si>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</si>
  <si>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</si>
  <si>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</si>
  <si>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</si>
  <si>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</si>
  <si>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</si>
  <si>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</si>
  <si>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</si>
  <si>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</si>
  <si>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</si>
  <si>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</si>
  <si>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</si>
  <si>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</si>
  <si>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</si>
  <si>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</si>
  <si>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</si>
  <si>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</si>
  <si>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</si>
  <si>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</si>
  <si>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</si>
  <si>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</si>
  <si>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</si>
  <si>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</si>
  <si>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</si>
  <si>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</si>
  <si>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</si>
  <si>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</si>
  <si>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</si>
  <si>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</si>
  <si>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</si>
  <si>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</si>
  <si>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</si>
  <si>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</si>
  <si>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</si>
  <si>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</si>
  <si>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</si>
  <si>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</si>
  <si>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</si>
  <si>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</si>
  <si>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</si>
  <si>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</si>
  <si>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</si>
  <si>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</si>
  <si>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</si>
  <si>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</si>
  <si>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</si>
  <si>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</si>
  <si>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</si>
  <si>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</si>
  <si>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</si>
  <si>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</si>
  <si>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</si>
  <si>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</si>
  <si>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</si>
  <si>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</si>
  <si>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</si>
  <si>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</si>
  <si>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</si>
  <si>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</si>
  <si>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</si>
  <si>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</si>
  <si>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</si>
  <si>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</si>
  <si>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</si>
  <si>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</si>
  <si>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</si>
  <si>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</si>
  <si>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</si>
  <si>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</si>
  <si>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</si>
  <si>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</si>
  <si>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</si>
  <si>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</si>
  <si>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</si>
  <si>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</si>
  <si>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</si>
  <si>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</si>
  <si>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</si>
  <si>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</si>
  <si>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</si>
  <si>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</si>
  <si>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</si>
  <si>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</si>
  <si>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</si>
  <si>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</si>
  <si>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</si>
  <si>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</si>
  <si>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</si>
  <si>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</si>
  <si>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</si>
  <si>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</si>
  <si>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</si>
  <si>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</si>
  <si>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</si>
  <si>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</si>
  <si>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</si>
  <si>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</si>
  <si>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</si>
  <si>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</si>
  <si>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
  </si>
  <si>
    <t>Sancion del ente regulador</t>
  </si>
  <si>
    <t>Deficiente planeacion de las actividades del proceso</t>
  </si>
  <si>
    <t>Falta de Presupuesto para cumplir con el correcto funcionamiento de los procesos de la entidad.</t>
  </si>
  <si>
    <t>Plan Anual de Adquisiciones 
Ejecucion de las actividades propias del proceso.</t>
  </si>
  <si>
    <t>El director (a) de recursos Fisicos a principio de año revisa el presupuesto y las necesidades de la entidad para planearlas en el Plan Anual de Adquisiciones y Plan de Accion de la Direccion, dejando como evidencia:
Plan Anual de adquisiciones y el Plan de Accion</t>
  </si>
  <si>
    <t>Director(a) Recursos Fisicos</t>
  </si>
  <si>
    <t>El Director(a) de Recursos Fisicos  junto con su equipo de trabajo mensualmente se reunen con el fin de revisar y hacer seguimiento al Plan de Accion: actividades programadas vs su ejecucion para poder tomar acciones en caso de desviacion.</t>
  </si>
  <si>
    <t xml:space="preserve">GESTIONAR OPORTUNAMENTE EL FUNCIONAMIENTO DE LA ADMINISTRACION CENTRAL MEDIANTE LA ADQUISICIÓN Y MANTENIMIENTO DE BIENES Y SERVICIOS, EJECUTANDO EL 80% DEL PRESUPUESTO ASIGNADO CONTRIBUYENDO A LA GESTIÓN DE LOS PROCESOS Y AL LOGRO DE LOS OBJETIVOS INSTITUCIONALES.
</t>
  </si>
  <si>
    <t>INICIA CON LA PLANEACIÓN DEL PROCESO, GESTIONANDO LOS BIENES Y SERVICIOS REQUERIDOS PARA GARANTIZAR EL FUNCIONAMIENTO DE LA ADMINISTRACIÓN, DESARROLLANDO LAS ACTIVIDADES DE MANEJO Y CONTROL DEL INVENTARIO DE LOS BIENES MUEBLES DEL MUNICIPIO, IDENTIFICAR, LEGALIZAR Y TITULAR LOS BIENES FISCALES Y DE USO PUBLICO Y EL MANTENIMIENTO PREVENTIVO Y CORRECTIVO DE VEHICULOS Y BIENES DEL MUNICIPIO, CULMINANDO CON EL SEGUIMIENTO Y EVALUACIÓN DEL PROCESO.</t>
  </si>
  <si>
    <t>GESTIÓN DE RECURSOS FÍSICOS</t>
  </si>
  <si>
    <t>Posibilidad de afectacion economica y reputacional por las sanciones del ente regulador debido a la Deficiente gestion de la Programacion Contractual para el Funcionamiento de la Administracion Central</t>
  </si>
  <si>
    <t>Deficiente gestion de la Programacion Contractual Para el Funcionamiento de la Administracion Central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</si>
</sst>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8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top style="dashed">
        <color theme="9" tint="-0.249977111117893"/>
      </top>
      <bottom style="dashed">
        <color theme="9" tint="-0.249977111117893"/>
      </bottom>
      <diagonal/>
    </border>
    <border>
      <left/>
      <right/>
      <top style="dashed">
        <color theme="9" tint="-0.249977111117893"/>
      </top>
      <bottom style="dashed">
        <color theme="9" tint="-0.249977111117893"/>
      </bottom>
      <diagonal/>
    </border>
    <border>
      <left/>
      <right style="dashed">
        <color theme="9" tint="-0.249977111117893"/>
      </right>
      <top style="dashed">
        <color theme="9" tint="-0.249977111117893"/>
      </top>
      <bottom style="dashed">
        <color theme="9" tint="-0.249977111117893"/>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5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applyProtection="1"/>
    <xf numFmtId="0" fontId="40" fillId="3" borderId="52" xfId="2" applyFont="1" applyFill="1" applyBorder="1" applyProtection="1"/>
    <xf numFmtId="0" fontId="40" fillId="3" borderId="53" xfId="2" applyFont="1" applyFill="1" applyBorder="1" applyProtection="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applyProtection="1"/>
    <xf numFmtId="0" fontId="45" fillId="3" borderId="0" xfId="0" applyFont="1" applyFill="1" applyBorder="1" applyAlignment="1" applyProtection="1">
      <alignment horizontal="left" vertical="center" wrapText="1"/>
    </xf>
    <xf numFmtId="0" fontId="46" fillId="3" borderId="0" xfId="0" applyFont="1" applyFill="1" applyBorder="1" applyAlignment="1" applyProtection="1">
      <alignment horizontal="left" vertical="top" wrapText="1"/>
    </xf>
    <xf numFmtId="0" fontId="40" fillId="3" borderId="0" xfId="2" applyFont="1" applyFill="1" applyBorder="1" applyProtection="1"/>
    <xf numFmtId="0" fontId="40" fillId="3" borderId="15" xfId="2" applyFont="1" applyFill="1" applyBorder="1" applyProtection="1"/>
    <xf numFmtId="0" fontId="44" fillId="3" borderId="0" xfId="2" applyFont="1" applyFill="1" applyBorder="1" applyAlignment="1" applyProtection="1">
      <alignment horizontal="left" vertical="center" wrapText="1"/>
    </xf>
    <xf numFmtId="0" fontId="40" fillId="3" borderId="0" xfId="2" applyFont="1" applyFill="1" applyBorder="1" applyAlignment="1" applyProtection="1">
      <alignment horizontal="left" vertical="center" wrapText="1"/>
    </xf>
    <xf numFmtId="0" fontId="40" fillId="3" borderId="0" xfId="2" quotePrefix="1" applyFont="1" applyFill="1" applyBorder="1" applyAlignment="1" applyProtection="1">
      <alignment horizontal="left" vertical="center" wrapText="1"/>
    </xf>
    <xf numFmtId="0" fontId="40" fillId="3" borderId="15" xfId="2" applyFont="1" applyFill="1" applyBorder="1" applyAlignment="1" applyProtection="1"/>
    <xf numFmtId="0" fontId="42" fillId="3" borderId="14" xfId="2" quotePrefix="1" applyFont="1" applyFill="1" applyBorder="1" applyAlignment="1" applyProtection="1">
      <alignment horizontal="left" vertical="top" wrapText="1"/>
    </xf>
    <xf numFmtId="0" fontId="43" fillId="3" borderId="0" xfId="2" quotePrefix="1" applyFont="1" applyFill="1" applyBorder="1" applyAlignment="1" applyProtection="1">
      <alignment horizontal="left" vertical="top" wrapText="1"/>
    </xf>
    <xf numFmtId="0" fontId="4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9" fontId="1" fillId="0" borderId="4" xfId="0" applyNumberFormat="1" applyFont="1" applyFill="1" applyBorder="1" applyAlignment="1" applyProtection="1">
      <alignment horizontal="center" vertical="top"/>
      <protection hidden="1"/>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Fill="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9" fontId="27"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Border="1" applyAlignment="1">
      <alignment horizontal="justify" vertical="center" wrapText="1" readingOrder="1"/>
    </xf>
    <xf numFmtId="0" fontId="55" fillId="3" borderId="0" xfId="0" applyFont="1" applyFill="1" applyAlignment="1">
      <alignment vertical="center"/>
    </xf>
    <xf numFmtId="0" fontId="54" fillId="0" borderId="0" xfId="0" applyFont="1" applyBorder="1" applyAlignment="1">
      <alignment horizontal="justify" vertical="center" wrapText="1" readingOrder="1"/>
    </xf>
    <xf numFmtId="0" fontId="54" fillId="0" borderId="0" xfId="0" applyFont="1" applyFill="1" applyAlignment="1">
      <alignment vertical="center"/>
    </xf>
    <xf numFmtId="0" fontId="12" fillId="0" borderId="0" xfId="0" pivotButton="1" applyFont="1"/>
    <xf numFmtId="0" fontId="56" fillId="0" borderId="0" xfId="0" applyFont="1" applyFill="1" applyAlignment="1">
      <alignment horizontal="center" wrapText="1"/>
    </xf>
    <xf numFmtId="0" fontId="57" fillId="0" borderId="0" xfId="0" applyFont="1"/>
    <xf numFmtId="0" fontId="1" fillId="3" borderId="75" xfId="0" applyFont="1" applyFill="1" applyBorder="1" applyAlignment="1">
      <alignment vertical="center" wrapText="1"/>
    </xf>
    <xf numFmtId="0" fontId="41" fillId="14" borderId="48" xfId="2" applyFont="1" applyFill="1" applyBorder="1" applyAlignment="1" applyProtection="1">
      <alignment horizontal="center" vertical="center" wrapText="1"/>
    </xf>
    <xf numFmtId="0" fontId="41" fillId="14" borderId="49" xfId="2" applyFont="1" applyFill="1" applyBorder="1" applyAlignment="1" applyProtection="1">
      <alignment horizontal="center" vertical="center" wrapText="1"/>
    </xf>
    <xf numFmtId="0" fontId="41" fillId="14" borderId="50" xfId="2" applyFont="1" applyFill="1" applyBorder="1" applyAlignment="1" applyProtection="1">
      <alignment horizontal="center" vertical="center" wrapText="1"/>
    </xf>
    <xf numFmtId="0" fontId="40" fillId="0" borderId="14" xfId="2" quotePrefix="1" applyFont="1" applyBorder="1" applyAlignment="1" applyProtection="1">
      <alignment horizontal="left" vertical="center" wrapText="1"/>
    </xf>
    <xf numFmtId="0" fontId="40" fillId="0" borderId="0" xfId="2" quotePrefix="1" applyFont="1" applyBorder="1" applyAlignment="1" applyProtection="1">
      <alignment horizontal="left" vertical="center" wrapText="1"/>
    </xf>
    <xf numFmtId="0" fontId="40" fillId="0" borderId="15" xfId="2" quotePrefix="1" applyFont="1" applyBorder="1" applyAlignment="1" applyProtection="1">
      <alignment horizontal="left" vertical="center" wrapText="1"/>
    </xf>
    <xf numFmtId="0" fontId="40" fillId="0" borderId="68" xfId="2" quotePrefix="1" applyFont="1" applyBorder="1" applyAlignment="1" applyProtection="1">
      <alignment horizontal="left" vertical="center" wrapText="1"/>
    </xf>
    <xf numFmtId="0" fontId="40" fillId="0" borderId="69" xfId="2" quotePrefix="1" applyFont="1" applyBorder="1" applyAlignment="1" applyProtection="1">
      <alignment horizontal="left" vertical="center" wrapText="1"/>
    </xf>
    <xf numFmtId="0" fontId="40" fillId="0" borderId="70" xfId="2" quotePrefix="1" applyFont="1" applyBorder="1" applyAlignment="1" applyProtection="1">
      <alignment horizontal="left" vertical="center" wrapText="1"/>
    </xf>
    <xf numFmtId="0" fontId="42" fillId="3" borderId="51" xfId="2" quotePrefix="1" applyFont="1" applyFill="1" applyBorder="1" applyAlignment="1" applyProtection="1">
      <alignment horizontal="left" vertical="top" wrapText="1"/>
    </xf>
    <xf numFmtId="0" fontId="43" fillId="3" borderId="52" xfId="2" quotePrefix="1" applyFont="1" applyFill="1" applyBorder="1" applyAlignment="1" applyProtection="1">
      <alignment horizontal="left" vertical="top" wrapText="1"/>
    </xf>
    <xf numFmtId="0" fontId="43" fillId="3" borderId="53" xfId="2" quotePrefix="1" applyFont="1" applyFill="1" applyBorder="1" applyAlignment="1" applyProtection="1">
      <alignment horizontal="left" vertical="top" wrapText="1"/>
    </xf>
    <xf numFmtId="0" fontId="40" fillId="0" borderId="14" xfId="2" quotePrefix="1" applyFont="1" applyBorder="1" applyAlignment="1" applyProtection="1">
      <alignment horizontal="left" vertical="top" wrapText="1"/>
    </xf>
    <xf numFmtId="0" fontId="40" fillId="0" borderId="0" xfId="2" quotePrefix="1" applyFont="1" applyBorder="1" applyAlignment="1" applyProtection="1">
      <alignment horizontal="left" vertical="top" wrapText="1"/>
    </xf>
    <xf numFmtId="0" fontId="40" fillId="0" borderId="15" xfId="2" quotePrefix="1" applyFont="1" applyBorder="1" applyAlignment="1" applyProtection="1">
      <alignment horizontal="left" vertical="top" wrapText="1"/>
    </xf>
    <xf numFmtId="0" fontId="45" fillId="14" borderId="54" xfId="3" applyFont="1" applyFill="1" applyBorder="1" applyAlignment="1" applyProtection="1">
      <alignment horizontal="center" vertical="center" wrapText="1"/>
    </xf>
    <xf numFmtId="0" fontId="45" fillId="14" borderId="55" xfId="3" applyFont="1" applyFill="1" applyBorder="1" applyAlignment="1" applyProtection="1">
      <alignment horizontal="center" vertical="center" wrapText="1"/>
    </xf>
    <xf numFmtId="0" fontId="45" fillId="14" borderId="56" xfId="2" applyFont="1" applyFill="1" applyBorder="1" applyAlignment="1" applyProtection="1">
      <alignment horizontal="center" vertical="center"/>
    </xf>
    <xf numFmtId="0" fontId="4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45" fillId="3" borderId="58" xfId="3" applyFont="1" applyFill="1" applyBorder="1" applyAlignment="1" applyProtection="1">
      <alignment horizontal="left" vertical="top" wrapText="1" readingOrder="1"/>
    </xf>
    <xf numFmtId="0" fontId="45" fillId="3" borderId="59" xfId="3" applyFont="1" applyFill="1" applyBorder="1" applyAlignment="1" applyProtection="1">
      <alignment horizontal="left" vertical="top" wrapText="1" readingOrder="1"/>
    </xf>
    <xf numFmtId="0" fontId="46" fillId="3" borderId="60" xfId="2" applyFont="1" applyFill="1" applyBorder="1" applyAlignment="1" applyProtection="1">
      <alignment horizontal="justify" vertical="center" wrapText="1"/>
    </xf>
    <xf numFmtId="0" fontId="46" fillId="3" borderId="61" xfId="2" applyFont="1" applyFill="1" applyBorder="1" applyAlignment="1" applyProtection="1">
      <alignment horizontal="justify" vertical="center" wrapText="1"/>
    </xf>
    <xf numFmtId="0" fontId="45" fillId="3" borderId="62" xfId="0" applyFont="1" applyFill="1" applyBorder="1" applyAlignment="1" applyProtection="1">
      <alignment horizontal="left" vertical="center" wrapText="1"/>
    </xf>
    <xf numFmtId="0" fontId="45" fillId="3" borderId="63" xfId="0" applyFont="1" applyFill="1" applyBorder="1" applyAlignment="1" applyProtection="1">
      <alignment horizontal="left" vertical="center" wrapText="1"/>
    </xf>
    <xf numFmtId="0" fontId="46" fillId="3" borderId="64" xfId="2" applyFont="1" applyFill="1" applyBorder="1" applyAlignment="1" applyProtection="1">
      <alignment horizontal="justify" vertical="center" wrapText="1"/>
    </xf>
    <xf numFmtId="0" fontId="46" fillId="3" borderId="65" xfId="2" applyFont="1" applyFill="1" applyBorder="1" applyAlignment="1" applyProtection="1">
      <alignment horizontal="justify" vertical="center" wrapText="1"/>
    </xf>
    <xf numFmtId="0" fontId="40" fillId="3" borderId="14" xfId="2" applyFont="1" applyFill="1" applyBorder="1" applyAlignment="1" applyProtection="1">
      <alignment horizontal="left" vertical="top" wrapText="1"/>
    </xf>
    <xf numFmtId="0" fontId="40" fillId="3" borderId="0" xfId="2" applyFont="1" applyFill="1" applyBorder="1" applyAlignment="1" applyProtection="1">
      <alignment horizontal="left" vertical="top" wrapText="1"/>
    </xf>
    <xf numFmtId="0" fontId="40" fillId="3" borderId="15" xfId="2" applyFont="1" applyFill="1" applyBorder="1" applyAlignment="1" applyProtection="1">
      <alignment horizontal="left" vertical="top" wrapText="1"/>
    </xf>
    <xf numFmtId="0" fontId="40" fillId="3" borderId="16" xfId="2" applyFont="1" applyFill="1" applyBorder="1" applyAlignment="1" applyProtection="1">
      <alignment horizontal="left" vertical="top" wrapText="1"/>
    </xf>
    <xf numFmtId="0" fontId="40" fillId="3" borderId="18" xfId="2" applyFont="1" applyFill="1" applyBorder="1" applyAlignment="1" applyProtection="1">
      <alignment horizontal="left" vertical="top" wrapText="1"/>
    </xf>
    <xf numFmtId="0" fontId="40" fillId="3" borderId="17" xfId="2" applyFont="1" applyFill="1" applyBorder="1" applyAlignment="1" applyProtection="1">
      <alignment horizontal="left" vertical="top" wrapText="1"/>
    </xf>
    <xf numFmtId="0" fontId="45" fillId="3" borderId="71" xfId="0" applyFont="1" applyFill="1" applyBorder="1" applyAlignment="1" applyProtection="1">
      <alignment horizontal="left" vertical="center" wrapText="1"/>
    </xf>
    <xf numFmtId="0" fontId="45" fillId="3" borderId="72" xfId="0" applyFont="1" applyFill="1" applyBorder="1" applyAlignment="1" applyProtection="1">
      <alignment horizontal="left" vertical="center" wrapText="1"/>
    </xf>
    <xf numFmtId="0" fontId="40" fillId="3" borderId="12" xfId="2" applyFont="1" applyFill="1" applyBorder="1" applyAlignment="1" applyProtection="1">
      <alignment horizontal="left" vertical="top" wrapText="1"/>
    </xf>
    <xf numFmtId="0" fontId="40" fillId="3" borderId="19" xfId="2" applyFont="1" applyFill="1" applyBorder="1" applyAlignment="1" applyProtection="1">
      <alignment horizontal="left" vertical="top" wrapText="1"/>
    </xf>
    <xf numFmtId="0" fontId="40" fillId="3" borderId="13" xfId="2" applyFont="1" applyFill="1" applyBorder="1" applyAlignment="1" applyProtection="1">
      <alignment horizontal="left" vertical="top" wrapText="1"/>
    </xf>
    <xf numFmtId="0" fontId="45" fillId="3" borderId="73" xfId="0" applyFont="1" applyFill="1" applyBorder="1" applyAlignment="1" applyProtection="1">
      <alignment horizontal="left" vertical="center" wrapText="1"/>
    </xf>
    <xf numFmtId="0" fontId="45" fillId="3" borderId="74" xfId="0" applyFont="1" applyFill="1" applyBorder="1" applyAlignment="1" applyProtection="1">
      <alignment horizontal="left" vertical="center" wrapText="1"/>
    </xf>
    <xf numFmtId="0" fontId="46" fillId="3" borderId="66" xfId="0" applyFont="1" applyFill="1" applyBorder="1" applyAlignment="1" applyProtection="1">
      <alignment horizontal="justify" vertical="center" wrapText="1"/>
    </xf>
    <xf numFmtId="0" fontId="46" fillId="3" borderId="67" xfId="0" applyFont="1" applyFill="1" applyBorder="1" applyAlignment="1" applyProtection="1">
      <alignment horizontal="justify" vertical="center" wrapText="1"/>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49" fillId="0" borderId="4" xfId="0" applyFont="1" applyFill="1" applyBorder="1" applyAlignment="1" applyProtection="1">
      <alignment horizontal="center" vertical="top" wrapText="1"/>
      <protection hidden="1"/>
    </xf>
    <xf numFmtId="0" fontId="49" fillId="0" borderId="8"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5" xfId="0" applyFont="1" applyFill="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5" xfId="0" applyFont="1" applyBorder="1" applyAlignment="1" applyProtection="1">
      <alignment horizontal="center" vertical="top"/>
      <protection hidden="1"/>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7" fillId="3" borderId="75" xfId="0" applyFont="1" applyFill="1" applyBorder="1" applyAlignment="1" applyProtection="1">
      <alignment horizontal="left" vertical="top" wrapText="1"/>
      <protection locked="0"/>
    </xf>
    <xf numFmtId="0" fontId="27" fillId="3" borderId="77" xfId="0" applyFont="1" applyFill="1" applyBorder="1" applyAlignment="1" applyProtection="1">
      <alignment horizontal="left" vertical="top"/>
      <protection locked="0"/>
    </xf>
    <xf numFmtId="0" fontId="27" fillId="3" borderId="78" xfId="0" applyFont="1" applyFill="1" applyBorder="1" applyAlignment="1" applyProtection="1">
      <alignment horizontal="left" vertical="top"/>
      <protection locked="0"/>
    </xf>
    <xf numFmtId="0" fontId="27" fillId="3" borderId="79" xfId="0" applyFont="1" applyFill="1" applyBorder="1" applyAlignment="1" applyProtection="1">
      <alignment horizontal="left" vertical="top"/>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1" fillId="0" borderId="4"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4"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27" fillId="0" borderId="4" xfId="0" applyFont="1" applyBorder="1" applyAlignment="1" applyProtection="1">
      <alignment horizontal="center" vertical="top" textRotation="90"/>
      <protection locked="0"/>
    </xf>
    <xf numFmtId="0" fontId="27" fillId="0" borderId="5" xfId="0" applyFont="1" applyBorder="1" applyAlignment="1" applyProtection="1">
      <alignment horizontal="center" vertical="top" textRotation="90"/>
      <protection locked="0"/>
    </xf>
    <xf numFmtId="9" fontId="27" fillId="0" borderId="4" xfId="0" applyNumberFormat="1" applyFont="1" applyBorder="1" applyAlignment="1" applyProtection="1">
      <alignment horizontal="center" vertical="top"/>
      <protection hidden="1"/>
    </xf>
    <xf numFmtId="9" fontId="27" fillId="0" borderId="5" xfId="0" applyNumberFormat="1" applyFont="1" applyBorder="1" applyAlignment="1" applyProtection="1">
      <alignment horizontal="center" vertical="top"/>
      <protection hidden="1"/>
    </xf>
    <xf numFmtId="164" fontId="1" fillId="0" borderId="4" xfId="1" applyNumberFormat="1" applyFont="1" applyBorder="1" applyAlignment="1">
      <alignment horizontal="center" vertical="top"/>
    </xf>
    <xf numFmtId="164" fontId="1" fillId="0" borderId="5" xfId="1" applyNumberFormat="1" applyFont="1" applyBorder="1" applyAlignment="1">
      <alignment horizontal="center" vertical="top"/>
    </xf>
    <xf numFmtId="14" fontId="27" fillId="0" borderId="4" xfId="0" applyNumberFormat="1" applyFont="1" applyBorder="1" applyAlignment="1" applyProtection="1">
      <alignment horizontal="center" vertical="top"/>
      <protection locked="0"/>
    </xf>
    <xf numFmtId="14" fontId="27" fillId="0" borderId="5" xfId="0" applyNumberFormat="1" applyFont="1" applyBorder="1" applyAlignment="1" applyProtection="1">
      <alignment horizontal="center" vertical="top"/>
      <protection locked="0"/>
    </xf>
    <xf numFmtId="0" fontId="27" fillId="0" borderId="5" xfId="0" applyFont="1" applyBorder="1" applyAlignment="1" applyProtection="1">
      <alignment horizontal="center" vertical="top" wrapText="1"/>
      <protection locked="0"/>
    </xf>
    <xf numFmtId="0" fontId="27" fillId="0" borderId="5" xfId="0" applyFont="1" applyBorder="1" applyAlignment="1" applyProtection="1">
      <alignment horizontal="center" vertical="top"/>
      <protection locked="0"/>
    </xf>
    <xf numFmtId="0" fontId="49" fillId="0" borderId="4" xfId="0" applyFont="1" applyFill="1" applyBorder="1" applyAlignment="1" applyProtection="1">
      <alignment horizontal="center" vertical="top" textRotation="90" wrapText="1"/>
      <protection hidden="1"/>
    </xf>
    <xf numFmtId="0" fontId="49" fillId="0" borderId="5" xfId="0" applyFont="1" applyFill="1" applyBorder="1" applyAlignment="1" applyProtection="1">
      <alignment horizontal="center" vertical="top" textRotation="90" wrapText="1"/>
      <protection hidden="1"/>
    </xf>
    <xf numFmtId="0" fontId="49" fillId="0" borderId="4" xfId="0" applyFont="1" applyBorder="1" applyAlignment="1" applyProtection="1">
      <alignment horizontal="center" vertical="top" textRotation="90"/>
      <protection hidden="1"/>
    </xf>
    <xf numFmtId="0" fontId="49" fillId="0" borderId="5" xfId="0" applyFont="1" applyBorder="1" applyAlignment="1" applyProtection="1">
      <alignment horizontal="center" vertical="top" textRotation="90"/>
      <protection hidden="1"/>
    </xf>
    <xf numFmtId="0" fontId="24" fillId="0" borderId="0" xfId="0" applyFont="1" applyAlignment="1">
      <alignment horizontal="center" vertical="center" wrapText="1"/>
    </xf>
    <xf numFmtId="0" fontId="19" fillId="5" borderId="1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5" fillId="0" borderId="0"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Border="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89">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ME\Downloads\Formato%20Matriz%20de%20Riesgos%20202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_DIRECCION%20DE%20RECURSOS%20FISICOS/_DOCUMENTOS%20SIGAMI%20-%20JULIO%202022/Mapa%20de%20Riesgos/Mapa%20de%20Riesgos%20Gestion%20-%20Actualizado%2028%20julio%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4"/>
  <sheetViews>
    <sheetView topLeftCell="A10" workbookViewId="0">
      <selection activeCell="B40" sqref="B40:H40"/>
    </sheetView>
  </sheetViews>
  <sheetFormatPr baseColWidth="10" defaultColWidth="11.42578125" defaultRowHeight="15" x14ac:dyDescent="0.25"/>
  <cols>
    <col min="1" max="1" width="2.85546875" style="68" customWidth="1"/>
    <col min="2" max="3" width="24.7109375" style="68" customWidth="1"/>
    <col min="4" max="4" width="16" style="68" customWidth="1"/>
    <col min="5" max="5" width="24.7109375" style="68" customWidth="1"/>
    <col min="6" max="6" width="27.7109375" style="68" customWidth="1"/>
    <col min="7" max="8" width="19.85546875" style="68" customWidth="1"/>
    <col min="9" max="16384" width="11.42578125" style="68"/>
  </cols>
  <sheetData>
    <row r="1" spans="2:8" ht="15.75" thickBot="1" x14ac:dyDescent="0.3"/>
    <row r="2" spans="2:8" ht="18" x14ac:dyDescent="0.25">
      <c r="B2" s="153" t="s">
        <v>155</v>
      </c>
      <c r="C2" s="154"/>
      <c r="D2" s="154"/>
      <c r="E2" s="154"/>
      <c r="F2" s="154"/>
      <c r="G2" s="154"/>
      <c r="H2" s="155"/>
    </row>
    <row r="3" spans="2:8" x14ac:dyDescent="0.25">
      <c r="B3" s="69"/>
      <c r="C3" s="70"/>
      <c r="D3" s="70"/>
      <c r="E3" s="70"/>
      <c r="F3" s="70"/>
      <c r="G3" s="70"/>
      <c r="H3" s="71"/>
    </row>
    <row r="4" spans="2:8" ht="63" customHeight="1" x14ac:dyDescent="0.25">
      <c r="B4" s="156" t="s">
        <v>198</v>
      </c>
      <c r="C4" s="157"/>
      <c r="D4" s="157"/>
      <c r="E4" s="157"/>
      <c r="F4" s="157"/>
      <c r="G4" s="157"/>
      <c r="H4" s="158"/>
    </row>
    <row r="5" spans="2:8" ht="63" customHeight="1" x14ac:dyDescent="0.25">
      <c r="B5" s="159"/>
      <c r="C5" s="160"/>
      <c r="D5" s="160"/>
      <c r="E5" s="160"/>
      <c r="F5" s="160"/>
      <c r="G5" s="160"/>
      <c r="H5" s="161"/>
    </row>
    <row r="6" spans="2:8" ht="16.5" x14ac:dyDescent="0.25">
      <c r="B6" s="162" t="s">
        <v>153</v>
      </c>
      <c r="C6" s="163"/>
      <c r="D6" s="163"/>
      <c r="E6" s="163"/>
      <c r="F6" s="163"/>
      <c r="G6" s="163"/>
      <c r="H6" s="164"/>
    </row>
    <row r="7" spans="2:8" ht="95.25" customHeight="1" x14ac:dyDescent="0.25">
      <c r="B7" s="172" t="s">
        <v>158</v>
      </c>
      <c r="C7" s="173"/>
      <c r="D7" s="173"/>
      <c r="E7" s="173"/>
      <c r="F7" s="173"/>
      <c r="G7" s="173"/>
      <c r="H7" s="174"/>
    </row>
    <row r="8" spans="2:8" ht="16.5" x14ac:dyDescent="0.25">
      <c r="B8" s="101"/>
      <c r="C8" s="102"/>
      <c r="D8" s="102"/>
      <c r="E8" s="102"/>
      <c r="F8" s="102"/>
      <c r="G8" s="102"/>
      <c r="H8" s="103"/>
    </row>
    <row r="9" spans="2:8" ht="16.5" customHeight="1" x14ac:dyDescent="0.25">
      <c r="B9" s="165" t="s">
        <v>191</v>
      </c>
      <c r="C9" s="166"/>
      <c r="D9" s="166"/>
      <c r="E9" s="166"/>
      <c r="F9" s="166"/>
      <c r="G9" s="166"/>
      <c r="H9" s="167"/>
    </row>
    <row r="10" spans="2:8" ht="44.25" customHeight="1" x14ac:dyDescent="0.25">
      <c r="B10" s="165"/>
      <c r="C10" s="166"/>
      <c r="D10" s="166"/>
      <c r="E10" s="166"/>
      <c r="F10" s="166"/>
      <c r="G10" s="166"/>
      <c r="H10" s="167"/>
    </row>
    <row r="11" spans="2:8" ht="15.75" thickBot="1" x14ac:dyDescent="0.3">
      <c r="B11" s="92"/>
      <c r="C11" s="95"/>
      <c r="D11" s="97"/>
      <c r="E11" s="98"/>
      <c r="F11" s="98"/>
      <c r="G11" s="99"/>
      <c r="H11" s="100"/>
    </row>
    <row r="12" spans="2:8" ht="15.75" thickTop="1" x14ac:dyDescent="0.25">
      <c r="B12" s="92"/>
      <c r="C12" s="168" t="s">
        <v>154</v>
      </c>
      <c r="D12" s="169"/>
      <c r="E12" s="170" t="s">
        <v>192</v>
      </c>
      <c r="F12" s="171"/>
      <c r="G12" s="95"/>
      <c r="H12" s="96"/>
    </row>
    <row r="13" spans="2:8" ht="35.25" customHeight="1" x14ac:dyDescent="0.25">
      <c r="B13" s="92"/>
      <c r="C13" s="175" t="s">
        <v>185</v>
      </c>
      <c r="D13" s="176"/>
      <c r="E13" s="177" t="s">
        <v>190</v>
      </c>
      <c r="F13" s="178"/>
      <c r="G13" s="95"/>
      <c r="H13" s="96"/>
    </row>
    <row r="14" spans="2:8" ht="17.25" customHeight="1" x14ac:dyDescent="0.25">
      <c r="B14" s="92"/>
      <c r="C14" s="175" t="s">
        <v>186</v>
      </c>
      <c r="D14" s="176"/>
      <c r="E14" s="177" t="s">
        <v>188</v>
      </c>
      <c r="F14" s="178"/>
      <c r="G14" s="95"/>
      <c r="H14" s="96"/>
    </row>
    <row r="15" spans="2:8" ht="19.5" customHeight="1" x14ac:dyDescent="0.25">
      <c r="B15" s="92"/>
      <c r="C15" s="175" t="s">
        <v>187</v>
      </c>
      <c r="D15" s="176"/>
      <c r="E15" s="177" t="s">
        <v>189</v>
      </c>
      <c r="F15" s="178"/>
      <c r="G15" s="95"/>
      <c r="H15" s="96"/>
    </row>
    <row r="16" spans="2:8" ht="69.75" customHeight="1" x14ac:dyDescent="0.25">
      <c r="B16" s="92"/>
      <c r="C16" s="175" t="s">
        <v>156</v>
      </c>
      <c r="D16" s="176"/>
      <c r="E16" s="177" t="s">
        <v>157</v>
      </c>
      <c r="F16" s="178"/>
      <c r="G16" s="95"/>
      <c r="H16" s="96"/>
    </row>
    <row r="17" spans="2:8" ht="34.5" customHeight="1" x14ac:dyDescent="0.25">
      <c r="B17" s="92"/>
      <c r="C17" s="179" t="s">
        <v>2</v>
      </c>
      <c r="D17" s="180"/>
      <c r="E17" s="181" t="s">
        <v>199</v>
      </c>
      <c r="F17" s="182"/>
      <c r="G17" s="95"/>
      <c r="H17" s="96"/>
    </row>
    <row r="18" spans="2:8" ht="27.75" customHeight="1" x14ac:dyDescent="0.25">
      <c r="B18" s="92"/>
      <c r="C18" s="179" t="s">
        <v>3</v>
      </c>
      <c r="D18" s="180"/>
      <c r="E18" s="181" t="s">
        <v>200</v>
      </c>
      <c r="F18" s="182"/>
      <c r="G18" s="95"/>
      <c r="H18" s="96"/>
    </row>
    <row r="19" spans="2:8" ht="28.5" customHeight="1" x14ac:dyDescent="0.25">
      <c r="B19" s="92"/>
      <c r="C19" s="179" t="s">
        <v>42</v>
      </c>
      <c r="D19" s="180"/>
      <c r="E19" s="181" t="s">
        <v>201</v>
      </c>
      <c r="F19" s="182"/>
      <c r="G19" s="95"/>
      <c r="H19" s="96"/>
    </row>
    <row r="20" spans="2:8" ht="72.75" customHeight="1" x14ac:dyDescent="0.25">
      <c r="B20" s="92"/>
      <c r="C20" s="179" t="s">
        <v>1</v>
      </c>
      <c r="D20" s="180"/>
      <c r="E20" s="181" t="s">
        <v>202</v>
      </c>
      <c r="F20" s="182"/>
      <c r="G20" s="95"/>
      <c r="H20" s="96"/>
    </row>
    <row r="21" spans="2:8" ht="64.5" customHeight="1" x14ac:dyDescent="0.25">
      <c r="B21" s="92"/>
      <c r="C21" s="179" t="s">
        <v>50</v>
      </c>
      <c r="D21" s="180"/>
      <c r="E21" s="181" t="s">
        <v>160</v>
      </c>
      <c r="F21" s="182"/>
      <c r="G21" s="95"/>
      <c r="H21" s="96"/>
    </row>
    <row r="22" spans="2:8" ht="71.25" customHeight="1" x14ac:dyDescent="0.25">
      <c r="B22" s="92"/>
      <c r="C22" s="179" t="s">
        <v>159</v>
      </c>
      <c r="D22" s="180"/>
      <c r="E22" s="181" t="s">
        <v>161</v>
      </c>
      <c r="F22" s="182"/>
      <c r="G22" s="95"/>
      <c r="H22" s="96"/>
    </row>
    <row r="23" spans="2:8" ht="55.5" customHeight="1" x14ac:dyDescent="0.25">
      <c r="B23" s="92"/>
      <c r="C23" s="189" t="s">
        <v>162</v>
      </c>
      <c r="D23" s="190"/>
      <c r="E23" s="181" t="s">
        <v>163</v>
      </c>
      <c r="F23" s="182"/>
      <c r="G23" s="95"/>
      <c r="H23" s="96"/>
    </row>
    <row r="24" spans="2:8" ht="42" customHeight="1" x14ac:dyDescent="0.25">
      <c r="B24" s="92"/>
      <c r="C24" s="189" t="s">
        <v>48</v>
      </c>
      <c r="D24" s="190"/>
      <c r="E24" s="181" t="s">
        <v>164</v>
      </c>
      <c r="F24" s="182"/>
      <c r="G24" s="95"/>
      <c r="H24" s="96"/>
    </row>
    <row r="25" spans="2:8" ht="59.25" customHeight="1" x14ac:dyDescent="0.25">
      <c r="B25" s="92"/>
      <c r="C25" s="189" t="s">
        <v>152</v>
      </c>
      <c r="D25" s="190"/>
      <c r="E25" s="181" t="s">
        <v>165</v>
      </c>
      <c r="F25" s="182"/>
      <c r="G25" s="95"/>
      <c r="H25" s="96"/>
    </row>
    <row r="26" spans="2:8" ht="23.25" customHeight="1" x14ac:dyDescent="0.25">
      <c r="B26" s="92"/>
      <c r="C26" s="189" t="s">
        <v>12</v>
      </c>
      <c r="D26" s="190"/>
      <c r="E26" s="181" t="s">
        <v>166</v>
      </c>
      <c r="F26" s="182"/>
      <c r="G26" s="95"/>
      <c r="H26" s="96"/>
    </row>
    <row r="27" spans="2:8" ht="30.75" customHeight="1" x14ac:dyDescent="0.25">
      <c r="B27" s="92"/>
      <c r="C27" s="189" t="s">
        <v>170</v>
      </c>
      <c r="D27" s="190"/>
      <c r="E27" s="181" t="s">
        <v>167</v>
      </c>
      <c r="F27" s="182"/>
      <c r="G27" s="95"/>
      <c r="H27" s="96"/>
    </row>
    <row r="28" spans="2:8" ht="35.25" customHeight="1" x14ac:dyDescent="0.25">
      <c r="B28" s="92"/>
      <c r="C28" s="189" t="s">
        <v>171</v>
      </c>
      <c r="D28" s="190"/>
      <c r="E28" s="181" t="s">
        <v>168</v>
      </c>
      <c r="F28" s="182"/>
      <c r="G28" s="95"/>
      <c r="H28" s="96"/>
    </row>
    <row r="29" spans="2:8" ht="33" customHeight="1" x14ac:dyDescent="0.25">
      <c r="B29" s="92"/>
      <c r="C29" s="189" t="s">
        <v>171</v>
      </c>
      <c r="D29" s="190"/>
      <c r="E29" s="181" t="s">
        <v>168</v>
      </c>
      <c r="F29" s="182"/>
      <c r="G29" s="95"/>
      <c r="H29" s="96"/>
    </row>
    <row r="30" spans="2:8" ht="30" customHeight="1" x14ac:dyDescent="0.25">
      <c r="B30" s="92"/>
      <c r="C30" s="189" t="s">
        <v>172</v>
      </c>
      <c r="D30" s="190"/>
      <c r="E30" s="181" t="s">
        <v>169</v>
      </c>
      <c r="F30" s="182"/>
      <c r="G30" s="95"/>
      <c r="H30" s="96"/>
    </row>
    <row r="31" spans="2:8" ht="35.25" customHeight="1" x14ac:dyDescent="0.25">
      <c r="B31" s="92"/>
      <c r="C31" s="189" t="s">
        <v>173</v>
      </c>
      <c r="D31" s="190"/>
      <c r="E31" s="181" t="s">
        <v>174</v>
      </c>
      <c r="F31" s="182"/>
      <c r="G31" s="95"/>
      <c r="H31" s="96"/>
    </row>
    <row r="32" spans="2:8" ht="31.5" customHeight="1" x14ac:dyDescent="0.25">
      <c r="B32" s="92"/>
      <c r="C32" s="189" t="s">
        <v>175</v>
      </c>
      <c r="D32" s="190"/>
      <c r="E32" s="181" t="s">
        <v>176</v>
      </c>
      <c r="F32" s="182"/>
      <c r="G32" s="95"/>
      <c r="H32" s="96"/>
    </row>
    <row r="33" spans="2:8" ht="35.25" customHeight="1" x14ac:dyDescent="0.25">
      <c r="B33" s="92"/>
      <c r="C33" s="189" t="s">
        <v>177</v>
      </c>
      <c r="D33" s="190"/>
      <c r="E33" s="181" t="s">
        <v>178</v>
      </c>
      <c r="F33" s="182"/>
      <c r="G33" s="95"/>
      <c r="H33" s="96"/>
    </row>
    <row r="34" spans="2:8" ht="59.25" customHeight="1" x14ac:dyDescent="0.25">
      <c r="B34" s="92"/>
      <c r="C34" s="189" t="s">
        <v>179</v>
      </c>
      <c r="D34" s="190"/>
      <c r="E34" s="181" t="s">
        <v>180</v>
      </c>
      <c r="F34" s="182"/>
      <c r="G34" s="95"/>
      <c r="H34" s="96"/>
    </row>
    <row r="35" spans="2:8" ht="29.25" customHeight="1" x14ac:dyDescent="0.25">
      <c r="B35" s="92"/>
      <c r="C35" s="189" t="s">
        <v>29</v>
      </c>
      <c r="D35" s="190"/>
      <c r="E35" s="181" t="s">
        <v>181</v>
      </c>
      <c r="F35" s="182"/>
      <c r="G35" s="95"/>
      <c r="H35" s="96"/>
    </row>
    <row r="36" spans="2:8" ht="82.5" customHeight="1" x14ac:dyDescent="0.25">
      <c r="B36" s="92"/>
      <c r="C36" s="189" t="s">
        <v>183</v>
      </c>
      <c r="D36" s="190"/>
      <c r="E36" s="181" t="s">
        <v>182</v>
      </c>
      <c r="F36" s="182"/>
      <c r="G36" s="95"/>
      <c r="H36" s="96"/>
    </row>
    <row r="37" spans="2:8" ht="46.5" customHeight="1" x14ac:dyDescent="0.25">
      <c r="B37" s="92"/>
      <c r="C37" s="189" t="s">
        <v>39</v>
      </c>
      <c r="D37" s="190"/>
      <c r="E37" s="181" t="s">
        <v>184</v>
      </c>
      <c r="F37" s="182"/>
      <c r="G37" s="95"/>
      <c r="H37" s="96"/>
    </row>
    <row r="38" spans="2:8" ht="6.75" customHeight="1" thickBot="1" x14ac:dyDescent="0.3">
      <c r="B38" s="92"/>
      <c r="C38" s="194"/>
      <c r="D38" s="195"/>
      <c r="E38" s="196"/>
      <c r="F38" s="197"/>
      <c r="G38" s="95"/>
      <c r="H38" s="96"/>
    </row>
    <row r="39" spans="2:8" ht="16.5" thickTop="1" thickBot="1" x14ac:dyDescent="0.3">
      <c r="B39" s="92"/>
      <c r="C39" s="93"/>
      <c r="D39" s="93"/>
      <c r="E39" s="94"/>
      <c r="F39" s="94"/>
      <c r="G39" s="95"/>
      <c r="H39" s="96"/>
    </row>
    <row r="40" spans="2:8" ht="38.25" customHeight="1" x14ac:dyDescent="0.25">
      <c r="B40" s="191" t="s">
        <v>193</v>
      </c>
      <c r="C40" s="192"/>
      <c r="D40" s="192"/>
      <c r="E40" s="192"/>
      <c r="F40" s="192"/>
      <c r="G40" s="192"/>
      <c r="H40" s="193"/>
    </row>
    <row r="41" spans="2:8" ht="38.25" customHeight="1" x14ac:dyDescent="0.25">
      <c r="B41" s="183" t="s">
        <v>194</v>
      </c>
      <c r="C41" s="184"/>
      <c r="D41" s="184"/>
      <c r="E41" s="184"/>
      <c r="F41" s="184"/>
      <c r="G41" s="184"/>
      <c r="H41" s="185"/>
    </row>
    <row r="42" spans="2:8" ht="38.25" customHeight="1" x14ac:dyDescent="0.25">
      <c r="B42" s="183" t="s">
        <v>195</v>
      </c>
      <c r="C42" s="184"/>
      <c r="D42" s="184"/>
      <c r="E42" s="184"/>
      <c r="F42" s="184"/>
      <c r="G42" s="184"/>
      <c r="H42" s="185"/>
    </row>
    <row r="43" spans="2:8" ht="38.25" customHeight="1" x14ac:dyDescent="0.25">
      <c r="B43" s="183" t="s">
        <v>196</v>
      </c>
      <c r="C43" s="184"/>
      <c r="D43" s="184"/>
      <c r="E43" s="184"/>
      <c r="F43" s="184"/>
      <c r="G43" s="184"/>
      <c r="H43" s="185"/>
    </row>
    <row r="44" spans="2:8" ht="38.25" customHeight="1" thickBot="1" x14ac:dyDescent="0.3">
      <c r="B44" s="186" t="s">
        <v>197</v>
      </c>
      <c r="C44" s="187"/>
      <c r="D44" s="187"/>
      <c r="E44" s="187"/>
      <c r="F44" s="187"/>
      <c r="G44" s="187"/>
      <c r="H44" s="18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rintOptions horizontalCentered="1"/>
  <pageMargins left="0.70866141732283472" right="0.70866141732283472" top="0.74803149606299213" bottom="0.74803149606299213" header="0.31496062992125984" footer="0.31496062992125984"/>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BR65"/>
  <sheetViews>
    <sheetView tabSelected="1" topLeftCell="AB1" zoomScale="80" zoomScaleNormal="80" workbookViewId="0">
      <selection activeCell="AJ10" sqref="AJ10:AL11"/>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customWidth="1"/>
    <col min="12" max="12" width="24.42578125" style="1" customWidth="1"/>
    <col min="13" max="13" width="28.28515625" style="1" customWidth="1"/>
    <col min="14" max="14" width="17.5703125" style="1" customWidth="1"/>
    <col min="15" max="15" width="6.28515625" style="1" customWidth="1"/>
    <col min="16" max="16" width="16" style="1" customWidth="1"/>
    <col min="17" max="17" width="5.85546875" style="1" customWidth="1"/>
    <col min="18" max="18" width="55" style="1" customWidth="1"/>
    <col min="19" max="19" width="15.140625" style="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customWidth="1"/>
    <col min="26" max="26" width="38.5703125" style="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31.42578125" style="1" customWidth="1"/>
    <col min="34" max="34" width="18.85546875" style="1" customWidth="1"/>
    <col min="35" max="35" width="16.85546875" style="1" customWidth="1"/>
    <col min="36" max="36" width="14.85546875" style="1" customWidth="1"/>
    <col min="37" max="37" width="47.5703125" style="1" customWidth="1"/>
    <col min="38" max="38" width="21" style="1" customWidth="1"/>
    <col min="39" max="16384" width="11.42578125" style="1"/>
  </cols>
  <sheetData>
    <row r="1" spans="1:70" ht="16.5" customHeight="1" x14ac:dyDescent="0.3">
      <c r="A1" s="270" t="s">
        <v>139</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2"/>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73"/>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5"/>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28" t="s">
        <v>43</v>
      </c>
      <c r="B4" s="229"/>
      <c r="C4" s="266" t="s">
        <v>225</v>
      </c>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3">
      <c r="A5" s="228" t="s">
        <v>125</v>
      </c>
      <c r="B5" s="229"/>
      <c r="C5" s="266" t="s">
        <v>223</v>
      </c>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3">
      <c r="A6" s="228" t="s">
        <v>44</v>
      </c>
      <c r="B6" s="229"/>
      <c r="C6" s="267" t="s">
        <v>224</v>
      </c>
      <c r="D6" s="268"/>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8"/>
      <c r="AK6" s="268"/>
      <c r="AL6" s="269"/>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76" t="s">
        <v>134</v>
      </c>
      <c r="B7" s="277"/>
      <c r="C7" s="278"/>
      <c r="D7" s="278"/>
      <c r="E7" s="278"/>
      <c r="F7" s="278"/>
      <c r="G7" s="278"/>
      <c r="H7" s="278"/>
      <c r="I7" s="279"/>
      <c r="J7" s="222" t="s">
        <v>135</v>
      </c>
      <c r="K7" s="278"/>
      <c r="L7" s="278"/>
      <c r="M7" s="278"/>
      <c r="N7" s="278"/>
      <c r="O7" s="278"/>
      <c r="P7" s="279"/>
      <c r="Q7" s="222" t="s">
        <v>136</v>
      </c>
      <c r="R7" s="278"/>
      <c r="S7" s="278"/>
      <c r="T7" s="278"/>
      <c r="U7" s="278"/>
      <c r="V7" s="278"/>
      <c r="W7" s="278"/>
      <c r="X7" s="278"/>
      <c r="Y7" s="279"/>
      <c r="Z7" s="222" t="s">
        <v>137</v>
      </c>
      <c r="AA7" s="278"/>
      <c r="AB7" s="278"/>
      <c r="AC7" s="278"/>
      <c r="AD7" s="278"/>
      <c r="AE7" s="278"/>
      <c r="AF7" s="279"/>
      <c r="AG7" s="222" t="s">
        <v>34</v>
      </c>
      <c r="AH7" s="278"/>
      <c r="AI7" s="278"/>
      <c r="AJ7" s="278"/>
      <c r="AK7" s="278"/>
      <c r="AL7" s="279"/>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30" t="s">
        <v>0</v>
      </c>
      <c r="B8" s="224" t="s">
        <v>2</v>
      </c>
      <c r="C8" s="218" t="s">
        <v>3</v>
      </c>
      <c r="D8" s="218" t="s">
        <v>42</v>
      </c>
      <c r="E8" s="225" t="s">
        <v>203</v>
      </c>
      <c r="F8" s="232" t="s">
        <v>1</v>
      </c>
      <c r="G8" s="142"/>
      <c r="H8" s="225" t="s">
        <v>50</v>
      </c>
      <c r="I8" s="218" t="s">
        <v>130</v>
      </c>
      <c r="J8" s="220" t="s">
        <v>33</v>
      </c>
      <c r="K8" s="221" t="s">
        <v>5</v>
      </c>
      <c r="L8" s="225" t="s">
        <v>86</v>
      </c>
      <c r="M8" s="225" t="s">
        <v>91</v>
      </c>
      <c r="N8" s="223" t="s">
        <v>45</v>
      </c>
      <c r="O8" s="221" t="s">
        <v>5</v>
      </c>
      <c r="P8" s="218" t="s">
        <v>48</v>
      </c>
      <c r="Q8" s="234" t="s">
        <v>11</v>
      </c>
      <c r="R8" s="219" t="s">
        <v>152</v>
      </c>
      <c r="S8" s="225" t="s">
        <v>12</v>
      </c>
      <c r="T8" s="219" t="s">
        <v>8</v>
      </c>
      <c r="U8" s="219"/>
      <c r="V8" s="219"/>
      <c r="W8" s="219"/>
      <c r="X8" s="219"/>
      <c r="Y8" s="219"/>
      <c r="Z8" s="217" t="s">
        <v>133</v>
      </c>
      <c r="AA8" s="217" t="s">
        <v>46</v>
      </c>
      <c r="AB8" s="217" t="s">
        <v>5</v>
      </c>
      <c r="AC8" s="217" t="s">
        <v>47</v>
      </c>
      <c r="AD8" s="217" t="s">
        <v>5</v>
      </c>
      <c r="AE8" s="217" t="s">
        <v>49</v>
      </c>
      <c r="AF8" s="234" t="s">
        <v>29</v>
      </c>
      <c r="AG8" s="219" t="s">
        <v>34</v>
      </c>
      <c r="AH8" s="219" t="s">
        <v>35</v>
      </c>
      <c r="AI8" s="219" t="s">
        <v>36</v>
      </c>
      <c r="AJ8" s="219" t="s">
        <v>38</v>
      </c>
      <c r="AK8" s="219" t="s">
        <v>37</v>
      </c>
      <c r="AL8" s="219"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25">
      <c r="A9" s="231"/>
      <c r="B9" s="224"/>
      <c r="C9" s="219"/>
      <c r="D9" s="219"/>
      <c r="E9" s="220"/>
      <c r="F9" s="233"/>
      <c r="G9" s="142" t="s">
        <v>204</v>
      </c>
      <c r="H9" s="218"/>
      <c r="I9" s="219"/>
      <c r="J9" s="218"/>
      <c r="K9" s="222"/>
      <c r="L9" s="218"/>
      <c r="M9" s="218"/>
      <c r="N9" s="222"/>
      <c r="O9" s="222"/>
      <c r="P9" s="219"/>
      <c r="Q9" s="235"/>
      <c r="R9" s="219"/>
      <c r="S9" s="218"/>
      <c r="T9" s="7" t="s">
        <v>13</v>
      </c>
      <c r="U9" s="7" t="s">
        <v>17</v>
      </c>
      <c r="V9" s="7" t="s">
        <v>28</v>
      </c>
      <c r="W9" s="7" t="s">
        <v>18</v>
      </c>
      <c r="X9" s="7" t="s">
        <v>21</v>
      </c>
      <c r="Y9" s="7" t="s">
        <v>24</v>
      </c>
      <c r="Z9" s="217"/>
      <c r="AA9" s="217"/>
      <c r="AB9" s="217"/>
      <c r="AC9" s="217"/>
      <c r="AD9" s="217"/>
      <c r="AE9" s="217"/>
      <c r="AF9" s="235"/>
      <c r="AG9" s="219"/>
      <c r="AH9" s="219"/>
      <c r="AI9" s="219"/>
      <c r="AJ9" s="219"/>
      <c r="AK9" s="219"/>
      <c r="AL9" s="219"/>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61.5" customHeight="1" x14ac:dyDescent="0.25">
      <c r="A10" s="204">
        <v>1</v>
      </c>
      <c r="B10" s="206" t="s">
        <v>129</v>
      </c>
      <c r="C10" s="206" t="s">
        <v>216</v>
      </c>
      <c r="D10" s="208" t="s">
        <v>227</v>
      </c>
      <c r="E10" s="152" t="s">
        <v>217</v>
      </c>
      <c r="F10" s="210" t="s">
        <v>226</v>
      </c>
      <c r="G10" s="210" t="s">
        <v>219</v>
      </c>
      <c r="H10" s="198" t="s">
        <v>118</v>
      </c>
      <c r="I10" s="200">
        <v>360</v>
      </c>
      <c r="J10" s="202" t="str">
        <f>IF(I10&lt;=0,"",IF(I10&lt;=2,"Muy Baja",IF(I10&lt;=24,"Baja",IF(I10&lt;=500,"Media",IF(I10&lt;=5000,"Alta","Muy Alta")))))</f>
        <v>Media</v>
      </c>
      <c r="K10" s="213">
        <f>IF(J10="","",IF(J10="Muy Baja",0.2,IF(J10="Baja",0.4,IF(J10="Media",0.6,IF(J10="Alta",0.8,IF(J10="Muy Alta",1,))))))</f>
        <v>0.6</v>
      </c>
      <c r="L10" s="215" t="s">
        <v>145</v>
      </c>
      <c r="M10" s="213" t="str">
        <f ca="1">IF(NOT(ISERROR(MATCH(L10,'Tabla Impacto'!$B$221:$B$223,0))),'Tabla Impacto'!$F$223&amp;"Por favor no seleccionar los criterios de impacto(Afectación Económica o presupuestal y Pérdida Reputacional)",L10)</f>
        <v xml:space="preserve">     El riesgo afecta la imagen de la entidad con algunos usuarios de relevancia frente al logro de los objetivos</v>
      </c>
      <c r="N10" s="202" t="str">
        <f ca="1">IF(OR(M10='Tabla Impacto'!$C$11,M10='Tabla Impacto'!$D$11),"Leve",IF(OR(M10='Tabla Impacto'!$C$12,M10='Tabla Impacto'!$D$12),"Menor",IF(OR(M10='Tabla Impacto'!$C$13,M10='Tabla Impacto'!$D$13),"Moderado",IF(OR(M10='Tabla Impacto'!$C$14,M10='Tabla Impacto'!$D$14),"Mayor",IF(OR(M10='Tabla Impacto'!$C$15,M10='Tabla Impacto'!$D$15),"Catastrófico","")))))</f>
        <v>Moderado</v>
      </c>
      <c r="O10" s="213">
        <f ca="1">IF(N10="","",IF(N10="Leve",0.2,IF(N10="Menor",0.4,IF(N10="Moderado",0.6,IF(N10="Mayor",0.8,IF(N10="Catastrófico",1,))))))</f>
        <v>0.6</v>
      </c>
      <c r="P10" s="211"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Moderado</v>
      </c>
      <c r="Q10" s="104">
        <v>1</v>
      </c>
      <c r="R10" s="280" t="s">
        <v>220</v>
      </c>
      <c r="S10" s="282" t="str">
        <f>IF(OR(T10="Preventivo",T10="Detectivo"),"Probabilidad",IF(T10="Correctivo","Impacto",""))</f>
        <v>Probabilidad</v>
      </c>
      <c r="T10" s="284" t="s">
        <v>14</v>
      </c>
      <c r="U10" s="284" t="s">
        <v>9</v>
      </c>
      <c r="V10" s="286" t="str">
        <f>IF(AND(T10="Preventivo",U10="Automático"),"50%",IF(AND(T10="Preventivo",U10="Manual"),"40%",IF(AND(T10="Detectivo",U10="Automático"),"40%",IF(AND(T10="Detectivo",U10="Manual"),"30%",IF(AND(T10="Correctivo",U10="Automático"),"35%",IF(AND(T10="Correctivo",U10="Manual"),"25%",""))))))</f>
        <v>40%</v>
      </c>
      <c r="W10" s="284" t="s">
        <v>19</v>
      </c>
      <c r="X10" s="284" t="s">
        <v>22</v>
      </c>
      <c r="Y10" s="284" t="s">
        <v>114</v>
      </c>
      <c r="Z10" s="288">
        <f>IFERROR(IF(S10="Probabilidad",(K10-(+K10*V10)),IF(S10="Impacto",K10,"")),"")</f>
        <v>0.36</v>
      </c>
      <c r="AA10" s="294" t="str">
        <f>IFERROR(IF(Z10="","",IF(Z10&lt;=0.2,"Muy Baja",IF(Z10&lt;=0.4,"Baja",IF(Z10&lt;=0.6,"Media",IF(Z10&lt;=0.8,"Alta","Muy Alta"))))),"")</f>
        <v>Baja</v>
      </c>
      <c r="AB10" s="286">
        <f>+Z10</f>
        <v>0.36</v>
      </c>
      <c r="AC10" s="294" t="str">
        <f ca="1">IFERROR(IF(AD10="","",IF(AD10&lt;=0.2,"Leve",IF(AD10&lt;=0.4,"Menor",IF(AD10&lt;=0.6,"Moderado",IF(AD10&lt;=0.8,"Mayor","Catastrófico"))))),"")</f>
        <v>Moderado</v>
      </c>
      <c r="AD10" s="286">
        <f ca="1">IFERROR(IF(S10="Impacto",(O10-(+O10*V10)),IF(S10="Probabilidad",O10,"")),"")</f>
        <v>0.6</v>
      </c>
      <c r="AE10" s="296"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Moderado</v>
      </c>
      <c r="AF10" s="284" t="s">
        <v>131</v>
      </c>
      <c r="AG10" s="206" t="s">
        <v>222</v>
      </c>
      <c r="AH10" s="206" t="s">
        <v>221</v>
      </c>
      <c r="AI10" s="290">
        <v>44562</v>
      </c>
      <c r="AJ10" s="290"/>
      <c r="AK10" s="206"/>
      <c r="AL10" s="200"/>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240" customHeight="1" x14ac:dyDescent="0.3">
      <c r="A11" s="205"/>
      <c r="B11" s="207"/>
      <c r="C11" s="207"/>
      <c r="D11" s="209"/>
      <c r="E11" s="152" t="s">
        <v>218</v>
      </c>
      <c r="F11" s="210"/>
      <c r="G11" s="210"/>
      <c r="H11" s="199"/>
      <c r="I11" s="201"/>
      <c r="J11" s="203"/>
      <c r="K11" s="214"/>
      <c r="L11" s="216"/>
      <c r="M11" s="214">
        <f ca="1">IF(NOT(ISERROR(MATCH(L11,_xlfn.ANCHORARRAY(F15),0))),K17&amp;"Por favor no seleccionar los criterios de impacto",L11)</f>
        <v>0</v>
      </c>
      <c r="N11" s="203"/>
      <c r="O11" s="214"/>
      <c r="P11" s="212"/>
      <c r="Q11" s="104">
        <v>2</v>
      </c>
      <c r="R11" s="281"/>
      <c r="S11" s="283"/>
      <c r="T11" s="285"/>
      <c r="U11" s="285"/>
      <c r="V11" s="287"/>
      <c r="W11" s="285"/>
      <c r="X11" s="285"/>
      <c r="Y11" s="285"/>
      <c r="Z11" s="289"/>
      <c r="AA11" s="295"/>
      <c r="AB11" s="287"/>
      <c r="AC11" s="295"/>
      <c r="AD11" s="287"/>
      <c r="AE11" s="297"/>
      <c r="AF11" s="285"/>
      <c r="AG11" s="292"/>
      <c r="AH11" s="292"/>
      <c r="AI11" s="291"/>
      <c r="AJ11" s="291"/>
      <c r="AK11" s="292"/>
      <c r="AL11" s="293"/>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51" hidden="1" customHeight="1" x14ac:dyDescent="0.3">
      <c r="A12" s="204">
        <v>2</v>
      </c>
      <c r="B12" s="243"/>
      <c r="C12" s="243"/>
      <c r="D12" s="226"/>
      <c r="E12" s="143"/>
      <c r="F12" s="210"/>
      <c r="G12" s="144"/>
      <c r="H12" s="248"/>
      <c r="I12" s="251"/>
      <c r="J12" s="238" t="str">
        <f>IF(I12&lt;=0,"",IF(I12&lt;=2,"Muy Baja",IF(I12&lt;=24,"Baja",IF(I12&lt;=500,"Media",IF(I12&lt;=5000,"Alta","Muy Alta")))))</f>
        <v/>
      </c>
      <c r="K12" s="236" t="str">
        <f>IF(J12="","",IF(J12="Muy Baja",0.2,IF(J12="Baja",0.4,IF(J12="Media",0.6,IF(J12="Alta",0.8,IF(J12="Muy Alta",1,))))))</f>
        <v/>
      </c>
      <c r="L12" s="256"/>
      <c r="M12" s="236">
        <f ca="1">IF(NOT(ISERROR(MATCH(L12,'Tabla Impacto'!$B$221:$B$223,0))),'Tabla Impacto'!$F$223&amp;"Por favor no seleccionar los criterios de impacto(Afectación Económica o presupuestal y Pérdida Reputacional)",L12)</f>
        <v>0</v>
      </c>
      <c r="N12" s="238" t="str">
        <f ca="1">IF(OR(M12='Tabla Impacto'!$C$11,M12='Tabla Impacto'!$D$11),"Leve",IF(OR(M12='Tabla Impacto'!$C$12,M12='Tabla Impacto'!$D$12),"Menor",IF(OR(M12='Tabla Impacto'!$C$13,M12='Tabla Impacto'!$D$13),"Moderado",IF(OR(M12='Tabla Impacto'!$C$14,M12='Tabla Impacto'!$D$14),"Mayor",IF(OR(M12='Tabla Impacto'!$C$15,M12='Tabla Impacto'!$D$15),"Catastrófico","")))))</f>
        <v/>
      </c>
      <c r="O12" s="236" t="str">
        <f ca="1">IF(N12="","",IF(N12="Leve",0.2,IF(N12="Menor",0.4,IF(N12="Moderado",0.6,IF(N12="Mayor",0.8,IF(N12="Catastrófico",1,))))))</f>
        <v/>
      </c>
      <c r="P12" s="240" t="str">
        <f ca="1">IF(OR(AND(J12="Muy Baja",N12="Leve"),AND(J12="Muy Baja",N12="Menor"),AND(J12="Baja",N12="Leve")),"Bajo",IF(OR(AND(J12="Muy baja",N12="Moderado"),AND(J12="Baja",N12="Menor"),AND(J12="Baja",N12="Moderado"),AND(J12="Media",N12="Leve"),AND(J12="Media",N12="Menor"),AND(J12="Media",N12="Moderado"),AND(J12="Alta",N12="Leve"),AND(J12="Alta",N12="Menor")),"Moderado",IF(OR(AND(J12="Muy Baja",N12="Mayor"),AND(J12="Baja",N12="Mayor"),AND(J12="Media",N12="Mayor"),AND(J12="Alta",N12="Moderado"),AND(J12="Alta",N12="Mayor"),AND(J12="Muy Alta",N12="Leve"),AND(J12="Muy Alta",N12="Menor"),AND(J12="Muy Alta",N12="Moderado"),AND(J12="Muy Alta",N12="Mayor")),"Alto",IF(OR(AND(J12="Muy Baja",N12="Catastrófico"),AND(J12="Baja",N12="Catastrófico"),AND(J12="Media",N12="Catastrófico"),AND(J12="Alta",N12="Catastrófico"),AND(J12="Muy Alta",N12="Catastrófico")),"Extremo",""))))</f>
        <v/>
      </c>
      <c r="Q12" s="104">
        <v>1</v>
      </c>
      <c r="R12" s="105"/>
      <c r="S12" s="106" t="str">
        <f t="shared" ref="S12:S17" si="0">IF(OR(T12="Preventivo",T12="Detectivo"),"Probabilidad",IF(T12="Correctivo","Impacto",""))</f>
        <v/>
      </c>
      <c r="T12" s="119"/>
      <c r="U12" s="119"/>
      <c r="V12" s="120" t="str">
        <f>IF(AND(T12="Preventivo",U12="Automático"),"50%",IF(AND(T12="Preventivo",U12="Manual"),"40%",IF(AND(T12="Detectivo",U12="Automático"),"40%",IF(AND(T12="Detectivo",U12="Manual"),"30%",IF(AND(T12="Correctivo",U12="Automático"),"35%",IF(AND(T12="Correctivo",U12="Manual"),"25%",""))))))</f>
        <v/>
      </c>
      <c r="W12" s="119"/>
      <c r="X12" s="119"/>
      <c r="Y12" s="119"/>
      <c r="Z12" s="109" t="str">
        <f>IFERROR(IF(S12="Probabilidad",(K12-(+K12*V12)),IF(S12="Impacto",K12,"")),"")</f>
        <v/>
      </c>
      <c r="AA12" s="121" t="str">
        <f>IFERROR(IF(Z12="","",IF(Z12&lt;=0.2,"Muy Baja",IF(Z12&lt;=0.4,"Baja",IF(Z12&lt;=0.6,"Media",IF(Z12&lt;=0.8,"Alta","Muy Alta"))))),"")</f>
        <v/>
      </c>
      <c r="AB12" s="122" t="str">
        <f>+Z12</f>
        <v/>
      </c>
      <c r="AC12" s="121" t="str">
        <f>IFERROR(IF(AD12="","",IF(AD12&lt;=0.2,"Leve",IF(AD12&lt;=0.4,"Menor",IF(AD12&lt;=0.6,"Moderado",IF(AD12&lt;=0.8,"Mayor","Catastrófico"))))),"")</f>
        <v/>
      </c>
      <c r="AD12" s="122" t="str">
        <f>IFERROR(IF(S12="Impacto",(O12-(+O12*V12)),IF(S12="Probabilidad",O12,"")),"")</f>
        <v/>
      </c>
      <c r="AE12" s="123" t="str">
        <f>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
      </c>
      <c r="AF12" s="113"/>
      <c r="AG12" s="114"/>
      <c r="AH12" s="115"/>
      <c r="AI12" s="116"/>
      <c r="AJ12" s="116"/>
      <c r="AK12" s="114"/>
      <c r="AL12" s="115"/>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51" hidden="1" customHeight="1" x14ac:dyDescent="0.3">
      <c r="A13" s="205"/>
      <c r="B13" s="244"/>
      <c r="C13" s="244"/>
      <c r="D13" s="227"/>
      <c r="E13" s="143"/>
      <c r="F13" s="210"/>
      <c r="G13" s="144"/>
      <c r="H13" s="249"/>
      <c r="I13" s="252"/>
      <c r="J13" s="239"/>
      <c r="K13" s="237"/>
      <c r="L13" s="257"/>
      <c r="M13" s="237">
        <f ca="1">IF(NOT(ISERROR(MATCH(L13,_xlfn.ANCHORARRAY(F21),0))),K23&amp;"Por favor no seleccionar los criterios de impacto",L13)</f>
        <v>0</v>
      </c>
      <c r="N13" s="239"/>
      <c r="O13" s="237"/>
      <c r="P13" s="241"/>
      <c r="Q13" s="104">
        <v>2</v>
      </c>
      <c r="R13" s="105"/>
      <c r="S13" s="106" t="str">
        <f t="shared" si="0"/>
        <v/>
      </c>
      <c r="T13" s="119"/>
      <c r="U13" s="119"/>
      <c r="V13" s="120" t="str">
        <f t="shared" ref="V13:V14" si="1">IF(AND(T13="Preventivo",U13="Automático"),"50%",IF(AND(T13="Preventivo",U13="Manual"),"40%",IF(AND(T13="Detectivo",U13="Automático"),"40%",IF(AND(T13="Detectivo",U13="Manual"),"30%",IF(AND(T13="Correctivo",U13="Automático"),"35%",IF(AND(T13="Correctivo",U13="Manual"),"25%",""))))))</f>
        <v/>
      </c>
      <c r="W13" s="119"/>
      <c r="X13" s="119"/>
      <c r="Y13" s="119"/>
      <c r="Z13" s="109" t="str">
        <f>IFERROR(IF(AND(S12="Probabilidad",S13="Probabilidad"),(AB12-(+AB12*V13)),IF(AND(S12="Impacto",S13="Probabilidad"),(#REF!-(+#REF!*V13)),IF(S13="Impacto",AB12,""))),"")</f>
        <v/>
      </c>
      <c r="AA13" s="121" t="str">
        <f t="shared" ref="AA13:AA14" si="2">IFERROR(IF(Z13="","",IF(Z13&lt;=0.2,"Muy Baja",IF(Z13&lt;=0.4,"Baja",IF(Z13&lt;=0.6,"Media",IF(Z13&lt;=0.8,"Alta","Muy Alta"))))),"")</f>
        <v/>
      </c>
      <c r="AB13" s="122" t="str">
        <f t="shared" ref="AB13:AB14" si="3">+Z13</f>
        <v/>
      </c>
      <c r="AC13" s="121" t="str">
        <f t="shared" ref="AC13:AC14" si="4">IFERROR(IF(AD13="","",IF(AD13&lt;=0.2,"Leve",IF(AD13&lt;=0.4,"Menor",IF(AD13&lt;=0.6,"Moderado",IF(AD13&lt;=0.8,"Mayor","Catastrófico"))))),"")</f>
        <v/>
      </c>
      <c r="AD13" s="124" t="str">
        <f>IFERROR(IF(AND(S12="Impacto",S13="Impacto"),(AD12-(+AD12*V13)),IF(AND(S12="Probabilidad",S13="Impacto"),(#REF!-(+#REF!*V13)),IF(S13="Probabilidad",AD12,""))),"")</f>
        <v/>
      </c>
      <c r="AE13" s="123" t="str">
        <f t="shared" ref="AE13:AE14" si="5">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
      </c>
      <c r="AF13" s="113"/>
      <c r="AG13" s="114"/>
      <c r="AH13" s="115"/>
      <c r="AI13" s="116"/>
      <c r="AJ13" s="116"/>
      <c r="AK13" s="114"/>
      <c r="AL13" s="115"/>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51" hidden="1" customHeight="1" x14ac:dyDescent="0.3">
      <c r="A14" s="205"/>
      <c r="B14" s="244"/>
      <c r="C14" s="244"/>
      <c r="D14" s="227"/>
      <c r="E14" s="143"/>
      <c r="F14" s="210"/>
      <c r="G14" s="144"/>
      <c r="H14" s="249"/>
      <c r="I14" s="252"/>
      <c r="J14" s="239"/>
      <c r="K14" s="237"/>
      <c r="L14" s="257"/>
      <c r="M14" s="237">
        <f ca="1">IF(NOT(ISERROR(MATCH(L14,_xlfn.ANCHORARRAY(F22),0))),K24&amp;"Por favor no seleccionar los criterios de impacto",L14)</f>
        <v>0</v>
      </c>
      <c r="N14" s="239"/>
      <c r="O14" s="237"/>
      <c r="P14" s="241"/>
      <c r="Q14" s="104">
        <v>3</v>
      </c>
      <c r="R14" s="117"/>
      <c r="S14" s="106" t="str">
        <f t="shared" si="0"/>
        <v/>
      </c>
      <c r="T14" s="119"/>
      <c r="U14" s="119"/>
      <c r="V14" s="120" t="str">
        <f t="shared" si="1"/>
        <v/>
      </c>
      <c r="W14" s="119"/>
      <c r="X14" s="119"/>
      <c r="Y14" s="119"/>
      <c r="Z14" s="109" t="str">
        <f t="shared" ref="Z14" si="6">IFERROR(IF(AND(S13="Probabilidad",S14="Probabilidad"),(AB13-(+AB13*V14)),IF(AND(S13="Impacto",S14="Probabilidad"),(AB12-(+AB12*V14)),IF(S14="Impacto",AB13,""))),"")</f>
        <v/>
      </c>
      <c r="AA14" s="121" t="str">
        <f t="shared" si="2"/>
        <v/>
      </c>
      <c r="AB14" s="122" t="str">
        <f t="shared" si="3"/>
        <v/>
      </c>
      <c r="AC14" s="121" t="str">
        <f t="shared" si="4"/>
        <v/>
      </c>
      <c r="AD14" s="124" t="str">
        <f t="shared" ref="AD14" si="7">IFERROR(IF(AND(S13="Impacto",S14="Impacto"),(AD13-(+AD13*V14)),IF(AND(S13="Probabilidad",S14="Impacto"),(AD12-(+AD12*V14)),IF(S14="Probabilidad",AD13,""))),"")</f>
        <v/>
      </c>
      <c r="AE14" s="123" t="str">
        <f t="shared" si="5"/>
        <v/>
      </c>
      <c r="AF14" s="113"/>
      <c r="AG14" s="114"/>
      <c r="AH14" s="115"/>
      <c r="AI14" s="116"/>
      <c r="AJ14" s="116"/>
      <c r="AK14" s="114"/>
      <c r="AL14" s="115"/>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30.75" hidden="1" customHeight="1" x14ac:dyDescent="0.3">
      <c r="A15" s="204">
        <v>3</v>
      </c>
      <c r="B15" s="243"/>
      <c r="C15" s="243"/>
      <c r="D15" s="226"/>
      <c r="E15" s="143"/>
      <c r="F15" s="247"/>
      <c r="G15" s="144"/>
      <c r="H15" s="248"/>
      <c r="I15" s="251"/>
      <c r="J15" s="238" t="str">
        <f t="shared" ref="J15" si="8">IF(I15&lt;=0,"",IF(I15&lt;=2,"Muy Baja",IF(I15&lt;=24,"Baja",IF(I15&lt;=500,"Media",IF(I15&lt;=5000,"Alta","Muy Alta")))))</f>
        <v/>
      </c>
      <c r="K15" s="236" t="str">
        <f t="shared" ref="K15" si="9">IF(J15="","",IF(J15="Muy Baja",0.2,IF(J15="Baja",0.4,IF(J15="Media",0.6,IF(J15="Alta",0.8,IF(J15="Muy Alta",1,))))))</f>
        <v/>
      </c>
      <c r="L15" s="256"/>
      <c r="M15" s="236">
        <f ca="1">IF(NOT(ISERROR(MATCH(L15,'Tabla Impacto'!$B$221:$B$223,0))),'Tabla Impacto'!$F$223&amp;"Por favor no seleccionar los criterios de impacto(Afectación Económica o presupuestal y Pérdida Reputacional)",L15)</f>
        <v>0</v>
      </c>
      <c r="N15" s="238" t="str">
        <f ca="1">IF(OR(M15='Tabla Impacto'!$C$11,M15='Tabla Impacto'!$D$11),"Leve",IF(OR(M15='Tabla Impacto'!$C$12,M15='Tabla Impacto'!$D$12),"Menor",IF(OR(M15='Tabla Impacto'!$C$13,M15='Tabla Impacto'!$D$13),"Moderado",IF(OR(M15='Tabla Impacto'!$C$14,M15='Tabla Impacto'!$D$14),"Mayor",IF(OR(M15='Tabla Impacto'!$C$15,M15='Tabla Impacto'!$D$15),"Catastrófico","")))))</f>
        <v/>
      </c>
      <c r="O15" s="236" t="str">
        <f t="shared" ref="O15" ca="1" si="10">IF(N15="","",IF(N15="Leve",0.2,IF(N15="Menor",0.4,IF(N15="Moderado",0.6,IF(N15="Mayor",0.8,IF(N15="Catastrófico",1,))))))</f>
        <v/>
      </c>
      <c r="P15" s="240" t="str">
        <f t="shared" ref="P15" ca="1" si="11">IF(OR(AND(J15="Muy Baja",N15="Leve"),AND(J15="Muy Baja",N15="Menor"),AND(J15="Baja",N15="Leve")),"Bajo",IF(OR(AND(J15="Muy baja",N15="Moderado"),AND(J15="Baja",N15="Menor"),AND(J15="Baja",N15="Moderado"),AND(J15="Media",N15="Leve"),AND(J15="Media",N15="Menor"),AND(J15="Media",N15="Moderado"),AND(J15="Alta",N15="Leve"),AND(J15="Alta",N15="Menor")),"Moderado",IF(OR(AND(J15="Muy Baja",N15="Mayor"),AND(J15="Baja",N15="Mayor"),AND(J15="Media",N15="Mayor"),AND(J15="Alta",N15="Moderado"),AND(J15="Alta",N15="Mayor"),AND(J15="Muy Alta",N15="Leve"),AND(J15="Muy Alta",N15="Menor"),AND(J15="Muy Alta",N15="Moderado"),AND(J15="Muy Alta",N15="Mayor")),"Alto",IF(OR(AND(J15="Muy Baja",N15="Catastrófico"),AND(J15="Baja",N15="Catastrófico"),AND(J15="Media",N15="Catastrófico"),AND(J15="Alta",N15="Catastrófico"),AND(J15="Muy Alta",N15="Catastrófico")),"Extremo",""))))</f>
        <v/>
      </c>
      <c r="Q15" s="104">
        <v>1</v>
      </c>
      <c r="R15" s="105"/>
      <c r="S15" s="106" t="str">
        <f t="shared" si="0"/>
        <v/>
      </c>
      <c r="T15" s="107"/>
      <c r="U15" s="107"/>
      <c r="V15" s="108" t="str">
        <f>IF(AND(T15="Preventivo",U15="Automático"),"50%",IF(AND(T15="Preventivo",U15="Manual"),"40%",IF(AND(T15="Detectivo",U15="Automático"),"40%",IF(AND(T15="Detectivo",U15="Manual"),"30%",IF(AND(T15="Correctivo",U15="Automático"),"35%",IF(AND(T15="Correctivo",U15="Manual"),"25%",""))))))</f>
        <v/>
      </c>
      <c r="W15" s="107"/>
      <c r="X15" s="107"/>
      <c r="Y15" s="107"/>
      <c r="Z15" s="109" t="str">
        <f>IFERROR(IF(S15="Probabilidad",(K15-(+K15*V15)),IF(S15="Impacto",K15,"")),"")</f>
        <v/>
      </c>
      <c r="AA15" s="110" t="str">
        <f>IFERROR(IF(Z15="","",IF(Z15&lt;=0.2,"Muy Baja",IF(Z15&lt;=0.4,"Baja",IF(Z15&lt;=0.6,"Media",IF(Z15&lt;=0.8,"Alta","Muy Alta"))))),"")</f>
        <v/>
      </c>
      <c r="AB15" s="111" t="str">
        <f>+Z15</f>
        <v/>
      </c>
      <c r="AC15" s="110" t="str">
        <f>IFERROR(IF(AD15="","",IF(AD15&lt;=0.2,"Leve",IF(AD15&lt;=0.4,"Menor",IF(AD15&lt;=0.6,"Moderado",IF(AD15&lt;=0.8,"Mayor","Catastrófico"))))),"")</f>
        <v/>
      </c>
      <c r="AD15" s="118" t="str">
        <f>IFERROR(IF(S15="Impacto",(O15-(+O15*V15)),IF(S15="Probabilidad",O15,"")),"")</f>
        <v/>
      </c>
      <c r="AE15" s="112" t="str">
        <f>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
      </c>
      <c r="AF15" s="113"/>
      <c r="AG15" s="114"/>
      <c r="AH15" s="115"/>
      <c r="AI15" s="116"/>
      <c r="AJ15" s="116"/>
      <c r="AK15" s="114"/>
      <c r="AL15" s="115"/>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26.25" hidden="1" customHeight="1" x14ac:dyDescent="0.3">
      <c r="A16" s="205"/>
      <c r="B16" s="244"/>
      <c r="C16" s="244"/>
      <c r="D16" s="227"/>
      <c r="E16" s="143"/>
      <c r="F16" s="247"/>
      <c r="G16" s="144"/>
      <c r="H16" s="249"/>
      <c r="I16" s="252"/>
      <c r="J16" s="239"/>
      <c r="K16" s="237"/>
      <c r="L16" s="257"/>
      <c r="M16" s="237">
        <f ca="1">IF(NOT(ISERROR(MATCH(L16,_xlfn.ANCHORARRAY(F27),0))),K29&amp;"Por favor no seleccionar los criterios de impacto",L16)</f>
        <v>0</v>
      </c>
      <c r="N16" s="239"/>
      <c r="O16" s="237"/>
      <c r="P16" s="241"/>
      <c r="Q16" s="104">
        <v>2</v>
      </c>
      <c r="R16" s="105"/>
      <c r="S16" s="106" t="str">
        <f t="shared" si="0"/>
        <v/>
      </c>
      <c r="T16" s="107"/>
      <c r="U16" s="107"/>
      <c r="V16" s="108" t="str">
        <f t="shared" ref="V16:V20" si="12">IF(AND(T16="Preventivo",U16="Automático"),"50%",IF(AND(T16="Preventivo",U16="Manual"),"40%",IF(AND(T16="Detectivo",U16="Automático"),"40%",IF(AND(T16="Detectivo",U16="Manual"),"30%",IF(AND(T16="Correctivo",U16="Automático"),"35%",IF(AND(T16="Correctivo",U16="Manual"),"25%",""))))))</f>
        <v/>
      </c>
      <c r="W16" s="107"/>
      <c r="X16" s="107"/>
      <c r="Y16" s="107"/>
      <c r="Z16" s="109" t="str">
        <f>IFERROR(IF(AND(S15="Probabilidad",S16="Probabilidad"),(AB15-(+AB15*V16)),IF(AND(S15="Impacto",S16="Probabilidad"),(#REF!-(+#REF!*V16)),IF(S16="Impacto",AB15,""))),"")</f>
        <v/>
      </c>
      <c r="AA16" s="110" t="str">
        <f t="shared" ref="AA16:AA20" si="13">IFERROR(IF(Z16="","",IF(Z16&lt;=0.2,"Muy Baja",IF(Z16&lt;=0.4,"Baja",IF(Z16&lt;=0.6,"Media",IF(Z16&lt;=0.8,"Alta","Muy Alta"))))),"")</f>
        <v/>
      </c>
      <c r="AB16" s="111" t="str">
        <f t="shared" ref="AB16:AB20" si="14">+Z16</f>
        <v/>
      </c>
      <c r="AC16" s="110" t="str">
        <f t="shared" ref="AC16:AC20" si="15">IFERROR(IF(AD16="","",IF(AD16&lt;=0.2,"Leve",IF(AD16&lt;=0.4,"Menor",IF(AD16&lt;=0.6,"Moderado",IF(AD16&lt;=0.8,"Mayor","Catastrófico"))))),"")</f>
        <v/>
      </c>
      <c r="AD16" s="118" t="str">
        <f>IFERROR(IF(AND(S15="Impacto",S16="Impacto"),(AD15-(+AD15*V16)),IF(AND(S15="Probabilidad",S16="Impacto"),(#REF!-(+#REF!*V16)),IF(S16="Probabilidad",AD15,""))),"")</f>
        <v/>
      </c>
      <c r="AE16" s="112" t="str">
        <f t="shared" ref="AE16:AE20" si="16">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113"/>
      <c r="AG16" s="114"/>
      <c r="AH16" s="115"/>
      <c r="AI16" s="116"/>
      <c r="AJ16" s="116"/>
      <c r="AK16" s="114"/>
      <c r="AL16" s="115"/>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26.25" hidden="1" customHeight="1" x14ac:dyDescent="0.3">
      <c r="A17" s="205"/>
      <c r="B17" s="244"/>
      <c r="C17" s="244"/>
      <c r="D17" s="227"/>
      <c r="E17" s="143"/>
      <c r="F17" s="247"/>
      <c r="G17" s="144"/>
      <c r="H17" s="249"/>
      <c r="I17" s="252"/>
      <c r="J17" s="239"/>
      <c r="K17" s="237"/>
      <c r="L17" s="257"/>
      <c r="M17" s="237">
        <f ca="1">IF(NOT(ISERROR(MATCH(L17,_xlfn.ANCHORARRAY(F28),0))),K30&amp;"Por favor no seleccionar los criterios de impacto",L17)</f>
        <v>0</v>
      </c>
      <c r="N17" s="239"/>
      <c r="O17" s="237"/>
      <c r="P17" s="241"/>
      <c r="Q17" s="104">
        <v>3</v>
      </c>
      <c r="R17" s="117"/>
      <c r="S17" s="106" t="str">
        <f t="shared" si="0"/>
        <v/>
      </c>
      <c r="T17" s="107"/>
      <c r="U17" s="107"/>
      <c r="V17" s="108" t="str">
        <f t="shared" si="12"/>
        <v/>
      </c>
      <c r="W17" s="107"/>
      <c r="X17" s="107"/>
      <c r="Y17" s="107"/>
      <c r="Z17" s="109" t="str">
        <f t="shared" ref="Z17:Z20" si="17">IFERROR(IF(AND(S16="Probabilidad",S17="Probabilidad"),(AB16-(+AB16*V17)),IF(AND(S16="Impacto",S17="Probabilidad"),(AB15-(+AB15*V17)),IF(S17="Impacto",AB16,""))),"")</f>
        <v/>
      </c>
      <c r="AA17" s="110" t="str">
        <f t="shared" si="13"/>
        <v/>
      </c>
      <c r="AB17" s="111" t="str">
        <f t="shared" si="14"/>
        <v/>
      </c>
      <c r="AC17" s="110" t="str">
        <f t="shared" si="15"/>
        <v/>
      </c>
      <c r="AD17" s="118" t="str">
        <f t="shared" ref="AD17:AD20" si="18">IFERROR(IF(AND(S16="Impacto",S17="Impacto"),(AD16-(+AD16*V17)),IF(AND(S16="Probabilidad",S17="Impacto"),(AD15-(+AD15*V17)),IF(S17="Probabilidad",AD16,""))),"")</f>
        <v/>
      </c>
      <c r="AE17" s="112" t="str">
        <f t="shared" si="16"/>
        <v/>
      </c>
      <c r="AF17" s="113"/>
      <c r="AG17" s="114"/>
      <c r="AH17" s="115"/>
      <c r="AI17" s="116"/>
      <c r="AJ17" s="116"/>
      <c r="AK17" s="114"/>
      <c r="AL17" s="115"/>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6.25" hidden="1" customHeight="1" x14ac:dyDescent="0.3">
      <c r="A18" s="205"/>
      <c r="B18" s="244"/>
      <c r="C18" s="244"/>
      <c r="D18" s="227"/>
      <c r="E18" s="143"/>
      <c r="F18" s="247"/>
      <c r="G18" s="144"/>
      <c r="H18" s="249"/>
      <c r="I18" s="252"/>
      <c r="J18" s="239"/>
      <c r="K18" s="237"/>
      <c r="L18" s="257"/>
      <c r="M18" s="237">
        <f ca="1">IF(NOT(ISERROR(MATCH(L18,_xlfn.ANCHORARRAY(F29),0))),K31&amp;"Por favor no seleccionar los criterios de impacto",L18)</f>
        <v>0</v>
      </c>
      <c r="N18" s="239"/>
      <c r="O18" s="237"/>
      <c r="P18" s="241"/>
      <c r="Q18" s="104">
        <v>4</v>
      </c>
      <c r="R18" s="105"/>
      <c r="S18" s="106" t="str">
        <f t="shared" ref="S18:S20" si="19">IF(OR(T18="Preventivo",T18="Detectivo"),"Probabilidad",IF(T18="Correctivo","Impacto",""))</f>
        <v/>
      </c>
      <c r="T18" s="107"/>
      <c r="U18" s="107"/>
      <c r="V18" s="108" t="str">
        <f t="shared" si="12"/>
        <v/>
      </c>
      <c r="W18" s="107"/>
      <c r="X18" s="107"/>
      <c r="Y18" s="107"/>
      <c r="Z18" s="109" t="str">
        <f t="shared" si="17"/>
        <v/>
      </c>
      <c r="AA18" s="110" t="str">
        <f t="shared" si="13"/>
        <v/>
      </c>
      <c r="AB18" s="111" t="str">
        <f t="shared" si="14"/>
        <v/>
      </c>
      <c r="AC18" s="110" t="str">
        <f t="shared" si="15"/>
        <v/>
      </c>
      <c r="AD18" s="118" t="str">
        <f t="shared" si="18"/>
        <v/>
      </c>
      <c r="AE18" s="112" t="str">
        <f t="shared" si="16"/>
        <v/>
      </c>
      <c r="AF18" s="113"/>
      <c r="AG18" s="114"/>
      <c r="AH18" s="115"/>
      <c r="AI18" s="116"/>
      <c r="AJ18" s="116"/>
      <c r="AK18" s="114"/>
      <c r="AL18" s="115"/>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6.25" hidden="1" customHeight="1" x14ac:dyDescent="0.3">
      <c r="A19" s="205"/>
      <c r="B19" s="244"/>
      <c r="C19" s="244"/>
      <c r="D19" s="227"/>
      <c r="E19" s="143"/>
      <c r="F19" s="247"/>
      <c r="G19" s="144"/>
      <c r="H19" s="249"/>
      <c r="I19" s="252"/>
      <c r="J19" s="239"/>
      <c r="K19" s="237"/>
      <c r="L19" s="257"/>
      <c r="M19" s="237">
        <f ca="1">IF(NOT(ISERROR(MATCH(L19,_xlfn.ANCHORARRAY(F30),0))),K32&amp;"Por favor no seleccionar los criterios de impacto",L19)</f>
        <v>0</v>
      </c>
      <c r="N19" s="239"/>
      <c r="O19" s="237"/>
      <c r="P19" s="241"/>
      <c r="Q19" s="104">
        <v>5</v>
      </c>
      <c r="R19" s="105"/>
      <c r="S19" s="106" t="str">
        <f t="shared" si="19"/>
        <v/>
      </c>
      <c r="T19" s="107"/>
      <c r="U19" s="107"/>
      <c r="V19" s="108" t="str">
        <f t="shared" si="12"/>
        <v/>
      </c>
      <c r="W19" s="107"/>
      <c r="X19" s="107"/>
      <c r="Y19" s="107"/>
      <c r="Z19" s="109" t="str">
        <f t="shared" si="17"/>
        <v/>
      </c>
      <c r="AA19" s="110" t="str">
        <f t="shared" si="13"/>
        <v/>
      </c>
      <c r="AB19" s="111" t="str">
        <f t="shared" si="14"/>
        <v/>
      </c>
      <c r="AC19" s="110" t="str">
        <f t="shared" si="15"/>
        <v/>
      </c>
      <c r="AD19" s="118" t="str">
        <f t="shared" si="18"/>
        <v/>
      </c>
      <c r="AE19" s="112" t="str">
        <f t="shared" si="16"/>
        <v/>
      </c>
      <c r="AF19" s="113"/>
      <c r="AG19" s="114"/>
      <c r="AH19" s="115"/>
      <c r="AI19" s="116"/>
      <c r="AJ19" s="116"/>
      <c r="AK19" s="114"/>
      <c r="AL19" s="115"/>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6.25" hidden="1" customHeight="1" x14ac:dyDescent="0.3">
      <c r="A20" s="242"/>
      <c r="B20" s="245"/>
      <c r="C20" s="245"/>
      <c r="D20" s="246"/>
      <c r="E20" s="143"/>
      <c r="F20" s="247"/>
      <c r="G20" s="144"/>
      <c r="H20" s="250"/>
      <c r="I20" s="253"/>
      <c r="J20" s="254"/>
      <c r="K20" s="255"/>
      <c r="L20" s="258"/>
      <c r="M20" s="255">
        <f ca="1">IF(NOT(ISERROR(MATCH(L20,_xlfn.ANCHORARRAY(F31),0))),K33&amp;"Por favor no seleccionar los criterios de impacto",L20)</f>
        <v>0</v>
      </c>
      <c r="N20" s="254"/>
      <c r="O20" s="255"/>
      <c r="P20" s="259"/>
      <c r="Q20" s="104">
        <v>6</v>
      </c>
      <c r="R20" s="105"/>
      <c r="S20" s="106" t="str">
        <f t="shared" si="19"/>
        <v/>
      </c>
      <c r="T20" s="107"/>
      <c r="U20" s="107"/>
      <c r="V20" s="108" t="str">
        <f t="shared" si="12"/>
        <v/>
      </c>
      <c r="W20" s="107"/>
      <c r="X20" s="107"/>
      <c r="Y20" s="107"/>
      <c r="Z20" s="109" t="str">
        <f t="shared" si="17"/>
        <v/>
      </c>
      <c r="AA20" s="110" t="str">
        <f t="shared" si="13"/>
        <v/>
      </c>
      <c r="AB20" s="111" t="str">
        <f t="shared" si="14"/>
        <v/>
      </c>
      <c r="AC20" s="110" t="str">
        <f t="shared" si="15"/>
        <v/>
      </c>
      <c r="AD20" s="118" t="str">
        <f t="shared" si="18"/>
        <v/>
      </c>
      <c r="AE20" s="112" t="str">
        <f t="shared" si="16"/>
        <v/>
      </c>
      <c r="AF20" s="113"/>
      <c r="AG20" s="114"/>
      <c r="AH20" s="115"/>
      <c r="AI20" s="116"/>
      <c r="AJ20" s="116"/>
      <c r="AK20" s="114"/>
      <c r="AL20" s="115"/>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6.25" hidden="1" customHeight="1" x14ac:dyDescent="0.3">
      <c r="A21" s="204">
        <v>4</v>
      </c>
      <c r="B21" s="243"/>
      <c r="C21" s="243"/>
      <c r="D21" s="226"/>
      <c r="E21" s="143"/>
      <c r="F21" s="247"/>
      <c r="G21" s="144"/>
      <c r="H21" s="248"/>
      <c r="I21" s="251"/>
      <c r="J21" s="238" t="str">
        <f t="shared" ref="J21" si="20">IF(I21&lt;=0,"",IF(I21&lt;=2,"Muy Baja",IF(I21&lt;=24,"Baja",IF(I21&lt;=500,"Media",IF(I21&lt;=5000,"Alta","Muy Alta")))))</f>
        <v/>
      </c>
      <c r="K21" s="236" t="str">
        <f t="shared" ref="K21" si="21">IF(J21="","",IF(J21="Muy Baja",0.2,IF(J21="Baja",0.4,IF(J21="Media",0.6,IF(J21="Alta",0.8,IF(J21="Muy Alta",1,))))))</f>
        <v/>
      </c>
      <c r="L21" s="256"/>
      <c r="M21" s="236">
        <f ca="1">IF(NOT(ISERROR(MATCH(L21,'Tabla Impacto'!$B$221:$B$223,0))),'Tabla Impacto'!$F$223&amp;"Por favor no seleccionar los criterios de impacto(Afectación Económica o presupuestal y Pérdida Reputacional)",L21)</f>
        <v>0</v>
      </c>
      <c r="N21" s="238" t="str">
        <f ca="1">IF(OR(M21='Tabla Impacto'!$C$11,M21='Tabla Impacto'!$D$11),"Leve",IF(OR(M21='Tabla Impacto'!$C$12,M21='Tabla Impacto'!$D$12),"Menor",IF(OR(M21='Tabla Impacto'!$C$13,M21='Tabla Impacto'!$D$13),"Moderado",IF(OR(M21='Tabla Impacto'!$C$14,M21='Tabla Impacto'!$D$14),"Mayor",IF(OR(M21='Tabla Impacto'!$C$15,M21='Tabla Impacto'!$D$15),"Catastrófico","")))))</f>
        <v/>
      </c>
      <c r="O21" s="236" t="str">
        <f t="shared" ref="O21" ca="1" si="22">IF(N21="","",IF(N21="Leve",0.2,IF(N21="Menor",0.4,IF(N21="Moderado",0.6,IF(N21="Mayor",0.8,IF(N21="Catastrófico",1,))))))</f>
        <v/>
      </c>
      <c r="P21" s="240" t="str">
        <f t="shared" ref="P21" ca="1" si="23">IF(OR(AND(J21="Muy Baja",N21="Leve"),AND(J21="Muy Baja",N21="Menor"),AND(J21="Baja",N21="Leve")),"Bajo",IF(OR(AND(J21="Muy baja",N21="Moderado"),AND(J21="Baja",N21="Menor"),AND(J21="Baja",N21="Moderado"),AND(J21="Media",N21="Leve"),AND(J21="Media",N21="Menor"),AND(J21="Media",N21="Moderado"),AND(J21="Alta",N21="Leve"),AND(J21="Alta",N21="Menor")),"Moderado",IF(OR(AND(J21="Muy Baja",N21="Mayor"),AND(J21="Baja",N21="Mayor"),AND(J21="Media",N21="Mayor"),AND(J21="Alta",N21="Moderado"),AND(J21="Alta",N21="Mayor"),AND(J21="Muy Alta",N21="Leve"),AND(J21="Muy Alta",N21="Menor"),AND(J21="Muy Alta",N21="Moderado"),AND(J21="Muy Alta",N21="Mayor")),"Alto",IF(OR(AND(J21="Muy Baja",N21="Catastrófico"),AND(J21="Baja",N21="Catastrófico"),AND(J21="Media",N21="Catastrófico"),AND(J21="Alta",N21="Catastrófico"),AND(J21="Muy Alta",N21="Catastrófico")),"Extremo",""))))</f>
        <v/>
      </c>
      <c r="Q21" s="104">
        <v>1</v>
      </c>
      <c r="R21" s="105"/>
      <c r="S21" s="106" t="str">
        <f>IF(OR(T21="Preventivo",T21="Detectivo"),"Probabilidad",IF(T21="Correctivo","Impacto",""))</f>
        <v/>
      </c>
      <c r="T21" s="107"/>
      <c r="U21" s="107"/>
      <c r="V21" s="108" t="str">
        <f>IF(AND(T21="Preventivo",U21="Automático"),"50%",IF(AND(T21="Preventivo",U21="Manual"),"40%",IF(AND(T21="Detectivo",U21="Automático"),"40%",IF(AND(T21="Detectivo",U21="Manual"),"30%",IF(AND(T21="Correctivo",U21="Automático"),"35%",IF(AND(T21="Correctivo",U21="Manual"),"25%",""))))))</f>
        <v/>
      </c>
      <c r="W21" s="107"/>
      <c r="X21" s="107"/>
      <c r="Y21" s="107"/>
      <c r="Z21" s="109" t="str">
        <f>IFERROR(IF(S21="Probabilidad",(K21-(+K21*V21)),IF(S21="Impacto",K21,"")),"")</f>
        <v/>
      </c>
      <c r="AA21" s="110" t="str">
        <f>IFERROR(IF(Z21="","",IF(Z21&lt;=0.2,"Muy Baja",IF(Z21&lt;=0.4,"Baja",IF(Z21&lt;=0.6,"Media",IF(Z21&lt;=0.8,"Alta","Muy Alta"))))),"")</f>
        <v/>
      </c>
      <c r="AB21" s="111" t="str">
        <f>+Z21</f>
        <v/>
      </c>
      <c r="AC21" s="110" t="str">
        <f>IFERROR(IF(AD21="","",IF(AD21&lt;=0.2,"Leve",IF(AD21&lt;=0.4,"Menor",IF(AD21&lt;=0.6,"Moderado",IF(AD21&lt;=0.8,"Mayor","Catastrófico"))))),"")</f>
        <v/>
      </c>
      <c r="AD21" s="118" t="str">
        <f>IFERROR(IF(S21="Impacto",(O21-(+O21*V21)),IF(S21="Probabilidad",O21,"")),"")</f>
        <v/>
      </c>
      <c r="AE21" s="112" t="str">
        <f>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
      </c>
      <c r="AF21" s="113"/>
      <c r="AG21" s="114"/>
      <c r="AH21" s="115"/>
      <c r="AI21" s="116"/>
      <c r="AJ21" s="116"/>
      <c r="AK21" s="114"/>
      <c r="AL21" s="115"/>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26.25" hidden="1" customHeight="1" x14ac:dyDescent="0.3">
      <c r="A22" s="205"/>
      <c r="B22" s="244"/>
      <c r="C22" s="244"/>
      <c r="D22" s="227"/>
      <c r="E22" s="143"/>
      <c r="F22" s="247"/>
      <c r="G22" s="144"/>
      <c r="H22" s="249"/>
      <c r="I22" s="252"/>
      <c r="J22" s="239"/>
      <c r="K22" s="237"/>
      <c r="L22" s="257"/>
      <c r="M22" s="237">
        <f ca="1">IF(NOT(ISERROR(MATCH(L22,_xlfn.ANCHORARRAY(F33),0))),K35&amp;"Por favor no seleccionar los criterios de impacto",L22)</f>
        <v>0</v>
      </c>
      <c r="N22" s="239"/>
      <c r="O22" s="237"/>
      <c r="P22" s="241"/>
      <c r="Q22" s="104">
        <v>2</v>
      </c>
      <c r="R22" s="105"/>
      <c r="S22" s="106" t="str">
        <f>IF(OR(T22="Preventivo",T22="Detectivo"),"Probabilidad",IF(T22="Correctivo","Impacto",""))</f>
        <v/>
      </c>
      <c r="T22" s="107"/>
      <c r="U22" s="107"/>
      <c r="V22" s="108" t="str">
        <f t="shared" ref="V22:V26" si="24">IF(AND(T22="Preventivo",U22="Automático"),"50%",IF(AND(T22="Preventivo",U22="Manual"),"40%",IF(AND(T22="Detectivo",U22="Automático"),"40%",IF(AND(T22="Detectivo",U22="Manual"),"30%",IF(AND(T22="Correctivo",U22="Automático"),"35%",IF(AND(T22="Correctivo",U22="Manual"),"25%",""))))))</f>
        <v/>
      </c>
      <c r="W22" s="107"/>
      <c r="X22" s="107"/>
      <c r="Y22" s="107"/>
      <c r="Z22" s="109" t="str">
        <f>IFERROR(IF(AND(S21="Probabilidad",S22="Probabilidad"),(AB21-(+AB21*V22)),IF(AND(S21="Impacto",S22="Probabilidad"),(AB20-(+AB20*V22)),IF(S22="Impacto",AB21,""))),"")</f>
        <v/>
      </c>
      <c r="AA22" s="110" t="str">
        <f t="shared" ref="AA22:AA26" si="25">IFERROR(IF(Z22="","",IF(Z22&lt;=0.2,"Muy Baja",IF(Z22&lt;=0.4,"Baja",IF(Z22&lt;=0.6,"Media",IF(Z22&lt;=0.8,"Alta","Muy Alta"))))),"")</f>
        <v/>
      </c>
      <c r="AB22" s="111" t="str">
        <f t="shared" ref="AB22:AB26" si="26">+Z22</f>
        <v/>
      </c>
      <c r="AC22" s="110" t="str">
        <f t="shared" ref="AC22:AC26" si="27">IFERROR(IF(AD22="","",IF(AD22&lt;=0.2,"Leve",IF(AD22&lt;=0.4,"Menor",IF(AD22&lt;=0.6,"Moderado",IF(AD22&lt;=0.8,"Mayor","Catastrófico"))))),"")</f>
        <v/>
      </c>
      <c r="AD22" s="118" t="str">
        <f>IFERROR(IF(AND(S21="Impacto",S22="Impacto"),(AD21-(+AD21*V22)),IF(AND(S21="Probabilidad",S22="Impacto"),(AD20-(+AD20*V22)),IF(S22="Probabilidad",AD21,""))),"")</f>
        <v/>
      </c>
      <c r="AE22" s="112" t="str">
        <f t="shared" ref="AE22:AE26" si="28">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13"/>
      <c r="AG22" s="114"/>
      <c r="AH22" s="115"/>
      <c r="AI22" s="116"/>
      <c r="AJ22" s="116"/>
      <c r="AK22" s="114"/>
      <c r="AL22" s="115"/>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hidden="1" customHeight="1" x14ac:dyDescent="0.3">
      <c r="A23" s="205"/>
      <c r="B23" s="244"/>
      <c r="C23" s="244"/>
      <c r="D23" s="227"/>
      <c r="E23" s="143"/>
      <c r="F23" s="247"/>
      <c r="G23" s="144"/>
      <c r="H23" s="249"/>
      <c r="I23" s="252"/>
      <c r="J23" s="239"/>
      <c r="K23" s="237"/>
      <c r="L23" s="257"/>
      <c r="M23" s="237">
        <f ca="1">IF(NOT(ISERROR(MATCH(L23,_xlfn.ANCHORARRAY(F34),0))),K36&amp;"Por favor no seleccionar los criterios de impacto",L23)</f>
        <v>0</v>
      </c>
      <c r="N23" s="239"/>
      <c r="O23" s="237"/>
      <c r="P23" s="241"/>
      <c r="Q23" s="104">
        <v>3</v>
      </c>
      <c r="R23" s="117"/>
      <c r="S23" s="106" t="str">
        <f>IF(OR(T23="Preventivo",T23="Detectivo"),"Probabilidad",IF(T23="Correctivo","Impacto",""))</f>
        <v/>
      </c>
      <c r="T23" s="107"/>
      <c r="U23" s="107"/>
      <c r="V23" s="108" t="str">
        <f t="shared" si="24"/>
        <v/>
      </c>
      <c r="W23" s="107"/>
      <c r="X23" s="107"/>
      <c r="Y23" s="107"/>
      <c r="Z23" s="109" t="str">
        <f t="shared" ref="Z23:Z26" si="29">IFERROR(IF(AND(S22="Probabilidad",S23="Probabilidad"),(AB22-(+AB22*V23)),IF(AND(S22="Impacto",S23="Probabilidad"),(AB21-(+AB21*V23)),IF(S23="Impacto",AB22,""))),"")</f>
        <v/>
      </c>
      <c r="AA23" s="110" t="str">
        <f t="shared" si="25"/>
        <v/>
      </c>
      <c r="AB23" s="111" t="str">
        <f t="shared" si="26"/>
        <v/>
      </c>
      <c r="AC23" s="110" t="str">
        <f t="shared" si="27"/>
        <v/>
      </c>
      <c r="AD23" s="118" t="str">
        <f t="shared" ref="AD23:AD26" si="30">IFERROR(IF(AND(S22="Impacto",S23="Impacto"),(AD22-(+AD22*V23)),IF(AND(S22="Probabilidad",S23="Impacto"),(AD21-(+AD21*V23)),IF(S23="Probabilidad",AD22,""))),"")</f>
        <v/>
      </c>
      <c r="AE23" s="112" t="str">
        <f t="shared" si="28"/>
        <v/>
      </c>
      <c r="AF23" s="113"/>
      <c r="AG23" s="114"/>
      <c r="AH23" s="115"/>
      <c r="AI23" s="116"/>
      <c r="AJ23" s="116"/>
      <c r="AK23" s="114"/>
      <c r="AL23" s="115"/>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hidden="1" customHeight="1" x14ac:dyDescent="0.3">
      <c r="A24" s="205"/>
      <c r="B24" s="244"/>
      <c r="C24" s="244"/>
      <c r="D24" s="227"/>
      <c r="E24" s="143"/>
      <c r="F24" s="247"/>
      <c r="G24" s="144"/>
      <c r="H24" s="249"/>
      <c r="I24" s="252"/>
      <c r="J24" s="239"/>
      <c r="K24" s="237"/>
      <c r="L24" s="257"/>
      <c r="M24" s="237">
        <f ca="1">IF(NOT(ISERROR(MATCH(L24,_xlfn.ANCHORARRAY(F35),0))),K37&amp;"Por favor no seleccionar los criterios de impacto",L24)</f>
        <v>0</v>
      </c>
      <c r="N24" s="239"/>
      <c r="O24" s="237"/>
      <c r="P24" s="241"/>
      <c r="Q24" s="104">
        <v>4</v>
      </c>
      <c r="R24" s="105"/>
      <c r="S24" s="106" t="str">
        <f t="shared" ref="S24:S26" si="31">IF(OR(T24="Preventivo",T24="Detectivo"),"Probabilidad",IF(T24="Correctivo","Impacto",""))</f>
        <v/>
      </c>
      <c r="T24" s="107"/>
      <c r="U24" s="107"/>
      <c r="V24" s="108" t="str">
        <f t="shared" si="24"/>
        <v/>
      </c>
      <c r="W24" s="107"/>
      <c r="X24" s="107"/>
      <c r="Y24" s="107"/>
      <c r="Z24" s="109" t="str">
        <f t="shared" si="29"/>
        <v/>
      </c>
      <c r="AA24" s="110" t="str">
        <f t="shared" si="25"/>
        <v/>
      </c>
      <c r="AB24" s="111" t="str">
        <f t="shared" si="26"/>
        <v/>
      </c>
      <c r="AC24" s="110" t="str">
        <f t="shared" si="27"/>
        <v/>
      </c>
      <c r="AD24" s="118" t="str">
        <f t="shared" si="30"/>
        <v/>
      </c>
      <c r="AE24" s="112" t="str">
        <f t="shared" si="28"/>
        <v/>
      </c>
      <c r="AF24" s="113"/>
      <c r="AG24" s="114"/>
      <c r="AH24" s="115"/>
      <c r="AI24" s="116"/>
      <c r="AJ24" s="116"/>
      <c r="AK24" s="114"/>
      <c r="AL24" s="115"/>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hidden="1" customHeight="1" x14ac:dyDescent="0.3">
      <c r="A25" s="205"/>
      <c r="B25" s="244"/>
      <c r="C25" s="244"/>
      <c r="D25" s="227"/>
      <c r="E25" s="143"/>
      <c r="F25" s="247"/>
      <c r="G25" s="144"/>
      <c r="H25" s="249"/>
      <c r="I25" s="252"/>
      <c r="J25" s="239"/>
      <c r="K25" s="237"/>
      <c r="L25" s="257"/>
      <c r="M25" s="237">
        <f ca="1">IF(NOT(ISERROR(MATCH(L25,_xlfn.ANCHORARRAY(F36),0))),K38&amp;"Por favor no seleccionar los criterios de impacto",L25)</f>
        <v>0</v>
      </c>
      <c r="N25" s="239"/>
      <c r="O25" s="237"/>
      <c r="P25" s="241"/>
      <c r="Q25" s="104">
        <v>5</v>
      </c>
      <c r="R25" s="105"/>
      <c r="S25" s="106" t="str">
        <f t="shared" si="31"/>
        <v/>
      </c>
      <c r="T25" s="107"/>
      <c r="U25" s="107"/>
      <c r="V25" s="108" t="str">
        <f t="shared" si="24"/>
        <v/>
      </c>
      <c r="W25" s="107"/>
      <c r="X25" s="107"/>
      <c r="Y25" s="107"/>
      <c r="Z25" s="109" t="str">
        <f t="shared" si="29"/>
        <v/>
      </c>
      <c r="AA25" s="110" t="str">
        <f t="shared" si="25"/>
        <v/>
      </c>
      <c r="AB25" s="111" t="str">
        <f t="shared" si="26"/>
        <v/>
      </c>
      <c r="AC25" s="110" t="str">
        <f t="shared" si="27"/>
        <v/>
      </c>
      <c r="AD25" s="118" t="str">
        <f t="shared" si="30"/>
        <v/>
      </c>
      <c r="AE25" s="112" t="str">
        <f t="shared" si="28"/>
        <v/>
      </c>
      <c r="AF25" s="113"/>
      <c r="AG25" s="114"/>
      <c r="AH25" s="115"/>
      <c r="AI25" s="116"/>
      <c r="AJ25" s="116"/>
      <c r="AK25" s="114"/>
      <c r="AL25" s="115"/>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hidden="1" customHeight="1" x14ac:dyDescent="0.3">
      <c r="A26" s="242"/>
      <c r="B26" s="245"/>
      <c r="C26" s="245"/>
      <c r="D26" s="246"/>
      <c r="E26" s="143"/>
      <c r="F26" s="247"/>
      <c r="G26" s="144"/>
      <c r="H26" s="250"/>
      <c r="I26" s="253"/>
      <c r="J26" s="254"/>
      <c r="K26" s="255"/>
      <c r="L26" s="258"/>
      <c r="M26" s="255">
        <f ca="1">IF(NOT(ISERROR(MATCH(L26,_xlfn.ANCHORARRAY(F37),0))),K39&amp;"Por favor no seleccionar los criterios de impacto",L26)</f>
        <v>0</v>
      </c>
      <c r="N26" s="254"/>
      <c r="O26" s="255"/>
      <c r="P26" s="259"/>
      <c r="Q26" s="104">
        <v>6</v>
      </c>
      <c r="R26" s="105"/>
      <c r="S26" s="106" t="str">
        <f t="shared" si="31"/>
        <v/>
      </c>
      <c r="T26" s="107"/>
      <c r="U26" s="107"/>
      <c r="V26" s="108" t="str">
        <f t="shared" si="24"/>
        <v/>
      </c>
      <c r="W26" s="107"/>
      <c r="X26" s="107"/>
      <c r="Y26" s="107"/>
      <c r="Z26" s="109" t="str">
        <f t="shared" si="29"/>
        <v/>
      </c>
      <c r="AA26" s="110" t="str">
        <f t="shared" si="25"/>
        <v/>
      </c>
      <c r="AB26" s="111" t="str">
        <f t="shared" si="26"/>
        <v/>
      </c>
      <c r="AC26" s="110" t="str">
        <f t="shared" si="27"/>
        <v/>
      </c>
      <c r="AD26" s="118" t="str">
        <f t="shared" si="30"/>
        <v/>
      </c>
      <c r="AE26" s="112" t="str">
        <f t="shared" si="28"/>
        <v/>
      </c>
      <c r="AF26" s="113"/>
      <c r="AG26" s="114"/>
      <c r="AH26" s="115"/>
      <c r="AI26" s="116"/>
      <c r="AJ26" s="116"/>
      <c r="AK26" s="114"/>
      <c r="AL26" s="115"/>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hidden="1" customHeight="1" x14ac:dyDescent="0.3">
      <c r="A27" s="204">
        <v>5</v>
      </c>
      <c r="B27" s="243"/>
      <c r="C27" s="243"/>
      <c r="D27" s="226"/>
      <c r="E27" s="143"/>
      <c r="F27" s="247"/>
      <c r="G27" s="144"/>
      <c r="H27" s="248"/>
      <c r="I27" s="251"/>
      <c r="J27" s="238" t="str">
        <f t="shared" ref="J27" si="32">IF(I27&lt;=0,"",IF(I27&lt;=2,"Muy Baja",IF(I27&lt;=24,"Baja",IF(I27&lt;=500,"Media",IF(I27&lt;=5000,"Alta","Muy Alta")))))</f>
        <v/>
      </c>
      <c r="K27" s="236" t="str">
        <f t="shared" ref="K27" si="33">IF(J27="","",IF(J27="Muy Baja",0.2,IF(J27="Baja",0.4,IF(J27="Media",0.6,IF(J27="Alta",0.8,IF(J27="Muy Alta",1,))))))</f>
        <v/>
      </c>
      <c r="L27" s="256"/>
      <c r="M27" s="236">
        <f ca="1">IF(NOT(ISERROR(MATCH(L27,'Tabla Impacto'!$B$221:$B$223,0))),'Tabla Impacto'!$F$223&amp;"Por favor no seleccionar los criterios de impacto(Afectación Económica o presupuestal y Pérdida Reputacional)",L27)</f>
        <v>0</v>
      </c>
      <c r="N27" s="238" t="str">
        <f ca="1">IF(OR(M27='Tabla Impacto'!$C$11,M27='Tabla Impacto'!$D$11),"Leve",IF(OR(M27='Tabla Impacto'!$C$12,M27='Tabla Impacto'!$D$12),"Menor",IF(OR(M27='Tabla Impacto'!$C$13,M27='Tabla Impacto'!$D$13),"Moderado",IF(OR(M27='Tabla Impacto'!$C$14,M27='Tabla Impacto'!$D$14),"Mayor",IF(OR(M27='Tabla Impacto'!$C$15,M27='Tabla Impacto'!$D$15),"Catastrófico","")))))</f>
        <v/>
      </c>
      <c r="O27" s="236" t="str">
        <f t="shared" ref="O27" ca="1" si="34">IF(N27="","",IF(N27="Leve",0.2,IF(N27="Menor",0.4,IF(N27="Moderado",0.6,IF(N27="Mayor",0.8,IF(N27="Catastrófico",1,))))))</f>
        <v/>
      </c>
      <c r="P27" s="240" t="str">
        <f t="shared" ref="P27" ca="1" si="35">IF(OR(AND(J27="Muy Baja",N27="Leve"),AND(J27="Muy Baja",N27="Menor"),AND(J27="Baja",N27="Leve")),"Bajo",IF(OR(AND(J27="Muy baja",N27="Moderado"),AND(J27="Baja",N27="Menor"),AND(J27="Baja",N27="Moderado"),AND(J27="Media",N27="Leve"),AND(J27="Media",N27="Menor"),AND(J27="Media",N27="Moderado"),AND(J27="Alta",N27="Leve"),AND(J27="Alta",N27="Menor")),"Moderado",IF(OR(AND(J27="Muy Baja",N27="Mayor"),AND(J27="Baja",N27="Mayor"),AND(J27="Media",N27="Mayor"),AND(J27="Alta",N27="Moderado"),AND(J27="Alta",N27="Mayor"),AND(J27="Muy Alta",N27="Leve"),AND(J27="Muy Alta",N27="Menor"),AND(J27="Muy Alta",N27="Moderado"),AND(J27="Muy Alta",N27="Mayor")),"Alto",IF(OR(AND(J27="Muy Baja",N27="Catastrófico"),AND(J27="Baja",N27="Catastrófico"),AND(J27="Media",N27="Catastrófico"),AND(J27="Alta",N27="Catastrófico"),AND(J27="Muy Alta",N27="Catastrófico")),"Extremo",""))))</f>
        <v/>
      </c>
      <c r="Q27" s="104">
        <v>1</v>
      </c>
      <c r="R27" s="105"/>
      <c r="S27" s="106" t="s">
        <v>215</v>
      </c>
      <c r="T27" s="107"/>
      <c r="U27" s="107"/>
      <c r="V27" s="108" t="s">
        <v>215</v>
      </c>
      <c r="W27" s="107"/>
      <c r="X27" s="107"/>
      <c r="Y27" s="107"/>
      <c r="Z27" s="109" t="s">
        <v>215</v>
      </c>
      <c r="AA27" s="110" t="s">
        <v>215</v>
      </c>
      <c r="AB27" s="111" t="s">
        <v>215</v>
      </c>
      <c r="AC27" s="110" t="s">
        <v>215</v>
      </c>
      <c r="AD27" s="118" t="s">
        <v>215</v>
      </c>
      <c r="AE27" s="112" t="s">
        <v>215</v>
      </c>
      <c r="AF27" s="113"/>
      <c r="AG27" s="114"/>
      <c r="AH27" s="115"/>
      <c r="AI27" s="116"/>
      <c r="AJ27" s="116"/>
      <c r="AK27" s="114"/>
      <c r="AL27" s="115"/>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hidden="1" customHeight="1" x14ac:dyDescent="0.3">
      <c r="A28" s="205"/>
      <c r="B28" s="244"/>
      <c r="C28" s="244"/>
      <c r="D28" s="227"/>
      <c r="E28" s="143"/>
      <c r="F28" s="247"/>
      <c r="G28" s="144"/>
      <c r="H28" s="249"/>
      <c r="I28" s="252"/>
      <c r="J28" s="239"/>
      <c r="K28" s="237"/>
      <c r="L28" s="257"/>
      <c r="M28" s="237">
        <f ca="1">IF(NOT(ISERROR(MATCH(L28,_xlfn.ANCHORARRAY(F39),0))),K41&amp;"Por favor no seleccionar los criterios de impacto",L28)</f>
        <v>0</v>
      </c>
      <c r="N28" s="239"/>
      <c r="O28" s="237"/>
      <c r="P28" s="241"/>
      <c r="Q28" s="104">
        <v>2</v>
      </c>
      <c r="R28" s="105"/>
      <c r="S28" s="106" t="s">
        <v>215</v>
      </c>
      <c r="T28" s="107"/>
      <c r="U28" s="107"/>
      <c r="V28" s="108" t="s">
        <v>215</v>
      </c>
      <c r="W28" s="107"/>
      <c r="X28" s="107"/>
      <c r="Y28" s="107"/>
      <c r="Z28" s="109" t="s">
        <v>215</v>
      </c>
      <c r="AA28" s="110" t="s">
        <v>215</v>
      </c>
      <c r="AB28" s="111" t="s">
        <v>215</v>
      </c>
      <c r="AC28" s="110" t="s">
        <v>215</v>
      </c>
      <c r="AD28" s="118" t="s">
        <v>215</v>
      </c>
      <c r="AE28" s="112" t="s">
        <v>215</v>
      </c>
      <c r="AF28" s="113"/>
      <c r="AG28" s="114"/>
      <c r="AH28" s="115"/>
      <c r="AI28" s="116"/>
      <c r="AJ28" s="116"/>
      <c r="AK28" s="114"/>
      <c r="AL28" s="115"/>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hidden="1" customHeight="1" x14ac:dyDescent="0.3">
      <c r="A29" s="205"/>
      <c r="B29" s="244"/>
      <c r="C29" s="244"/>
      <c r="D29" s="227"/>
      <c r="E29" s="143"/>
      <c r="F29" s="247"/>
      <c r="G29" s="144"/>
      <c r="H29" s="249"/>
      <c r="I29" s="252"/>
      <c r="J29" s="239"/>
      <c r="K29" s="237"/>
      <c r="L29" s="257"/>
      <c r="M29" s="237">
        <f ca="1">IF(NOT(ISERROR(MATCH(L29,_xlfn.ANCHORARRAY(F40),0))),K42&amp;"Por favor no seleccionar los criterios de impacto",L29)</f>
        <v>0</v>
      </c>
      <c r="N29" s="239"/>
      <c r="O29" s="237"/>
      <c r="P29" s="241"/>
      <c r="Q29" s="104">
        <v>3</v>
      </c>
      <c r="R29" s="117"/>
      <c r="S29" s="106" t="s">
        <v>215</v>
      </c>
      <c r="T29" s="107"/>
      <c r="U29" s="107"/>
      <c r="V29" s="108" t="s">
        <v>215</v>
      </c>
      <c r="W29" s="107"/>
      <c r="X29" s="107"/>
      <c r="Y29" s="107"/>
      <c r="Z29" s="109" t="s">
        <v>215</v>
      </c>
      <c r="AA29" s="110" t="s">
        <v>215</v>
      </c>
      <c r="AB29" s="111" t="s">
        <v>215</v>
      </c>
      <c r="AC29" s="110" t="s">
        <v>215</v>
      </c>
      <c r="AD29" s="118" t="s">
        <v>215</v>
      </c>
      <c r="AE29" s="112" t="s">
        <v>215</v>
      </c>
      <c r="AF29" s="113"/>
      <c r="AG29" s="114"/>
      <c r="AH29" s="115"/>
      <c r="AI29" s="116"/>
      <c r="AJ29" s="116"/>
      <c r="AK29" s="114"/>
      <c r="AL29" s="115"/>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hidden="1" customHeight="1" x14ac:dyDescent="0.3">
      <c r="A30" s="205"/>
      <c r="B30" s="244"/>
      <c r="C30" s="244"/>
      <c r="D30" s="227"/>
      <c r="E30" s="143"/>
      <c r="F30" s="247"/>
      <c r="G30" s="144"/>
      <c r="H30" s="249"/>
      <c r="I30" s="252"/>
      <c r="J30" s="239"/>
      <c r="K30" s="237"/>
      <c r="L30" s="257"/>
      <c r="M30" s="237">
        <f ca="1">IF(NOT(ISERROR(MATCH(L30,_xlfn.ANCHORARRAY(F41),0))),K43&amp;"Por favor no seleccionar los criterios de impacto",L30)</f>
        <v>0</v>
      </c>
      <c r="N30" s="239"/>
      <c r="O30" s="237"/>
      <c r="P30" s="241"/>
      <c r="Q30" s="104">
        <v>4</v>
      </c>
      <c r="R30" s="105"/>
      <c r="S30" s="106" t="s">
        <v>215</v>
      </c>
      <c r="T30" s="107"/>
      <c r="U30" s="107"/>
      <c r="V30" s="108" t="s">
        <v>215</v>
      </c>
      <c r="W30" s="107"/>
      <c r="X30" s="107"/>
      <c r="Y30" s="107"/>
      <c r="Z30" s="109" t="s">
        <v>215</v>
      </c>
      <c r="AA30" s="110" t="s">
        <v>215</v>
      </c>
      <c r="AB30" s="111" t="s">
        <v>215</v>
      </c>
      <c r="AC30" s="110" t="s">
        <v>215</v>
      </c>
      <c r="AD30" s="118" t="s">
        <v>215</v>
      </c>
      <c r="AE30" s="112" t="s">
        <v>215</v>
      </c>
      <c r="AF30" s="113"/>
      <c r="AG30" s="114"/>
      <c r="AH30" s="115"/>
      <c r="AI30" s="116"/>
      <c r="AJ30" s="116"/>
      <c r="AK30" s="114"/>
      <c r="AL30" s="115"/>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hidden="1" customHeight="1" x14ac:dyDescent="0.3">
      <c r="A31" s="205"/>
      <c r="B31" s="244"/>
      <c r="C31" s="244"/>
      <c r="D31" s="227"/>
      <c r="E31" s="143"/>
      <c r="F31" s="247"/>
      <c r="G31" s="144"/>
      <c r="H31" s="249"/>
      <c r="I31" s="252"/>
      <c r="J31" s="239"/>
      <c r="K31" s="237"/>
      <c r="L31" s="257"/>
      <c r="M31" s="237">
        <f ca="1">IF(NOT(ISERROR(MATCH(L31,_xlfn.ANCHORARRAY(F42),0))),K44&amp;"Por favor no seleccionar los criterios de impacto",L31)</f>
        <v>0</v>
      </c>
      <c r="N31" s="239"/>
      <c r="O31" s="237"/>
      <c r="P31" s="241"/>
      <c r="Q31" s="104">
        <v>5</v>
      </c>
      <c r="R31" s="105"/>
      <c r="S31" s="106" t="s">
        <v>215</v>
      </c>
      <c r="T31" s="107"/>
      <c r="U31" s="107"/>
      <c r="V31" s="108" t="s">
        <v>215</v>
      </c>
      <c r="W31" s="107"/>
      <c r="X31" s="107"/>
      <c r="Y31" s="107"/>
      <c r="Z31" s="109" t="s">
        <v>215</v>
      </c>
      <c r="AA31" s="110" t="s">
        <v>215</v>
      </c>
      <c r="AB31" s="111" t="s">
        <v>215</v>
      </c>
      <c r="AC31" s="110" t="s">
        <v>215</v>
      </c>
      <c r="AD31" s="118" t="s">
        <v>215</v>
      </c>
      <c r="AE31" s="112" t="s">
        <v>215</v>
      </c>
      <c r="AF31" s="113"/>
      <c r="AG31" s="114"/>
      <c r="AH31" s="115"/>
      <c r="AI31" s="116"/>
      <c r="AJ31" s="116"/>
      <c r="AK31" s="114"/>
      <c r="AL31" s="115"/>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hidden="1" customHeight="1" x14ac:dyDescent="0.3">
      <c r="A32" s="242"/>
      <c r="B32" s="245"/>
      <c r="C32" s="245"/>
      <c r="D32" s="246"/>
      <c r="E32" s="143"/>
      <c r="F32" s="247"/>
      <c r="G32" s="144"/>
      <c r="H32" s="250"/>
      <c r="I32" s="253"/>
      <c r="J32" s="254"/>
      <c r="K32" s="255"/>
      <c r="L32" s="258"/>
      <c r="M32" s="255">
        <f ca="1">IF(NOT(ISERROR(MATCH(L32,_xlfn.ANCHORARRAY(F43),0))),K45&amp;"Por favor no seleccionar los criterios de impacto",L32)</f>
        <v>0</v>
      </c>
      <c r="N32" s="254"/>
      <c r="O32" s="255"/>
      <c r="P32" s="259"/>
      <c r="Q32" s="104">
        <v>6</v>
      </c>
      <c r="R32" s="105"/>
      <c r="S32" s="106" t="s">
        <v>215</v>
      </c>
      <c r="T32" s="107"/>
      <c r="U32" s="107"/>
      <c r="V32" s="108" t="s">
        <v>215</v>
      </c>
      <c r="W32" s="107"/>
      <c r="X32" s="107"/>
      <c r="Y32" s="107"/>
      <c r="Z32" s="109" t="s">
        <v>215</v>
      </c>
      <c r="AA32" s="110" t="s">
        <v>215</v>
      </c>
      <c r="AB32" s="111" t="s">
        <v>215</v>
      </c>
      <c r="AC32" s="110" t="s">
        <v>215</v>
      </c>
      <c r="AD32" s="118" t="s">
        <v>215</v>
      </c>
      <c r="AE32" s="112" t="s">
        <v>215</v>
      </c>
      <c r="AF32" s="113"/>
      <c r="AG32" s="114"/>
      <c r="AH32" s="115"/>
      <c r="AI32" s="116"/>
      <c r="AJ32" s="116"/>
      <c r="AK32" s="114"/>
      <c r="AL32" s="115"/>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hidden="1" customHeight="1" x14ac:dyDescent="0.3">
      <c r="A33" s="204">
        <v>6</v>
      </c>
      <c r="B33" s="243"/>
      <c r="C33" s="243"/>
      <c r="D33" s="226"/>
      <c r="E33" s="143"/>
      <c r="F33" s="247"/>
      <c r="G33" s="144"/>
      <c r="H33" s="248"/>
      <c r="I33" s="251"/>
      <c r="J33" s="238" t="str">
        <f t="shared" ref="J33" si="36">IF(I33&lt;=0,"",IF(I33&lt;=2,"Muy Baja",IF(I33&lt;=24,"Baja",IF(I33&lt;=500,"Media",IF(I33&lt;=5000,"Alta","Muy Alta")))))</f>
        <v/>
      </c>
      <c r="K33" s="236" t="str">
        <f t="shared" ref="K33" si="37">IF(J33="","",IF(J33="Muy Baja",0.2,IF(J33="Baja",0.4,IF(J33="Media",0.6,IF(J33="Alta",0.8,IF(J33="Muy Alta",1,))))))</f>
        <v/>
      </c>
      <c r="L33" s="256"/>
      <c r="M33" s="236">
        <f ca="1">IF(NOT(ISERROR(MATCH(L33,'Tabla Impacto'!$B$221:$B$223,0))),'Tabla Impacto'!$F$223&amp;"Por favor no seleccionar los criterios de impacto(Afectación Económica o presupuestal y Pérdida Reputacional)",L33)</f>
        <v>0</v>
      </c>
      <c r="N33" s="238" t="str">
        <f ca="1">IF(OR(M33='Tabla Impacto'!$C$11,M33='Tabla Impacto'!$D$11),"Leve",IF(OR(M33='Tabla Impacto'!$C$12,M33='Tabla Impacto'!$D$12),"Menor",IF(OR(M33='Tabla Impacto'!$C$13,M33='Tabla Impacto'!$D$13),"Moderado",IF(OR(M33='Tabla Impacto'!$C$14,M33='Tabla Impacto'!$D$14),"Mayor",IF(OR(M33='Tabla Impacto'!$C$15,M33='Tabla Impacto'!$D$15),"Catastrófico","")))))</f>
        <v/>
      </c>
      <c r="O33" s="236" t="str">
        <f t="shared" ref="O33" ca="1" si="38">IF(N33="","",IF(N33="Leve",0.2,IF(N33="Menor",0.4,IF(N33="Moderado",0.6,IF(N33="Mayor",0.8,IF(N33="Catastrófico",1,))))))</f>
        <v/>
      </c>
      <c r="P33" s="240" t="str">
        <f t="shared" ref="P33" ca="1" si="39">IF(OR(AND(J33="Muy Baja",N33="Leve"),AND(J33="Muy Baja",N33="Menor"),AND(J33="Baja",N33="Leve")),"Bajo",IF(OR(AND(J33="Muy baja",N33="Moderado"),AND(J33="Baja",N33="Menor"),AND(J33="Baja",N33="Moderado"),AND(J33="Media",N33="Leve"),AND(J33="Media",N33="Menor"),AND(J33="Media",N33="Moderado"),AND(J33="Alta",N33="Leve"),AND(J33="Alta",N33="Menor")),"Moderado",IF(OR(AND(J33="Muy Baja",N33="Mayor"),AND(J33="Baja",N33="Mayor"),AND(J33="Media",N33="Mayor"),AND(J33="Alta",N33="Moderado"),AND(J33="Alta",N33="Mayor"),AND(J33="Muy Alta",N33="Leve"),AND(J33="Muy Alta",N33="Menor"),AND(J33="Muy Alta",N33="Moderado"),AND(J33="Muy Alta",N33="Mayor")),"Alto",IF(OR(AND(J33="Muy Baja",N33="Catastrófico"),AND(J33="Baja",N33="Catastrófico"),AND(J33="Media",N33="Catastrófico"),AND(J33="Alta",N33="Catastrófico"),AND(J33="Muy Alta",N33="Catastrófico")),"Extremo",""))))</f>
        <v/>
      </c>
      <c r="Q33" s="104">
        <v>1</v>
      </c>
      <c r="R33" s="105"/>
      <c r="S33" s="106" t="s">
        <v>215</v>
      </c>
      <c r="T33" s="107"/>
      <c r="U33" s="107"/>
      <c r="V33" s="108" t="s">
        <v>215</v>
      </c>
      <c r="W33" s="107"/>
      <c r="X33" s="107"/>
      <c r="Y33" s="107"/>
      <c r="Z33" s="109" t="s">
        <v>215</v>
      </c>
      <c r="AA33" s="110" t="s">
        <v>215</v>
      </c>
      <c r="AB33" s="111" t="s">
        <v>215</v>
      </c>
      <c r="AC33" s="110" t="s">
        <v>215</v>
      </c>
      <c r="AD33" s="118" t="s">
        <v>215</v>
      </c>
      <c r="AE33" s="112" t="s">
        <v>215</v>
      </c>
      <c r="AF33" s="113"/>
      <c r="AG33" s="114"/>
      <c r="AH33" s="115"/>
      <c r="AI33" s="116"/>
      <c r="AJ33" s="116"/>
      <c r="AK33" s="114"/>
      <c r="AL33" s="115"/>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hidden="1" customHeight="1" x14ac:dyDescent="0.3">
      <c r="A34" s="205"/>
      <c r="B34" s="244"/>
      <c r="C34" s="244"/>
      <c r="D34" s="227"/>
      <c r="E34" s="143"/>
      <c r="F34" s="247"/>
      <c r="G34" s="144"/>
      <c r="H34" s="249"/>
      <c r="I34" s="252"/>
      <c r="J34" s="239"/>
      <c r="K34" s="237"/>
      <c r="L34" s="257"/>
      <c r="M34" s="237">
        <f ca="1">IF(NOT(ISERROR(MATCH(L34,_xlfn.ANCHORARRAY(F45),0))),K47&amp;"Por favor no seleccionar los criterios de impacto",L34)</f>
        <v>0</v>
      </c>
      <c r="N34" s="239"/>
      <c r="O34" s="237"/>
      <c r="P34" s="241"/>
      <c r="Q34" s="104">
        <v>2</v>
      </c>
      <c r="R34" s="105"/>
      <c r="S34" s="106" t="s">
        <v>215</v>
      </c>
      <c r="T34" s="107"/>
      <c r="U34" s="107"/>
      <c r="V34" s="108" t="s">
        <v>215</v>
      </c>
      <c r="W34" s="107"/>
      <c r="X34" s="107"/>
      <c r="Y34" s="107"/>
      <c r="Z34" s="109" t="s">
        <v>215</v>
      </c>
      <c r="AA34" s="110" t="s">
        <v>215</v>
      </c>
      <c r="AB34" s="111" t="s">
        <v>215</v>
      </c>
      <c r="AC34" s="110" t="s">
        <v>215</v>
      </c>
      <c r="AD34" s="118" t="s">
        <v>215</v>
      </c>
      <c r="AE34" s="112" t="s">
        <v>215</v>
      </c>
      <c r="AF34" s="113"/>
      <c r="AG34" s="114"/>
      <c r="AH34" s="115"/>
      <c r="AI34" s="116"/>
      <c r="AJ34" s="116"/>
      <c r="AK34" s="114"/>
      <c r="AL34" s="115"/>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hidden="1" customHeight="1" x14ac:dyDescent="0.3">
      <c r="A35" s="205"/>
      <c r="B35" s="244"/>
      <c r="C35" s="244"/>
      <c r="D35" s="227"/>
      <c r="E35" s="143"/>
      <c r="F35" s="247"/>
      <c r="G35" s="144"/>
      <c r="H35" s="249"/>
      <c r="I35" s="252"/>
      <c r="J35" s="239"/>
      <c r="K35" s="237"/>
      <c r="L35" s="257"/>
      <c r="M35" s="237">
        <f ca="1">IF(NOT(ISERROR(MATCH(L35,_xlfn.ANCHORARRAY(F46),0))),K48&amp;"Por favor no seleccionar los criterios de impacto",L35)</f>
        <v>0</v>
      </c>
      <c r="N35" s="239"/>
      <c r="O35" s="237"/>
      <c r="P35" s="241"/>
      <c r="Q35" s="104">
        <v>3</v>
      </c>
      <c r="R35" s="117"/>
      <c r="S35" s="106" t="s">
        <v>215</v>
      </c>
      <c r="T35" s="107"/>
      <c r="U35" s="107"/>
      <c r="V35" s="108" t="s">
        <v>215</v>
      </c>
      <c r="W35" s="107"/>
      <c r="X35" s="107"/>
      <c r="Y35" s="107"/>
      <c r="Z35" s="109" t="s">
        <v>215</v>
      </c>
      <c r="AA35" s="110" t="s">
        <v>215</v>
      </c>
      <c r="AB35" s="111" t="s">
        <v>215</v>
      </c>
      <c r="AC35" s="110" t="s">
        <v>215</v>
      </c>
      <c r="AD35" s="118" t="s">
        <v>215</v>
      </c>
      <c r="AE35" s="112" t="s">
        <v>215</v>
      </c>
      <c r="AF35" s="113"/>
      <c r="AG35" s="114"/>
      <c r="AH35" s="115"/>
      <c r="AI35" s="116"/>
      <c r="AJ35" s="116"/>
      <c r="AK35" s="114"/>
      <c r="AL35" s="115"/>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hidden="1" customHeight="1" x14ac:dyDescent="0.3">
      <c r="A36" s="205"/>
      <c r="B36" s="244"/>
      <c r="C36" s="244"/>
      <c r="D36" s="227"/>
      <c r="E36" s="143"/>
      <c r="F36" s="247"/>
      <c r="G36" s="144"/>
      <c r="H36" s="249"/>
      <c r="I36" s="252"/>
      <c r="J36" s="239"/>
      <c r="K36" s="237"/>
      <c r="L36" s="257"/>
      <c r="M36" s="237">
        <f ca="1">IF(NOT(ISERROR(MATCH(L36,_xlfn.ANCHORARRAY(F47),0))),K49&amp;"Por favor no seleccionar los criterios de impacto",L36)</f>
        <v>0</v>
      </c>
      <c r="N36" s="239"/>
      <c r="O36" s="237"/>
      <c r="P36" s="241"/>
      <c r="Q36" s="104">
        <v>4</v>
      </c>
      <c r="R36" s="105"/>
      <c r="S36" s="106" t="s">
        <v>215</v>
      </c>
      <c r="T36" s="107"/>
      <c r="U36" s="107"/>
      <c r="V36" s="108" t="s">
        <v>215</v>
      </c>
      <c r="W36" s="107"/>
      <c r="X36" s="107"/>
      <c r="Y36" s="107"/>
      <c r="Z36" s="109" t="s">
        <v>215</v>
      </c>
      <c r="AA36" s="110" t="s">
        <v>215</v>
      </c>
      <c r="AB36" s="111" t="s">
        <v>215</v>
      </c>
      <c r="AC36" s="110" t="s">
        <v>215</v>
      </c>
      <c r="AD36" s="118" t="s">
        <v>215</v>
      </c>
      <c r="AE36" s="112" t="s">
        <v>215</v>
      </c>
      <c r="AF36" s="113"/>
      <c r="AG36" s="114"/>
      <c r="AH36" s="115"/>
      <c r="AI36" s="116"/>
      <c r="AJ36" s="116"/>
      <c r="AK36" s="114"/>
      <c r="AL36" s="115"/>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hidden="1" customHeight="1" x14ac:dyDescent="0.3">
      <c r="A37" s="205"/>
      <c r="B37" s="244"/>
      <c r="C37" s="244"/>
      <c r="D37" s="227"/>
      <c r="E37" s="143"/>
      <c r="F37" s="247"/>
      <c r="G37" s="144"/>
      <c r="H37" s="249"/>
      <c r="I37" s="252"/>
      <c r="J37" s="239"/>
      <c r="K37" s="237"/>
      <c r="L37" s="257"/>
      <c r="M37" s="237">
        <f ca="1">IF(NOT(ISERROR(MATCH(L37,_xlfn.ANCHORARRAY(F48),0))),K50&amp;"Por favor no seleccionar los criterios de impacto",L37)</f>
        <v>0</v>
      </c>
      <c r="N37" s="239"/>
      <c r="O37" s="237"/>
      <c r="P37" s="241"/>
      <c r="Q37" s="104">
        <v>5</v>
      </c>
      <c r="R37" s="105"/>
      <c r="S37" s="106" t="s">
        <v>215</v>
      </c>
      <c r="T37" s="107"/>
      <c r="U37" s="107"/>
      <c r="V37" s="108" t="s">
        <v>215</v>
      </c>
      <c r="W37" s="107"/>
      <c r="X37" s="107"/>
      <c r="Y37" s="107"/>
      <c r="Z37" s="109" t="s">
        <v>215</v>
      </c>
      <c r="AA37" s="110" t="s">
        <v>215</v>
      </c>
      <c r="AB37" s="111" t="s">
        <v>215</v>
      </c>
      <c r="AC37" s="110" t="s">
        <v>215</v>
      </c>
      <c r="AD37" s="118" t="s">
        <v>215</v>
      </c>
      <c r="AE37" s="112" t="s">
        <v>215</v>
      </c>
      <c r="AF37" s="113"/>
      <c r="AG37" s="114"/>
      <c r="AH37" s="115"/>
      <c r="AI37" s="116"/>
      <c r="AJ37" s="116"/>
      <c r="AK37" s="114"/>
      <c r="AL37" s="115"/>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hidden="1" customHeight="1" x14ac:dyDescent="0.3">
      <c r="A38" s="242"/>
      <c r="B38" s="245"/>
      <c r="C38" s="245"/>
      <c r="D38" s="246"/>
      <c r="E38" s="143"/>
      <c r="F38" s="247"/>
      <c r="G38" s="144"/>
      <c r="H38" s="250"/>
      <c r="I38" s="253"/>
      <c r="J38" s="254"/>
      <c r="K38" s="255"/>
      <c r="L38" s="258"/>
      <c r="M38" s="255">
        <f ca="1">IF(NOT(ISERROR(MATCH(L38,_xlfn.ANCHORARRAY(F49),0))),K51&amp;"Por favor no seleccionar los criterios de impacto",L38)</f>
        <v>0</v>
      </c>
      <c r="N38" s="254"/>
      <c r="O38" s="255"/>
      <c r="P38" s="259"/>
      <c r="Q38" s="104">
        <v>6</v>
      </c>
      <c r="R38" s="105"/>
      <c r="S38" s="106" t="s">
        <v>215</v>
      </c>
      <c r="T38" s="107"/>
      <c r="U38" s="107"/>
      <c r="V38" s="108" t="s">
        <v>215</v>
      </c>
      <c r="W38" s="107"/>
      <c r="X38" s="107"/>
      <c r="Y38" s="107"/>
      <c r="Z38" s="109" t="s">
        <v>215</v>
      </c>
      <c r="AA38" s="110" t="s">
        <v>215</v>
      </c>
      <c r="AB38" s="111" t="s">
        <v>215</v>
      </c>
      <c r="AC38" s="110" t="s">
        <v>215</v>
      </c>
      <c r="AD38" s="118" t="s">
        <v>215</v>
      </c>
      <c r="AE38" s="112" t="s">
        <v>215</v>
      </c>
      <c r="AF38" s="113"/>
      <c r="AG38" s="114"/>
      <c r="AH38" s="115"/>
      <c r="AI38" s="116"/>
      <c r="AJ38" s="116"/>
      <c r="AK38" s="114"/>
      <c r="AL38" s="115"/>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hidden="1" customHeight="1" x14ac:dyDescent="0.3">
      <c r="A39" s="204">
        <v>7</v>
      </c>
      <c r="B39" s="243"/>
      <c r="C39" s="243"/>
      <c r="D39" s="243"/>
      <c r="E39" s="128"/>
      <c r="F39" s="261"/>
      <c r="G39" s="130"/>
      <c r="H39" s="243"/>
      <c r="I39" s="251"/>
      <c r="J39" s="238" t="str">
        <f t="shared" ref="J39" si="40">IF(I39&lt;=0,"",IF(I39&lt;=2,"Muy Baja",IF(I39&lt;=24,"Baja",IF(I39&lt;=500,"Media",IF(I39&lt;=5000,"Alta","Muy Alta")))))</f>
        <v/>
      </c>
      <c r="K39" s="236" t="str">
        <f t="shared" ref="K39" si="41">IF(J39="","",IF(J39="Muy Baja",0.2,IF(J39="Baja",0.4,IF(J39="Media",0.6,IF(J39="Alta",0.8,IF(J39="Muy Alta",1,))))))</f>
        <v/>
      </c>
      <c r="L39" s="256"/>
      <c r="M39" s="236">
        <f ca="1">IF(NOT(ISERROR(MATCH(L39,'Tabla Impacto'!$B$221:$B$223,0))),'Tabla Impacto'!$F$223&amp;"Por favor no seleccionar los criterios de impacto(Afectación Económica o presupuestal y Pérdida Reputacional)",L39)</f>
        <v>0</v>
      </c>
      <c r="N39" s="238" t="str">
        <f ca="1">IF(OR(M39='Tabla Impacto'!$C$11,M39='Tabla Impacto'!$D$11),"Leve",IF(OR(M39='Tabla Impacto'!$C$12,M39='Tabla Impacto'!$D$12),"Menor",IF(OR(M39='Tabla Impacto'!$C$13,M39='Tabla Impacto'!$D$13),"Moderado",IF(OR(M39='Tabla Impacto'!$C$14,M39='Tabla Impacto'!$D$14),"Mayor",IF(OR(M39='Tabla Impacto'!$C$15,M39='Tabla Impacto'!$D$15),"Catastrófico","")))))</f>
        <v/>
      </c>
      <c r="O39" s="236" t="str">
        <f t="shared" ref="O39" ca="1" si="42">IF(N39="","",IF(N39="Leve",0.2,IF(N39="Menor",0.4,IF(N39="Moderado",0.6,IF(N39="Mayor",0.8,IF(N39="Catastrófico",1,))))))</f>
        <v/>
      </c>
      <c r="P39" s="240" t="str">
        <f t="shared" ref="P39" ca="1" si="43">IF(OR(AND(J39="Muy Baja",N39="Leve"),AND(J39="Muy Baja",N39="Menor"),AND(J39="Baja",N39="Leve")),"Bajo",IF(OR(AND(J39="Muy baja",N39="Moderado"),AND(J39="Baja",N39="Menor"),AND(J39="Baja",N39="Moderado"),AND(J39="Media",N39="Leve"),AND(J39="Media",N39="Menor"),AND(J39="Media",N39="Moderado"),AND(J39="Alta",N39="Leve"),AND(J39="Alta",N39="Menor")),"Moderado",IF(OR(AND(J39="Muy Baja",N39="Mayor"),AND(J39="Baja",N39="Mayor"),AND(J39="Media",N39="Mayor"),AND(J39="Alta",N39="Moderado"),AND(J39="Alta",N39="Mayor"),AND(J39="Muy Alta",N39="Leve"),AND(J39="Muy Alta",N39="Menor"),AND(J39="Muy Alta",N39="Moderado"),AND(J39="Muy Alta",N39="Mayor")),"Alto",IF(OR(AND(J39="Muy Baja",N39="Catastrófico"),AND(J39="Baja",N39="Catastrófico"),AND(J39="Media",N39="Catastrófico"),AND(J39="Alta",N39="Catastrófico"),AND(J39="Muy Alta",N39="Catastrófico")),"Extremo",""))))</f>
        <v/>
      </c>
      <c r="Q39" s="104">
        <v>1</v>
      </c>
      <c r="R39" s="105"/>
      <c r="S39" s="106" t="s">
        <v>215</v>
      </c>
      <c r="T39" s="107"/>
      <c r="U39" s="107"/>
      <c r="V39" s="108" t="s">
        <v>215</v>
      </c>
      <c r="W39" s="107"/>
      <c r="X39" s="107"/>
      <c r="Y39" s="107"/>
      <c r="Z39" s="109" t="s">
        <v>215</v>
      </c>
      <c r="AA39" s="110" t="s">
        <v>215</v>
      </c>
      <c r="AB39" s="111" t="s">
        <v>215</v>
      </c>
      <c r="AC39" s="110" t="s">
        <v>215</v>
      </c>
      <c r="AD39" s="118" t="s">
        <v>215</v>
      </c>
      <c r="AE39" s="112" t="s">
        <v>215</v>
      </c>
      <c r="AF39" s="113"/>
      <c r="AG39" s="114"/>
      <c r="AH39" s="115"/>
      <c r="AI39" s="116"/>
      <c r="AJ39" s="116"/>
      <c r="AK39" s="114"/>
      <c r="AL39" s="115"/>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hidden="1" customHeight="1" x14ac:dyDescent="0.3">
      <c r="A40" s="205"/>
      <c r="B40" s="244"/>
      <c r="C40" s="244"/>
      <c r="D40" s="244"/>
      <c r="E40" s="126"/>
      <c r="F40" s="261"/>
      <c r="G40" s="130"/>
      <c r="H40" s="244"/>
      <c r="I40" s="252"/>
      <c r="J40" s="239"/>
      <c r="K40" s="237"/>
      <c r="L40" s="257"/>
      <c r="M40" s="237">
        <f ca="1">IF(NOT(ISERROR(MATCH(L40,_xlfn.ANCHORARRAY(F51),0))),K53&amp;"Por favor no seleccionar los criterios de impacto",L40)</f>
        <v>0</v>
      </c>
      <c r="N40" s="239"/>
      <c r="O40" s="237"/>
      <c r="P40" s="241"/>
      <c r="Q40" s="104">
        <v>2</v>
      </c>
      <c r="R40" s="105"/>
      <c r="S40" s="106" t="s">
        <v>215</v>
      </c>
      <c r="T40" s="107"/>
      <c r="U40" s="107"/>
      <c r="V40" s="108" t="s">
        <v>215</v>
      </c>
      <c r="W40" s="107"/>
      <c r="X40" s="107"/>
      <c r="Y40" s="107"/>
      <c r="Z40" s="109" t="s">
        <v>215</v>
      </c>
      <c r="AA40" s="110" t="s">
        <v>215</v>
      </c>
      <c r="AB40" s="111" t="s">
        <v>215</v>
      </c>
      <c r="AC40" s="110" t="s">
        <v>215</v>
      </c>
      <c r="AD40" s="118" t="s">
        <v>215</v>
      </c>
      <c r="AE40" s="112" t="s">
        <v>215</v>
      </c>
      <c r="AF40" s="113"/>
      <c r="AG40" s="114"/>
      <c r="AH40" s="115"/>
      <c r="AI40" s="116"/>
      <c r="AJ40" s="116"/>
      <c r="AK40" s="114"/>
      <c r="AL40" s="115"/>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hidden="1" customHeight="1" x14ac:dyDescent="0.3">
      <c r="A41" s="205"/>
      <c r="B41" s="244"/>
      <c r="C41" s="244"/>
      <c r="D41" s="244"/>
      <c r="E41" s="126"/>
      <c r="F41" s="261"/>
      <c r="G41" s="130"/>
      <c r="H41" s="244"/>
      <c r="I41" s="252"/>
      <c r="J41" s="239"/>
      <c r="K41" s="237"/>
      <c r="L41" s="257"/>
      <c r="M41" s="237">
        <f ca="1">IF(NOT(ISERROR(MATCH(L41,_xlfn.ANCHORARRAY(F52),0))),K54&amp;"Por favor no seleccionar los criterios de impacto",L41)</f>
        <v>0</v>
      </c>
      <c r="N41" s="239"/>
      <c r="O41" s="237"/>
      <c r="P41" s="241"/>
      <c r="Q41" s="104">
        <v>3</v>
      </c>
      <c r="R41" s="117"/>
      <c r="S41" s="106" t="s">
        <v>215</v>
      </c>
      <c r="T41" s="107"/>
      <c r="U41" s="107"/>
      <c r="V41" s="108" t="s">
        <v>215</v>
      </c>
      <c r="W41" s="107"/>
      <c r="X41" s="107"/>
      <c r="Y41" s="107"/>
      <c r="Z41" s="109" t="s">
        <v>215</v>
      </c>
      <c r="AA41" s="110" t="s">
        <v>215</v>
      </c>
      <c r="AB41" s="111" t="s">
        <v>215</v>
      </c>
      <c r="AC41" s="110" t="s">
        <v>215</v>
      </c>
      <c r="AD41" s="118" t="s">
        <v>215</v>
      </c>
      <c r="AE41" s="112" t="s">
        <v>215</v>
      </c>
      <c r="AF41" s="113"/>
      <c r="AG41" s="114"/>
      <c r="AH41" s="115"/>
      <c r="AI41" s="116"/>
      <c r="AJ41" s="116"/>
      <c r="AK41" s="114"/>
      <c r="AL41" s="115"/>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hidden="1" customHeight="1" x14ac:dyDescent="0.3">
      <c r="A42" s="205"/>
      <c r="B42" s="244"/>
      <c r="C42" s="244"/>
      <c r="D42" s="244"/>
      <c r="E42" s="126"/>
      <c r="F42" s="261"/>
      <c r="G42" s="130"/>
      <c r="H42" s="244"/>
      <c r="I42" s="252"/>
      <c r="J42" s="239"/>
      <c r="K42" s="237"/>
      <c r="L42" s="257"/>
      <c r="M42" s="237">
        <f ca="1">IF(NOT(ISERROR(MATCH(L42,_xlfn.ANCHORARRAY(F53),0))),K55&amp;"Por favor no seleccionar los criterios de impacto",L42)</f>
        <v>0</v>
      </c>
      <c r="N42" s="239"/>
      <c r="O42" s="237"/>
      <c r="P42" s="241"/>
      <c r="Q42" s="104">
        <v>4</v>
      </c>
      <c r="R42" s="105"/>
      <c r="S42" s="106" t="s">
        <v>215</v>
      </c>
      <c r="T42" s="107"/>
      <c r="U42" s="107"/>
      <c r="V42" s="108" t="s">
        <v>215</v>
      </c>
      <c r="W42" s="107"/>
      <c r="X42" s="107"/>
      <c r="Y42" s="107"/>
      <c r="Z42" s="109" t="s">
        <v>215</v>
      </c>
      <c r="AA42" s="110" t="s">
        <v>215</v>
      </c>
      <c r="AB42" s="111" t="s">
        <v>215</v>
      </c>
      <c r="AC42" s="110" t="s">
        <v>215</v>
      </c>
      <c r="AD42" s="118" t="s">
        <v>215</v>
      </c>
      <c r="AE42" s="112" t="s">
        <v>215</v>
      </c>
      <c r="AF42" s="113"/>
      <c r="AG42" s="114"/>
      <c r="AH42" s="115"/>
      <c r="AI42" s="116"/>
      <c r="AJ42" s="116"/>
      <c r="AK42" s="114"/>
      <c r="AL42" s="115"/>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hidden="1" customHeight="1" x14ac:dyDescent="0.3">
      <c r="A43" s="205"/>
      <c r="B43" s="244"/>
      <c r="C43" s="244"/>
      <c r="D43" s="244"/>
      <c r="E43" s="126"/>
      <c r="F43" s="261"/>
      <c r="G43" s="130"/>
      <c r="H43" s="244"/>
      <c r="I43" s="252"/>
      <c r="J43" s="239"/>
      <c r="K43" s="237"/>
      <c r="L43" s="257"/>
      <c r="M43" s="237">
        <f ca="1">IF(NOT(ISERROR(MATCH(L43,_xlfn.ANCHORARRAY(F54),0))),K56&amp;"Por favor no seleccionar los criterios de impacto",L43)</f>
        <v>0</v>
      </c>
      <c r="N43" s="239"/>
      <c r="O43" s="237"/>
      <c r="P43" s="241"/>
      <c r="Q43" s="104">
        <v>5</v>
      </c>
      <c r="R43" s="105"/>
      <c r="S43" s="106" t="s">
        <v>215</v>
      </c>
      <c r="T43" s="107"/>
      <c r="U43" s="107"/>
      <c r="V43" s="108" t="s">
        <v>215</v>
      </c>
      <c r="W43" s="107"/>
      <c r="X43" s="107"/>
      <c r="Y43" s="107"/>
      <c r="Z43" s="109" t="s">
        <v>215</v>
      </c>
      <c r="AA43" s="110" t="s">
        <v>215</v>
      </c>
      <c r="AB43" s="111" t="s">
        <v>215</v>
      </c>
      <c r="AC43" s="110" t="s">
        <v>215</v>
      </c>
      <c r="AD43" s="118" t="s">
        <v>215</v>
      </c>
      <c r="AE43" s="112" t="s">
        <v>215</v>
      </c>
      <c r="AF43" s="113"/>
      <c r="AG43" s="114"/>
      <c r="AH43" s="115"/>
      <c r="AI43" s="116"/>
      <c r="AJ43" s="116"/>
      <c r="AK43" s="114"/>
      <c r="AL43" s="115"/>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hidden="1" customHeight="1" x14ac:dyDescent="0.3">
      <c r="A44" s="242"/>
      <c r="B44" s="245"/>
      <c r="C44" s="245"/>
      <c r="D44" s="245"/>
      <c r="E44" s="127"/>
      <c r="F44" s="262"/>
      <c r="G44" s="131"/>
      <c r="H44" s="245"/>
      <c r="I44" s="253"/>
      <c r="J44" s="254"/>
      <c r="K44" s="255"/>
      <c r="L44" s="258"/>
      <c r="M44" s="255">
        <f ca="1">IF(NOT(ISERROR(MATCH(L44,_xlfn.ANCHORARRAY(F55),0))),K57&amp;"Por favor no seleccionar los criterios de impacto",L44)</f>
        <v>0</v>
      </c>
      <c r="N44" s="254"/>
      <c r="O44" s="255"/>
      <c r="P44" s="259"/>
      <c r="Q44" s="104">
        <v>6</v>
      </c>
      <c r="R44" s="105"/>
      <c r="S44" s="106" t="s">
        <v>215</v>
      </c>
      <c r="T44" s="107"/>
      <c r="U44" s="107"/>
      <c r="V44" s="108" t="s">
        <v>215</v>
      </c>
      <c r="W44" s="107"/>
      <c r="X44" s="107"/>
      <c r="Y44" s="107"/>
      <c r="Z44" s="109" t="s">
        <v>215</v>
      </c>
      <c r="AA44" s="110" t="s">
        <v>215</v>
      </c>
      <c r="AB44" s="111" t="s">
        <v>215</v>
      </c>
      <c r="AC44" s="110" t="s">
        <v>215</v>
      </c>
      <c r="AD44" s="118" t="s">
        <v>215</v>
      </c>
      <c r="AE44" s="112" t="s">
        <v>215</v>
      </c>
      <c r="AF44" s="113"/>
      <c r="AG44" s="114"/>
      <c r="AH44" s="115"/>
      <c r="AI44" s="116"/>
      <c r="AJ44" s="116"/>
      <c r="AK44" s="114"/>
      <c r="AL44" s="115"/>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hidden="1" customHeight="1" x14ac:dyDescent="0.3">
      <c r="A45" s="204">
        <v>8</v>
      </c>
      <c r="B45" s="243"/>
      <c r="C45" s="243"/>
      <c r="D45" s="243"/>
      <c r="E45" s="125"/>
      <c r="F45" s="260"/>
      <c r="G45" s="129"/>
      <c r="H45" s="243"/>
      <c r="I45" s="251"/>
      <c r="J45" s="238" t="str">
        <f t="shared" ref="J45" si="44">IF(I45&lt;=0,"",IF(I45&lt;=2,"Muy Baja",IF(I45&lt;=24,"Baja",IF(I45&lt;=500,"Media",IF(I45&lt;=5000,"Alta","Muy Alta")))))</f>
        <v/>
      </c>
      <c r="K45" s="236" t="str">
        <f t="shared" ref="K45" si="45">IF(J45="","",IF(J45="Muy Baja",0.2,IF(J45="Baja",0.4,IF(J45="Media",0.6,IF(J45="Alta",0.8,IF(J45="Muy Alta",1,))))))</f>
        <v/>
      </c>
      <c r="L45" s="256"/>
      <c r="M45" s="236">
        <f ca="1">IF(NOT(ISERROR(MATCH(L45,'Tabla Impacto'!$B$221:$B$223,0))),'Tabla Impacto'!$F$223&amp;"Por favor no seleccionar los criterios de impacto(Afectación Económica o presupuestal y Pérdida Reputacional)",L45)</f>
        <v>0</v>
      </c>
      <c r="N45" s="238" t="str">
        <f ca="1">IF(OR(M45='Tabla Impacto'!$C$11,M45='Tabla Impacto'!$D$11),"Leve",IF(OR(M45='Tabla Impacto'!$C$12,M45='Tabla Impacto'!$D$12),"Menor",IF(OR(M45='Tabla Impacto'!$C$13,M45='Tabla Impacto'!$D$13),"Moderado",IF(OR(M45='Tabla Impacto'!$C$14,M45='Tabla Impacto'!$D$14),"Mayor",IF(OR(M45='Tabla Impacto'!$C$15,M45='Tabla Impacto'!$D$15),"Catastrófico","")))))</f>
        <v/>
      </c>
      <c r="O45" s="236" t="str">
        <f t="shared" ref="O45" ca="1" si="46">IF(N45="","",IF(N45="Leve",0.2,IF(N45="Menor",0.4,IF(N45="Moderado",0.6,IF(N45="Mayor",0.8,IF(N45="Catastrófico",1,))))))</f>
        <v/>
      </c>
      <c r="P45" s="240" t="str">
        <f t="shared" ref="P45" ca="1" si="47">IF(OR(AND(J45="Muy Baja",N45="Leve"),AND(J45="Muy Baja",N45="Menor"),AND(J45="Baja",N45="Leve")),"Bajo",IF(OR(AND(J45="Muy baja",N45="Moderado"),AND(J45="Baja",N45="Menor"),AND(J45="Baja",N45="Moderado"),AND(J45="Media",N45="Leve"),AND(J45="Media",N45="Menor"),AND(J45="Media",N45="Moderado"),AND(J45="Alta",N45="Leve"),AND(J45="Alta",N45="Menor")),"Moderado",IF(OR(AND(J45="Muy Baja",N45="Mayor"),AND(J45="Baja",N45="Mayor"),AND(J45="Media",N45="Mayor"),AND(J45="Alta",N45="Moderado"),AND(J45="Alta",N45="Mayor"),AND(J45="Muy Alta",N45="Leve"),AND(J45="Muy Alta",N45="Menor"),AND(J45="Muy Alta",N45="Moderado"),AND(J45="Muy Alta",N45="Mayor")),"Alto",IF(OR(AND(J45="Muy Baja",N45="Catastrófico"),AND(J45="Baja",N45="Catastrófico"),AND(J45="Media",N45="Catastrófico"),AND(J45="Alta",N45="Catastrófico"),AND(J45="Muy Alta",N45="Catastrófico")),"Extremo",""))))</f>
        <v/>
      </c>
      <c r="Q45" s="104">
        <v>1</v>
      </c>
      <c r="R45" s="105"/>
      <c r="S45" s="106" t="str">
        <f>IF(OR(T45="Preventivo",T45="Detectivo"),"Probabilidad",IF(T45="Correctivo","Impacto",""))</f>
        <v/>
      </c>
      <c r="T45" s="107"/>
      <c r="U45" s="107"/>
      <c r="V45" s="108" t="str">
        <f>IF(AND(T45="Preventivo",U45="Automático"),"50%",IF(AND(T45="Preventivo",U45="Manual"),"40%",IF(AND(T45="Detectivo",U45="Automático"),"40%",IF(AND(T45="Detectivo",U45="Manual"),"30%",IF(AND(T45="Correctivo",U45="Automático"),"35%",IF(AND(T45="Correctivo",U45="Manual"),"25%",""))))))</f>
        <v/>
      </c>
      <c r="W45" s="107"/>
      <c r="X45" s="107"/>
      <c r="Y45" s="107"/>
      <c r="Z45" s="109" t="str">
        <f>IFERROR(IF(S45="Probabilidad",(K45-(+K45*V45)),IF(S45="Impacto",K45,"")),"")</f>
        <v/>
      </c>
      <c r="AA45" s="110" t="str">
        <f>IFERROR(IF(Z45="","",IF(Z45&lt;=0.2,"Muy Baja",IF(Z45&lt;=0.4,"Baja",IF(Z45&lt;=0.6,"Media",IF(Z45&lt;=0.8,"Alta","Muy Alta"))))),"")</f>
        <v/>
      </c>
      <c r="AB45" s="111" t="str">
        <f>+Z45</f>
        <v/>
      </c>
      <c r="AC45" s="110" t="str">
        <f>IFERROR(IF(AD45="","",IF(AD45&lt;=0.2,"Leve",IF(AD45&lt;=0.4,"Menor",IF(AD45&lt;=0.6,"Moderado",IF(AD45&lt;=0.8,"Mayor","Catastrófico"))))),"")</f>
        <v/>
      </c>
      <c r="AD45" s="118" t="str">
        <f>IFERROR(IF(S45="Impacto",(O45-(+O45*V45)),IF(S45="Probabilidad",O45,"")),"")</f>
        <v/>
      </c>
      <c r="AE45" s="112" t="str">
        <f>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13"/>
      <c r="AG45" s="114"/>
      <c r="AH45" s="115"/>
      <c r="AI45" s="116"/>
      <c r="AJ45" s="116"/>
      <c r="AK45" s="114"/>
      <c r="AL45" s="115"/>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hidden="1" customHeight="1" x14ac:dyDescent="0.3">
      <c r="A46" s="205"/>
      <c r="B46" s="244"/>
      <c r="C46" s="244"/>
      <c r="D46" s="244"/>
      <c r="E46" s="126"/>
      <c r="F46" s="261"/>
      <c r="G46" s="130"/>
      <c r="H46" s="244"/>
      <c r="I46" s="252"/>
      <c r="J46" s="239"/>
      <c r="K46" s="237"/>
      <c r="L46" s="257"/>
      <c r="M46" s="237">
        <f ca="1">IF(NOT(ISERROR(MATCH(L46,_xlfn.ANCHORARRAY(F57),0))),K59&amp;"Por favor no seleccionar los criterios de impacto",L46)</f>
        <v>0</v>
      </c>
      <c r="N46" s="239"/>
      <c r="O46" s="237"/>
      <c r="P46" s="241"/>
      <c r="Q46" s="104">
        <v>2</v>
      </c>
      <c r="R46" s="105"/>
      <c r="S46" s="106" t="str">
        <f>IF(OR(T46="Preventivo",T46="Detectivo"),"Probabilidad",IF(T46="Correctivo","Impacto",""))</f>
        <v/>
      </c>
      <c r="T46" s="107"/>
      <c r="U46" s="107"/>
      <c r="V46" s="108" t="str">
        <f t="shared" ref="V46:V50" si="48">IF(AND(T46="Preventivo",U46="Automático"),"50%",IF(AND(T46="Preventivo",U46="Manual"),"40%",IF(AND(T46="Detectivo",U46="Automático"),"40%",IF(AND(T46="Detectivo",U46="Manual"),"30%",IF(AND(T46="Correctivo",U46="Automático"),"35%",IF(AND(T46="Correctivo",U46="Manual"),"25%",""))))))</f>
        <v/>
      </c>
      <c r="W46" s="107"/>
      <c r="X46" s="107"/>
      <c r="Y46" s="107"/>
      <c r="Z46" s="109" t="str">
        <f>IFERROR(IF(AND(S45="Probabilidad",S46="Probabilidad"),(AB45-(+AB45*V46)),IF(S46="Probabilidad",(K45-(+K45*V46)),IF(S46="Impacto",AB45,""))),"")</f>
        <v/>
      </c>
      <c r="AA46" s="110" t="str">
        <f t="shared" ref="AA46:AA62" si="49">IFERROR(IF(Z46="","",IF(Z46&lt;=0.2,"Muy Baja",IF(Z46&lt;=0.4,"Baja",IF(Z46&lt;=0.6,"Media",IF(Z46&lt;=0.8,"Alta","Muy Alta"))))),"")</f>
        <v/>
      </c>
      <c r="AB46" s="111" t="str">
        <f t="shared" ref="AB46:AB50" si="50">+Z46</f>
        <v/>
      </c>
      <c r="AC46" s="110" t="str">
        <f t="shared" ref="AC46:AC62" si="51">IFERROR(IF(AD46="","",IF(AD46&lt;=0.2,"Leve",IF(AD46&lt;=0.4,"Menor",IF(AD46&lt;=0.6,"Moderado",IF(AD46&lt;=0.8,"Mayor","Catastrófico"))))),"")</f>
        <v/>
      </c>
      <c r="AD46" s="118" t="str">
        <f>IFERROR(IF(AND(S45="Impacto",S46="Impacto"),(AD45-(+AD45*V46)),IF(S46="Impacto",(O45-(+O45*V46)),IF(S46="Probabilidad",AD45,""))),"")</f>
        <v/>
      </c>
      <c r="AE46" s="112" t="str">
        <f t="shared" ref="AE46:AE47" si="52">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13"/>
      <c r="AG46" s="114"/>
      <c r="AH46" s="115"/>
      <c r="AI46" s="116"/>
      <c r="AJ46" s="116"/>
      <c r="AK46" s="114"/>
      <c r="AL46" s="115"/>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hidden="1" customHeight="1" x14ac:dyDescent="0.3">
      <c r="A47" s="205"/>
      <c r="B47" s="244"/>
      <c r="C47" s="244"/>
      <c r="D47" s="244"/>
      <c r="E47" s="126"/>
      <c r="F47" s="261"/>
      <c r="G47" s="130"/>
      <c r="H47" s="244"/>
      <c r="I47" s="252"/>
      <c r="J47" s="239"/>
      <c r="K47" s="237"/>
      <c r="L47" s="257"/>
      <c r="M47" s="237">
        <f ca="1">IF(NOT(ISERROR(MATCH(L47,_xlfn.ANCHORARRAY(F58),0))),K60&amp;"Por favor no seleccionar los criterios de impacto",L47)</f>
        <v>0</v>
      </c>
      <c r="N47" s="239"/>
      <c r="O47" s="237"/>
      <c r="P47" s="241"/>
      <c r="Q47" s="104">
        <v>3</v>
      </c>
      <c r="R47" s="117"/>
      <c r="S47" s="106" t="str">
        <f>IF(OR(T47="Preventivo",T47="Detectivo"),"Probabilidad",IF(T47="Correctivo","Impacto",""))</f>
        <v/>
      </c>
      <c r="T47" s="107"/>
      <c r="U47" s="107"/>
      <c r="V47" s="108" t="str">
        <f t="shared" si="48"/>
        <v/>
      </c>
      <c r="W47" s="107"/>
      <c r="X47" s="107"/>
      <c r="Y47" s="107"/>
      <c r="Z47" s="109" t="str">
        <f>IFERROR(IF(AND(S46="Probabilidad",S47="Probabilidad"),(AB46-(+AB46*V47)),IF(AND(S46="Impacto",S47="Probabilidad"),(AB45-(+AB45*V47)),IF(S47="Impacto",AB46,""))),"")</f>
        <v/>
      </c>
      <c r="AA47" s="110" t="str">
        <f t="shared" si="49"/>
        <v/>
      </c>
      <c r="AB47" s="111" t="str">
        <f t="shared" si="50"/>
        <v/>
      </c>
      <c r="AC47" s="110" t="str">
        <f t="shared" si="51"/>
        <v/>
      </c>
      <c r="AD47" s="118" t="str">
        <f>IFERROR(IF(AND(S46="Impacto",S47="Impacto"),(AD46-(+AD46*V47)),IF(AND(S46="Probabilidad",S47="Impacto"),(AD45-(+AD45*V47)),IF(S47="Probabilidad",AD46,""))),"")</f>
        <v/>
      </c>
      <c r="AE47" s="112" t="str">
        <f t="shared" si="52"/>
        <v/>
      </c>
      <c r="AF47" s="113"/>
      <c r="AG47" s="114"/>
      <c r="AH47" s="115"/>
      <c r="AI47" s="116"/>
      <c r="AJ47" s="116"/>
      <c r="AK47" s="114"/>
      <c r="AL47" s="115"/>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hidden="1" customHeight="1" x14ac:dyDescent="0.3">
      <c r="A48" s="205"/>
      <c r="B48" s="244"/>
      <c r="C48" s="244"/>
      <c r="D48" s="244"/>
      <c r="E48" s="126"/>
      <c r="F48" s="261"/>
      <c r="G48" s="130"/>
      <c r="H48" s="244"/>
      <c r="I48" s="252"/>
      <c r="J48" s="239"/>
      <c r="K48" s="237"/>
      <c r="L48" s="257"/>
      <c r="M48" s="237">
        <f ca="1">IF(NOT(ISERROR(MATCH(L48,_xlfn.ANCHORARRAY(F59),0))),K61&amp;"Por favor no seleccionar los criterios de impacto",L48)</f>
        <v>0</v>
      </c>
      <c r="N48" s="239"/>
      <c r="O48" s="237"/>
      <c r="P48" s="241"/>
      <c r="Q48" s="104">
        <v>4</v>
      </c>
      <c r="R48" s="105"/>
      <c r="S48" s="106" t="str">
        <f t="shared" ref="S48:S50" si="53">IF(OR(T48="Preventivo",T48="Detectivo"),"Probabilidad",IF(T48="Correctivo","Impacto",""))</f>
        <v/>
      </c>
      <c r="T48" s="107"/>
      <c r="U48" s="107"/>
      <c r="V48" s="108" t="str">
        <f t="shared" si="48"/>
        <v/>
      </c>
      <c r="W48" s="107"/>
      <c r="X48" s="107"/>
      <c r="Y48" s="107"/>
      <c r="Z48" s="109" t="str">
        <f t="shared" ref="Z48:Z50" si="54">IFERROR(IF(AND(S47="Probabilidad",S48="Probabilidad"),(AB47-(+AB47*V48)),IF(AND(S47="Impacto",S48="Probabilidad"),(AB46-(+AB46*V48)),IF(S48="Impacto",AB47,""))),"")</f>
        <v/>
      </c>
      <c r="AA48" s="110" t="str">
        <f t="shared" si="49"/>
        <v/>
      </c>
      <c r="AB48" s="111" t="str">
        <f t="shared" si="50"/>
        <v/>
      </c>
      <c r="AC48" s="110" t="str">
        <f t="shared" si="51"/>
        <v/>
      </c>
      <c r="AD48" s="118" t="str">
        <f t="shared" ref="AD48:AD50" si="55">IFERROR(IF(AND(S47="Impacto",S48="Impacto"),(AD47-(+AD47*V48)),IF(AND(S47="Probabilidad",S48="Impacto"),(AD46-(+AD46*V48)),IF(S48="Probabilidad",AD47,""))),"")</f>
        <v/>
      </c>
      <c r="AE48" s="112" t="str">
        <f>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13"/>
      <c r="AG48" s="114"/>
      <c r="AH48" s="115"/>
      <c r="AI48" s="116"/>
      <c r="AJ48" s="116"/>
      <c r="AK48" s="114"/>
      <c r="AL48" s="115"/>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hidden="1" customHeight="1" x14ac:dyDescent="0.3">
      <c r="A49" s="205"/>
      <c r="B49" s="244"/>
      <c r="C49" s="244"/>
      <c r="D49" s="244"/>
      <c r="E49" s="126"/>
      <c r="F49" s="261"/>
      <c r="G49" s="130"/>
      <c r="H49" s="244"/>
      <c r="I49" s="252"/>
      <c r="J49" s="239"/>
      <c r="K49" s="237"/>
      <c r="L49" s="257"/>
      <c r="M49" s="237">
        <f ca="1">IF(NOT(ISERROR(MATCH(L49,_xlfn.ANCHORARRAY(F60),0))),K62&amp;"Por favor no seleccionar los criterios de impacto",L49)</f>
        <v>0</v>
      </c>
      <c r="N49" s="239"/>
      <c r="O49" s="237"/>
      <c r="P49" s="241"/>
      <c r="Q49" s="104">
        <v>5</v>
      </c>
      <c r="R49" s="105"/>
      <c r="S49" s="106" t="str">
        <f t="shared" si="53"/>
        <v/>
      </c>
      <c r="T49" s="107"/>
      <c r="U49" s="107"/>
      <c r="V49" s="108" t="str">
        <f t="shared" si="48"/>
        <v/>
      </c>
      <c r="W49" s="107"/>
      <c r="X49" s="107"/>
      <c r="Y49" s="107"/>
      <c r="Z49" s="109" t="str">
        <f t="shared" si="54"/>
        <v/>
      </c>
      <c r="AA49" s="110" t="str">
        <f t="shared" si="49"/>
        <v/>
      </c>
      <c r="AB49" s="111" t="str">
        <f t="shared" si="50"/>
        <v/>
      </c>
      <c r="AC49" s="110" t="str">
        <f t="shared" si="51"/>
        <v/>
      </c>
      <c r="AD49" s="118" t="str">
        <f t="shared" si="55"/>
        <v/>
      </c>
      <c r="AE49" s="112" t="str">
        <f t="shared" ref="AE49:AE50" si="56">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13"/>
      <c r="AG49" s="114"/>
      <c r="AH49" s="115"/>
      <c r="AI49" s="116"/>
      <c r="AJ49" s="116"/>
      <c r="AK49" s="114"/>
      <c r="AL49" s="115"/>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hidden="1" customHeight="1" x14ac:dyDescent="0.3">
      <c r="A50" s="242"/>
      <c r="B50" s="245"/>
      <c r="C50" s="245"/>
      <c r="D50" s="245"/>
      <c r="E50" s="127"/>
      <c r="F50" s="262"/>
      <c r="G50" s="131"/>
      <c r="H50" s="245"/>
      <c r="I50" s="253"/>
      <c r="J50" s="254"/>
      <c r="K50" s="255"/>
      <c r="L50" s="258"/>
      <c r="M50" s="255">
        <f ca="1">IF(NOT(ISERROR(MATCH(L50,_xlfn.ANCHORARRAY(F61),0))),K63&amp;"Por favor no seleccionar los criterios de impacto",L50)</f>
        <v>0</v>
      </c>
      <c r="N50" s="254"/>
      <c r="O50" s="255"/>
      <c r="P50" s="259"/>
      <c r="Q50" s="104">
        <v>6</v>
      </c>
      <c r="R50" s="105"/>
      <c r="S50" s="106" t="str">
        <f t="shared" si="53"/>
        <v/>
      </c>
      <c r="T50" s="107"/>
      <c r="U50" s="107"/>
      <c r="V50" s="108" t="str">
        <f t="shared" si="48"/>
        <v/>
      </c>
      <c r="W50" s="107"/>
      <c r="X50" s="107"/>
      <c r="Y50" s="107"/>
      <c r="Z50" s="109" t="str">
        <f t="shared" si="54"/>
        <v/>
      </c>
      <c r="AA50" s="110" t="str">
        <f t="shared" si="49"/>
        <v/>
      </c>
      <c r="AB50" s="111" t="str">
        <f t="shared" si="50"/>
        <v/>
      </c>
      <c r="AC50" s="110" t="str">
        <f t="shared" si="51"/>
        <v/>
      </c>
      <c r="AD50" s="118" t="str">
        <f t="shared" si="55"/>
        <v/>
      </c>
      <c r="AE50" s="112" t="str">
        <f t="shared" si="56"/>
        <v/>
      </c>
      <c r="AF50" s="113"/>
      <c r="AG50" s="114"/>
      <c r="AH50" s="115"/>
      <c r="AI50" s="116"/>
      <c r="AJ50" s="116"/>
      <c r="AK50" s="114"/>
      <c r="AL50" s="115"/>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hidden="1" customHeight="1" x14ac:dyDescent="0.3">
      <c r="A51" s="204">
        <v>9</v>
      </c>
      <c r="B51" s="243"/>
      <c r="C51" s="243"/>
      <c r="D51" s="243"/>
      <c r="E51" s="125"/>
      <c r="F51" s="260"/>
      <c r="G51" s="129"/>
      <c r="H51" s="243"/>
      <c r="I51" s="251"/>
      <c r="J51" s="238" t="str">
        <f t="shared" ref="J51" si="57">IF(I51&lt;=0,"",IF(I51&lt;=2,"Muy Baja",IF(I51&lt;=24,"Baja",IF(I51&lt;=500,"Media",IF(I51&lt;=5000,"Alta","Muy Alta")))))</f>
        <v/>
      </c>
      <c r="K51" s="236" t="str">
        <f t="shared" ref="K51" si="58">IF(J51="","",IF(J51="Muy Baja",0.2,IF(J51="Baja",0.4,IF(J51="Media",0.6,IF(J51="Alta",0.8,IF(J51="Muy Alta",1,))))))</f>
        <v/>
      </c>
      <c r="L51" s="256"/>
      <c r="M51" s="236">
        <f ca="1">IF(NOT(ISERROR(MATCH(L51,'Tabla Impacto'!$B$221:$B$223,0))),'Tabla Impacto'!$F$223&amp;"Por favor no seleccionar los criterios de impacto(Afectación Económica o presupuestal y Pérdida Reputacional)",L51)</f>
        <v>0</v>
      </c>
      <c r="N51" s="238" t="str">
        <f ca="1">IF(OR(M51='Tabla Impacto'!$C$11,M51='Tabla Impacto'!$D$11),"Leve",IF(OR(M51='Tabla Impacto'!$C$12,M51='Tabla Impacto'!$D$12),"Menor",IF(OR(M51='Tabla Impacto'!$C$13,M51='Tabla Impacto'!$D$13),"Moderado",IF(OR(M51='Tabla Impacto'!$C$14,M51='Tabla Impacto'!$D$14),"Mayor",IF(OR(M51='Tabla Impacto'!$C$15,M51='Tabla Impacto'!$D$15),"Catastrófico","")))))</f>
        <v/>
      </c>
      <c r="O51" s="236" t="str">
        <f t="shared" ref="O51" ca="1" si="59">IF(N51="","",IF(N51="Leve",0.2,IF(N51="Menor",0.4,IF(N51="Moderado",0.6,IF(N51="Mayor",0.8,IF(N51="Catastrófico",1,))))))</f>
        <v/>
      </c>
      <c r="P51" s="240" t="str">
        <f t="shared" ref="P51" ca="1" si="60">IF(OR(AND(J51="Muy Baja",N51="Leve"),AND(J51="Muy Baja",N51="Menor"),AND(J51="Baja",N51="Leve")),"Bajo",IF(OR(AND(J51="Muy baja",N51="Moderado"),AND(J51="Baja",N51="Menor"),AND(J51="Baja",N51="Moderado"),AND(J51="Media",N51="Leve"),AND(J51="Media",N51="Menor"),AND(J51="Media",N51="Moderado"),AND(J51="Alta",N51="Leve"),AND(J51="Alta",N51="Menor")),"Moderado",IF(OR(AND(J51="Muy Baja",N51="Mayor"),AND(J51="Baja",N51="Mayor"),AND(J51="Media",N51="Mayor"),AND(J51="Alta",N51="Moderado"),AND(J51="Alta",N51="Mayor"),AND(J51="Muy Alta",N51="Leve"),AND(J51="Muy Alta",N51="Menor"),AND(J51="Muy Alta",N51="Moderado"),AND(J51="Muy Alta",N51="Mayor")),"Alto",IF(OR(AND(J51="Muy Baja",N51="Catastrófico"),AND(J51="Baja",N51="Catastrófico"),AND(J51="Media",N51="Catastrófico"),AND(J51="Alta",N51="Catastrófico"),AND(J51="Muy Alta",N51="Catastrófico")),"Extremo",""))))</f>
        <v/>
      </c>
      <c r="Q51" s="104">
        <v>1</v>
      </c>
      <c r="R51" s="105"/>
      <c r="S51" s="106" t="str">
        <f>IF(OR(T51="Preventivo",T51="Detectivo"),"Probabilidad",IF(T51="Correctivo","Impacto",""))</f>
        <v/>
      </c>
      <c r="T51" s="107"/>
      <c r="U51" s="107"/>
      <c r="V51" s="108" t="str">
        <f>IF(AND(T51="Preventivo",U51="Automático"),"50%",IF(AND(T51="Preventivo",U51="Manual"),"40%",IF(AND(T51="Detectivo",U51="Automático"),"40%",IF(AND(T51="Detectivo",U51="Manual"),"30%",IF(AND(T51="Correctivo",U51="Automático"),"35%",IF(AND(T51="Correctivo",U51="Manual"),"25%",""))))))</f>
        <v/>
      </c>
      <c r="W51" s="107"/>
      <c r="X51" s="107"/>
      <c r="Y51" s="107"/>
      <c r="Z51" s="109" t="str">
        <f>IFERROR(IF(S51="Probabilidad",(K51-(+K51*V51)),IF(S51="Impacto",K51,"")),"")</f>
        <v/>
      </c>
      <c r="AA51" s="110" t="str">
        <f>IFERROR(IF(Z51="","",IF(Z51&lt;=0.2,"Muy Baja",IF(Z51&lt;=0.4,"Baja",IF(Z51&lt;=0.6,"Media",IF(Z51&lt;=0.8,"Alta","Muy Alta"))))),"")</f>
        <v/>
      </c>
      <c r="AB51" s="111" t="str">
        <f>+Z51</f>
        <v/>
      </c>
      <c r="AC51" s="110" t="str">
        <f>IFERROR(IF(AD51="","",IF(AD51&lt;=0.2,"Leve",IF(AD51&lt;=0.4,"Menor",IF(AD51&lt;=0.6,"Moderado",IF(AD51&lt;=0.8,"Mayor","Catastrófico"))))),"")</f>
        <v/>
      </c>
      <c r="AD51" s="118" t="str">
        <f>IFERROR(IF(S51="Impacto",(O51-(+O51*V51)),IF(S51="Probabilidad",O51,"")),"")</f>
        <v/>
      </c>
      <c r="AE51" s="112" t="str">
        <f>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13"/>
      <c r="AG51" s="114"/>
      <c r="AH51" s="115"/>
      <c r="AI51" s="116"/>
      <c r="AJ51" s="116"/>
      <c r="AK51" s="114"/>
      <c r="AL51" s="115"/>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hidden="1" customHeight="1" x14ac:dyDescent="0.3">
      <c r="A52" s="205"/>
      <c r="B52" s="244"/>
      <c r="C52" s="244"/>
      <c r="D52" s="244"/>
      <c r="E52" s="126"/>
      <c r="F52" s="261"/>
      <c r="G52" s="130"/>
      <c r="H52" s="244"/>
      <c r="I52" s="252"/>
      <c r="J52" s="239"/>
      <c r="K52" s="237"/>
      <c r="L52" s="257"/>
      <c r="M52" s="237">
        <f ca="1">IF(NOT(ISERROR(MATCH(L52,_xlfn.ANCHORARRAY(F63),0))),K65&amp;"Por favor no seleccionar los criterios de impacto",L52)</f>
        <v>0</v>
      </c>
      <c r="N52" s="239"/>
      <c r="O52" s="237"/>
      <c r="P52" s="241"/>
      <c r="Q52" s="104">
        <v>2</v>
      </c>
      <c r="R52" s="105"/>
      <c r="S52" s="106" t="str">
        <f>IF(OR(T52="Preventivo",T52="Detectivo"),"Probabilidad",IF(T52="Correctivo","Impacto",""))</f>
        <v/>
      </c>
      <c r="T52" s="107"/>
      <c r="U52" s="107"/>
      <c r="V52" s="108" t="str">
        <f t="shared" ref="V52:V56" si="61">IF(AND(T52="Preventivo",U52="Automático"),"50%",IF(AND(T52="Preventivo",U52="Manual"),"40%",IF(AND(T52="Detectivo",U52="Automático"),"40%",IF(AND(T52="Detectivo",U52="Manual"),"30%",IF(AND(T52="Correctivo",U52="Automático"),"35%",IF(AND(T52="Correctivo",U52="Manual"),"25%",""))))))</f>
        <v/>
      </c>
      <c r="W52" s="107"/>
      <c r="X52" s="107"/>
      <c r="Y52" s="107"/>
      <c r="Z52" s="109" t="str">
        <f>IFERROR(IF(AND(S51="Probabilidad",S52="Probabilidad"),(AB51-(+AB51*V52)),IF(S52="Probabilidad",(K51-(+K51*V52)),IF(S52="Impacto",AB51,""))),"")</f>
        <v/>
      </c>
      <c r="AA52" s="110" t="str">
        <f t="shared" si="49"/>
        <v/>
      </c>
      <c r="AB52" s="111" t="str">
        <f t="shared" ref="AB52:AB56" si="62">+Z52</f>
        <v/>
      </c>
      <c r="AC52" s="110" t="str">
        <f t="shared" si="51"/>
        <v/>
      </c>
      <c r="AD52" s="118" t="str">
        <f>IFERROR(IF(AND(S51="Impacto",S52="Impacto"),(AD51-(+AD51*V52)),IF(S52="Impacto",(O51-(+O51*V52)),IF(S52="Probabilidad",AD51,""))),"")</f>
        <v/>
      </c>
      <c r="AE52" s="112" t="str">
        <f t="shared" ref="AE52:AE53" si="63">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13"/>
      <c r="AG52" s="114"/>
      <c r="AH52" s="115"/>
      <c r="AI52" s="116"/>
      <c r="AJ52" s="116"/>
      <c r="AK52" s="114"/>
      <c r="AL52" s="115"/>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hidden="1" customHeight="1" x14ac:dyDescent="0.3">
      <c r="A53" s="205"/>
      <c r="B53" s="244"/>
      <c r="C53" s="244"/>
      <c r="D53" s="244"/>
      <c r="E53" s="126"/>
      <c r="F53" s="261"/>
      <c r="G53" s="130"/>
      <c r="H53" s="244"/>
      <c r="I53" s="252"/>
      <c r="J53" s="239"/>
      <c r="K53" s="237"/>
      <c r="L53" s="257"/>
      <c r="M53" s="237">
        <f ca="1">IF(NOT(ISERROR(MATCH(L53,_xlfn.ANCHORARRAY(F64),0))),K66&amp;"Por favor no seleccionar los criterios de impacto",L53)</f>
        <v>0</v>
      </c>
      <c r="N53" s="239"/>
      <c r="O53" s="237"/>
      <c r="P53" s="241"/>
      <c r="Q53" s="104">
        <v>3</v>
      </c>
      <c r="R53" s="117"/>
      <c r="S53" s="106" t="str">
        <f>IF(OR(T53="Preventivo",T53="Detectivo"),"Probabilidad",IF(T53="Correctivo","Impacto",""))</f>
        <v/>
      </c>
      <c r="T53" s="107"/>
      <c r="U53" s="107"/>
      <c r="V53" s="108" t="str">
        <f t="shared" si="61"/>
        <v/>
      </c>
      <c r="W53" s="107"/>
      <c r="X53" s="107"/>
      <c r="Y53" s="107"/>
      <c r="Z53" s="109" t="str">
        <f>IFERROR(IF(AND(S52="Probabilidad",S53="Probabilidad"),(AB52-(+AB52*V53)),IF(AND(S52="Impacto",S53="Probabilidad"),(AB51-(+AB51*V53)),IF(S53="Impacto",AB52,""))),"")</f>
        <v/>
      </c>
      <c r="AA53" s="110" t="str">
        <f t="shared" si="49"/>
        <v/>
      </c>
      <c r="AB53" s="111" t="str">
        <f t="shared" si="62"/>
        <v/>
      </c>
      <c r="AC53" s="110" t="str">
        <f t="shared" si="51"/>
        <v/>
      </c>
      <c r="AD53" s="118" t="str">
        <f>IFERROR(IF(AND(S52="Impacto",S53="Impacto"),(AD52-(+AD52*V53)),IF(AND(S52="Probabilidad",S53="Impacto"),(AD51-(+AD51*V53)),IF(S53="Probabilidad",AD52,""))),"")</f>
        <v/>
      </c>
      <c r="AE53" s="112" t="str">
        <f t="shared" si="63"/>
        <v/>
      </c>
      <c r="AF53" s="113"/>
      <c r="AG53" s="114"/>
      <c r="AH53" s="115"/>
      <c r="AI53" s="116"/>
      <c r="AJ53" s="116"/>
      <c r="AK53" s="114"/>
      <c r="AL53" s="115"/>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hidden="1" customHeight="1" x14ac:dyDescent="0.3">
      <c r="A54" s="205"/>
      <c r="B54" s="244"/>
      <c r="C54" s="244"/>
      <c r="D54" s="244"/>
      <c r="E54" s="126"/>
      <c r="F54" s="261"/>
      <c r="G54" s="130"/>
      <c r="H54" s="244"/>
      <c r="I54" s="252"/>
      <c r="J54" s="239"/>
      <c r="K54" s="237"/>
      <c r="L54" s="257"/>
      <c r="M54" s="237">
        <f ca="1">IF(NOT(ISERROR(MATCH(L54,_xlfn.ANCHORARRAY(F65),0))),K67&amp;"Por favor no seleccionar los criterios de impacto",L54)</f>
        <v>0</v>
      </c>
      <c r="N54" s="239"/>
      <c r="O54" s="237"/>
      <c r="P54" s="241"/>
      <c r="Q54" s="104">
        <v>4</v>
      </c>
      <c r="R54" s="105"/>
      <c r="S54" s="106" t="str">
        <f t="shared" ref="S54:S56" si="64">IF(OR(T54="Preventivo",T54="Detectivo"),"Probabilidad",IF(T54="Correctivo","Impacto",""))</f>
        <v/>
      </c>
      <c r="T54" s="107"/>
      <c r="U54" s="107"/>
      <c r="V54" s="108" t="str">
        <f t="shared" si="61"/>
        <v/>
      </c>
      <c r="W54" s="107"/>
      <c r="X54" s="107"/>
      <c r="Y54" s="107"/>
      <c r="Z54" s="109" t="str">
        <f t="shared" ref="Z54:Z56" si="65">IFERROR(IF(AND(S53="Probabilidad",S54="Probabilidad"),(AB53-(+AB53*V54)),IF(AND(S53="Impacto",S54="Probabilidad"),(AB52-(+AB52*V54)),IF(S54="Impacto",AB53,""))),"")</f>
        <v/>
      </c>
      <c r="AA54" s="110" t="str">
        <f t="shared" si="49"/>
        <v/>
      </c>
      <c r="AB54" s="111" t="str">
        <f t="shared" si="62"/>
        <v/>
      </c>
      <c r="AC54" s="110" t="str">
        <f t="shared" si="51"/>
        <v/>
      </c>
      <c r="AD54" s="118" t="str">
        <f t="shared" ref="AD54:AD56" si="66">IFERROR(IF(AND(S53="Impacto",S54="Impacto"),(AD53-(+AD53*V54)),IF(AND(S53="Probabilidad",S54="Impacto"),(AD52-(+AD52*V54)),IF(S54="Probabilidad",AD53,""))),"")</f>
        <v/>
      </c>
      <c r="AE54" s="112" t="str">
        <f>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13"/>
      <c r="AG54" s="114"/>
      <c r="AH54" s="115"/>
      <c r="AI54" s="116"/>
      <c r="AJ54" s="116"/>
      <c r="AK54" s="114"/>
      <c r="AL54" s="115"/>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hidden="1" customHeight="1" x14ac:dyDescent="0.3">
      <c r="A55" s="205"/>
      <c r="B55" s="244"/>
      <c r="C55" s="244"/>
      <c r="D55" s="244"/>
      <c r="E55" s="126"/>
      <c r="F55" s="261"/>
      <c r="G55" s="130"/>
      <c r="H55" s="244"/>
      <c r="I55" s="252"/>
      <c r="J55" s="239"/>
      <c r="K55" s="237"/>
      <c r="L55" s="257"/>
      <c r="M55" s="237">
        <f ca="1">IF(NOT(ISERROR(MATCH(L55,_xlfn.ANCHORARRAY(F66),0))),K68&amp;"Por favor no seleccionar los criterios de impacto",L55)</f>
        <v>0</v>
      </c>
      <c r="N55" s="239"/>
      <c r="O55" s="237"/>
      <c r="P55" s="241"/>
      <c r="Q55" s="104">
        <v>5</v>
      </c>
      <c r="R55" s="105"/>
      <c r="S55" s="106" t="str">
        <f t="shared" si="64"/>
        <v/>
      </c>
      <c r="T55" s="107"/>
      <c r="U55" s="107"/>
      <c r="V55" s="108" t="str">
        <f t="shared" si="61"/>
        <v/>
      </c>
      <c r="W55" s="107"/>
      <c r="X55" s="107"/>
      <c r="Y55" s="107"/>
      <c r="Z55" s="109" t="str">
        <f t="shared" si="65"/>
        <v/>
      </c>
      <c r="AA55" s="110" t="str">
        <f t="shared" si="49"/>
        <v/>
      </c>
      <c r="AB55" s="111" t="str">
        <f t="shared" si="62"/>
        <v/>
      </c>
      <c r="AC55" s="110" t="str">
        <f t="shared" si="51"/>
        <v/>
      </c>
      <c r="AD55" s="118" t="str">
        <f t="shared" si="66"/>
        <v/>
      </c>
      <c r="AE55" s="112" t="str">
        <f t="shared" ref="AE55:AE56" si="67">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13"/>
      <c r="AG55" s="114"/>
      <c r="AH55" s="115"/>
      <c r="AI55" s="116"/>
      <c r="AJ55" s="116"/>
      <c r="AK55" s="114"/>
      <c r="AL55" s="115"/>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hidden="1" customHeight="1" x14ac:dyDescent="0.3">
      <c r="A56" s="242"/>
      <c r="B56" s="245"/>
      <c r="C56" s="245"/>
      <c r="D56" s="245"/>
      <c r="E56" s="127"/>
      <c r="F56" s="262"/>
      <c r="G56" s="131"/>
      <c r="H56" s="245"/>
      <c r="I56" s="253"/>
      <c r="J56" s="254"/>
      <c r="K56" s="255"/>
      <c r="L56" s="258"/>
      <c r="M56" s="255">
        <f ca="1">IF(NOT(ISERROR(MATCH(L56,_xlfn.ANCHORARRAY(F67),0))),K69&amp;"Por favor no seleccionar los criterios de impacto",L56)</f>
        <v>0</v>
      </c>
      <c r="N56" s="254"/>
      <c r="O56" s="255"/>
      <c r="P56" s="259"/>
      <c r="Q56" s="104">
        <v>6</v>
      </c>
      <c r="R56" s="105"/>
      <c r="S56" s="106" t="str">
        <f t="shared" si="64"/>
        <v/>
      </c>
      <c r="T56" s="107"/>
      <c r="U56" s="107"/>
      <c r="V56" s="108" t="str">
        <f t="shared" si="61"/>
        <v/>
      </c>
      <c r="W56" s="107"/>
      <c r="X56" s="107"/>
      <c r="Y56" s="107"/>
      <c r="Z56" s="109" t="str">
        <f t="shared" si="65"/>
        <v/>
      </c>
      <c r="AA56" s="110" t="str">
        <f t="shared" si="49"/>
        <v/>
      </c>
      <c r="AB56" s="111" t="str">
        <f t="shared" si="62"/>
        <v/>
      </c>
      <c r="AC56" s="110" t="str">
        <f t="shared" si="51"/>
        <v/>
      </c>
      <c r="AD56" s="118" t="str">
        <f t="shared" si="66"/>
        <v/>
      </c>
      <c r="AE56" s="112" t="str">
        <f t="shared" si="67"/>
        <v/>
      </c>
      <c r="AF56" s="113"/>
      <c r="AG56" s="114"/>
      <c r="AH56" s="115"/>
      <c r="AI56" s="116"/>
      <c r="AJ56" s="116"/>
      <c r="AK56" s="114"/>
      <c r="AL56" s="115"/>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19.5" hidden="1" customHeight="1" x14ac:dyDescent="0.3">
      <c r="A57" s="204">
        <v>10</v>
      </c>
      <c r="B57" s="243"/>
      <c r="C57" s="243"/>
      <c r="D57" s="243"/>
      <c r="E57" s="125"/>
      <c r="F57" s="260"/>
      <c r="G57" s="129"/>
      <c r="H57" s="243"/>
      <c r="I57" s="251"/>
      <c r="J57" s="238" t="str">
        <f t="shared" ref="J57" si="68">IF(I57&lt;=0,"",IF(I57&lt;=2,"Muy Baja",IF(I57&lt;=24,"Baja",IF(I57&lt;=500,"Media",IF(I57&lt;=5000,"Alta","Muy Alta")))))</f>
        <v/>
      </c>
      <c r="K57" s="236" t="str">
        <f t="shared" ref="K57" si="69">IF(J57="","",IF(J57="Muy Baja",0.2,IF(J57="Baja",0.4,IF(J57="Media",0.6,IF(J57="Alta",0.8,IF(J57="Muy Alta",1,))))))</f>
        <v/>
      </c>
      <c r="L57" s="256"/>
      <c r="M57" s="236">
        <f ca="1">IF(NOT(ISERROR(MATCH(L57,'Tabla Impacto'!$B$221:$B$223,0))),'Tabla Impacto'!$F$223&amp;"Por favor no seleccionar los criterios de impacto(Afectación Económica o presupuestal y Pérdida Reputacional)",L57)</f>
        <v>0</v>
      </c>
      <c r="N57" s="238" t="str">
        <f ca="1">IF(OR(M57='Tabla Impacto'!$C$11,M57='Tabla Impacto'!$D$11),"Leve",IF(OR(M57='Tabla Impacto'!$C$12,M57='Tabla Impacto'!$D$12),"Menor",IF(OR(M57='Tabla Impacto'!$C$13,M57='Tabla Impacto'!$D$13),"Moderado",IF(OR(M57='Tabla Impacto'!$C$14,M57='Tabla Impacto'!$D$14),"Mayor",IF(OR(M57='Tabla Impacto'!$C$15,M57='Tabla Impacto'!$D$15),"Catastrófico","")))))</f>
        <v/>
      </c>
      <c r="O57" s="236" t="str">
        <f t="shared" ref="O57" ca="1" si="70">IF(N57="","",IF(N57="Leve",0.2,IF(N57="Menor",0.4,IF(N57="Moderado",0.6,IF(N57="Mayor",0.8,IF(N57="Catastrófico",1,))))))</f>
        <v/>
      </c>
      <c r="P57" s="240" t="str">
        <f t="shared" ref="P57" ca="1" si="71">IF(OR(AND(J57="Muy Baja",N57="Leve"),AND(J57="Muy Baja",N57="Menor"),AND(J57="Baja",N57="Leve")),"Bajo",IF(OR(AND(J57="Muy baja",N57="Moderado"),AND(J57="Baja",N57="Menor"),AND(J57="Baja",N57="Moderado"),AND(J57="Media",N57="Leve"),AND(J57="Media",N57="Menor"),AND(J57="Media",N57="Moderado"),AND(J57="Alta",N57="Leve"),AND(J57="Alta",N57="Menor")),"Moderado",IF(OR(AND(J57="Muy Baja",N57="Mayor"),AND(J57="Baja",N57="Mayor"),AND(J57="Media",N57="Mayor"),AND(J57="Alta",N57="Moderado"),AND(J57="Alta",N57="Mayor"),AND(J57="Muy Alta",N57="Leve"),AND(J57="Muy Alta",N57="Menor"),AND(J57="Muy Alta",N57="Moderado"),AND(J57="Muy Alta",N57="Mayor")),"Alto",IF(OR(AND(J57="Muy Baja",N57="Catastrófico"),AND(J57="Baja",N57="Catastrófico"),AND(J57="Media",N57="Catastrófico"),AND(J57="Alta",N57="Catastrófico"),AND(J57="Muy Alta",N57="Catastrófico")),"Extremo",""))))</f>
        <v/>
      </c>
      <c r="Q57" s="104">
        <v>1</v>
      </c>
      <c r="R57" s="105"/>
      <c r="S57" s="106" t="str">
        <f>IF(OR(T57="Preventivo",T57="Detectivo"),"Probabilidad",IF(T57="Correctivo","Impacto",""))</f>
        <v/>
      </c>
      <c r="T57" s="107"/>
      <c r="U57" s="107"/>
      <c r="V57" s="108" t="str">
        <f>IF(AND(T57="Preventivo",U57="Automático"),"50%",IF(AND(T57="Preventivo",U57="Manual"),"40%",IF(AND(T57="Detectivo",U57="Automático"),"40%",IF(AND(T57="Detectivo",U57="Manual"),"30%",IF(AND(T57="Correctivo",U57="Automático"),"35%",IF(AND(T57="Correctivo",U57="Manual"),"25%",""))))))</f>
        <v/>
      </c>
      <c r="W57" s="107"/>
      <c r="X57" s="107"/>
      <c r="Y57" s="107"/>
      <c r="Z57" s="109" t="str">
        <f>IFERROR(IF(S57="Probabilidad",(K57-(+K57*V57)),IF(S57="Impacto",K57,"")),"")</f>
        <v/>
      </c>
      <c r="AA57" s="110" t="str">
        <f>IFERROR(IF(Z57="","",IF(Z57&lt;=0.2,"Muy Baja",IF(Z57&lt;=0.4,"Baja",IF(Z57&lt;=0.6,"Media",IF(Z57&lt;=0.8,"Alta","Muy Alta"))))),"")</f>
        <v/>
      </c>
      <c r="AB57" s="111" t="str">
        <f>+Z57</f>
        <v/>
      </c>
      <c r="AC57" s="110" t="str">
        <f>IFERROR(IF(AD57="","",IF(AD57&lt;=0.2,"Leve",IF(AD57&lt;=0.4,"Menor",IF(AD57&lt;=0.6,"Moderado",IF(AD57&lt;=0.8,"Mayor","Catastrófico"))))),"")</f>
        <v/>
      </c>
      <c r="AD57" s="118" t="str">
        <f>IFERROR(IF(S57="Impacto",(O57-(+O57*V57)),IF(S57="Probabilidad",O57,"")),"")</f>
        <v/>
      </c>
      <c r="AE57" s="112" t="str">
        <f>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13"/>
      <c r="AG57" s="114"/>
      <c r="AH57" s="115"/>
      <c r="AI57" s="116"/>
      <c r="AJ57" s="116"/>
      <c r="AK57" s="114"/>
      <c r="AL57" s="115"/>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19.5" hidden="1" customHeight="1" x14ac:dyDescent="0.3">
      <c r="A58" s="205"/>
      <c r="B58" s="244"/>
      <c r="C58" s="244"/>
      <c r="D58" s="244"/>
      <c r="E58" s="126"/>
      <c r="F58" s="261"/>
      <c r="G58" s="130"/>
      <c r="H58" s="244"/>
      <c r="I58" s="252"/>
      <c r="J58" s="239"/>
      <c r="K58" s="237"/>
      <c r="L58" s="257"/>
      <c r="M58" s="237">
        <f ca="1">IF(NOT(ISERROR(MATCH(L58,_xlfn.ANCHORARRAY(F69),0))),K71&amp;"Por favor no seleccionar los criterios de impacto",L58)</f>
        <v>0</v>
      </c>
      <c r="N58" s="239"/>
      <c r="O58" s="237"/>
      <c r="P58" s="241"/>
      <c r="Q58" s="104">
        <v>2</v>
      </c>
      <c r="R58" s="105"/>
      <c r="S58" s="106" t="str">
        <f>IF(OR(T58="Preventivo",T58="Detectivo"),"Probabilidad",IF(T58="Correctivo","Impacto",""))</f>
        <v/>
      </c>
      <c r="T58" s="107"/>
      <c r="U58" s="107"/>
      <c r="V58" s="108" t="str">
        <f t="shared" ref="V58:V62" si="72">IF(AND(T58="Preventivo",U58="Automático"),"50%",IF(AND(T58="Preventivo",U58="Manual"),"40%",IF(AND(T58="Detectivo",U58="Automático"),"40%",IF(AND(T58="Detectivo",U58="Manual"),"30%",IF(AND(T58="Correctivo",U58="Automático"),"35%",IF(AND(T58="Correctivo",U58="Manual"),"25%",""))))))</f>
        <v/>
      </c>
      <c r="W58" s="107"/>
      <c r="X58" s="107"/>
      <c r="Y58" s="107"/>
      <c r="Z58" s="109" t="str">
        <f>IFERROR(IF(AND(S57="Probabilidad",S58="Probabilidad"),(AB57-(+AB57*V58)),IF(S58="Probabilidad",(K57-(+K57*V58)),IF(S58="Impacto",AB57,""))),"")</f>
        <v/>
      </c>
      <c r="AA58" s="110" t="str">
        <f t="shared" si="49"/>
        <v/>
      </c>
      <c r="AB58" s="111" t="str">
        <f t="shared" ref="AB58:AB62" si="73">+Z58</f>
        <v/>
      </c>
      <c r="AC58" s="110" t="str">
        <f t="shared" si="51"/>
        <v/>
      </c>
      <c r="AD58" s="118" t="str">
        <f>IFERROR(IF(AND(S57="Impacto",S58="Impacto"),(AD57-(+AD57*V58)),IF(S58="Impacto",(O57-(+O57*V58)),IF(S58="Probabilidad",AD57,""))),"")</f>
        <v/>
      </c>
      <c r="AE58" s="112" t="str">
        <f t="shared" ref="AE58:AE59" si="74">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13"/>
      <c r="AG58" s="114"/>
      <c r="AH58" s="115"/>
      <c r="AI58" s="116"/>
      <c r="AJ58" s="116"/>
      <c r="AK58" s="114"/>
      <c r="AL58" s="115"/>
    </row>
    <row r="59" spans="1:70" ht="19.5" hidden="1" customHeight="1" x14ac:dyDescent="0.3">
      <c r="A59" s="205"/>
      <c r="B59" s="244"/>
      <c r="C59" s="244"/>
      <c r="D59" s="244"/>
      <c r="E59" s="126"/>
      <c r="F59" s="261"/>
      <c r="G59" s="130"/>
      <c r="H59" s="244"/>
      <c r="I59" s="252"/>
      <c r="J59" s="239"/>
      <c r="K59" s="237"/>
      <c r="L59" s="257"/>
      <c r="M59" s="237">
        <f ca="1">IF(NOT(ISERROR(MATCH(L59,_xlfn.ANCHORARRAY(F70),0))),K72&amp;"Por favor no seleccionar los criterios de impacto",L59)</f>
        <v>0</v>
      </c>
      <c r="N59" s="239"/>
      <c r="O59" s="237"/>
      <c r="P59" s="241"/>
      <c r="Q59" s="104">
        <v>3</v>
      </c>
      <c r="R59" s="117"/>
      <c r="S59" s="106" t="str">
        <f>IF(OR(T59="Preventivo",T59="Detectivo"),"Probabilidad",IF(T59="Correctivo","Impacto",""))</f>
        <v/>
      </c>
      <c r="T59" s="107"/>
      <c r="U59" s="107"/>
      <c r="V59" s="108" t="str">
        <f t="shared" si="72"/>
        <v/>
      </c>
      <c r="W59" s="107"/>
      <c r="X59" s="107"/>
      <c r="Y59" s="107"/>
      <c r="Z59" s="109" t="str">
        <f>IFERROR(IF(AND(S58="Probabilidad",S59="Probabilidad"),(AB58-(+AB58*V59)),IF(AND(S58="Impacto",S59="Probabilidad"),(AB57-(+AB57*V59)),IF(S59="Impacto",AB58,""))),"")</f>
        <v/>
      </c>
      <c r="AA59" s="110" t="str">
        <f t="shared" si="49"/>
        <v/>
      </c>
      <c r="AB59" s="111" t="str">
        <f t="shared" si="73"/>
        <v/>
      </c>
      <c r="AC59" s="110" t="str">
        <f t="shared" si="51"/>
        <v/>
      </c>
      <c r="AD59" s="118" t="str">
        <f>IFERROR(IF(AND(S58="Impacto",S59="Impacto"),(AD58-(+AD58*V59)),IF(AND(S58="Probabilidad",S59="Impacto"),(AD57-(+AD57*V59)),IF(S59="Probabilidad",AD58,""))),"")</f>
        <v/>
      </c>
      <c r="AE59" s="112" t="str">
        <f t="shared" si="74"/>
        <v/>
      </c>
      <c r="AF59" s="113"/>
      <c r="AG59" s="114"/>
      <c r="AH59" s="115"/>
      <c r="AI59" s="116"/>
      <c r="AJ59" s="116"/>
      <c r="AK59" s="114"/>
      <c r="AL59" s="115"/>
    </row>
    <row r="60" spans="1:70" ht="19.5" hidden="1" customHeight="1" x14ac:dyDescent="0.3">
      <c r="A60" s="205"/>
      <c r="B60" s="244"/>
      <c r="C60" s="244"/>
      <c r="D60" s="244"/>
      <c r="E60" s="126"/>
      <c r="F60" s="261"/>
      <c r="G60" s="130"/>
      <c r="H60" s="244"/>
      <c r="I60" s="252"/>
      <c r="J60" s="239"/>
      <c r="K60" s="237"/>
      <c r="L60" s="257"/>
      <c r="M60" s="237">
        <f ca="1">IF(NOT(ISERROR(MATCH(L60,_xlfn.ANCHORARRAY(F71),0))),K73&amp;"Por favor no seleccionar los criterios de impacto",L60)</f>
        <v>0</v>
      </c>
      <c r="N60" s="239"/>
      <c r="O60" s="237"/>
      <c r="P60" s="241"/>
      <c r="Q60" s="104">
        <v>4</v>
      </c>
      <c r="R60" s="105"/>
      <c r="S60" s="106" t="str">
        <f t="shared" ref="S60:S62" si="75">IF(OR(T60="Preventivo",T60="Detectivo"),"Probabilidad",IF(T60="Correctivo","Impacto",""))</f>
        <v/>
      </c>
      <c r="T60" s="107"/>
      <c r="U60" s="107"/>
      <c r="V60" s="108" t="str">
        <f t="shared" si="72"/>
        <v/>
      </c>
      <c r="W60" s="107"/>
      <c r="X60" s="107"/>
      <c r="Y60" s="107"/>
      <c r="Z60" s="109" t="str">
        <f t="shared" ref="Z60:Z62" si="76">IFERROR(IF(AND(S59="Probabilidad",S60="Probabilidad"),(AB59-(+AB59*V60)),IF(AND(S59="Impacto",S60="Probabilidad"),(AB58-(+AB58*V60)),IF(S60="Impacto",AB59,""))),"")</f>
        <v/>
      </c>
      <c r="AA60" s="110" t="str">
        <f t="shared" si="49"/>
        <v/>
      </c>
      <c r="AB60" s="111" t="str">
        <f t="shared" si="73"/>
        <v/>
      </c>
      <c r="AC60" s="110" t="str">
        <f t="shared" si="51"/>
        <v/>
      </c>
      <c r="AD60" s="118" t="str">
        <f t="shared" ref="AD60:AD62" si="77">IFERROR(IF(AND(S59="Impacto",S60="Impacto"),(AD59-(+AD59*V60)),IF(AND(S59="Probabilidad",S60="Impacto"),(AD58-(+AD58*V60)),IF(S60="Probabilidad",AD59,""))),"")</f>
        <v/>
      </c>
      <c r="AE60" s="112" t="str">
        <f>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13"/>
      <c r="AG60" s="114"/>
      <c r="AH60" s="115"/>
      <c r="AI60" s="116"/>
      <c r="AJ60" s="116"/>
      <c r="AK60" s="114"/>
      <c r="AL60" s="115"/>
    </row>
    <row r="61" spans="1:70" ht="19.5" hidden="1" customHeight="1" x14ac:dyDescent="0.3">
      <c r="A61" s="205"/>
      <c r="B61" s="244"/>
      <c r="C61" s="244"/>
      <c r="D61" s="244"/>
      <c r="E61" s="126"/>
      <c r="F61" s="261"/>
      <c r="G61" s="130"/>
      <c r="H61" s="244"/>
      <c r="I61" s="252"/>
      <c r="J61" s="239"/>
      <c r="K61" s="237"/>
      <c r="L61" s="257"/>
      <c r="M61" s="237">
        <f ca="1">IF(NOT(ISERROR(MATCH(L61,_xlfn.ANCHORARRAY(F72),0))),K74&amp;"Por favor no seleccionar los criterios de impacto",L61)</f>
        <v>0</v>
      </c>
      <c r="N61" s="239"/>
      <c r="O61" s="237"/>
      <c r="P61" s="241"/>
      <c r="Q61" s="104">
        <v>5</v>
      </c>
      <c r="R61" s="105"/>
      <c r="S61" s="106" t="str">
        <f t="shared" si="75"/>
        <v/>
      </c>
      <c r="T61" s="107"/>
      <c r="U61" s="107"/>
      <c r="V61" s="108" t="str">
        <f t="shared" si="72"/>
        <v/>
      </c>
      <c r="W61" s="107"/>
      <c r="X61" s="107"/>
      <c r="Y61" s="107"/>
      <c r="Z61" s="109" t="str">
        <f t="shared" si="76"/>
        <v/>
      </c>
      <c r="AA61" s="110" t="str">
        <f t="shared" si="49"/>
        <v/>
      </c>
      <c r="AB61" s="111" t="str">
        <f t="shared" si="73"/>
        <v/>
      </c>
      <c r="AC61" s="110" t="str">
        <f t="shared" si="51"/>
        <v/>
      </c>
      <c r="AD61" s="118" t="str">
        <f t="shared" si="77"/>
        <v/>
      </c>
      <c r="AE61" s="112" t="str">
        <f t="shared" ref="AE61:AE62" si="78">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13"/>
      <c r="AG61" s="114"/>
      <c r="AH61" s="115"/>
      <c r="AI61" s="116"/>
      <c r="AJ61" s="116"/>
      <c r="AK61" s="114"/>
      <c r="AL61" s="115"/>
    </row>
    <row r="62" spans="1:70" ht="19.5" hidden="1" customHeight="1" x14ac:dyDescent="0.3">
      <c r="A62" s="242"/>
      <c r="B62" s="245"/>
      <c r="C62" s="245"/>
      <c r="D62" s="245"/>
      <c r="E62" s="127"/>
      <c r="F62" s="262"/>
      <c r="G62" s="131"/>
      <c r="H62" s="245"/>
      <c r="I62" s="253"/>
      <c r="J62" s="254"/>
      <c r="K62" s="255"/>
      <c r="L62" s="258"/>
      <c r="M62" s="255">
        <f ca="1">IF(NOT(ISERROR(MATCH(L62,_xlfn.ANCHORARRAY(F73),0))),K75&amp;"Por favor no seleccionar los criterios de impacto",L62)</f>
        <v>0</v>
      </c>
      <c r="N62" s="254"/>
      <c r="O62" s="255"/>
      <c r="P62" s="259"/>
      <c r="Q62" s="104">
        <v>6</v>
      </c>
      <c r="R62" s="105"/>
      <c r="S62" s="106" t="str">
        <f t="shared" si="75"/>
        <v/>
      </c>
      <c r="T62" s="107"/>
      <c r="U62" s="107"/>
      <c r="V62" s="108" t="str">
        <f t="shared" si="72"/>
        <v/>
      </c>
      <c r="W62" s="107"/>
      <c r="X62" s="107"/>
      <c r="Y62" s="107"/>
      <c r="Z62" s="109" t="str">
        <f t="shared" si="76"/>
        <v/>
      </c>
      <c r="AA62" s="110" t="str">
        <f t="shared" si="49"/>
        <v/>
      </c>
      <c r="AB62" s="111" t="str">
        <f t="shared" si="73"/>
        <v/>
      </c>
      <c r="AC62" s="110" t="str">
        <f t="shared" si="51"/>
        <v/>
      </c>
      <c r="AD62" s="118" t="str">
        <f t="shared" si="77"/>
        <v/>
      </c>
      <c r="AE62" s="112" t="str">
        <f t="shared" si="78"/>
        <v/>
      </c>
      <c r="AF62" s="113"/>
      <c r="AG62" s="114"/>
      <c r="AH62" s="115"/>
      <c r="AI62" s="116"/>
      <c r="AJ62" s="116"/>
      <c r="AK62" s="114"/>
      <c r="AL62" s="115"/>
    </row>
    <row r="63" spans="1:70" ht="49.5" hidden="1" customHeight="1" x14ac:dyDescent="0.3">
      <c r="A63" s="6"/>
      <c r="B63" s="263" t="s">
        <v>126</v>
      </c>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4"/>
      <c r="AJ63" s="264"/>
      <c r="AK63" s="264"/>
      <c r="AL63" s="265"/>
    </row>
    <row r="64" spans="1:70" hidden="1" x14ac:dyDescent="0.3"/>
    <row r="65" spans="1:8" hidden="1" x14ac:dyDescent="0.3">
      <c r="A65" s="1"/>
      <c r="B65" s="24" t="s">
        <v>138</v>
      </c>
      <c r="C65" s="1"/>
      <c r="D65" s="1"/>
      <c r="E65" s="1"/>
      <c r="H65" s="1"/>
    </row>
  </sheetData>
  <dataConsolidate/>
  <mergeCells count="207">
    <mergeCell ref="AJ10:AJ11"/>
    <mergeCell ref="AK10:AK11"/>
    <mergeCell ref="AL10:AL11"/>
    <mergeCell ref="AA10:AA11"/>
    <mergeCell ref="AB10:AB11"/>
    <mergeCell ref="AC10:AC11"/>
    <mergeCell ref="AD10:AD11"/>
    <mergeCell ref="AE10:AE11"/>
    <mergeCell ref="AF10:AF11"/>
    <mergeCell ref="AG10:AG11"/>
    <mergeCell ref="AH10:AH11"/>
    <mergeCell ref="AI10:AI11"/>
    <mergeCell ref="R10:R11"/>
    <mergeCell ref="S10:S11"/>
    <mergeCell ref="T10:T11"/>
    <mergeCell ref="U10:U11"/>
    <mergeCell ref="V10:V11"/>
    <mergeCell ref="W10:W11"/>
    <mergeCell ref="X10:X11"/>
    <mergeCell ref="Y10:Y11"/>
    <mergeCell ref="Z10:Z11"/>
    <mergeCell ref="C4:AL4"/>
    <mergeCell ref="C5:AL5"/>
    <mergeCell ref="C6:AL6"/>
    <mergeCell ref="A1:AL2"/>
    <mergeCell ref="A7:I7"/>
    <mergeCell ref="J7:P7"/>
    <mergeCell ref="Q7:Y7"/>
    <mergeCell ref="Z7:AF7"/>
    <mergeCell ref="AG7:AL7"/>
    <mergeCell ref="B63:AL63"/>
    <mergeCell ref="O51:O56"/>
    <mergeCell ref="P51:P56"/>
    <mergeCell ref="A57:A62"/>
    <mergeCell ref="B57:B62"/>
    <mergeCell ref="C57:C62"/>
    <mergeCell ref="D57:D62"/>
    <mergeCell ref="F57:F62"/>
    <mergeCell ref="H57:H62"/>
    <mergeCell ref="I57:I62"/>
    <mergeCell ref="J57:J62"/>
    <mergeCell ref="K57:K62"/>
    <mergeCell ref="L57:L62"/>
    <mergeCell ref="M57:M62"/>
    <mergeCell ref="N57:N62"/>
    <mergeCell ref="O57:O62"/>
    <mergeCell ref="P57:P62"/>
    <mergeCell ref="L51:L56"/>
    <mergeCell ref="M51:M56"/>
    <mergeCell ref="N51:N56"/>
    <mergeCell ref="A51:A56"/>
    <mergeCell ref="B51:B56"/>
    <mergeCell ref="C51:C56"/>
    <mergeCell ref="D51:D56"/>
    <mergeCell ref="F51:F56"/>
    <mergeCell ref="H51:H56"/>
    <mergeCell ref="I51:I56"/>
    <mergeCell ref="J51:J56"/>
    <mergeCell ref="K51:K56"/>
    <mergeCell ref="O39:O44"/>
    <mergeCell ref="P39:P44"/>
    <mergeCell ref="H45:H50"/>
    <mergeCell ref="I45:I50"/>
    <mergeCell ref="J45:J50"/>
    <mergeCell ref="K45:K50"/>
    <mergeCell ref="L45:L50"/>
    <mergeCell ref="H39:H44"/>
    <mergeCell ref="I39:I44"/>
    <mergeCell ref="J39:J44"/>
    <mergeCell ref="K39:K44"/>
    <mergeCell ref="M45:M50"/>
    <mergeCell ref="N45:N50"/>
    <mergeCell ref="O45:O50"/>
    <mergeCell ref="P45:P50"/>
    <mergeCell ref="K27:K32"/>
    <mergeCell ref="L27:L32"/>
    <mergeCell ref="I33:I38"/>
    <mergeCell ref="J33:J38"/>
    <mergeCell ref="K33:K38"/>
    <mergeCell ref="M27:M32"/>
    <mergeCell ref="N27:N32"/>
    <mergeCell ref="A45:A50"/>
    <mergeCell ref="B45:B50"/>
    <mergeCell ref="C45:C50"/>
    <mergeCell ref="D45:D50"/>
    <mergeCell ref="F45:F50"/>
    <mergeCell ref="A39:A44"/>
    <mergeCell ref="B39:B44"/>
    <mergeCell ref="C39:C44"/>
    <mergeCell ref="D39:D44"/>
    <mergeCell ref="F39:F44"/>
    <mergeCell ref="O27:O32"/>
    <mergeCell ref="P27:P32"/>
    <mergeCell ref="O33:O38"/>
    <mergeCell ref="P33:P38"/>
    <mergeCell ref="L39:L44"/>
    <mergeCell ref="M39:M44"/>
    <mergeCell ref="N39:N44"/>
    <mergeCell ref="A27:A32"/>
    <mergeCell ref="B27:B32"/>
    <mergeCell ref="C27:C32"/>
    <mergeCell ref="A33:A38"/>
    <mergeCell ref="B33:B38"/>
    <mergeCell ref="C33:C38"/>
    <mergeCell ref="D33:D38"/>
    <mergeCell ref="F33:F38"/>
    <mergeCell ref="H33:H38"/>
    <mergeCell ref="D27:D32"/>
    <mergeCell ref="F27:F32"/>
    <mergeCell ref="L33:L38"/>
    <mergeCell ref="M33:M38"/>
    <mergeCell ref="N33:N38"/>
    <mergeCell ref="H27:H32"/>
    <mergeCell ref="I27:I32"/>
    <mergeCell ref="J27:J32"/>
    <mergeCell ref="O15:O20"/>
    <mergeCell ref="P15:P20"/>
    <mergeCell ref="A21:A26"/>
    <mergeCell ref="B21:B26"/>
    <mergeCell ref="C21:C26"/>
    <mergeCell ref="D21:D26"/>
    <mergeCell ref="F21:F26"/>
    <mergeCell ref="H21:H26"/>
    <mergeCell ref="I21:I26"/>
    <mergeCell ref="J21:J26"/>
    <mergeCell ref="K21:K26"/>
    <mergeCell ref="L21:L26"/>
    <mergeCell ref="M21:M26"/>
    <mergeCell ref="N21:N26"/>
    <mergeCell ref="O21:O26"/>
    <mergeCell ref="P21:P26"/>
    <mergeCell ref="M12:M14"/>
    <mergeCell ref="N12:N14"/>
    <mergeCell ref="O12:O14"/>
    <mergeCell ref="P12:P14"/>
    <mergeCell ref="A15:A20"/>
    <mergeCell ref="B15:B20"/>
    <mergeCell ref="C15:C20"/>
    <mergeCell ref="D15:D20"/>
    <mergeCell ref="F15:F20"/>
    <mergeCell ref="H15:H20"/>
    <mergeCell ref="I15:I20"/>
    <mergeCell ref="J15:J20"/>
    <mergeCell ref="K15:K20"/>
    <mergeCell ref="L15:L20"/>
    <mergeCell ref="M15:M20"/>
    <mergeCell ref="N15:N20"/>
    <mergeCell ref="H12:H14"/>
    <mergeCell ref="I12:I14"/>
    <mergeCell ref="J12:J14"/>
    <mergeCell ref="K12:K14"/>
    <mergeCell ref="L12:L14"/>
    <mergeCell ref="A12:A14"/>
    <mergeCell ref="B12:B14"/>
    <mergeCell ref="C12:C14"/>
    <mergeCell ref="D12:D14"/>
    <mergeCell ref="F12:F14"/>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AB8:AB9"/>
    <mergeCell ref="I8:I9"/>
    <mergeCell ref="J8:J9"/>
    <mergeCell ref="K8:K9"/>
    <mergeCell ref="N8:N9"/>
    <mergeCell ref="O8:O9"/>
    <mergeCell ref="B8:B9"/>
    <mergeCell ref="P8:P9"/>
    <mergeCell ref="L8:L9"/>
    <mergeCell ref="M8:M9"/>
    <mergeCell ref="S8:S9"/>
    <mergeCell ref="T8:Y8"/>
    <mergeCell ref="E8:E9"/>
    <mergeCell ref="H10:H11"/>
    <mergeCell ref="I10:I11"/>
    <mergeCell ref="J10:J11"/>
    <mergeCell ref="A10:A11"/>
    <mergeCell ref="B10:B11"/>
    <mergeCell ref="C10:C11"/>
    <mergeCell ref="D10:D11"/>
    <mergeCell ref="F10:F11"/>
    <mergeCell ref="P10:P11"/>
    <mergeCell ref="K10:K11"/>
    <mergeCell ref="L10:L11"/>
    <mergeCell ref="M10:M11"/>
    <mergeCell ref="N10:N11"/>
    <mergeCell ref="O10:O11"/>
    <mergeCell ref="G10:G11"/>
  </mergeCells>
  <conditionalFormatting sqref="J10 J12 J15 J21 J27 J33 J39 J45 J51 J57">
    <cfRule type="cellIs" dxfId="188" priority="361" operator="equal">
      <formula>"Muy Alta"</formula>
    </cfRule>
    <cfRule type="cellIs" dxfId="187" priority="362" operator="equal">
      <formula>"Alta"</formula>
    </cfRule>
    <cfRule type="cellIs" dxfId="186" priority="363" operator="equal">
      <formula>"Media"</formula>
    </cfRule>
    <cfRule type="cellIs" dxfId="185" priority="364" operator="equal">
      <formula>"Baja"</formula>
    </cfRule>
    <cfRule type="cellIs" dxfId="184" priority="365" operator="equal">
      <formula>"Muy Baja"</formula>
    </cfRule>
  </conditionalFormatting>
  <conditionalFormatting sqref="N10 N12 N15 N21 N27 N33 N39 N45 N51 N57">
    <cfRule type="cellIs" dxfId="183" priority="356" operator="equal">
      <formula>"Catastrófico"</formula>
    </cfRule>
    <cfRule type="cellIs" dxfId="182" priority="357" operator="equal">
      <formula>"Mayor"</formula>
    </cfRule>
    <cfRule type="cellIs" dxfId="181" priority="358" operator="equal">
      <formula>"Moderado"</formula>
    </cfRule>
    <cfRule type="cellIs" dxfId="180" priority="359" operator="equal">
      <formula>"Menor"</formula>
    </cfRule>
    <cfRule type="cellIs" dxfId="179" priority="360" operator="equal">
      <formula>"Leve"</formula>
    </cfRule>
  </conditionalFormatting>
  <conditionalFormatting sqref="P10">
    <cfRule type="cellIs" dxfId="178" priority="352" operator="equal">
      <formula>"Extremo"</formula>
    </cfRule>
    <cfRule type="cellIs" dxfId="177" priority="353" operator="equal">
      <formula>"Alto"</formula>
    </cfRule>
    <cfRule type="cellIs" dxfId="176" priority="354" operator="equal">
      <formula>"Moderado"</formula>
    </cfRule>
    <cfRule type="cellIs" dxfId="175" priority="355" operator="equal">
      <formula>"Bajo"</formula>
    </cfRule>
  </conditionalFormatting>
  <conditionalFormatting sqref="AA10">
    <cfRule type="cellIs" dxfId="174" priority="347" operator="equal">
      <formula>"Muy Alta"</formula>
    </cfRule>
    <cfRule type="cellIs" dxfId="173" priority="348" operator="equal">
      <formula>"Alta"</formula>
    </cfRule>
    <cfRule type="cellIs" dxfId="172" priority="349" operator="equal">
      <formula>"Media"</formula>
    </cfRule>
    <cfRule type="cellIs" dxfId="171" priority="350" operator="equal">
      <formula>"Baja"</formula>
    </cfRule>
    <cfRule type="cellIs" dxfId="170" priority="351" operator="equal">
      <formula>"Muy Baja"</formula>
    </cfRule>
  </conditionalFormatting>
  <conditionalFormatting sqref="AC10">
    <cfRule type="cellIs" dxfId="169" priority="342" operator="equal">
      <formula>"Catastrófico"</formula>
    </cfRule>
    <cfRule type="cellIs" dxfId="168" priority="343" operator="equal">
      <formula>"Mayor"</formula>
    </cfRule>
    <cfRule type="cellIs" dxfId="167" priority="344" operator="equal">
      <formula>"Moderado"</formula>
    </cfRule>
    <cfRule type="cellIs" dxfId="166" priority="345" operator="equal">
      <formula>"Menor"</formula>
    </cfRule>
    <cfRule type="cellIs" dxfId="165" priority="346" operator="equal">
      <formula>"Leve"</formula>
    </cfRule>
  </conditionalFormatting>
  <conditionalFormatting sqref="AE10">
    <cfRule type="cellIs" dxfId="164" priority="338" operator="equal">
      <formula>"Extremo"</formula>
    </cfRule>
    <cfRule type="cellIs" dxfId="163" priority="339" operator="equal">
      <formula>"Alto"</formula>
    </cfRule>
    <cfRule type="cellIs" dxfId="162" priority="340" operator="equal">
      <formula>"Moderado"</formula>
    </cfRule>
    <cfRule type="cellIs" dxfId="161" priority="341" operator="equal">
      <formula>"Bajo"</formula>
    </cfRule>
  </conditionalFormatting>
  <conditionalFormatting sqref="P12 P15 P21 P27 P33 P39 P45 P51 P57">
    <cfRule type="cellIs" dxfId="160" priority="282" operator="equal">
      <formula>"Extremo"</formula>
    </cfRule>
    <cfRule type="cellIs" dxfId="159" priority="283" operator="equal">
      <formula>"Alto"</formula>
    </cfRule>
    <cfRule type="cellIs" dxfId="158" priority="284" operator="equal">
      <formula>"Moderado"</formula>
    </cfRule>
    <cfRule type="cellIs" dxfId="157" priority="285" operator="equal">
      <formula>"Bajo"</formula>
    </cfRule>
  </conditionalFormatting>
  <conditionalFormatting sqref="AA15:AA20">
    <cfRule type="cellIs" dxfId="156" priority="249" operator="equal">
      <formula>"Muy Alta"</formula>
    </cfRule>
    <cfRule type="cellIs" dxfId="155" priority="250" operator="equal">
      <formula>"Alta"</formula>
    </cfRule>
    <cfRule type="cellIs" dxfId="154" priority="251" operator="equal">
      <formula>"Media"</formula>
    </cfRule>
    <cfRule type="cellIs" dxfId="153" priority="252" operator="equal">
      <formula>"Baja"</formula>
    </cfRule>
    <cfRule type="cellIs" dxfId="152" priority="253" operator="equal">
      <formula>"Muy Baja"</formula>
    </cfRule>
  </conditionalFormatting>
  <conditionalFormatting sqref="AC15:AC20">
    <cfRule type="cellIs" dxfId="151" priority="244" operator="equal">
      <formula>"Catastrófico"</formula>
    </cfRule>
    <cfRule type="cellIs" dxfId="150" priority="245" operator="equal">
      <formula>"Mayor"</formula>
    </cfRule>
    <cfRule type="cellIs" dxfId="149" priority="246" operator="equal">
      <formula>"Moderado"</formula>
    </cfRule>
    <cfRule type="cellIs" dxfId="148" priority="247" operator="equal">
      <formula>"Menor"</formula>
    </cfRule>
    <cfRule type="cellIs" dxfId="147" priority="248" operator="equal">
      <formula>"Leve"</formula>
    </cfRule>
  </conditionalFormatting>
  <conditionalFormatting sqref="AE15:AE20">
    <cfRule type="cellIs" dxfId="146" priority="240" operator="equal">
      <formula>"Extremo"</formula>
    </cfRule>
    <cfRule type="cellIs" dxfId="145" priority="241" operator="equal">
      <formula>"Alto"</formula>
    </cfRule>
    <cfRule type="cellIs" dxfId="144" priority="242" operator="equal">
      <formula>"Moderado"</formula>
    </cfRule>
    <cfRule type="cellIs" dxfId="143" priority="243" operator="equal">
      <formula>"Bajo"</formula>
    </cfRule>
  </conditionalFormatting>
  <conditionalFormatting sqref="AA21:AA26">
    <cfRule type="cellIs" dxfId="142" priority="221" operator="equal">
      <formula>"Muy Alta"</formula>
    </cfRule>
    <cfRule type="cellIs" dxfId="141" priority="222" operator="equal">
      <formula>"Alta"</formula>
    </cfRule>
    <cfRule type="cellIs" dxfId="140" priority="223" operator="equal">
      <formula>"Media"</formula>
    </cfRule>
    <cfRule type="cellIs" dxfId="139" priority="224" operator="equal">
      <formula>"Baja"</formula>
    </cfRule>
    <cfRule type="cellIs" dxfId="138" priority="225" operator="equal">
      <formula>"Muy Baja"</formula>
    </cfRule>
  </conditionalFormatting>
  <conditionalFormatting sqref="AC21:AC26">
    <cfRule type="cellIs" dxfId="137" priority="216" operator="equal">
      <formula>"Catastrófico"</formula>
    </cfRule>
    <cfRule type="cellIs" dxfId="136" priority="217" operator="equal">
      <formula>"Mayor"</formula>
    </cfRule>
    <cfRule type="cellIs" dxfId="135" priority="218" operator="equal">
      <formula>"Moderado"</formula>
    </cfRule>
    <cfRule type="cellIs" dxfId="134" priority="219" operator="equal">
      <formula>"Menor"</formula>
    </cfRule>
    <cfRule type="cellIs" dxfId="133" priority="220" operator="equal">
      <formula>"Leve"</formula>
    </cfRule>
  </conditionalFormatting>
  <conditionalFormatting sqref="AE21:AE26">
    <cfRule type="cellIs" dxfId="132" priority="212" operator="equal">
      <formula>"Extremo"</formula>
    </cfRule>
    <cfRule type="cellIs" dxfId="131" priority="213" operator="equal">
      <formula>"Alto"</formula>
    </cfRule>
    <cfRule type="cellIs" dxfId="130" priority="214" operator="equal">
      <formula>"Moderado"</formula>
    </cfRule>
    <cfRule type="cellIs" dxfId="129" priority="215" operator="equal">
      <formula>"Bajo"</formula>
    </cfRule>
  </conditionalFormatting>
  <conditionalFormatting sqref="AA27:AA32">
    <cfRule type="cellIs" dxfId="128" priority="193" operator="equal">
      <formula>"Muy Alta"</formula>
    </cfRule>
    <cfRule type="cellIs" dxfId="127" priority="194" operator="equal">
      <formula>"Alta"</formula>
    </cfRule>
    <cfRule type="cellIs" dxfId="126" priority="195" operator="equal">
      <formula>"Media"</formula>
    </cfRule>
    <cfRule type="cellIs" dxfId="125" priority="196" operator="equal">
      <formula>"Baja"</formula>
    </cfRule>
    <cfRule type="cellIs" dxfId="124" priority="197" operator="equal">
      <formula>"Muy Baja"</formula>
    </cfRule>
  </conditionalFormatting>
  <conditionalFormatting sqref="AC27:AC32">
    <cfRule type="cellIs" dxfId="123" priority="188" operator="equal">
      <formula>"Catastrófico"</formula>
    </cfRule>
    <cfRule type="cellIs" dxfId="122" priority="189" operator="equal">
      <formula>"Mayor"</formula>
    </cfRule>
    <cfRule type="cellIs" dxfId="121" priority="190" operator="equal">
      <formula>"Moderado"</formula>
    </cfRule>
    <cfRule type="cellIs" dxfId="120" priority="191" operator="equal">
      <formula>"Menor"</formula>
    </cfRule>
    <cfRule type="cellIs" dxfId="119" priority="192" operator="equal">
      <formula>"Leve"</formula>
    </cfRule>
  </conditionalFormatting>
  <conditionalFormatting sqref="AE27:AE32">
    <cfRule type="cellIs" dxfId="118" priority="184" operator="equal">
      <formula>"Extremo"</formula>
    </cfRule>
    <cfRule type="cellIs" dxfId="117" priority="185" operator="equal">
      <formula>"Alto"</formula>
    </cfRule>
    <cfRule type="cellIs" dxfId="116" priority="186" operator="equal">
      <formula>"Moderado"</formula>
    </cfRule>
    <cfRule type="cellIs" dxfId="115" priority="187" operator="equal">
      <formula>"Bajo"</formula>
    </cfRule>
  </conditionalFormatting>
  <conditionalFormatting sqref="AA33:AA38">
    <cfRule type="cellIs" dxfId="114" priority="165" operator="equal">
      <formula>"Muy Alta"</formula>
    </cfRule>
    <cfRule type="cellIs" dxfId="113" priority="166" operator="equal">
      <formula>"Alta"</formula>
    </cfRule>
    <cfRule type="cellIs" dxfId="112" priority="167" operator="equal">
      <formula>"Media"</formula>
    </cfRule>
    <cfRule type="cellIs" dxfId="111" priority="168" operator="equal">
      <formula>"Baja"</formula>
    </cfRule>
    <cfRule type="cellIs" dxfId="110" priority="169" operator="equal">
      <formula>"Muy Baja"</formula>
    </cfRule>
  </conditionalFormatting>
  <conditionalFormatting sqref="AC33:AC38">
    <cfRule type="cellIs" dxfId="109" priority="160" operator="equal">
      <formula>"Catastrófico"</formula>
    </cfRule>
    <cfRule type="cellIs" dxfId="108" priority="161" operator="equal">
      <formula>"Mayor"</formula>
    </cfRule>
    <cfRule type="cellIs" dxfId="107" priority="162" operator="equal">
      <formula>"Moderado"</formula>
    </cfRule>
    <cfRule type="cellIs" dxfId="106" priority="163" operator="equal">
      <formula>"Menor"</formula>
    </cfRule>
    <cfRule type="cellIs" dxfId="105" priority="164" operator="equal">
      <formula>"Leve"</formula>
    </cfRule>
  </conditionalFormatting>
  <conditionalFormatting sqref="AE33:AE38">
    <cfRule type="cellIs" dxfId="104" priority="156" operator="equal">
      <formula>"Extremo"</formula>
    </cfRule>
    <cfRule type="cellIs" dxfId="103" priority="157" operator="equal">
      <formula>"Alto"</formula>
    </cfRule>
    <cfRule type="cellIs" dxfId="102" priority="158" operator="equal">
      <formula>"Moderado"</formula>
    </cfRule>
    <cfRule type="cellIs" dxfId="101" priority="159" operator="equal">
      <formula>"Bajo"</formula>
    </cfRule>
  </conditionalFormatting>
  <conditionalFormatting sqref="AA39:AA44">
    <cfRule type="cellIs" dxfId="100" priority="137" operator="equal">
      <formula>"Muy Alta"</formula>
    </cfRule>
    <cfRule type="cellIs" dxfId="99" priority="138" operator="equal">
      <formula>"Alta"</formula>
    </cfRule>
    <cfRule type="cellIs" dxfId="98" priority="139" operator="equal">
      <formula>"Media"</formula>
    </cfRule>
    <cfRule type="cellIs" dxfId="97" priority="140" operator="equal">
      <formula>"Baja"</formula>
    </cfRule>
    <cfRule type="cellIs" dxfId="96" priority="141" operator="equal">
      <formula>"Muy Baja"</formula>
    </cfRule>
  </conditionalFormatting>
  <conditionalFormatting sqref="AC39:AC44">
    <cfRule type="cellIs" dxfId="95" priority="132" operator="equal">
      <formula>"Catastrófico"</formula>
    </cfRule>
    <cfRule type="cellIs" dxfId="94" priority="133" operator="equal">
      <formula>"Mayor"</formula>
    </cfRule>
    <cfRule type="cellIs" dxfId="93" priority="134" operator="equal">
      <formula>"Moderado"</formula>
    </cfRule>
    <cfRule type="cellIs" dxfId="92" priority="135" operator="equal">
      <formula>"Menor"</formula>
    </cfRule>
    <cfRule type="cellIs" dxfId="91" priority="136" operator="equal">
      <formula>"Leve"</formula>
    </cfRule>
  </conditionalFormatting>
  <conditionalFormatting sqref="AE39:AE44">
    <cfRule type="cellIs" dxfId="90" priority="128" operator="equal">
      <formula>"Extremo"</formula>
    </cfRule>
    <cfRule type="cellIs" dxfId="89" priority="129" operator="equal">
      <formula>"Alto"</formula>
    </cfRule>
    <cfRule type="cellIs" dxfId="88" priority="130" operator="equal">
      <formula>"Moderado"</formula>
    </cfRule>
    <cfRule type="cellIs" dxfId="87" priority="131" operator="equal">
      <formula>"Bajo"</formula>
    </cfRule>
  </conditionalFormatting>
  <conditionalFormatting sqref="AA45:AA50">
    <cfRule type="cellIs" dxfId="86" priority="109" operator="equal">
      <formula>"Muy Alta"</formula>
    </cfRule>
    <cfRule type="cellIs" dxfId="85" priority="110" operator="equal">
      <formula>"Alta"</formula>
    </cfRule>
    <cfRule type="cellIs" dxfId="84" priority="111" operator="equal">
      <formula>"Media"</formula>
    </cfRule>
    <cfRule type="cellIs" dxfId="83" priority="112" operator="equal">
      <formula>"Baja"</formula>
    </cfRule>
    <cfRule type="cellIs" dxfId="82" priority="113" operator="equal">
      <formula>"Muy Baja"</formula>
    </cfRule>
  </conditionalFormatting>
  <conditionalFormatting sqref="AC45:AC50">
    <cfRule type="cellIs" dxfId="81" priority="104" operator="equal">
      <formula>"Catastrófico"</formula>
    </cfRule>
    <cfRule type="cellIs" dxfId="80" priority="105" operator="equal">
      <formula>"Mayor"</formula>
    </cfRule>
    <cfRule type="cellIs" dxfId="79" priority="106" operator="equal">
      <formula>"Moderado"</formula>
    </cfRule>
    <cfRule type="cellIs" dxfId="78" priority="107" operator="equal">
      <formula>"Menor"</formula>
    </cfRule>
    <cfRule type="cellIs" dxfId="77" priority="108" operator="equal">
      <formula>"Leve"</formula>
    </cfRule>
  </conditionalFormatting>
  <conditionalFormatting sqref="AE45:AE50">
    <cfRule type="cellIs" dxfId="76" priority="100" operator="equal">
      <formula>"Extremo"</formula>
    </cfRule>
    <cfRule type="cellIs" dxfId="75" priority="101" operator="equal">
      <formula>"Alto"</formula>
    </cfRule>
    <cfRule type="cellIs" dxfId="74" priority="102" operator="equal">
      <formula>"Moderado"</formula>
    </cfRule>
    <cfRule type="cellIs" dxfId="73" priority="103" operator="equal">
      <formula>"Bajo"</formula>
    </cfRule>
  </conditionalFormatting>
  <conditionalFormatting sqref="AA51:AA56">
    <cfRule type="cellIs" dxfId="72" priority="81" operator="equal">
      <formula>"Muy Alta"</formula>
    </cfRule>
    <cfRule type="cellIs" dxfId="71" priority="82" operator="equal">
      <formula>"Alta"</formula>
    </cfRule>
    <cfRule type="cellIs" dxfId="70" priority="83" operator="equal">
      <formula>"Media"</formula>
    </cfRule>
    <cfRule type="cellIs" dxfId="69" priority="84" operator="equal">
      <formula>"Baja"</formula>
    </cfRule>
    <cfRule type="cellIs" dxfId="68" priority="85" operator="equal">
      <formula>"Muy Baja"</formula>
    </cfRule>
  </conditionalFormatting>
  <conditionalFormatting sqref="AC51:AC56">
    <cfRule type="cellIs" dxfId="67" priority="76" operator="equal">
      <formula>"Catastrófico"</formula>
    </cfRule>
    <cfRule type="cellIs" dxfId="66" priority="77" operator="equal">
      <formula>"Mayor"</formula>
    </cfRule>
    <cfRule type="cellIs" dxfId="65" priority="78" operator="equal">
      <formula>"Moderado"</formula>
    </cfRule>
    <cfRule type="cellIs" dxfId="64" priority="79" operator="equal">
      <formula>"Menor"</formula>
    </cfRule>
    <cfRule type="cellIs" dxfId="63" priority="80" operator="equal">
      <formula>"Leve"</formula>
    </cfRule>
  </conditionalFormatting>
  <conditionalFormatting sqref="AE51:AE56">
    <cfRule type="cellIs" dxfId="62" priority="72" operator="equal">
      <formula>"Extremo"</formula>
    </cfRule>
    <cfRule type="cellIs" dxfId="61" priority="73" operator="equal">
      <formula>"Alto"</formula>
    </cfRule>
    <cfRule type="cellIs" dxfId="60" priority="74" operator="equal">
      <formula>"Moderado"</formula>
    </cfRule>
    <cfRule type="cellIs" dxfId="59" priority="75" operator="equal">
      <formula>"Bajo"</formula>
    </cfRule>
  </conditionalFormatting>
  <conditionalFormatting sqref="AA57:AA62">
    <cfRule type="cellIs" dxfId="58" priority="53" operator="equal">
      <formula>"Muy Alta"</formula>
    </cfRule>
    <cfRule type="cellIs" dxfId="57" priority="54" operator="equal">
      <formula>"Alta"</formula>
    </cfRule>
    <cfRule type="cellIs" dxfId="56" priority="55" operator="equal">
      <formula>"Media"</formula>
    </cfRule>
    <cfRule type="cellIs" dxfId="55" priority="56" operator="equal">
      <formula>"Baja"</formula>
    </cfRule>
    <cfRule type="cellIs" dxfId="54" priority="57" operator="equal">
      <formula>"Muy Baja"</formula>
    </cfRule>
  </conditionalFormatting>
  <conditionalFormatting sqref="AC57:AC62">
    <cfRule type="cellIs" dxfId="53" priority="48" operator="equal">
      <formula>"Catastrófico"</formula>
    </cfRule>
    <cfRule type="cellIs" dxfId="52" priority="49" operator="equal">
      <formula>"Mayor"</formula>
    </cfRule>
    <cfRule type="cellIs" dxfId="51" priority="50" operator="equal">
      <formula>"Moderado"</formula>
    </cfRule>
    <cfRule type="cellIs" dxfId="50" priority="51" operator="equal">
      <formula>"Menor"</formula>
    </cfRule>
    <cfRule type="cellIs" dxfId="49" priority="52" operator="equal">
      <formula>"Leve"</formula>
    </cfRule>
  </conditionalFormatting>
  <conditionalFormatting sqref="AE57:AE62">
    <cfRule type="cellIs" dxfId="48" priority="44" operator="equal">
      <formula>"Extremo"</formula>
    </cfRule>
    <cfRule type="cellIs" dxfId="47" priority="45" operator="equal">
      <formula>"Alto"</formula>
    </cfRule>
    <cfRule type="cellIs" dxfId="46" priority="46" operator="equal">
      <formula>"Moderado"</formula>
    </cfRule>
    <cfRule type="cellIs" dxfId="45" priority="47" operator="equal">
      <formula>"Bajo"</formula>
    </cfRule>
  </conditionalFormatting>
  <conditionalFormatting sqref="M10:M62">
    <cfRule type="containsText" dxfId="44" priority="43" operator="containsText" text="❌">
      <formula>NOT(ISERROR(SEARCH("❌",M10)))</formula>
    </cfRule>
  </conditionalFormatting>
  <conditionalFormatting sqref="AA12">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12">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12">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13:AA14">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13:AC14">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13:AE14">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0866141732283472" right="0.70866141732283472" top="0.74803149606299213" bottom="0.74803149606299213" header="0.31496062992125984" footer="0.31496062992125984"/>
  <pageSetup paperSize="5" scale="24" orientation="landscape" r:id="rId1"/>
  <extLst>
    <ext xmlns:x14="http://schemas.microsoft.com/office/spreadsheetml/2009/9/main" uri="{CCE6A557-97BC-4b89-ADB6-D9C93CAAB3DF}">
      <x14:dataValidations xmlns:xm="http://schemas.microsoft.com/office/excel/2006/main" count="17">
        <x14:dataValidation type="list" allowBlank="1" showInputMessage="1" showErrorMessage="1">
          <x14:formula1>
            <xm:f>'Tabla Valoración controles'!$D$4:$D$6</xm:f>
          </x14:formula1>
          <xm:sqref>T10 T15:T62 T12</xm:sqref>
        </x14:dataValidation>
        <x14:dataValidation type="list" allowBlank="1" showInputMessage="1" showErrorMessage="1">
          <x14:formula1>
            <xm:f>'Tabla Valoración controles'!$D$7:$D$8</xm:f>
          </x14:formula1>
          <xm:sqref>U10 U15:U62 U12</xm:sqref>
        </x14:dataValidation>
        <x14:dataValidation type="list" allowBlank="1" showInputMessage="1" showErrorMessage="1">
          <x14:formula1>
            <xm:f>'Tabla Valoración controles'!$D$9:$D$10</xm:f>
          </x14:formula1>
          <xm:sqref>W10 W15:W62 W12</xm:sqref>
        </x14:dataValidation>
        <x14:dataValidation type="list" allowBlank="1" showInputMessage="1" showErrorMessage="1">
          <x14:formula1>
            <xm:f>'Tabla Valoración controles'!$D$11:$D$12</xm:f>
          </x14:formula1>
          <xm:sqref>X10 X15:X62 X12</xm:sqref>
        </x14:dataValidation>
        <x14:dataValidation type="list" allowBlank="1" showInputMessage="1" showErrorMessage="1">
          <x14:formula1>
            <xm:f>'Opciones Tratamiento'!$B$9:$B$10</xm:f>
          </x14:formula1>
          <xm:sqref>AL60:AL61 AL12:AL13 AL15:AL16 AL18:AL19 AL21:AL22 AL24:AL25 AL27:AL28 AL30:AL31 AL33:AL34 AL36:AL37 AL39:AL40 AL42:AL43 AL45:AL46 AL48:AL49 AL51:AL52 AL54:AL55 AL57:AL58 AL10</xm:sqref>
        </x14:dataValidation>
        <x14:dataValidation type="list" allowBlank="1" showInputMessage="1" showErrorMessage="1">
          <x14:formula1>
            <xm:f>'Tabla Valoración controles'!$D$13:$D$14</xm:f>
          </x14:formula1>
          <xm:sqref>Y10 Y15:Y62 Y12</xm:sqref>
        </x14:dataValidation>
        <x14:dataValidation type="list" allowBlank="1" showInputMessage="1" showErrorMessage="1">
          <x14:formula1>
            <xm:f>'Opciones Tratamiento'!$B$2:$B$5</xm:f>
          </x14:formula1>
          <xm:sqref>AF10 AF12:AF62</xm:sqref>
        </x14:dataValidation>
        <x14:dataValidation type="list" allowBlank="1" showInputMessage="1" showErrorMessage="1">
          <x14:formula1>
            <xm:f>'[1]Tabla Valoración controles'!#REF!</xm:f>
          </x14:formula1>
          <xm:sqref>W13:Y14 T13:U14</xm:sqref>
        </x14:dataValidation>
        <x14:dataValidation type="list" allowBlank="1" showInputMessage="1" showErrorMessage="1">
          <x14:formula1>
            <xm:f>'Opciones Tratamiento'!$B$13:$B$19</xm:f>
          </x14:formula1>
          <xm:sqref>H10:H62</xm:sqref>
        </x14:dataValidation>
        <x14:dataValidation type="list" allowBlank="1" showInputMessage="1" showErrorMessage="1">
          <x14:formula1>
            <xm:f>'Opciones Tratamiento'!$E$2:$E$4</xm:f>
          </x14:formula1>
          <xm:sqref>B10:B62</xm:sqref>
        </x14:dataValidation>
        <x14:dataValidation type="list" allowBlank="1" showInputMessage="1" showErrorMessage="1">
          <x14:formula1>
            <xm:f>'Tabla Impacto'!$F$210:$F$221</xm:f>
          </x14:formula1>
          <xm:sqref>L10:L62</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 AG12:AG62</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 AH12:AH62</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 AI12:AI62</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 AJ12:AJ62</xm:sqref>
        </x14:dataValidation>
        <x14:dataValidation type="custom" allowBlank="1" showInputMessage="1" showErrorMessage="1" error="Recuerde que las acciones se generan bajo la medida de mitigar el riesgo">
          <x14:formula1>
            <xm:f>IF(OR(AF12='Opciones Tratamiento'!$B$2,AF12='Opciones Tratamiento'!$B$3,AF12='Opciones Tratamiento'!$B$4),ISBLANK(AF12),ISTEXT(AF12))</xm:f>
          </x14:formula1>
          <xm:sqref>AK12:AK62</xm:sqref>
        </x14:dataValidation>
        <x14:dataValidation type="custom" allowBlank="1" showInputMessage="1" showErrorMessage="1" error="Recuerde que las acciones se generan bajo la medida de mitigar el riesgo">
          <x14:formula1>
            <xm:f>IF(OR(AF10='[2]Opciones Tratamiento'!#REF!,AF10='[2]Opciones Tratamiento'!#REF!,AF10='[2]Opciones Tratamiento'!#REF!),ISBLANK(AF10),ISTEXT(AF10))</xm:f>
          </x14:formula1>
          <xm:sqref>AK10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AT44" sqref="AT44"/>
    </sheetView>
  </sheetViews>
  <sheetFormatPr baseColWidth="10" defaultRowHeight="15" x14ac:dyDescent="0.25"/>
  <cols>
    <col min="2" max="39" width="5.7109375" customWidth="1"/>
    <col min="41" max="46" width="5.7109375" customWidth="1"/>
  </cols>
  <sheetData>
    <row r="1" spans="1:99"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row>
    <row r="2" spans="1:99" ht="18" customHeight="1" x14ac:dyDescent="0.25">
      <c r="A2" s="68"/>
      <c r="B2" s="298" t="s">
        <v>150</v>
      </c>
      <c r="C2" s="298"/>
      <c r="D2" s="298"/>
      <c r="E2" s="298"/>
      <c r="F2" s="298"/>
      <c r="G2" s="298"/>
      <c r="H2" s="298"/>
      <c r="I2" s="298"/>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row>
    <row r="3" spans="1:99" ht="18.75" customHeight="1" x14ac:dyDescent="0.25">
      <c r="A3" s="68"/>
      <c r="B3" s="298"/>
      <c r="C3" s="298"/>
      <c r="D3" s="298"/>
      <c r="E3" s="298"/>
      <c r="F3" s="298"/>
      <c r="G3" s="298"/>
      <c r="H3" s="298"/>
      <c r="I3" s="298"/>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row>
    <row r="4" spans="1:99" ht="15" customHeight="1" x14ac:dyDescent="0.25">
      <c r="A4" s="68"/>
      <c r="B4" s="298"/>
      <c r="C4" s="298"/>
      <c r="D4" s="298"/>
      <c r="E4" s="298"/>
      <c r="F4" s="298"/>
      <c r="G4" s="298"/>
      <c r="H4" s="298"/>
      <c r="I4" s="298"/>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row>
    <row r="5" spans="1:99"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row>
    <row r="6" spans="1:99" ht="15" customHeight="1" x14ac:dyDescent="0.25">
      <c r="A6" s="68"/>
      <c r="B6" s="348" t="s">
        <v>4</v>
      </c>
      <c r="C6" s="348"/>
      <c r="D6" s="349"/>
      <c r="E6" s="337" t="s">
        <v>111</v>
      </c>
      <c r="F6" s="338"/>
      <c r="G6" s="338"/>
      <c r="H6" s="338"/>
      <c r="I6" s="339"/>
      <c r="J6" s="333" t="str">
        <f ca="1">IF(AND('Mapa final'!$J$10="Muy Alta",'Mapa final'!$N$10="Leve"),CONCATENATE("R",'Mapa final'!$A$10),"")</f>
        <v/>
      </c>
      <c r="K6" s="334"/>
      <c r="L6" s="334" t="str">
        <f ca="1">IF(AND('Mapa final'!$J$12="Muy Alta",'Mapa final'!$N$12="Leve"),CONCATENATE("R",'Mapa final'!$A$12),"")</f>
        <v/>
      </c>
      <c r="M6" s="334"/>
      <c r="N6" s="334" t="str">
        <f ca="1">IF(AND('Mapa final'!$J$15="Muy Alta",'Mapa final'!$N$15="Leve"),CONCATENATE("R",'Mapa final'!$A$15),"")</f>
        <v/>
      </c>
      <c r="O6" s="335"/>
      <c r="P6" s="333" t="str">
        <f ca="1">IF(AND('Mapa final'!$J$10="Muy Alta",'Mapa final'!$N$10="Menor"),CONCATENATE("R",'Mapa final'!$A$10),"")</f>
        <v/>
      </c>
      <c r="Q6" s="334"/>
      <c r="R6" s="334" t="str">
        <f ca="1">IF(AND('Mapa final'!$J$12="Muy Alta",'Mapa final'!$N$12="Menor"),CONCATENATE("R",'Mapa final'!$A$12),"")</f>
        <v/>
      </c>
      <c r="S6" s="334"/>
      <c r="T6" s="334" t="str">
        <f ca="1">IF(AND('Mapa final'!$J$15="Muy Alta",'Mapa final'!$N$15="Menor"),CONCATENATE("R",'Mapa final'!$A$15),"")</f>
        <v/>
      </c>
      <c r="U6" s="335"/>
      <c r="V6" s="333" t="str">
        <f ca="1">IF(AND('Mapa final'!$J$10="Muy Alta",'Mapa final'!$N$10="Moderado"),CONCATENATE("R",'Mapa final'!$A$10),"")</f>
        <v/>
      </c>
      <c r="W6" s="334"/>
      <c r="X6" s="334" t="str">
        <f ca="1">IF(AND('Mapa final'!$J$12="Muy Alta",'Mapa final'!$N$12="Moderado"),CONCATENATE("R",'Mapa final'!$A$12),"")</f>
        <v/>
      </c>
      <c r="Y6" s="334"/>
      <c r="Z6" s="334" t="str">
        <f ca="1">IF(AND('Mapa final'!$J$15="Muy Alta",'Mapa final'!$N$15="Moderado"),CONCATENATE("R",'Mapa final'!$A$15),"")</f>
        <v/>
      </c>
      <c r="AA6" s="335"/>
      <c r="AB6" s="333" t="str">
        <f ca="1">IF(AND('Mapa final'!$J$10="Muy Alta",'Mapa final'!$N$10="Mayor"),CONCATENATE("R",'Mapa final'!$A$10),"")</f>
        <v/>
      </c>
      <c r="AC6" s="334"/>
      <c r="AD6" s="334" t="str">
        <f ca="1">IF(AND('Mapa final'!$J$12="Muy Alta",'Mapa final'!$N$12="Mayor"),CONCATENATE("R",'Mapa final'!$A$12),"")</f>
        <v/>
      </c>
      <c r="AE6" s="334"/>
      <c r="AF6" s="334" t="str">
        <f ca="1">IF(AND('Mapa final'!$J$15="Muy Alta",'Mapa final'!$N$15="Mayor"),CONCATENATE("R",'Mapa final'!$A$15),"")</f>
        <v/>
      </c>
      <c r="AG6" s="335"/>
      <c r="AH6" s="323" t="str">
        <f ca="1">IF(AND('Mapa final'!$J$10="Muy Alta",'Mapa final'!$N$10="Catastrófico"),CONCATENATE("R",'Mapa final'!$A$10),"")</f>
        <v/>
      </c>
      <c r="AI6" s="324"/>
      <c r="AJ6" s="324" t="str">
        <f ca="1">IF(AND('Mapa final'!$J$12="Muy Alta",'Mapa final'!$N$12="Catastrófico"),CONCATENATE("R",'Mapa final'!$A$12),"")</f>
        <v/>
      </c>
      <c r="AK6" s="324"/>
      <c r="AL6" s="324" t="str">
        <f ca="1">IF(AND('Mapa final'!$J$15="Muy Alta",'Mapa final'!$N$15="Catastrófico"),CONCATENATE("R",'Mapa final'!$A$15),"")</f>
        <v/>
      </c>
      <c r="AM6" s="325"/>
      <c r="AO6" s="350" t="s">
        <v>78</v>
      </c>
      <c r="AP6" s="351"/>
      <c r="AQ6" s="351"/>
      <c r="AR6" s="351"/>
      <c r="AS6" s="351"/>
      <c r="AT6" s="352"/>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row>
    <row r="7" spans="1:99" ht="15" customHeight="1" x14ac:dyDescent="0.25">
      <c r="A7" s="68"/>
      <c r="B7" s="348"/>
      <c r="C7" s="348"/>
      <c r="D7" s="349"/>
      <c r="E7" s="340"/>
      <c r="F7" s="341"/>
      <c r="G7" s="341"/>
      <c r="H7" s="341"/>
      <c r="I7" s="342"/>
      <c r="J7" s="326"/>
      <c r="K7" s="327"/>
      <c r="L7" s="327"/>
      <c r="M7" s="327"/>
      <c r="N7" s="327"/>
      <c r="O7" s="329"/>
      <c r="P7" s="326"/>
      <c r="Q7" s="327"/>
      <c r="R7" s="327"/>
      <c r="S7" s="327"/>
      <c r="T7" s="327"/>
      <c r="U7" s="329"/>
      <c r="V7" s="326"/>
      <c r="W7" s="327"/>
      <c r="X7" s="327"/>
      <c r="Y7" s="327"/>
      <c r="Z7" s="327"/>
      <c r="AA7" s="329"/>
      <c r="AB7" s="326"/>
      <c r="AC7" s="327"/>
      <c r="AD7" s="327"/>
      <c r="AE7" s="327"/>
      <c r="AF7" s="327"/>
      <c r="AG7" s="329"/>
      <c r="AH7" s="317"/>
      <c r="AI7" s="318"/>
      <c r="AJ7" s="318"/>
      <c r="AK7" s="318"/>
      <c r="AL7" s="318"/>
      <c r="AM7" s="319"/>
      <c r="AN7" s="68"/>
      <c r="AO7" s="353"/>
      <c r="AP7" s="354"/>
      <c r="AQ7" s="354"/>
      <c r="AR7" s="354"/>
      <c r="AS7" s="354"/>
      <c r="AT7" s="355"/>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row>
    <row r="8" spans="1:99" ht="15" customHeight="1" x14ac:dyDescent="0.25">
      <c r="A8" s="68"/>
      <c r="B8" s="348"/>
      <c r="C8" s="348"/>
      <c r="D8" s="349"/>
      <c r="E8" s="340"/>
      <c r="F8" s="341"/>
      <c r="G8" s="341"/>
      <c r="H8" s="341"/>
      <c r="I8" s="342"/>
      <c r="J8" s="326" t="str">
        <f ca="1">IF(AND('Mapa final'!$J$21="Muy Alta",'Mapa final'!$N$21="Leve"),CONCATENATE("R",'Mapa final'!$A$21),"")</f>
        <v/>
      </c>
      <c r="K8" s="327"/>
      <c r="L8" s="328" t="str">
        <f ca="1">IF(AND('Mapa final'!$J$27="Muy Alta",'Mapa final'!$N$27="Leve"),CONCATENATE("R",'Mapa final'!$A$27),"")</f>
        <v/>
      </c>
      <c r="M8" s="328"/>
      <c r="N8" s="328" t="str">
        <f ca="1">IF(AND('Mapa final'!$J$33="Muy Alta",'Mapa final'!$N$33="Leve"),CONCATENATE("R",'Mapa final'!$A$33),"")</f>
        <v/>
      </c>
      <c r="O8" s="329"/>
      <c r="P8" s="326" t="str">
        <f ca="1">IF(AND('Mapa final'!$J$21="Muy Alta",'Mapa final'!$N$21="Menor"),CONCATENATE("R",'Mapa final'!$A$21),"")</f>
        <v/>
      </c>
      <c r="Q8" s="327"/>
      <c r="R8" s="328" t="str">
        <f ca="1">IF(AND('Mapa final'!$J$27="Muy Alta",'Mapa final'!$N$27="Menor"),CONCATENATE("R",'Mapa final'!$A$27),"")</f>
        <v/>
      </c>
      <c r="S8" s="328"/>
      <c r="T8" s="328" t="str">
        <f ca="1">IF(AND('Mapa final'!$J$33="Muy Alta",'Mapa final'!$N$33="Menor"),CONCATENATE("R",'Mapa final'!$A$33),"")</f>
        <v/>
      </c>
      <c r="U8" s="329"/>
      <c r="V8" s="326" t="str">
        <f ca="1">IF(AND('Mapa final'!$J$21="Muy Alta",'Mapa final'!$N$21="Moderado"),CONCATENATE("R",'Mapa final'!$A$21),"")</f>
        <v/>
      </c>
      <c r="W8" s="327"/>
      <c r="X8" s="328" t="str">
        <f ca="1">IF(AND('Mapa final'!$J$27="Muy Alta",'Mapa final'!$N$27="Moderado"),CONCATENATE("R",'Mapa final'!$A$27),"")</f>
        <v/>
      </c>
      <c r="Y8" s="328"/>
      <c r="Z8" s="328" t="str">
        <f ca="1">IF(AND('Mapa final'!$J$33="Muy Alta",'Mapa final'!$N$33="Moderado"),CONCATENATE("R",'Mapa final'!$A$33),"")</f>
        <v/>
      </c>
      <c r="AA8" s="329"/>
      <c r="AB8" s="326" t="str">
        <f ca="1">IF(AND('Mapa final'!$J$21="Muy Alta",'Mapa final'!$N$21="Mayor"),CONCATENATE("R",'Mapa final'!$A$21),"")</f>
        <v/>
      </c>
      <c r="AC8" s="327"/>
      <c r="AD8" s="328" t="str">
        <f ca="1">IF(AND('Mapa final'!$J$27="Muy Alta",'Mapa final'!$N$27="Mayor"),CONCATENATE("R",'Mapa final'!$A$27),"")</f>
        <v/>
      </c>
      <c r="AE8" s="328"/>
      <c r="AF8" s="328" t="str">
        <f ca="1">IF(AND('Mapa final'!$J$33="Muy Alta",'Mapa final'!$N$33="Mayor"),CONCATENATE("R",'Mapa final'!$A$33),"")</f>
        <v/>
      </c>
      <c r="AG8" s="329"/>
      <c r="AH8" s="317" t="str">
        <f ca="1">IF(AND('Mapa final'!$J$21="Muy Alta",'Mapa final'!$N$21="Catastrófico"),CONCATENATE("R",'Mapa final'!$A$21),"")</f>
        <v/>
      </c>
      <c r="AI8" s="318"/>
      <c r="AJ8" s="318" t="str">
        <f ca="1">IF(AND('Mapa final'!$J$27="Muy Alta",'Mapa final'!$N$27="Catastrófico"),CONCATENATE("R",'Mapa final'!$A$27),"")</f>
        <v/>
      </c>
      <c r="AK8" s="318"/>
      <c r="AL8" s="318" t="str">
        <f ca="1">IF(AND('Mapa final'!$J$33="Muy Alta",'Mapa final'!$N$33="Catastrófico"),CONCATENATE("R",'Mapa final'!$A$33),"")</f>
        <v/>
      </c>
      <c r="AM8" s="319"/>
      <c r="AN8" s="68"/>
      <c r="AO8" s="353"/>
      <c r="AP8" s="354"/>
      <c r="AQ8" s="354"/>
      <c r="AR8" s="354"/>
      <c r="AS8" s="354"/>
      <c r="AT8" s="355"/>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row>
    <row r="9" spans="1:99" ht="15" customHeight="1" x14ac:dyDescent="0.25">
      <c r="A9" s="68"/>
      <c r="B9" s="348"/>
      <c r="C9" s="348"/>
      <c r="D9" s="349"/>
      <c r="E9" s="340"/>
      <c r="F9" s="341"/>
      <c r="G9" s="341"/>
      <c r="H9" s="341"/>
      <c r="I9" s="342"/>
      <c r="J9" s="326"/>
      <c r="K9" s="327"/>
      <c r="L9" s="328"/>
      <c r="M9" s="328"/>
      <c r="N9" s="328"/>
      <c r="O9" s="329"/>
      <c r="P9" s="326"/>
      <c r="Q9" s="327"/>
      <c r="R9" s="328"/>
      <c r="S9" s="328"/>
      <c r="T9" s="328"/>
      <c r="U9" s="329"/>
      <c r="V9" s="326"/>
      <c r="W9" s="327"/>
      <c r="X9" s="328"/>
      <c r="Y9" s="328"/>
      <c r="Z9" s="328"/>
      <c r="AA9" s="329"/>
      <c r="AB9" s="326"/>
      <c r="AC9" s="327"/>
      <c r="AD9" s="328"/>
      <c r="AE9" s="328"/>
      <c r="AF9" s="328"/>
      <c r="AG9" s="329"/>
      <c r="AH9" s="317"/>
      <c r="AI9" s="318"/>
      <c r="AJ9" s="318"/>
      <c r="AK9" s="318"/>
      <c r="AL9" s="318"/>
      <c r="AM9" s="319"/>
      <c r="AN9" s="68"/>
      <c r="AO9" s="353"/>
      <c r="AP9" s="354"/>
      <c r="AQ9" s="354"/>
      <c r="AR9" s="354"/>
      <c r="AS9" s="354"/>
      <c r="AT9" s="355"/>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row>
    <row r="10" spans="1:99" ht="15" customHeight="1" x14ac:dyDescent="0.25">
      <c r="A10" s="68"/>
      <c r="B10" s="348"/>
      <c r="C10" s="348"/>
      <c r="D10" s="349"/>
      <c r="E10" s="340"/>
      <c r="F10" s="341"/>
      <c r="G10" s="341"/>
      <c r="H10" s="341"/>
      <c r="I10" s="342"/>
      <c r="J10" s="326" t="str">
        <f ca="1">IF(AND('Mapa final'!$J$39="Muy Alta",'Mapa final'!$N$39="Leve"),CONCATENATE("R",'Mapa final'!$A$39),"")</f>
        <v/>
      </c>
      <c r="K10" s="327"/>
      <c r="L10" s="328" t="str">
        <f ca="1">IF(AND('Mapa final'!$J$45="Muy Alta",'Mapa final'!$N$45="Leve"),CONCATENATE("R",'Mapa final'!$A$45),"")</f>
        <v/>
      </c>
      <c r="M10" s="328"/>
      <c r="N10" s="328" t="str">
        <f ca="1">IF(AND('Mapa final'!$J$51="Muy Alta",'Mapa final'!$N$51="Leve"),CONCATENATE("R",'Mapa final'!$A$51),"")</f>
        <v/>
      </c>
      <c r="O10" s="329"/>
      <c r="P10" s="326" t="str">
        <f ca="1">IF(AND('Mapa final'!$J$39="Muy Alta",'Mapa final'!$N$39="Menor"),CONCATENATE("R",'Mapa final'!$A$39),"")</f>
        <v/>
      </c>
      <c r="Q10" s="327"/>
      <c r="R10" s="328" t="str">
        <f ca="1">IF(AND('Mapa final'!$J$45="Muy Alta",'Mapa final'!$N$45="Menor"),CONCATENATE("R",'Mapa final'!$A$45),"")</f>
        <v/>
      </c>
      <c r="S10" s="328"/>
      <c r="T10" s="328" t="str">
        <f ca="1">IF(AND('Mapa final'!$J$51="Muy Alta",'Mapa final'!$N$51="Menor"),CONCATENATE("R",'Mapa final'!$A$51),"")</f>
        <v/>
      </c>
      <c r="U10" s="329"/>
      <c r="V10" s="326" t="str">
        <f ca="1">IF(AND('Mapa final'!$J$39="Muy Alta",'Mapa final'!$N$39="Moderado"),CONCATENATE("R",'Mapa final'!$A$39),"")</f>
        <v/>
      </c>
      <c r="W10" s="327"/>
      <c r="X10" s="328" t="str">
        <f ca="1">IF(AND('Mapa final'!$J$45="Muy Alta",'Mapa final'!$N$45="Moderado"),CONCATENATE("R",'Mapa final'!$A$45),"")</f>
        <v/>
      </c>
      <c r="Y10" s="328"/>
      <c r="Z10" s="328" t="str">
        <f ca="1">IF(AND('Mapa final'!$J$51="Muy Alta",'Mapa final'!$N$51="Moderado"),CONCATENATE("R",'Mapa final'!$A$51),"")</f>
        <v/>
      </c>
      <c r="AA10" s="329"/>
      <c r="AB10" s="326" t="str">
        <f ca="1">IF(AND('Mapa final'!$J$39="Muy Alta",'Mapa final'!$N$39="Mayor"),CONCATENATE("R",'Mapa final'!$A$39),"")</f>
        <v/>
      </c>
      <c r="AC10" s="327"/>
      <c r="AD10" s="328" t="str">
        <f ca="1">IF(AND('Mapa final'!$J$45="Muy Alta",'Mapa final'!$N$45="Mayor"),CONCATENATE("R",'Mapa final'!$A$45),"")</f>
        <v/>
      </c>
      <c r="AE10" s="328"/>
      <c r="AF10" s="328" t="str">
        <f ca="1">IF(AND('Mapa final'!$J$51="Muy Alta",'Mapa final'!$N$51="Mayor"),CONCATENATE("R",'Mapa final'!$A$51),"")</f>
        <v/>
      </c>
      <c r="AG10" s="329"/>
      <c r="AH10" s="317" t="str">
        <f ca="1">IF(AND('Mapa final'!$J$39="Muy Alta",'Mapa final'!$N$39="Catastrófico"),CONCATENATE("R",'Mapa final'!$A$39),"")</f>
        <v/>
      </c>
      <c r="AI10" s="318"/>
      <c r="AJ10" s="318" t="str">
        <f ca="1">IF(AND('Mapa final'!$J$45="Muy Alta",'Mapa final'!$N$45="Catastrófico"),CONCATENATE("R",'Mapa final'!$A$45),"")</f>
        <v/>
      </c>
      <c r="AK10" s="318"/>
      <c r="AL10" s="318" t="str">
        <f ca="1">IF(AND('Mapa final'!$J$51="Muy Alta",'Mapa final'!$N$51="Catastrófico"),CONCATENATE("R",'Mapa final'!$A$51),"")</f>
        <v/>
      </c>
      <c r="AM10" s="319"/>
      <c r="AN10" s="68"/>
      <c r="AO10" s="353"/>
      <c r="AP10" s="354"/>
      <c r="AQ10" s="354"/>
      <c r="AR10" s="354"/>
      <c r="AS10" s="354"/>
      <c r="AT10" s="355"/>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row>
    <row r="11" spans="1:99" ht="15" customHeight="1" x14ac:dyDescent="0.25">
      <c r="A11" s="68"/>
      <c r="B11" s="348"/>
      <c r="C11" s="348"/>
      <c r="D11" s="349"/>
      <c r="E11" s="340"/>
      <c r="F11" s="341"/>
      <c r="G11" s="341"/>
      <c r="H11" s="341"/>
      <c r="I11" s="342"/>
      <c r="J11" s="326"/>
      <c r="K11" s="327"/>
      <c r="L11" s="328"/>
      <c r="M11" s="328"/>
      <c r="N11" s="328"/>
      <c r="O11" s="329"/>
      <c r="P11" s="326"/>
      <c r="Q11" s="327"/>
      <c r="R11" s="328"/>
      <c r="S11" s="328"/>
      <c r="T11" s="328"/>
      <c r="U11" s="329"/>
      <c r="V11" s="326"/>
      <c r="W11" s="327"/>
      <c r="X11" s="328"/>
      <c r="Y11" s="328"/>
      <c r="Z11" s="328"/>
      <c r="AA11" s="329"/>
      <c r="AB11" s="326"/>
      <c r="AC11" s="327"/>
      <c r="AD11" s="328"/>
      <c r="AE11" s="328"/>
      <c r="AF11" s="328"/>
      <c r="AG11" s="329"/>
      <c r="AH11" s="317"/>
      <c r="AI11" s="318"/>
      <c r="AJ11" s="318"/>
      <c r="AK11" s="318"/>
      <c r="AL11" s="318"/>
      <c r="AM11" s="319"/>
      <c r="AN11" s="68"/>
      <c r="AO11" s="353"/>
      <c r="AP11" s="354"/>
      <c r="AQ11" s="354"/>
      <c r="AR11" s="354"/>
      <c r="AS11" s="354"/>
      <c r="AT11" s="355"/>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row>
    <row r="12" spans="1:99" ht="15" customHeight="1" x14ac:dyDescent="0.25">
      <c r="A12" s="68"/>
      <c r="B12" s="348"/>
      <c r="C12" s="348"/>
      <c r="D12" s="349"/>
      <c r="E12" s="340"/>
      <c r="F12" s="341"/>
      <c r="G12" s="341"/>
      <c r="H12" s="341"/>
      <c r="I12" s="342"/>
      <c r="J12" s="326" t="str">
        <f ca="1">IF(AND('Mapa final'!$J$57="Muy Alta",'Mapa final'!$N$57="Leve"),CONCATENATE("R",'Mapa final'!$A$57),"")</f>
        <v/>
      </c>
      <c r="K12" s="327"/>
      <c r="L12" s="328" t="str">
        <f>IF(AND('Mapa final'!$J$63="Muy Alta",'Mapa final'!$N$63="Leve"),CONCATENATE("R",'Mapa final'!$A$63),"")</f>
        <v/>
      </c>
      <c r="M12" s="328"/>
      <c r="N12" s="328" t="str">
        <f>IF(AND('Mapa final'!$J$69="Muy Alta",'Mapa final'!$N$69="Leve"),CONCATENATE("R",'Mapa final'!$A$69),"")</f>
        <v/>
      </c>
      <c r="O12" s="329"/>
      <c r="P12" s="326" t="str">
        <f ca="1">IF(AND('Mapa final'!$J$57="Muy Alta",'Mapa final'!$N$57="Menor"),CONCATENATE("R",'Mapa final'!$A$57),"")</f>
        <v/>
      </c>
      <c r="Q12" s="327"/>
      <c r="R12" s="328" t="str">
        <f>IF(AND('Mapa final'!$J$63="Muy Alta",'Mapa final'!$N$63="Menor"),CONCATENATE("R",'Mapa final'!$A$63),"")</f>
        <v/>
      </c>
      <c r="S12" s="328"/>
      <c r="T12" s="328" t="str">
        <f>IF(AND('Mapa final'!$J$69="Muy Alta",'Mapa final'!$N$69="Menor"),CONCATENATE("R",'Mapa final'!$A$69),"")</f>
        <v/>
      </c>
      <c r="U12" s="329"/>
      <c r="V12" s="326" t="str">
        <f ca="1">IF(AND('Mapa final'!$J$57="Muy Alta",'Mapa final'!$N$57="Moderado"),CONCATENATE("R",'Mapa final'!$A$57),"")</f>
        <v/>
      </c>
      <c r="W12" s="327"/>
      <c r="X12" s="328" t="str">
        <f>IF(AND('Mapa final'!$J$63="Muy Alta",'Mapa final'!$N$63="Moderado"),CONCATENATE("R",'Mapa final'!$A$63),"")</f>
        <v/>
      </c>
      <c r="Y12" s="328"/>
      <c r="Z12" s="328" t="str">
        <f>IF(AND('Mapa final'!$J$69="Muy Alta",'Mapa final'!$N$69="Moderado"),CONCATENATE("R",'Mapa final'!$A$69),"")</f>
        <v/>
      </c>
      <c r="AA12" s="329"/>
      <c r="AB12" s="326" t="str">
        <f ca="1">IF(AND('Mapa final'!$J$57="Muy Alta",'Mapa final'!$N$57="Mayor"),CONCATENATE("R",'Mapa final'!$A$57),"")</f>
        <v/>
      </c>
      <c r="AC12" s="327"/>
      <c r="AD12" s="328" t="str">
        <f>IF(AND('Mapa final'!$J$63="Muy Alta",'Mapa final'!$N$63="Mayor"),CONCATENATE("R",'Mapa final'!$A$63),"")</f>
        <v/>
      </c>
      <c r="AE12" s="328"/>
      <c r="AF12" s="328" t="str">
        <f>IF(AND('Mapa final'!$J$69="Muy Alta",'Mapa final'!$N$69="Mayor"),CONCATENATE("R",'Mapa final'!$A$69),"")</f>
        <v/>
      </c>
      <c r="AG12" s="329"/>
      <c r="AH12" s="317" t="str">
        <f ca="1">IF(AND('Mapa final'!$J$57="Muy Alta",'Mapa final'!$N$57="Catastrófico"),CONCATENATE("R",'Mapa final'!$A$57),"")</f>
        <v/>
      </c>
      <c r="AI12" s="318"/>
      <c r="AJ12" s="318" t="str">
        <f>IF(AND('Mapa final'!$J$63="Muy Alta",'Mapa final'!$N$63="Catastrófico"),CONCATENATE("R",'Mapa final'!$A$63),"")</f>
        <v/>
      </c>
      <c r="AK12" s="318"/>
      <c r="AL12" s="318" t="str">
        <f>IF(AND('Mapa final'!$J$69="Muy Alta",'Mapa final'!$N$69="Catastrófico"),CONCATENATE("R",'Mapa final'!$A$69),"")</f>
        <v/>
      </c>
      <c r="AM12" s="319"/>
      <c r="AN12" s="68"/>
      <c r="AO12" s="353"/>
      <c r="AP12" s="354"/>
      <c r="AQ12" s="354"/>
      <c r="AR12" s="354"/>
      <c r="AS12" s="354"/>
      <c r="AT12" s="355"/>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row>
    <row r="13" spans="1:99" ht="15.75" customHeight="1" thickBot="1" x14ac:dyDescent="0.3">
      <c r="A13" s="68"/>
      <c r="B13" s="348"/>
      <c r="C13" s="348"/>
      <c r="D13" s="349"/>
      <c r="E13" s="343"/>
      <c r="F13" s="344"/>
      <c r="G13" s="344"/>
      <c r="H13" s="344"/>
      <c r="I13" s="345"/>
      <c r="J13" s="326"/>
      <c r="K13" s="327"/>
      <c r="L13" s="327"/>
      <c r="M13" s="327"/>
      <c r="N13" s="327"/>
      <c r="O13" s="329"/>
      <c r="P13" s="326"/>
      <c r="Q13" s="327"/>
      <c r="R13" s="327"/>
      <c r="S13" s="327"/>
      <c r="T13" s="327"/>
      <c r="U13" s="329"/>
      <c r="V13" s="326"/>
      <c r="W13" s="327"/>
      <c r="X13" s="327"/>
      <c r="Y13" s="327"/>
      <c r="Z13" s="327"/>
      <c r="AA13" s="329"/>
      <c r="AB13" s="326"/>
      <c r="AC13" s="327"/>
      <c r="AD13" s="327"/>
      <c r="AE13" s="327"/>
      <c r="AF13" s="327"/>
      <c r="AG13" s="329"/>
      <c r="AH13" s="320"/>
      <c r="AI13" s="321"/>
      <c r="AJ13" s="321"/>
      <c r="AK13" s="321"/>
      <c r="AL13" s="321"/>
      <c r="AM13" s="322"/>
      <c r="AN13" s="68"/>
      <c r="AO13" s="356"/>
      <c r="AP13" s="357"/>
      <c r="AQ13" s="357"/>
      <c r="AR13" s="357"/>
      <c r="AS13" s="357"/>
      <c r="AT13" s="35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row>
    <row r="14" spans="1:99" ht="15" customHeight="1" x14ac:dyDescent="0.25">
      <c r="A14" s="68"/>
      <c r="B14" s="348"/>
      <c r="C14" s="348"/>
      <c r="D14" s="349"/>
      <c r="E14" s="337" t="s">
        <v>110</v>
      </c>
      <c r="F14" s="338"/>
      <c r="G14" s="338"/>
      <c r="H14" s="338"/>
      <c r="I14" s="338"/>
      <c r="J14" s="314" t="str">
        <f ca="1">IF(AND('Mapa final'!$J$10="Alta",'Mapa final'!$N$10="Leve"),CONCATENATE("R",'Mapa final'!$A$10),"")</f>
        <v/>
      </c>
      <c r="K14" s="315"/>
      <c r="L14" s="315" t="str">
        <f ca="1">IF(AND('Mapa final'!$J$12="Alta",'Mapa final'!$N$12="Leve"),CONCATENATE("R",'Mapa final'!$A$12),"")</f>
        <v/>
      </c>
      <c r="M14" s="315"/>
      <c r="N14" s="315" t="str">
        <f ca="1">IF(AND('Mapa final'!$J$15="Alta",'Mapa final'!$N$15="Leve"),CONCATENATE("R",'Mapa final'!$A$15),"")</f>
        <v/>
      </c>
      <c r="O14" s="316"/>
      <c r="P14" s="314" t="str">
        <f ca="1">IF(AND('Mapa final'!$J$10="Alta",'Mapa final'!$N$10="Menor"),CONCATENATE("R",'Mapa final'!$A$10),"")</f>
        <v/>
      </c>
      <c r="Q14" s="315"/>
      <c r="R14" s="315" t="str">
        <f ca="1">IF(AND('Mapa final'!$J$12="Alta",'Mapa final'!$N$12="Menor"),CONCATENATE("R",'Mapa final'!$A$12),"")</f>
        <v/>
      </c>
      <c r="S14" s="315"/>
      <c r="T14" s="315" t="str">
        <f ca="1">IF(AND('Mapa final'!$J$15="Alta",'Mapa final'!$N$15="Menor"),CONCATENATE("R",'Mapa final'!$A$15),"")</f>
        <v/>
      </c>
      <c r="U14" s="316"/>
      <c r="V14" s="333" t="str">
        <f ca="1">IF(AND('Mapa final'!$J$10="Alta",'Mapa final'!$N$10="Moderado"),CONCATENATE("R",'Mapa final'!$A$10),"")</f>
        <v/>
      </c>
      <c r="W14" s="334"/>
      <c r="X14" s="334" t="str">
        <f ca="1">IF(AND('Mapa final'!$J$12="Alta",'Mapa final'!$N$12="Moderado"),CONCATENATE("R",'Mapa final'!$A$12),"")</f>
        <v/>
      </c>
      <c r="Y14" s="334"/>
      <c r="Z14" s="334" t="str">
        <f ca="1">IF(AND('Mapa final'!$J$15="Alta",'Mapa final'!$N$15="Moderado"),CONCATENATE("R",'Mapa final'!$A$15),"")</f>
        <v/>
      </c>
      <c r="AA14" s="335"/>
      <c r="AB14" s="333" t="str">
        <f ca="1">IF(AND('Mapa final'!$J$10="Alta",'Mapa final'!$N$10="Mayor"),CONCATENATE("R",'Mapa final'!$A$10),"")</f>
        <v/>
      </c>
      <c r="AC14" s="334"/>
      <c r="AD14" s="334" t="str">
        <f ca="1">IF(AND('Mapa final'!$J$12="Alta",'Mapa final'!$N$12="Mayor"),CONCATENATE("R",'Mapa final'!$A$12),"")</f>
        <v/>
      </c>
      <c r="AE14" s="334"/>
      <c r="AF14" s="334" t="str">
        <f ca="1">IF(AND('Mapa final'!$J$15="Alta",'Mapa final'!$N$15="Mayor"),CONCATENATE("R",'Mapa final'!$A$15),"")</f>
        <v/>
      </c>
      <c r="AG14" s="335"/>
      <c r="AH14" s="323" t="str">
        <f ca="1">IF(AND('Mapa final'!$J$10="Alta",'Mapa final'!$N$10="Catastrófico"),CONCATENATE("R",'Mapa final'!$A$10),"")</f>
        <v/>
      </c>
      <c r="AI14" s="324"/>
      <c r="AJ14" s="324" t="str">
        <f ca="1">IF(AND('Mapa final'!$J$12="Alta",'Mapa final'!$N$12="Catastrófico"),CONCATENATE("R",'Mapa final'!$A$12),"")</f>
        <v/>
      </c>
      <c r="AK14" s="324"/>
      <c r="AL14" s="324" t="str">
        <f ca="1">IF(AND('Mapa final'!$J$15="Alta",'Mapa final'!$N$15="Catastrófico"),CONCATENATE("R",'Mapa final'!$A$15),"")</f>
        <v/>
      </c>
      <c r="AM14" s="325"/>
      <c r="AN14" s="68"/>
      <c r="AO14" s="359" t="s">
        <v>79</v>
      </c>
      <c r="AP14" s="360"/>
      <c r="AQ14" s="360"/>
      <c r="AR14" s="360"/>
      <c r="AS14" s="360"/>
      <c r="AT14" s="361"/>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row>
    <row r="15" spans="1:99" ht="15" customHeight="1" x14ac:dyDescent="0.25">
      <c r="A15" s="68"/>
      <c r="B15" s="348"/>
      <c r="C15" s="348"/>
      <c r="D15" s="349"/>
      <c r="E15" s="340"/>
      <c r="F15" s="341"/>
      <c r="G15" s="341"/>
      <c r="H15" s="341"/>
      <c r="I15" s="346"/>
      <c r="J15" s="308"/>
      <c r="K15" s="309"/>
      <c r="L15" s="309"/>
      <c r="M15" s="309"/>
      <c r="N15" s="309"/>
      <c r="O15" s="310"/>
      <c r="P15" s="308"/>
      <c r="Q15" s="309"/>
      <c r="R15" s="309"/>
      <c r="S15" s="309"/>
      <c r="T15" s="309"/>
      <c r="U15" s="310"/>
      <c r="V15" s="326"/>
      <c r="W15" s="327"/>
      <c r="X15" s="327"/>
      <c r="Y15" s="327"/>
      <c r="Z15" s="327"/>
      <c r="AA15" s="329"/>
      <c r="AB15" s="326"/>
      <c r="AC15" s="327"/>
      <c r="AD15" s="327"/>
      <c r="AE15" s="327"/>
      <c r="AF15" s="327"/>
      <c r="AG15" s="329"/>
      <c r="AH15" s="317"/>
      <c r="AI15" s="318"/>
      <c r="AJ15" s="318"/>
      <c r="AK15" s="318"/>
      <c r="AL15" s="318"/>
      <c r="AM15" s="319"/>
      <c r="AN15" s="68"/>
      <c r="AO15" s="362"/>
      <c r="AP15" s="363"/>
      <c r="AQ15" s="363"/>
      <c r="AR15" s="363"/>
      <c r="AS15" s="363"/>
      <c r="AT15" s="364"/>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row>
    <row r="16" spans="1:99" ht="15" customHeight="1" x14ac:dyDescent="0.25">
      <c r="A16" s="68"/>
      <c r="B16" s="348"/>
      <c r="C16" s="348"/>
      <c r="D16" s="349"/>
      <c r="E16" s="340"/>
      <c r="F16" s="341"/>
      <c r="G16" s="341"/>
      <c r="H16" s="341"/>
      <c r="I16" s="346"/>
      <c r="J16" s="308" t="str">
        <f ca="1">IF(AND('Mapa final'!$J$21="Alta",'Mapa final'!$N$21="Leve"),CONCATENATE("R",'Mapa final'!$A$21),"")</f>
        <v/>
      </c>
      <c r="K16" s="309"/>
      <c r="L16" s="309" t="str">
        <f ca="1">IF(AND('Mapa final'!$J$27="Alta",'Mapa final'!$N$27="Leve"),CONCATENATE("R",'Mapa final'!$A$27),"")</f>
        <v/>
      </c>
      <c r="M16" s="309"/>
      <c r="N16" s="309" t="str">
        <f ca="1">IF(AND('Mapa final'!$J$33="Alta",'Mapa final'!$N$33="Leve"),CONCATENATE("R",'Mapa final'!$A$33),"")</f>
        <v/>
      </c>
      <c r="O16" s="310"/>
      <c r="P16" s="308" t="str">
        <f ca="1">IF(AND('Mapa final'!$J$21="Alta",'Mapa final'!$N$21="Menor"),CONCATENATE("R",'Mapa final'!$A$21),"")</f>
        <v/>
      </c>
      <c r="Q16" s="309"/>
      <c r="R16" s="309" t="str">
        <f ca="1">IF(AND('Mapa final'!$J$27="Alta",'Mapa final'!$N$27="Menor"),CONCATENATE("R",'Mapa final'!$A$27),"")</f>
        <v/>
      </c>
      <c r="S16" s="309"/>
      <c r="T16" s="309" t="str">
        <f ca="1">IF(AND('Mapa final'!$J$33="Alta",'Mapa final'!$N$33="Menor"),CONCATENATE("R",'Mapa final'!$A$33),"")</f>
        <v/>
      </c>
      <c r="U16" s="310"/>
      <c r="V16" s="326" t="str">
        <f ca="1">IF(AND('Mapa final'!$J$21="Alta",'Mapa final'!$N$21="Moderado"),CONCATENATE("R",'Mapa final'!$A$21),"")</f>
        <v/>
      </c>
      <c r="W16" s="327"/>
      <c r="X16" s="328" t="str">
        <f ca="1">IF(AND('Mapa final'!$J$27="Alta",'Mapa final'!$N$27="Moderado"),CONCATENATE("R",'Mapa final'!$A$27),"")</f>
        <v/>
      </c>
      <c r="Y16" s="328"/>
      <c r="Z16" s="328" t="str">
        <f ca="1">IF(AND('Mapa final'!$J$33="Alta",'Mapa final'!$N$33="Moderado"),CONCATENATE("R",'Mapa final'!$A$33),"")</f>
        <v/>
      </c>
      <c r="AA16" s="329"/>
      <c r="AB16" s="326" t="str">
        <f ca="1">IF(AND('Mapa final'!$J$21="Alta",'Mapa final'!$N$21="Mayor"),CONCATENATE("R",'Mapa final'!$A$21),"")</f>
        <v/>
      </c>
      <c r="AC16" s="327"/>
      <c r="AD16" s="328" t="str">
        <f ca="1">IF(AND('Mapa final'!$J$27="Alta",'Mapa final'!$N$27="Mayor"),CONCATENATE("R",'Mapa final'!$A$27),"")</f>
        <v/>
      </c>
      <c r="AE16" s="328"/>
      <c r="AF16" s="328" t="str">
        <f ca="1">IF(AND('Mapa final'!$J$33="Alta",'Mapa final'!$N$33="Mayor"),CONCATENATE("R",'Mapa final'!$A$33),"")</f>
        <v/>
      </c>
      <c r="AG16" s="329"/>
      <c r="AH16" s="317" t="str">
        <f ca="1">IF(AND('Mapa final'!$J$21="Alta",'Mapa final'!$N$21="Catastrófico"),CONCATENATE("R",'Mapa final'!$A$21),"")</f>
        <v/>
      </c>
      <c r="AI16" s="318"/>
      <c r="AJ16" s="318" t="str">
        <f ca="1">IF(AND('Mapa final'!$J$27="Alta",'Mapa final'!$N$27="Catastrófico"),CONCATENATE("R",'Mapa final'!$A$27),"")</f>
        <v/>
      </c>
      <c r="AK16" s="318"/>
      <c r="AL16" s="318" t="str">
        <f ca="1">IF(AND('Mapa final'!$J$33="Alta",'Mapa final'!$N$33="Catastrófico"),CONCATENATE("R",'Mapa final'!$A$33),"")</f>
        <v/>
      </c>
      <c r="AM16" s="319"/>
      <c r="AN16" s="68"/>
      <c r="AO16" s="362"/>
      <c r="AP16" s="363"/>
      <c r="AQ16" s="363"/>
      <c r="AR16" s="363"/>
      <c r="AS16" s="363"/>
      <c r="AT16" s="364"/>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row>
    <row r="17" spans="1:80" ht="15" customHeight="1" x14ac:dyDescent="0.25">
      <c r="A17" s="68"/>
      <c r="B17" s="348"/>
      <c r="C17" s="348"/>
      <c r="D17" s="349"/>
      <c r="E17" s="340"/>
      <c r="F17" s="341"/>
      <c r="G17" s="341"/>
      <c r="H17" s="341"/>
      <c r="I17" s="346"/>
      <c r="J17" s="308"/>
      <c r="K17" s="309"/>
      <c r="L17" s="309"/>
      <c r="M17" s="309"/>
      <c r="N17" s="309"/>
      <c r="O17" s="310"/>
      <c r="P17" s="308"/>
      <c r="Q17" s="309"/>
      <c r="R17" s="309"/>
      <c r="S17" s="309"/>
      <c r="T17" s="309"/>
      <c r="U17" s="310"/>
      <c r="V17" s="326"/>
      <c r="W17" s="327"/>
      <c r="X17" s="328"/>
      <c r="Y17" s="328"/>
      <c r="Z17" s="328"/>
      <c r="AA17" s="329"/>
      <c r="AB17" s="326"/>
      <c r="AC17" s="327"/>
      <c r="AD17" s="328"/>
      <c r="AE17" s="328"/>
      <c r="AF17" s="328"/>
      <c r="AG17" s="329"/>
      <c r="AH17" s="317"/>
      <c r="AI17" s="318"/>
      <c r="AJ17" s="318"/>
      <c r="AK17" s="318"/>
      <c r="AL17" s="318"/>
      <c r="AM17" s="319"/>
      <c r="AN17" s="68"/>
      <c r="AO17" s="362"/>
      <c r="AP17" s="363"/>
      <c r="AQ17" s="363"/>
      <c r="AR17" s="363"/>
      <c r="AS17" s="363"/>
      <c r="AT17" s="364"/>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row>
    <row r="18" spans="1:80" ht="15" customHeight="1" x14ac:dyDescent="0.25">
      <c r="A18" s="68"/>
      <c r="B18" s="348"/>
      <c r="C18" s="348"/>
      <c r="D18" s="349"/>
      <c r="E18" s="340"/>
      <c r="F18" s="341"/>
      <c r="G18" s="341"/>
      <c r="H18" s="341"/>
      <c r="I18" s="346"/>
      <c r="J18" s="308" t="str">
        <f ca="1">IF(AND('Mapa final'!$J$39="Alta",'Mapa final'!$N$39="Leve"),CONCATENATE("R",'Mapa final'!$A$39),"")</f>
        <v/>
      </c>
      <c r="K18" s="309"/>
      <c r="L18" s="309" t="str">
        <f ca="1">IF(AND('Mapa final'!$J$45="Alta",'Mapa final'!$N$45="Leve"),CONCATENATE("R",'Mapa final'!$A$45),"")</f>
        <v/>
      </c>
      <c r="M18" s="309"/>
      <c r="N18" s="309" t="str">
        <f ca="1">IF(AND('Mapa final'!$J$51="Alta",'Mapa final'!$N$51="Leve"),CONCATENATE("R",'Mapa final'!$A$51),"")</f>
        <v/>
      </c>
      <c r="O18" s="310"/>
      <c r="P18" s="308" t="str">
        <f ca="1">IF(AND('Mapa final'!$J$39="Alta",'Mapa final'!$N$39="Menor"),CONCATENATE("R",'Mapa final'!$A$39),"")</f>
        <v/>
      </c>
      <c r="Q18" s="309"/>
      <c r="R18" s="309" t="str">
        <f ca="1">IF(AND('Mapa final'!$J$45="Alta",'Mapa final'!$N$45="Menor"),CONCATENATE("R",'Mapa final'!$A$45),"")</f>
        <v/>
      </c>
      <c r="S18" s="309"/>
      <c r="T18" s="309" t="str">
        <f ca="1">IF(AND('Mapa final'!$J$51="Alta",'Mapa final'!$N$51="Menor"),CONCATENATE("R",'Mapa final'!$A$51),"")</f>
        <v/>
      </c>
      <c r="U18" s="310"/>
      <c r="V18" s="326" t="str">
        <f ca="1">IF(AND('Mapa final'!$J$39="Alta",'Mapa final'!$N$39="Moderado"),CONCATENATE("R",'Mapa final'!$A$39),"")</f>
        <v/>
      </c>
      <c r="W18" s="327"/>
      <c r="X18" s="328" t="str">
        <f ca="1">IF(AND('Mapa final'!$J$45="Alta",'Mapa final'!$N$45="Moderado"),CONCATENATE("R",'Mapa final'!$A$45),"")</f>
        <v/>
      </c>
      <c r="Y18" s="328"/>
      <c r="Z18" s="328" t="str">
        <f ca="1">IF(AND('Mapa final'!$J$51="Alta",'Mapa final'!$N$51="Moderado"),CONCATENATE("R",'Mapa final'!$A$51),"")</f>
        <v/>
      </c>
      <c r="AA18" s="329"/>
      <c r="AB18" s="326" t="str">
        <f ca="1">IF(AND('Mapa final'!$J$39="Alta",'Mapa final'!$N$39="Mayor"),CONCATENATE("R",'Mapa final'!$A$39),"")</f>
        <v/>
      </c>
      <c r="AC18" s="327"/>
      <c r="AD18" s="328" t="str">
        <f ca="1">IF(AND('Mapa final'!$J$45="Alta",'Mapa final'!$N$45="Mayor"),CONCATENATE("R",'Mapa final'!$A$45),"")</f>
        <v/>
      </c>
      <c r="AE18" s="328"/>
      <c r="AF18" s="328" t="str">
        <f ca="1">IF(AND('Mapa final'!$J$51="Alta",'Mapa final'!$N$51="Mayor"),CONCATENATE("R",'Mapa final'!$A$51),"")</f>
        <v/>
      </c>
      <c r="AG18" s="329"/>
      <c r="AH18" s="317" t="str">
        <f ca="1">IF(AND('Mapa final'!$J$39="Alta",'Mapa final'!$N$39="Catastrófico"),CONCATENATE("R",'Mapa final'!$A$39),"")</f>
        <v/>
      </c>
      <c r="AI18" s="318"/>
      <c r="AJ18" s="318" t="str">
        <f ca="1">IF(AND('Mapa final'!$J$45="Alta",'Mapa final'!$N$45="Catastrófico"),CONCATENATE("R",'Mapa final'!$A$45),"")</f>
        <v/>
      </c>
      <c r="AK18" s="318"/>
      <c r="AL18" s="318" t="str">
        <f ca="1">IF(AND('Mapa final'!$J$51="Alta",'Mapa final'!$N$51="Catastrófico"),CONCATENATE("R",'Mapa final'!$A$51),"")</f>
        <v/>
      </c>
      <c r="AM18" s="319"/>
      <c r="AN18" s="68"/>
      <c r="AO18" s="362"/>
      <c r="AP18" s="363"/>
      <c r="AQ18" s="363"/>
      <c r="AR18" s="363"/>
      <c r="AS18" s="363"/>
      <c r="AT18" s="364"/>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row>
    <row r="19" spans="1:80" ht="15" customHeight="1" x14ac:dyDescent="0.25">
      <c r="A19" s="68"/>
      <c r="B19" s="348"/>
      <c r="C19" s="348"/>
      <c r="D19" s="349"/>
      <c r="E19" s="340"/>
      <c r="F19" s="341"/>
      <c r="G19" s="341"/>
      <c r="H19" s="341"/>
      <c r="I19" s="346"/>
      <c r="J19" s="308"/>
      <c r="K19" s="309"/>
      <c r="L19" s="309"/>
      <c r="M19" s="309"/>
      <c r="N19" s="309"/>
      <c r="O19" s="310"/>
      <c r="P19" s="308"/>
      <c r="Q19" s="309"/>
      <c r="R19" s="309"/>
      <c r="S19" s="309"/>
      <c r="T19" s="309"/>
      <c r="U19" s="310"/>
      <c r="V19" s="326"/>
      <c r="W19" s="327"/>
      <c r="X19" s="328"/>
      <c r="Y19" s="328"/>
      <c r="Z19" s="328"/>
      <c r="AA19" s="329"/>
      <c r="AB19" s="326"/>
      <c r="AC19" s="327"/>
      <c r="AD19" s="328"/>
      <c r="AE19" s="328"/>
      <c r="AF19" s="328"/>
      <c r="AG19" s="329"/>
      <c r="AH19" s="317"/>
      <c r="AI19" s="318"/>
      <c r="AJ19" s="318"/>
      <c r="AK19" s="318"/>
      <c r="AL19" s="318"/>
      <c r="AM19" s="319"/>
      <c r="AN19" s="68"/>
      <c r="AO19" s="362"/>
      <c r="AP19" s="363"/>
      <c r="AQ19" s="363"/>
      <c r="AR19" s="363"/>
      <c r="AS19" s="363"/>
      <c r="AT19" s="364"/>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row>
    <row r="20" spans="1:80" ht="15" customHeight="1" x14ac:dyDescent="0.25">
      <c r="A20" s="68"/>
      <c r="B20" s="348"/>
      <c r="C20" s="348"/>
      <c r="D20" s="349"/>
      <c r="E20" s="340"/>
      <c r="F20" s="341"/>
      <c r="G20" s="341"/>
      <c r="H20" s="341"/>
      <c r="I20" s="346"/>
      <c r="J20" s="308" t="str">
        <f ca="1">IF(AND('Mapa final'!$J$57="Alta",'Mapa final'!$N$57="Leve"),CONCATENATE("R",'Mapa final'!$A$57),"")</f>
        <v/>
      </c>
      <c r="K20" s="309"/>
      <c r="L20" s="309" t="str">
        <f>IF(AND('Mapa final'!$J$63="Alta",'Mapa final'!$N$63="Leve"),CONCATENATE("R",'Mapa final'!$A$63),"")</f>
        <v/>
      </c>
      <c r="M20" s="309"/>
      <c r="N20" s="309" t="str">
        <f>IF(AND('Mapa final'!$J$69="Alta",'Mapa final'!$N$69="Leve"),CONCATENATE("R",'Mapa final'!$A$69),"")</f>
        <v/>
      </c>
      <c r="O20" s="310"/>
      <c r="P20" s="308" t="str">
        <f ca="1">IF(AND('Mapa final'!$J$57="Alta",'Mapa final'!$N$57="Menor"),CONCATENATE("R",'Mapa final'!$A$57),"")</f>
        <v/>
      </c>
      <c r="Q20" s="309"/>
      <c r="R20" s="309" t="str">
        <f>IF(AND('Mapa final'!$J$63="Alta",'Mapa final'!$N$63="Menor"),CONCATENATE("R",'Mapa final'!$A$63),"")</f>
        <v/>
      </c>
      <c r="S20" s="309"/>
      <c r="T20" s="309" t="str">
        <f>IF(AND('Mapa final'!$J$69="Alta",'Mapa final'!$N$69="Menor"),CONCATENATE("R",'Mapa final'!$A$69),"")</f>
        <v/>
      </c>
      <c r="U20" s="310"/>
      <c r="V20" s="326" t="str">
        <f ca="1">IF(AND('Mapa final'!$J$57="Alta",'Mapa final'!$N$57="Moderado"),CONCATENATE("R",'Mapa final'!$A$57),"")</f>
        <v/>
      </c>
      <c r="W20" s="327"/>
      <c r="X20" s="328" t="str">
        <f>IF(AND('Mapa final'!$J$63="Alta",'Mapa final'!$N$63="Moderado"),CONCATENATE("R",'Mapa final'!$A$63),"")</f>
        <v/>
      </c>
      <c r="Y20" s="328"/>
      <c r="Z20" s="328" t="str">
        <f>IF(AND('Mapa final'!$J$69="Alta",'Mapa final'!$N$69="Moderado"),CONCATENATE("R",'Mapa final'!$A$69),"")</f>
        <v/>
      </c>
      <c r="AA20" s="329"/>
      <c r="AB20" s="326" t="str">
        <f ca="1">IF(AND('Mapa final'!$J$57="Alta",'Mapa final'!$N$57="Mayor"),CONCATENATE("R",'Mapa final'!$A$57),"")</f>
        <v/>
      </c>
      <c r="AC20" s="327"/>
      <c r="AD20" s="328" t="str">
        <f>IF(AND('Mapa final'!$J$63="Alta",'Mapa final'!$N$63="Mayor"),CONCATENATE("R",'Mapa final'!$A$63),"")</f>
        <v/>
      </c>
      <c r="AE20" s="328"/>
      <c r="AF20" s="328" t="str">
        <f>IF(AND('Mapa final'!$J$69="Alta",'Mapa final'!$N$69="Mayor"),CONCATENATE("R",'Mapa final'!$A$69),"")</f>
        <v/>
      </c>
      <c r="AG20" s="329"/>
      <c r="AH20" s="317" t="str">
        <f ca="1">IF(AND('Mapa final'!$J$57="Alta",'Mapa final'!$N$57="Catastrófico"),CONCATENATE("R",'Mapa final'!$A$57),"")</f>
        <v/>
      </c>
      <c r="AI20" s="318"/>
      <c r="AJ20" s="318" t="str">
        <f>IF(AND('Mapa final'!$J$63="Alta",'Mapa final'!$N$63="Catastrófico"),CONCATENATE("R",'Mapa final'!$A$63),"")</f>
        <v/>
      </c>
      <c r="AK20" s="318"/>
      <c r="AL20" s="318" t="str">
        <f>IF(AND('Mapa final'!$J$69="Alta",'Mapa final'!$N$69="Catastrófico"),CONCATENATE("R",'Mapa final'!$A$69),"")</f>
        <v/>
      </c>
      <c r="AM20" s="319"/>
      <c r="AN20" s="68"/>
      <c r="AO20" s="362"/>
      <c r="AP20" s="363"/>
      <c r="AQ20" s="363"/>
      <c r="AR20" s="363"/>
      <c r="AS20" s="363"/>
      <c r="AT20" s="364"/>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row>
    <row r="21" spans="1:80" ht="15.75" customHeight="1" thickBot="1" x14ac:dyDescent="0.3">
      <c r="A21" s="68"/>
      <c r="B21" s="348"/>
      <c r="C21" s="348"/>
      <c r="D21" s="349"/>
      <c r="E21" s="343"/>
      <c r="F21" s="344"/>
      <c r="G21" s="344"/>
      <c r="H21" s="344"/>
      <c r="I21" s="344"/>
      <c r="J21" s="311"/>
      <c r="K21" s="312"/>
      <c r="L21" s="312"/>
      <c r="M21" s="312"/>
      <c r="N21" s="312"/>
      <c r="O21" s="313"/>
      <c r="P21" s="311"/>
      <c r="Q21" s="312"/>
      <c r="R21" s="312"/>
      <c r="S21" s="312"/>
      <c r="T21" s="312"/>
      <c r="U21" s="313"/>
      <c r="V21" s="330"/>
      <c r="W21" s="331"/>
      <c r="X21" s="331"/>
      <c r="Y21" s="331"/>
      <c r="Z21" s="331"/>
      <c r="AA21" s="332"/>
      <c r="AB21" s="330"/>
      <c r="AC21" s="331"/>
      <c r="AD21" s="331"/>
      <c r="AE21" s="331"/>
      <c r="AF21" s="331"/>
      <c r="AG21" s="332"/>
      <c r="AH21" s="320"/>
      <c r="AI21" s="321"/>
      <c r="AJ21" s="321"/>
      <c r="AK21" s="321"/>
      <c r="AL21" s="321"/>
      <c r="AM21" s="322"/>
      <c r="AN21" s="68"/>
      <c r="AO21" s="365"/>
      <c r="AP21" s="366"/>
      <c r="AQ21" s="366"/>
      <c r="AR21" s="366"/>
      <c r="AS21" s="366"/>
      <c r="AT21" s="367"/>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row>
    <row r="22" spans="1:80" x14ac:dyDescent="0.25">
      <c r="A22" s="68"/>
      <c r="B22" s="348"/>
      <c r="C22" s="348"/>
      <c r="D22" s="349"/>
      <c r="E22" s="337" t="s">
        <v>112</v>
      </c>
      <c r="F22" s="338"/>
      <c r="G22" s="338"/>
      <c r="H22" s="338"/>
      <c r="I22" s="339"/>
      <c r="J22" s="314" t="str">
        <f ca="1">IF(AND('Mapa final'!$J$10="Media",'Mapa final'!$N$10="Leve"),CONCATENATE("R",'Mapa final'!$A$10),"")</f>
        <v/>
      </c>
      <c r="K22" s="315"/>
      <c r="L22" s="315" t="str">
        <f ca="1">IF(AND('Mapa final'!$J$12="Media",'Mapa final'!$N$12="Leve"),CONCATENATE("R",'Mapa final'!$A$12),"")</f>
        <v/>
      </c>
      <c r="M22" s="315"/>
      <c r="N22" s="315" t="str">
        <f ca="1">IF(AND('Mapa final'!$J$15="Media",'Mapa final'!$N$15="Leve"),CONCATENATE("R",'Mapa final'!$A$15),"")</f>
        <v/>
      </c>
      <c r="O22" s="316"/>
      <c r="P22" s="314" t="str">
        <f ca="1">IF(AND('Mapa final'!$J$10="Media",'Mapa final'!$N$10="Menor"),CONCATENATE("R",'Mapa final'!$A$10),"")</f>
        <v/>
      </c>
      <c r="Q22" s="315"/>
      <c r="R22" s="315" t="str">
        <f ca="1">IF(AND('Mapa final'!$J$12="Media",'Mapa final'!$N$12="Menor"),CONCATENATE("R",'Mapa final'!$A$12),"")</f>
        <v/>
      </c>
      <c r="S22" s="315"/>
      <c r="T22" s="315" t="str">
        <f ca="1">IF(AND('Mapa final'!$J$15="Media",'Mapa final'!$N$15="Menor"),CONCATENATE("R",'Mapa final'!$A$15),"")</f>
        <v/>
      </c>
      <c r="U22" s="316"/>
      <c r="V22" s="314" t="str">
        <f ca="1">IF(AND('Mapa final'!$J$10="Media",'Mapa final'!$N$10="Moderado"),CONCATENATE("R",'Mapa final'!$A$10),"")</f>
        <v>R1</v>
      </c>
      <c r="W22" s="315"/>
      <c r="X22" s="315" t="str">
        <f ca="1">IF(AND('Mapa final'!$J$12="Media",'Mapa final'!$N$12="Moderado"),CONCATENATE("R",'Mapa final'!$A$12),"")</f>
        <v/>
      </c>
      <c r="Y22" s="315"/>
      <c r="Z22" s="315" t="str">
        <f ca="1">IF(AND('Mapa final'!$J$15="Media",'Mapa final'!$N$15="Moderado"),CONCATENATE("R",'Mapa final'!$A$15),"")</f>
        <v/>
      </c>
      <c r="AA22" s="316"/>
      <c r="AB22" s="333" t="str">
        <f ca="1">IF(AND('Mapa final'!$J$10="Media",'Mapa final'!$N$10="Mayor"),CONCATENATE("R",'Mapa final'!$A$10),"")</f>
        <v/>
      </c>
      <c r="AC22" s="334"/>
      <c r="AD22" s="334" t="str">
        <f ca="1">IF(AND('Mapa final'!$J$12="Media",'Mapa final'!$N$12="Mayor"),CONCATENATE("R",'Mapa final'!$A$12),"")</f>
        <v/>
      </c>
      <c r="AE22" s="334"/>
      <c r="AF22" s="334" t="str">
        <f ca="1">IF(AND('Mapa final'!$J$15="Media",'Mapa final'!$N$15="Mayor"),CONCATENATE("R",'Mapa final'!$A$15),"")</f>
        <v/>
      </c>
      <c r="AG22" s="335"/>
      <c r="AH22" s="323" t="str">
        <f ca="1">IF(AND('Mapa final'!$J$10="Media",'Mapa final'!$N$10="Catastrófico"),CONCATENATE("R",'Mapa final'!$A$10),"")</f>
        <v/>
      </c>
      <c r="AI22" s="324"/>
      <c r="AJ22" s="324" t="str">
        <f ca="1">IF(AND('Mapa final'!$J$12="Media",'Mapa final'!$N$12="Catastrófico"),CONCATENATE("R",'Mapa final'!$A$12),"")</f>
        <v/>
      </c>
      <c r="AK22" s="324"/>
      <c r="AL22" s="324" t="str">
        <f ca="1">IF(AND('Mapa final'!$J$15="Media",'Mapa final'!$N$15="Catastrófico"),CONCATENATE("R",'Mapa final'!$A$15),"")</f>
        <v/>
      </c>
      <c r="AM22" s="325"/>
      <c r="AN22" s="68"/>
      <c r="AO22" s="368" t="s">
        <v>80</v>
      </c>
      <c r="AP22" s="369"/>
      <c r="AQ22" s="369"/>
      <c r="AR22" s="369"/>
      <c r="AS22" s="369"/>
      <c r="AT22" s="370"/>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row>
    <row r="23" spans="1:80" x14ac:dyDescent="0.25">
      <c r="A23" s="68"/>
      <c r="B23" s="348"/>
      <c r="C23" s="348"/>
      <c r="D23" s="349"/>
      <c r="E23" s="340"/>
      <c r="F23" s="341"/>
      <c r="G23" s="341"/>
      <c r="H23" s="341"/>
      <c r="I23" s="342"/>
      <c r="J23" s="308"/>
      <c r="K23" s="309"/>
      <c r="L23" s="309"/>
      <c r="M23" s="309"/>
      <c r="N23" s="309"/>
      <c r="O23" s="310"/>
      <c r="P23" s="308"/>
      <c r="Q23" s="309"/>
      <c r="R23" s="309"/>
      <c r="S23" s="309"/>
      <c r="T23" s="309"/>
      <c r="U23" s="310"/>
      <c r="V23" s="308"/>
      <c r="W23" s="309"/>
      <c r="X23" s="309"/>
      <c r="Y23" s="309"/>
      <c r="Z23" s="309"/>
      <c r="AA23" s="310"/>
      <c r="AB23" s="326"/>
      <c r="AC23" s="327"/>
      <c r="AD23" s="327"/>
      <c r="AE23" s="327"/>
      <c r="AF23" s="327"/>
      <c r="AG23" s="329"/>
      <c r="AH23" s="317"/>
      <c r="AI23" s="318"/>
      <c r="AJ23" s="318"/>
      <c r="AK23" s="318"/>
      <c r="AL23" s="318"/>
      <c r="AM23" s="319"/>
      <c r="AN23" s="68"/>
      <c r="AO23" s="371"/>
      <c r="AP23" s="372"/>
      <c r="AQ23" s="372"/>
      <c r="AR23" s="372"/>
      <c r="AS23" s="372"/>
      <c r="AT23" s="373"/>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row>
    <row r="24" spans="1:80" x14ac:dyDescent="0.25">
      <c r="A24" s="68"/>
      <c r="B24" s="348"/>
      <c r="C24" s="348"/>
      <c r="D24" s="349"/>
      <c r="E24" s="340"/>
      <c r="F24" s="341"/>
      <c r="G24" s="341"/>
      <c r="H24" s="341"/>
      <c r="I24" s="342"/>
      <c r="J24" s="308" t="str">
        <f ca="1">IF(AND('Mapa final'!$J$21="Media",'Mapa final'!$N$21="Leve"),CONCATENATE("R",'Mapa final'!$A$21),"")</f>
        <v/>
      </c>
      <c r="K24" s="309"/>
      <c r="L24" s="309" t="str">
        <f ca="1">IF(AND('Mapa final'!$J$27="Media",'Mapa final'!$N$27="Leve"),CONCATENATE("R",'Mapa final'!$A$27),"")</f>
        <v/>
      </c>
      <c r="M24" s="309"/>
      <c r="N24" s="309" t="str">
        <f ca="1">IF(AND('Mapa final'!$J$33="Media",'Mapa final'!$N$33="Leve"),CONCATENATE("R",'Mapa final'!$A$33),"")</f>
        <v/>
      </c>
      <c r="O24" s="310"/>
      <c r="P24" s="308" t="str">
        <f ca="1">IF(AND('Mapa final'!$J$21="Media",'Mapa final'!$N$21="Menor"),CONCATENATE("R",'Mapa final'!$A$21),"")</f>
        <v/>
      </c>
      <c r="Q24" s="309"/>
      <c r="R24" s="309" t="str">
        <f ca="1">IF(AND('Mapa final'!$J$27="Media",'Mapa final'!$N$27="Menor"),CONCATENATE("R",'Mapa final'!$A$27),"")</f>
        <v/>
      </c>
      <c r="S24" s="309"/>
      <c r="T24" s="309" t="str">
        <f ca="1">IF(AND('Mapa final'!$J$33="Media",'Mapa final'!$N$33="Menor"),CONCATENATE("R",'Mapa final'!$A$33),"")</f>
        <v/>
      </c>
      <c r="U24" s="310"/>
      <c r="V24" s="308" t="str">
        <f ca="1">IF(AND('Mapa final'!$J$21="Media",'Mapa final'!$N$21="Moderado"),CONCATENATE("R",'Mapa final'!$A$21),"")</f>
        <v/>
      </c>
      <c r="W24" s="309"/>
      <c r="X24" s="309" t="str">
        <f ca="1">IF(AND('Mapa final'!$J$27="Media",'Mapa final'!$N$27="Moderado"),CONCATENATE("R",'Mapa final'!$A$27),"")</f>
        <v/>
      </c>
      <c r="Y24" s="309"/>
      <c r="Z24" s="309" t="str">
        <f ca="1">IF(AND('Mapa final'!$J$33="Media",'Mapa final'!$N$33="Moderado"),CONCATENATE("R",'Mapa final'!$A$33),"")</f>
        <v/>
      </c>
      <c r="AA24" s="310"/>
      <c r="AB24" s="326" t="str">
        <f ca="1">IF(AND('Mapa final'!$J$21="Media",'Mapa final'!$N$21="Mayor"),CONCATENATE("R",'Mapa final'!$A$21),"")</f>
        <v/>
      </c>
      <c r="AC24" s="327"/>
      <c r="AD24" s="328" t="str">
        <f ca="1">IF(AND('Mapa final'!$J$27="Media",'Mapa final'!$N$27="Mayor"),CONCATENATE("R",'Mapa final'!$A$27),"")</f>
        <v/>
      </c>
      <c r="AE24" s="328"/>
      <c r="AF24" s="328" t="str">
        <f ca="1">IF(AND('Mapa final'!$J$33="Media",'Mapa final'!$N$33="Mayor"),CONCATENATE("R",'Mapa final'!$A$33),"")</f>
        <v/>
      </c>
      <c r="AG24" s="329"/>
      <c r="AH24" s="317" t="str">
        <f ca="1">IF(AND('Mapa final'!$J$21="Media",'Mapa final'!$N$21="Catastrófico"),CONCATENATE("R",'Mapa final'!$A$21),"")</f>
        <v/>
      </c>
      <c r="AI24" s="318"/>
      <c r="AJ24" s="318" t="str">
        <f ca="1">IF(AND('Mapa final'!$J$27="Media",'Mapa final'!$N$27="Catastrófico"),CONCATENATE("R",'Mapa final'!$A$27),"")</f>
        <v/>
      </c>
      <c r="AK24" s="318"/>
      <c r="AL24" s="318" t="str">
        <f ca="1">IF(AND('Mapa final'!$J$33="Media",'Mapa final'!$N$33="Catastrófico"),CONCATENATE("R",'Mapa final'!$A$33),"")</f>
        <v/>
      </c>
      <c r="AM24" s="319"/>
      <c r="AN24" s="68"/>
      <c r="AO24" s="371"/>
      <c r="AP24" s="372"/>
      <c r="AQ24" s="372"/>
      <c r="AR24" s="372"/>
      <c r="AS24" s="372"/>
      <c r="AT24" s="373"/>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row>
    <row r="25" spans="1:80" x14ac:dyDescent="0.25">
      <c r="A25" s="68"/>
      <c r="B25" s="348"/>
      <c r="C25" s="348"/>
      <c r="D25" s="349"/>
      <c r="E25" s="340"/>
      <c r="F25" s="341"/>
      <c r="G25" s="341"/>
      <c r="H25" s="341"/>
      <c r="I25" s="342"/>
      <c r="J25" s="308"/>
      <c r="K25" s="309"/>
      <c r="L25" s="309"/>
      <c r="M25" s="309"/>
      <c r="N25" s="309"/>
      <c r="O25" s="310"/>
      <c r="P25" s="308"/>
      <c r="Q25" s="309"/>
      <c r="R25" s="309"/>
      <c r="S25" s="309"/>
      <c r="T25" s="309"/>
      <c r="U25" s="310"/>
      <c r="V25" s="308"/>
      <c r="W25" s="309"/>
      <c r="X25" s="309"/>
      <c r="Y25" s="309"/>
      <c r="Z25" s="309"/>
      <c r="AA25" s="310"/>
      <c r="AB25" s="326"/>
      <c r="AC25" s="327"/>
      <c r="AD25" s="328"/>
      <c r="AE25" s="328"/>
      <c r="AF25" s="328"/>
      <c r="AG25" s="329"/>
      <c r="AH25" s="317"/>
      <c r="AI25" s="318"/>
      <c r="AJ25" s="318"/>
      <c r="AK25" s="318"/>
      <c r="AL25" s="318"/>
      <c r="AM25" s="319"/>
      <c r="AN25" s="68"/>
      <c r="AO25" s="371"/>
      <c r="AP25" s="372"/>
      <c r="AQ25" s="372"/>
      <c r="AR25" s="372"/>
      <c r="AS25" s="372"/>
      <c r="AT25" s="373"/>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row>
    <row r="26" spans="1:80" x14ac:dyDescent="0.25">
      <c r="A26" s="68"/>
      <c r="B26" s="348"/>
      <c r="C26" s="348"/>
      <c r="D26" s="349"/>
      <c r="E26" s="340"/>
      <c r="F26" s="341"/>
      <c r="G26" s="341"/>
      <c r="H26" s="341"/>
      <c r="I26" s="342"/>
      <c r="J26" s="308" t="str">
        <f ca="1">IF(AND('Mapa final'!$J$39="Media",'Mapa final'!$N$39="Leve"),CONCATENATE("R",'Mapa final'!$A$39),"")</f>
        <v/>
      </c>
      <c r="K26" s="309"/>
      <c r="L26" s="309" t="str">
        <f ca="1">IF(AND('Mapa final'!$J$45="Media",'Mapa final'!$N$45="Leve"),CONCATENATE("R",'Mapa final'!$A$45),"")</f>
        <v/>
      </c>
      <c r="M26" s="309"/>
      <c r="N26" s="309" t="str">
        <f ca="1">IF(AND('Mapa final'!$J$51="Media",'Mapa final'!$N$51="Leve"),CONCATENATE("R",'Mapa final'!$A$51),"")</f>
        <v/>
      </c>
      <c r="O26" s="310"/>
      <c r="P26" s="308" t="str">
        <f ca="1">IF(AND('Mapa final'!$J$39="Media",'Mapa final'!$N$39="Menor"),CONCATENATE("R",'Mapa final'!$A$39),"")</f>
        <v/>
      </c>
      <c r="Q26" s="309"/>
      <c r="R26" s="309" t="str">
        <f ca="1">IF(AND('Mapa final'!$J$45="Media",'Mapa final'!$N$45="Menor"),CONCATENATE("R",'Mapa final'!$A$45),"")</f>
        <v/>
      </c>
      <c r="S26" s="309"/>
      <c r="T26" s="309" t="str">
        <f ca="1">IF(AND('Mapa final'!$J$51="Media",'Mapa final'!$N$51="Menor"),CONCATENATE("R",'Mapa final'!$A$51),"")</f>
        <v/>
      </c>
      <c r="U26" s="310"/>
      <c r="V26" s="308" t="str">
        <f ca="1">IF(AND('Mapa final'!$J$39="Media",'Mapa final'!$N$39="Moderado"),CONCATENATE("R",'Mapa final'!$A$39),"")</f>
        <v/>
      </c>
      <c r="W26" s="309"/>
      <c r="X26" s="309" t="str">
        <f ca="1">IF(AND('Mapa final'!$J$45="Media",'Mapa final'!$N$45="Moderado"),CONCATENATE("R",'Mapa final'!$A$45),"")</f>
        <v/>
      </c>
      <c r="Y26" s="309"/>
      <c r="Z26" s="309" t="str">
        <f ca="1">IF(AND('Mapa final'!$J$51="Media",'Mapa final'!$N$51="Moderado"),CONCATENATE("R",'Mapa final'!$A$51),"")</f>
        <v/>
      </c>
      <c r="AA26" s="310"/>
      <c r="AB26" s="326" t="str">
        <f ca="1">IF(AND('Mapa final'!$J$39="Media",'Mapa final'!$N$39="Mayor"),CONCATENATE("R",'Mapa final'!$A$39),"")</f>
        <v/>
      </c>
      <c r="AC26" s="327"/>
      <c r="AD26" s="328" t="str">
        <f ca="1">IF(AND('Mapa final'!$J$45="Media",'Mapa final'!$N$45="Mayor"),CONCATENATE("R",'Mapa final'!$A$45),"")</f>
        <v/>
      </c>
      <c r="AE26" s="328"/>
      <c r="AF26" s="328" t="str">
        <f ca="1">IF(AND('Mapa final'!$J$51="Media",'Mapa final'!$N$51="Mayor"),CONCATENATE("R",'Mapa final'!$A$51),"")</f>
        <v/>
      </c>
      <c r="AG26" s="329"/>
      <c r="AH26" s="317" t="str">
        <f ca="1">IF(AND('Mapa final'!$J$39="Media",'Mapa final'!$N$39="Catastrófico"),CONCATENATE("R",'Mapa final'!$A$39),"")</f>
        <v/>
      </c>
      <c r="AI26" s="318"/>
      <c r="AJ26" s="318" t="str">
        <f ca="1">IF(AND('Mapa final'!$J$45="Media",'Mapa final'!$N$45="Catastrófico"),CONCATENATE("R",'Mapa final'!$A$45),"")</f>
        <v/>
      </c>
      <c r="AK26" s="318"/>
      <c r="AL26" s="318" t="str">
        <f ca="1">IF(AND('Mapa final'!$J$51="Media",'Mapa final'!$N$51="Catastrófico"),CONCATENATE("R",'Mapa final'!$A$51),"")</f>
        <v/>
      </c>
      <c r="AM26" s="319"/>
      <c r="AN26" s="68"/>
      <c r="AO26" s="371"/>
      <c r="AP26" s="372"/>
      <c r="AQ26" s="372"/>
      <c r="AR26" s="372"/>
      <c r="AS26" s="372"/>
      <c r="AT26" s="373"/>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row>
    <row r="27" spans="1:80" x14ac:dyDescent="0.25">
      <c r="A27" s="68"/>
      <c r="B27" s="348"/>
      <c r="C27" s="348"/>
      <c r="D27" s="349"/>
      <c r="E27" s="340"/>
      <c r="F27" s="341"/>
      <c r="G27" s="341"/>
      <c r="H27" s="341"/>
      <c r="I27" s="342"/>
      <c r="J27" s="308"/>
      <c r="K27" s="309"/>
      <c r="L27" s="309"/>
      <c r="M27" s="309"/>
      <c r="N27" s="309"/>
      <c r="O27" s="310"/>
      <c r="P27" s="308"/>
      <c r="Q27" s="309"/>
      <c r="R27" s="309"/>
      <c r="S27" s="309"/>
      <c r="T27" s="309"/>
      <c r="U27" s="310"/>
      <c r="V27" s="308"/>
      <c r="W27" s="309"/>
      <c r="X27" s="309"/>
      <c r="Y27" s="309"/>
      <c r="Z27" s="309"/>
      <c r="AA27" s="310"/>
      <c r="AB27" s="326"/>
      <c r="AC27" s="327"/>
      <c r="AD27" s="328"/>
      <c r="AE27" s="328"/>
      <c r="AF27" s="328"/>
      <c r="AG27" s="329"/>
      <c r="AH27" s="317"/>
      <c r="AI27" s="318"/>
      <c r="AJ27" s="318"/>
      <c r="AK27" s="318"/>
      <c r="AL27" s="318"/>
      <c r="AM27" s="319"/>
      <c r="AN27" s="68"/>
      <c r="AO27" s="371"/>
      <c r="AP27" s="372"/>
      <c r="AQ27" s="372"/>
      <c r="AR27" s="372"/>
      <c r="AS27" s="372"/>
      <c r="AT27" s="373"/>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row>
    <row r="28" spans="1:80" x14ac:dyDescent="0.25">
      <c r="A28" s="68"/>
      <c r="B28" s="348"/>
      <c r="C28" s="348"/>
      <c r="D28" s="349"/>
      <c r="E28" s="340"/>
      <c r="F28" s="341"/>
      <c r="G28" s="341"/>
      <c r="H28" s="341"/>
      <c r="I28" s="342"/>
      <c r="J28" s="308" t="str">
        <f ca="1">IF(AND('Mapa final'!$J$57="Media",'Mapa final'!$N$57="Leve"),CONCATENATE("R",'Mapa final'!$A$57),"")</f>
        <v/>
      </c>
      <c r="K28" s="309"/>
      <c r="L28" s="309" t="str">
        <f>IF(AND('Mapa final'!$J$63="Media",'Mapa final'!$N$63="Leve"),CONCATENATE("R",'Mapa final'!$A$63),"")</f>
        <v/>
      </c>
      <c r="M28" s="309"/>
      <c r="N28" s="309" t="str">
        <f>IF(AND('Mapa final'!$J$69="Media",'Mapa final'!$N$69="Leve"),CONCATENATE("R",'Mapa final'!$A$69),"")</f>
        <v/>
      </c>
      <c r="O28" s="310"/>
      <c r="P28" s="308" t="str">
        <f ca="1">IF(AND('Mapa final'!$J$57="Media",'Mapa final'!$N$57="Menor"),CONCATENATE("R",'Mapa final'!$A$57),"")</f>
        <v/>
      </c>
      <c r="Q28" s="309"/>
      <c r="R28" s="309" t="str">
        <f>IF(AND('Mapa final'!$J$63="Media",'Mapa final'!$N$63="Menor"),CONCATENATE("R",'Mapa final'!$A$63),"")</f>
        <v/>
      </c>
      <c r="S28" s="309"/>
      <c r="T28" s="309" t="str">
        <f>IF(AND('Mapa final'!$J$69="Media",'Mapa final'!$N$69="Menor"),CONCATENATE("R",'Mapa final'!$A$69),"")</f>
        <v/>
      </c>
      <c r="U28" s="310"/>
      <c r="V28" s="308" t="str">
        <f ca="1">IF(AND('Mapa final'!$J$57="Media",'Mapa final'!$N$57="Moderado"),CONCATENATE("R",'Mapa final'!$A$57),"")</f>
        <v/>
      </c>
      <c r="W28" s="309"/>
      <c r="X28" s="309" t="str">
        <f>IF(AND('Mapa final'!$J$63="Media",'Mapa final'!$N$63="Moderado"),CONCATENATE("R",'Mapa final'!$A$63),"")</f>
        <v/>
      </c>
      <c r="Y28" s="309"/>
      <c r="Z28" s="309" t="str">
        <f>IF(AND('Mapa final'!$J$69="Media",'Mapa final'!$N$69="Moderado"),CONCATENATE("R",'Mapa final'!$A$69),"")</f>
        <v/>
      </c>
      <c r="AA28" s="310"/>
      <c r="AB28" s="326" t="str">
        <f ca="1">IF(AND('Mapa final'!$J$57="Media",'Mapa final'!$N$57="Mayor"),CONCATENATE("R",'Mapa final'!$A$57),"")</f>
        <v/>
      </c>
      <c r="AC28" s="327"/>
      <c r="AD28" s="328" t="str">
        <f>IF(AND('Mapa final'!$J$63="Media",'Mapa final'!$N$63="Mayor"),CONCATENATE("R",'Mapa final'!$A$63),"")</f>
        <v/>
      </c>
      <c r="AE28" s="328"/>
      <c r="AF28" s="328" t="str">
        <f>IF(AND('Mapa final'!$J$69="Media",'Mapa final'!$N$69="Mayor"),CONCATENATE("R",'Mapa final'!$A$69),"")</f>
        <v/>
      </c>
      <c r="AG28" s="329"/>
      <c r="AH28" s="317" t="str">
        <f ca="1">IF(AND('Mapa final'!$J$57="Media",'Mapa final'!$N$57="Catastrófico"),CONCATENATE("R",'Mapa final'!$A$57),"")</f>
        <v/>
      </c>
      <c r="AI28" s="318"/>
      <c r="AJ28" s="318" t="str">
        <f>IF(AND('Mapa final'!$J$63="Media",'Mapa final'!$N$63="Catastrófico"),CONCATENATE("R",'Mapa final'!$A$63),"")</f>
        <v/>
      </c>
      <c r="AK28" s="318"/>
      <c r="AL28" s="318" t="str">
        <f>IF(AND('Mapa final'!$J$69="Media",'Mapa final'!$N$69="Catastrófico"),CONCATENATE("R",'Mapa final'!$A$69),"")</f>
        <v/>
      </c>
      <c r="AM28" s="319"/>
      <c r="AN28" s="68"/>
      <c r="AO28" s="371"/>
      <c r="AP28" s="372"/>
      <c r="AQ28" s="372"/>
      <c r="AR28" s="372"/>
      <c r="AS28" s="372"/>
      <c r="AT28" s="373"/>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row>
    <row r="29" spans="1:80" ht="15.75" thickBot="1" x14ac:dyDescent="0.3">
      <c r="A29" s="68"/>
      <c r="B29" s="348"/>
      <c r="C29" s="348"/>
      <c r="D29" s="349"/>
      <c r="E29" s="343"/>
      <c r="F29" s="344"/>
      <c r="G29" s="344"/>
      <c r="H29" s="344"/>
      <c r="I29" s="345"/>
      <c r="J29" s="308"/>
      <c r="K29" s="309"/>
      <c r="L29" s="309"/>
      <c r="M29" s="309"/>
      <c r="N29" s="309"/>
      <c r="O29" s="310"/>
      <c r="P29" s="311"/>
      <c r="Q29" s="312"/>
      <c r="R29" s="312"/>
      <c r="S29" s="312"/>
      <c r="T29" s="312"/>
      <c r="U29" s="313"/>
      <c r="V29" s="311"/>
      <c r="W29" s="312"/>
      <c r="X29" s="312"/>
      <c r="Y29" s="312"/>
      <c r="Z29" s="312"/>
      <c r="AA29" s="313"/>
      <c r="AB29" s="330"/>
      <c r="AC29" s="331"/>
      <c r="AD29" s="331"/>
      <c r="AE29" s="331"/>
      <c r="AF29" s="331"/>
      <c r="AG29" s="332"/>
      <c r="AH29" s="320"/>
      <c r="AI29" s="321"/>
      <c r="AJ29" s="321"/>
      <c r="AK29" s="321"/>
      <c r="AL29" s="321"/>
      <c r="AM29" s="322"/>
      <c r="AN29" s="68"/>
      <c r="AO29" s="374"/>
      <c r="AP29" s="375"/>
      <c r="AQ29" s="375"/>
      <c r="AR29" s="375"/>
      <c r="AS29" s="375"/>
      <c r="AT29" s="376"/>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row>
    <row r="30" spans="1:80" x14ac:dyDescent="0.25">
      <c r="A30" s="68"/>
      <c r="B30" s="348"/>
      <c r="C30" s="348"/>
      <c r="D30" s="349"/>
      <c r="E30" s="337" t="s">
        <v>109</v>
      </c>
      <c r="F30" s="338"/>
      <c r="G30" s="338"/>
      <c r="H30" s="338"/>
      <c r="I30" s="338"/>
      <c r="J30" s="305" t="str">
        <f ca="1">IF(AND('Mapa final'!$J$10="Baja",'Mapa final'!$N$10="Leve"),CONCATENATE("R",'Mapa final'!$A$10),"")</f>
        <v/>
      </c>
      <c r="K30" s="306"/>
      <c r="L30" s="306" t="str">
        <f ca="1">IF(AND('Mapa final'!$J$12="Baja",'Mapa final'!$N$12="Leve"),CONCATENATE("R",'Mapa final'!$A$12),"")</f>
        <v/>
      </c>
      <c r="M30" s="306"/>
      <c r="N30" s="306" t="str">
        <f ca="1">IF(AND('Mapa final'!$J$15="Baja",'Mapa final'!$N$15="Leve"),CONCATENATE("R",'Mapa final'!$A$15),"")</f>
        <v/>
      </c>
      <c r="O30" s="307"/>
      <c r="P30" s="315" t="str">
        <f ca="1">IF(AND('Mapa final'!$J$10="Baja",'Mapa final'!$N$10="Menor"),CONCATENATE("R",'Mapa final'!$A$10),"")</f>
        <v/>
      </c>
      <c r="Q30" s="315"/>
      <c r="R30" s="315" t="str">
        <f ca="1">IF(AND('Mapa final'!$J$12="Baja",'Mapa final'!$N$12="Menor"),CONCATENATE("R",'Mapa final'!$A$12),"")</f>
        <v/>
      </c>
      <c r="S30" s="315"/>
      <c r="T30" s="315" t="str">
        <f ca="1">IF(AND('Mapa final'!$J$15="Baja",'Mapa final'!$N$15="Menor"),CONCATENATE("R",'Mapa final'!$A$15),"")</f>
        <v/>
      </c>
      <c r="U30" s="316"/>
      <c r="V30" s="314" t="str">
        <f ca="1">IF(AND('Mapa final'!$J$10="Baja",'Mapa final'!$N$10="Moderado"),CONCATENATE("R",'Mapa final'!$A$10),"")</f>
        <v/>
      </c>
      <c r="W30" s="315"/>
      <c r="X30" s="315" t="str">
        <f ca="1">IF(AND('Mapa final'!$J$12="Baja",'Mapa final'!$N$12="Moderado"),CONCATENATE("R",'Mapa final'!$A$12),"")</f>
        <v/>
      </c>
      <c r="Y30" s="315"/>
      <c r="Z30" s="315" t="str">
        <f ca="1">IF(AND('Mapa final'!$J$15="Baja",'Mapa final'!$N$15="Moderado"),CONCATENATE("R",'Mapa final'!$A$15),"")</f>
        <v/>
      </c>
      <c r="AA30" s="316"/>
      <c r="AB30" s="333" t="str">
        <f ca="1">IF(AND('Mapa final'!$J$10="Baja",'Mapa final'!$N$10="Mayor"),CONCATENATE("R",'Mapa final'!$A$10),"")</f>
        <v/>
      </c>
      <c r="AC30" s="334"/>
      <c r="AD30" s="334" t="str">
        <f ca="1">IF(AND('Mapa final'!$J$12="Baja",'Mapa final'!$N$12="Mayor"),CONCATENATE("R",'Mapa final'!$A$12),"")</f>
        <v/>
      </c>
      <c r="AE30" s="334"/>
      <c r="AF30" s="334" t="str">
        <f ca="1">IF(AND('Mapa final'!$J$15="Baja",'Mapa final'!$N$15="Mayor"),CONCATENATE("R",'Mapa final'!$A$15),"")</f>
        <v/>
      </c>
      <c r="AG30" s="335"/>
      <c r="AH30" s="323" t="str">
        <f ca="1">IF(AND('Mapa final'!$J$10="Baja",'Mapa final'!$N$10="Catastrófico"),CONCATENATE("R",'Mapa final'!$A$10),"")</f>
        <v/>
      </c>
      <c r="AI30" s="324"/>
      <c r="AJ30" s="324" t="str">
        <f ca="1">IF(AND('Mapa final'!$J$12="Baja",'Mapa final'!$N$12="Catastrófico"),CONCATENATE("R",'Mapa final'!$A$12),"")</f>
        <v/>
      </c>
      <c r="AK30" s="324"/>
      <c r="AL30" s="324" t="str">
        <f ca="1">IF(AND('Mapa final'!$J$15="Baja",'Mapa final'!$N$15="Catastrófico"),CONCATENATE("R",'Mapa final'!$A$15),"")</f>
        <v/>
      </c>
      <c r="AM30" s="325"/>
      <c r="AN30" s="68"/>
      <c r="AO30" s="377" t="s">
        <v>81</v>
      </c>
      <c r="AP30" s="378"/>
      <c r="AQ30" s="378"/>
      <c r="AR30" s="378"/>
      <c r="AS30" s="378"/>
      <c r="AT30" s="379"/>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row>
    <row r="31" spans="1:80" x14ac:dyDescent="0.25">
      <c r="A31" s="68"/>
      <c r="B31" s="348"/>
      <c r="C31" s="348"/>
      <c r="D31" s="349"/>
      <c r="E31" s="340"/>
      <c r="F31" s="341"/>
      <c r="G31" s="341"/>
      <c r="H31" s="341"/>
      <c r="I31" s="346"/>
      <c r="J31" s="299"/>
      <c r="K31" s="300"/>
      <c r="L31" s="300"/>
      <c r="M31" s="300"/>
      <c r="N31" s="300"/>
      <c r="O31" s="301"/>
      <c r="P31" s="309"/>
      <c r="Q31" s="309"/>
      <c r="R31" s="309"/>
      <c r="S31" s="309"/>
      <c r="T31" s="309"/>
      <c r="U31" s="310"/>
      <c r="V31" s="308"/>
      <c r="W31" s="309"/>
      <c r="X31" s="309"/>
      <c r="Y31" s="309"/>
      <c r="Z31" s="309"/>
      <c r="AA31" s="310"/>
      <c r="AB31" s="326"/>
      <c r="AC31" s="327"/>
      <c r="AD31" s="327"/>
      <c r="AE31" s="327"/>
      <c r="AF31" s="327"/>
      <c r="AG31" s="329"/>
      <c r="AH31" s="317"/>
      <c r="AI31" s="318"/>
      <c r="AJ31" s="318"/>
      <c r="AK31" s="318"/>
      <c r="AL31" s="318"/>
      <c r="AM31" s="319"/>
      <c r="AN31" s="68"/>
      <c r="AO31" s="380"/>
      <c r="AP31" s="381"/>
      <c r="AQ31" s="381"/>
      <c r="AR31" s="381"/>
      <c r="AS31" s="381"/>
      <c r="AT31" s="382"/>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row>
    <row r="32" spans="1:80" x14ac:dyDescent="0.25">
      <c r="A32" s="68"/>
      <c r="B32" s="348"/>
      <c r="C32" s="348"/>
      <c r="D32" s="349"/>
      <c r="E32" s="340"/>
      <c r="F32" s="341"/>
      <c r="G32" s="341"/>
      <c r="H32" s="341"/>
      <c r="I32" s="346"/>
      <c r="J32" s="299" t="str">
        <f ca="1">IF(AND('Mapa final'!$J$21="Baja",'Mapa final'!$N$21="Leve"),CONCATENATE("R",'Mapa final'!$A$21),"")</f>
        <v/>
      </c>
      <c r="K32" s="300"/>
      <c r="L32" s="300" t="str">
        <f ca="1">IF(AND('Mapa final'!$J$27="Baja",'Mapa final'!$N$27="Leve"),CONCATENATE("R",'Mapa final'!$A$27),"")</f>
        <v/>
      </c>
      <c r="M32" s="300"/>
      <c r="N32" s="300" t="str">
        <f ca="1">IF(AND('Mapa final'!$J$33="Baja",'Mapa final'!$N$33="Leve"),CONCATENATE("R",'Mapa final'!$A$33),"")</f>
        <v/>
      </c>
      <c r="O32" s="301"/>
      <c r="P32" s="309" t="str">
        <f ca="1">IF(AND('Mapa final'!$J$21="Baja",'Mapa final'!$N$21="Menor"),CONCATENATE("R",'Mapa final'!$A$21),"")</f>
        <v/>
      </c>
      <c r="Q32" s="309"/>
      <c r="R32" s="309" t="str">
        <f ca="1">IF(AND('Mapa final'!$J$27="Baja",'Mapa final'!$N$27="Menor"),CONCATENATE("R",'Mapa final'!$A$27),"")</f>
        <v/>
      </c>
      <c r="S32" s="309"/>
      <c r="T32" s="309" t="str">
        <f ca="1">IF(AND('Mapa final'!$J$33="Baja",'Mapa final'!$N$33="Menor"),CONCATENATE("R",'Mapa final'!$A$33),"")</f>
        <v/>
      </c>
      <c r="U32" s="310"/>
      <c r="V32" s="308" t="str">
        <f ca="1">IF(AND('Mapa final'!$J$21="Baja",'Mapa final'!$N$21="Moderado"),CONCATENATE("R",'Mapa final'!$A$21),"")</f>
        <v/>
      </c>
      <c r="W32" s="309"/>
      <c r="X32" s="309" t="str">
        <f ca="1">IF(AND('Mapa final'!$J$27="Baja",'Mapa final'!$N$27="Moderado"),CONCATENATE("R",'Mapa final'!$A$27),"")</f>
        <v/>
      </c>
      <c r="Y32" s="309"/>
      <c r="Z32" s="309" t="str">
        <f ca="1">IF(AND('Mapa final'!$J$33="Baja",'Mapa final'!$N$33="Moderado"),CONCATENATE("R",'Mapa final'!$A$33),"")</f>
        <v/>
      </c>
      <c r="AA32" s="310"/>
      <c r="AB32" s="326" t="str">
        <f ca="1">IF(AND('Mapa final'!$J$21="Baja",'Mapa final'!$N$21="Mayor"),CONCATENATE("R",'Mapa final'!$A$21),"")</f>
        <v/>
      </c>
      <c r="AC32" s="327"/>
      <c r="AD32" s="328" t="str">
        <f ca="1">IF(AND('Mapa final'!$J$27="Baja",'Mapa final'!$N$27="Mayor"),CONCATENATE("R",'Mapa final'!$A$27),"")</f>
        <v/>
      </c>
      <c r="AE32" s="328"/>
      <c r="AF32" s="328" t="str">
        <f ca="1">IF(AND('Mapa final'!$J$33="Baja",'Mapa final'!$N$33="Mayor"),CONCATENATE("R",'Mapa final'!$A$33),"")</f>
        <v/>
      </c>
      <c r="AG32" s="329"/>
      <c r="AH32" s="317" t="str">
        <f ca="1">IF(AND('Mapa final'!$J$21="Baja",'Mapa final'!$N$21="Catastrófico"),CONCATENATE("R",'Mapa final'!$A$21),"")</f>
        <v/>
      </c>
      <c r="AI32" s="318"/>
      <c r="AJ32" s="318" t="str">
        <f ca="1">IF(AND('Mapa final'!$J$27="Baja",'Mapa final'!$N$27="Catastrófico"),CONCATENATE("R",'Mapa final'!$A$27),"")</f>
        <v/>
      </c>
      <c r="AK32" s="318"/>
      <c r="AL32" s="318" t="str">
        <f ca="1">IF(AND('Mapa final'!$J$33="Baja",'Mapa final'!$N$33="Catastrófico"),CONCATENATE("R",'Mapa final'!$A$33),"")</f>
        <v/>
      </c>
      <c r="AM32" s="319"/>
      <c r="AN32" s="68"/>
      <c r="AO32" s="380"/>
      <c r="AP32" s="381"/>
      <c r="AQ32" s="381"/>
      <c r="AR32" s="381"/>
      <c r="AS32" s="381"/>
      <c r="AT32" s="382"/>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row>
    <row r="33" spans="1:80" x14ac:dyDescent="0.25">
      <c r="A33" s="68"/>
      <c r="B33" s="348"/>
      <c r="C33" s="348"/>
      <c r="D33" s="349"/>
      <c r="E33" s="340"/>
      <c r="F33" s="341"/>
      <c r="G33" s="341"/>
      <c r="H33" s="341"/>
      <c r="I33" s="346"/>
      <c r="J33" s="299"/>
      <c r="K33" s="300"/>
      <c r="L33" s="300"/>
      <c r="M33" s="300"/>
      <c r="N33" s="300"/>
      <c r="O33" s="301"/>
      <c r="P33" s="309"/>
      <c r="Q33" s="309"/>
      <c r="R33" s="309"/>
      <c r="S33" s="309"/>
      <c r="T33" s="309"/>
      <c r="U33" s="310"/>
      <c r="V33" s="308"/>
      <c r="W33" s="309"/>
      <c r="X33" s="309"/>
      <c r="Y33" s="309"/>
      <c r="Z33" s="309"/>
      <c r="AA33" s="310"/>
      <c r="AB33" s="326"/>
      <c r="AC33" s="327"/>
      <c r="AD33" s="328"/>
      <c r="AE33" s="328"/>
      <c r="AF33" s="328"/>
      <c r="AG33" s="329"/>
      <c r="AH33" s="317"/>
      <c r="AI33" s="318"/>
      <c r="AJ33" s="318"/>
      <c r="AK33" s="318"/>
      <c r="AL33" s="318"/>
      <c r="AM33" s="319"/>
      <c r="AN33" s="68"/>
      <c r="AO33" s="380"/>
      <c r="AP33" s="381"/>
      <c r="AQ33" s="381"/>
      <c r="AR33" s="381"/>
      <c r="AS33" s="381"/>
      <c r="AT33" s="382"/>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row>
    <row r="34" spans="1:80" x14ac:dyDescent="0.25">
      <c r="A34" s="68"/>
      <c r="B34" s="348"/>
      <c r="C34" s="348"/>
      <c r="D34" s="349"/>
      <c r="E34" s="340"/>
      <c r="F34" s="341"/>
      <c r="G34" s="341"/>
      <c r="H34" s="341"/>
      <c r="I34" s="346"/>
      <c r="J34" s="299" t="str">
        <f ca="1">IF(AND('Mapa final'!$J$39="Baja",'Mapa final'!$N$39="Leve"),CONCATENATE("R",'Mapa final'!$A$39),"")</f>
        <v/>
      </c>
      <c r="K34" s="300"/>
      <c r="L34" s="300" t="str">
        <f ca="1">IF(AND('Mapa final'!$J$45="Baja",'Mapa final'!$N$45="Leve"),CONCATENATE("R",'Mapa final'!$A$45),"")</f>
        <v/>
      </c>
      <c r="M34" s="300"/>
      <c r="N34" s="300" t="str">
        <f ca="1">IF(AND('Mapa final'!$J$51="Baja",'Mapa final'!$N$51="Leve"),CONCATENATE("R",'Mapa final'!$A$51),"")</f>
        <v/>
      </c>
      <c r="O34" s="301"/>
      <c r="P34" s="309" t="str">
        <f ca="1">IF(AND('Mapa final'!$J$39="Baja",'Mapa final'!$N$39="Menor"),CONCATENATE("R",'Mapa final'!$A$39),"")</f>
        <v/>
      </c>
      <c r="Q34" s="309"/>
      <c r="R34" s="309" t="str">
        <f ca="1">IF(AND('Mapa final'!$J$45="Baja",'Mapa final'!$N$45="Menor"),CONCATENATE("R",'Mapa final'!$A$45),"")</f>
        <v/>
      </c>
      <c r="S34" s="309"/>
      <c r="T34" s="309" t="str">
        <f ca="1">IF(AND('Mapa final'!$J$51="Baja",'Mapa final'!$N$51="Menor"),CONCATENATE("R",'Mapa final'!$A$51),"")</f>
        <v/>
      </c>
      <c r="U34" s="310"/>
      <c r="V34" s="308" t="str">
        <f ca="1">IF(AND('Mapa final'!$J$39="Baja",'Mapa final'!$N$39="Moderado"),CONCATENATE("R",'Mapa final'!$A$39),"")</f>
        <v/>
      </c>
      <c r="W34" s="309"/>
      <c r="X34" s="309" t="str">
        <f ca="1">IF(AND('Mapa final'!$J$45="Baja",'Mapa final'!$N$45="Moderado"),CONCATENATE("R",'Mapa final'!$A$45),"")</f>
        <v/>
      </c>
      <c r="Y34" s="309"/>
      <c r="Z34" s="309" t="str">
        <f ca="1">IF(AND('Mapa final'!$J$51="Baja",'Mapa final'!$N$51="Moderado"),CONCATENATE("R",'Mapa final'!$A$51),"")</f>
        <v/>
      </c>
      <c r="AA34" s="310"/>
      <c r="AB34" s="326" t="str">
        <f ca="1">IF(AND('Mapa final'!$J$39="Baja",'Mapa final'!$N$39="Mayor"),CONCATENATE("R",'Mapa final'!$A$39),"")</f>
        <v/>
      </c>
      <c r="AC34" s="327"/>
      <c r="AD34" s="328" t="str">
        <f ca="1">IF(AND('Mapa final'!$J$45="Baja",'Mapa final'!$N$45="Mayor"),CONCATENATE("R",'Mapa final'!$A$45),"")</f>
        <v/>
      </c>
      <c r="AE34" s="328"/>
      <c r="AF34" s="328" t="str">
        <f ca="1">IF(AND('Mapa final'!$J$51="Baja",'Mapa final'!$N$51="Mayor"),CONCATENATE("R",'Mapa final'!$A$51),"")</f>
        <v/>
      </c>
      <c r="AG34" s="329"/>
      <c r="AH34" s="317" t="str">
        <f ca="1">IF(AND('Mapa final'!$J$39="Baja",'Mapa final'!$N$39="Catastrófico"),CONCATENATE("R",'Mapa final'!$A$39),"")</f>
        <v/>
      </c>
      <c r="AI34" s="318"/>
      <c r="AJ34" s="318" t="str">
        <f ca="1">IF(AND('Mapa final'!$J$45="Baja",'Mapa final'!$N$45="Catastrófico"),CONCATENATE("R",'Mapa final'!$A$45),"")</f>
        <v/>
      </c>
      <c r="AK34" s="318"/>
      <c r="AL34" s="318" t="str">
        <f ca="1">IF(AND('Mapa final'!$J$51="Baja",'Mapa final'!$N$51="Catastrófico"),CONCATENATE("R",'Mapa final'!$A$51),"")</f>
        <v/>
      </c>
      <c r="AM34" s="319"/>
      <c r="AN34" s="68"/>
      <c r="AO34" s="380"/>
      <c r="AP34" s="381"/>
      <c r="AQ34" s="381"/>
      <c r="AR34" s="381"/>
      <c r="AS34" s="381"/>
      <c r="AT34" s="382"/>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row>
    <row r="35" spans="1:80" x14ac:dyDescent="0.25">
      <c r="A35" s="68"/>
      <c r="B35" s="348"/>
      <c r="C35" s="348"/>
      <c r="D35" s="349"/>
      <c r="E35" s="340"/>
      <c r="F35" s="341"/>
      <c r="G35" s="341"/>
      <c r="H35" s="341"/>
      <c r="I35" s="346"/>
      <c r="J35" s="299"/>
      <c r="K35" s="300"/>
      <c r="L35" s="300"/>
      <c r="M35" s="300"/>
      <c r="N35" s="300"/>
      <c r="O35" s="301"/>
      <c r="P35" s="309"/>
      <c r="Q35" s="309"/>
      <c r="R35" s="309"/>
      <c r="S35" s="309"/>
      <c r="T35" s="309"/>
      <c r="U35" s="310"/>
      <c r="V35" s="308"/>
      <c r="W35" s="309"/>
      <c r="X35" s="309"/>
      <c r="Y35" s="309"/>
      <c r="Z35" s="309"/>
      <c r="AA35" s="310"/>
      <c r="AB35" s="326"/>
      <c r="AC35" s="327"/>
      <c r="AD35" s="328"/>
      <c r="AE35" s="328"/>
      <c r="AF35" s="328"/>
      <c r="AG35" s="329"/>
      <c r="AH35" s="317"/>
      <c r="AI35" s="318"/>
      <c r="AJ35" s="318"/>
      <c r="AK35" s="318"/>
      <c r="AL35" s="318"/>
      <c r="AM35" s="319"/>
      <c r="AN35" s="68"/>
      <c r="AO35" s="380"/>
      <c r="AP35" s="381"/>
      <c r="AQ35" s="381"/>
      <c r="AR35" s="381"/>
      <c r="AS35" s="381"/>
      <c r="AT35" s="382"/>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row>
    <row r="36" spans="1:80" x14ac:dyDescent="0.25">
      <c r="A36" s="68"/>
      <c r="B36" s="348"/>
      <c r="C36" s="348"/>
      <c r="D36" s="349"/>
      <c r="E36" s="340"/>
      <c r="F36" s="341"/>
      <c r="G36" s="341"/>
      <c r="H36" s="341"/>
      <c r="I36" s="346"/>
      <c r="J36" s="299" t="str">
        <f ca="1">IF(AND('Mapa final'!$J$57="Baja",'Mapa final'!$N$57="Leve"),CONCATENATE("R",'Mapa final'!$A$57),"")</f>
        <v/>
      </c>
      <c r="K36" s="300"/>
      <c r="L36" s="300" t="str">
        <f>IF(AND('Mapa final'!$J$63="Baja",'Mapa final'!$N$63="Leve"),CONCATENATE("R",'Mapa final'!$A$63),"")</f>
        <v/>
      </c>
      <c r="M36" s="300"/>
      <c r="N36" s="300" t="str">
        <f>IF(AND('Mapa final'!$J$69="Baja",'Mapa final'!$N$69="Leve"),CONCATENATE("R",'Mapa final'!$A$69),"")</f>
        <v/>
      </c>
      <c r="O36" s="301"/>
      <c r="P36" s="309" t="str">
        <f ca="1">IF(AND('Mapa final'!$J$57="Baja",'Mapa final'!$N$57="Menor"),CONCATENATE("R",'Mapa final'!$A$57),"")</f>
        <v/>
      </c>
      <c r="Q36" s="309"/>
      <c r="R36" s="309" t="str">
        <f>IF(AND('Mapa final'!$J$63="Baja",'Mapa final'!$N$63="Menor"),CONCATENATE("R",'Mapa final'!$A$63),"")</f>
        <v/>
      </c>
      <c r="S36" s="309"/>
      <c r="T36" s="309" t="str">
        <f>IF(AND('Mapa final'!$J$69="Baja",'Mapa final'!$N$69="Menor"),CONCATENATE("R",'Mapa final'!$A$69),"")</f>
        <v/>
      </c>
      <c r="U36" s="310"/>
      <c r="V36" s="308" t="str">
        <f ca="1">IF(AND('Mapa final'!$J$57="Baja",'Mapa final'!$N$57="Moderado"),CONCATENATE("R",'Mapa final'!$A$57),"")</f>
        <v/>
      </c>
      <c r="W36" s="309"/>
      <c r="X36" s="309" t="str">
        <f>IF(AND('Mapa final'!$J$63="Baja",'Mapa final'!$N$63="Moderado"),CONCATENATE("R",'Mapa final'!$A$63),"")</f>
        <v/>
      </c>
      <c r="Y36" s="309"/>
      <c r="Z36" s="309" t="str">
        <f>IF(AND('Mapa final'!$J$69="Baja",'Mapa final'!$N$69="Moderado"),CONCATENATE("R",'Mapa final'!$A$69),"")</f>
        <v/>
      </c>
      <c r="AA36" s="310"/>
      <c r="AB36" s="326" t="str">
        <f ca="1">IF(AND('Mapa final'!$J$57="Baja",'Mapa final'!$N$57="Mayor"),CONCATENATE("R",'Mapa final'!$A$57),"")</f>
        <v/>
      </c>
      <c r="AC36" s="327"/>
      <c r="AD36" s="328" t="str">
        <f>IF(AND('Mapa final'!$J$63="Baja",'Mapa final'!$N$63="Mayor"),CONCATENATE("R",'Mapa final'!$A$63),"")</f>
        <v/>
      </c>
      <c r="AE36" s="328"/>
      <c r="AF36" s="328" t="str">
        <f>IF(AND('Mapa final'!$J$69="Baja",'Mapa final'!$N$69="Mayor"),CONCATENATE("R",'Mapa final'!$A$69),"")</f>
        <v/>
      </c>
      <c r="AG36" s="329"/>
      <c r="AH36" s="317" t="str">
        <f ca="1">IF(AND('Mapa final'!$J$57="Baja",'Mapa final'!$N$57="Catastrófico"),CONCATENATE("R",'Mapa final'!$A$57),"")</f>
        <v/>
      </c>
      <c r="AI36" s="318"/>
      <c r="AJ36" s="318" t="str">
        <f>IF(AND('Mapa final'!$J$63="Baja",'Mapa final'!$N$63="Catastrófico"),CONCATENATE("R",'Mapa final'!$A$63),"")</f>
        <v/>
      </c>
      <c r="AK36" s="318"/>
      <c r="AL36" s="318" t="str">
        <f>IF(AND('Mapa final'!$J$69="Baja",'Mapa final'!$N$69="Catastrófico"),CONCATENATE("R",'Mapa final'!$A$69),"")</f>
        <v/>
      </c>
      <c r="AM36" s="319"/>
      <c r="AN36" s="68"/>
      <c r="AO36" s="380"/>
      <c r="AP36" s="381"/>
      <c r="AQ36" s="381"/>
      <c r="AR36" s="381"/>
      <c r="AS36" s="381"/>
      <c r="AT36" s="382"/>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row>
    <row r="37" spans="1:80" ht="15.75" thickBot="1" x14ac:dyDescent="0.3">
      <c r="A37" s="68"/>
      <c r="B37" s="348"/>
      <c r="C37" s="348"/>
      <c r="D37" s="349"/>
      <c r="E37" s="343"/>
      <c r="F37" s="344"/>
      <c r="G37" s="344"/>
      <c r="H37" s="344"/>
      <c r="I37" s="344"/>
      <c r="J37" s="302"/>
      <c r="K37" s="303"/>
      <c r="L37" s="303"/>
      <c r="M37" s="303"/>
      <c r="N37" s="303"/>
      <c r="O37" s="304"/>
      <c r="P37" s="312"/>
      <c r="Q37" s="312"/>
      <c r="R37" s="312"/>
      <c r="S37" s="312"/>
      <c r="T37" s="312"/>
      <c r="U37" s="313"/>
      <c r="V37" s="311"/>
      <c r="W37" s="312"/>
      <c r="X37" s="312"/>
      <c r="Y37" s="312"/>
      <c r="Z37" s="312"/>
      <c r="AA37" s="313"/>
      <c r="AB37" s="330"/>
      <c r="AC37" s="331"/>
      <c r="AD37" s="331"/>
      <c r="AE37" s="331"/>
      <c r="AF37" s="331"/>
      <c r="AG37" s="332"/>
      <c r="AH37" s="320"/>
      <c r="AI37" s="321"/>
      <c r="AJ37" s="321"/>
      <c r="AK37" s="321"/>
      <c r="AL37" s="321"/>
      <c r="AM37" s="322"/>
      <c r="AN37" s="68"/>
      <c r="AO37" s="383"/>
      <c r="AP37" s="384"/>
      <c r="AQ37" s="384"/>
      <c r="AR37" s="384"/>
      <c r="AS37" s="384"/>
      <c r="AT37" s="385"/>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row>
    <row r="38" spans="1:80" x14ac:dyDescent="0.25">
      <c r="A38" s="68"/>
      <c r="B38" s="348"/>
      <c r="C38" s="348"/>
      <c r="D38" s="349"/>
      <c r="E38" s="337" t="s">
        <v>108</v>
      </c>
      <c r="F38" s="338"/>
      <c r="G38" s="338"/>
      <c r="H38" s="338"/>
      <c r="I38" s="339"/>
      <c r="J38" s="305" t="str">
        <f ca="1">IF(AND('Mapa final'!$J$10="Muy Baja",'Mapa final'!$N$10="Leve"),CONCATENATE("R",'Mapa final'!$A$10),"")</f>
        <v/>
      </c>
      <c r="K38" s="306"/>
      <c r="L38" s="306" t="str">
        <f ca="1">IF(AND('Mapa final'!$J$12="Muy Baja",'Mapa final'!$N$12="Leve"),CONCATENATE("R",'Mapa final'!$A$12),"")</f>
        <v/>
      </c>
      <c r="M38" s="306"/>
      <c r="N38" s="306" t="str">
        <f ca="1">IF(AND('Mapa final'!$J$15="Muy Baja",'Mapa final'!$N$15="Leve"),CONCATENATE("R",'Mapa final'!$A$15),"")</f>
        <v/>
      </c>
      <c r="O38" s="307"/>
      <c r="P38" s="305" t="str">
        <f ca="1">IF(AND('Mapa final'!$J$10="Muy Baja",'Mapa final'!$N$10="Menor"),CONCATENATE("R",'Mapa final'!$A$10),"")</f>
        <v/>
      </c>
      <c r="Q38" s="306"/>
      <c r="R38" s="306" t="str">
        <f ca="1">IF(AND('Mapa final'!$J$12="Muy Baja",'Mapa final'!$N$12="Menor"),CONCATENATE("R",'Mapa final'!$A$12),"")</f>
        <v/>
      </c>
      <c r="S38" s="306"/>
      <c r="T38" s="306" t="str">
        <f ca="1">IF(AND('Mapa final'!$J$15="Muy Baja",'Mapa final'!$N$15="Menor"),CONCATENATE("R",'Mapa final'!$A$15),"")</f>
        <v/>
      </c>
      <c r="U38" s="307"/>
      <c r="V38" s="314" t="str">
        <f ca="1">IF(AND('Mapa final'!$J$10="Muy Baja",'Mapa final'!$N$10="Moderado"),CONCATENATE("R",'Mapa final'!$A$10),"")</f>
        <v/>
      </c>
      <c r="W38" s="315"/>
      <c r="X38" s="315" t="str">
        <f ca="1">IF(AND('Mapa final'!$J$12="Muy Baja",'Mapa final'!$N$12="Moderado"),CONCATENATE("R",'Mapa final'!$A$12),"")</f>
        <v/>
      </c>
      <c r="Y38" s="315"/>
      <c r="Z38" s="315" t="str">
        <f ca="1">IF(AND('Mapa final'!$J$15="Muy Baja",'Mapa final'!$N$15="Moderado"),CONCATENATE("R",'Mapa final'!$A$15),"")</f>
        <v/>
      </c>
      <c r="AA38" s="316"/>
      <c r="AB38" s="333" t="str">
        <f ca="1">IF(AND('Mapa final'!$J$10="Muy Baja",'Mapa final'!$N$10="Mayor"),CONCATENATE("R",'Mapa final'!$A$10),"")</f>
        <v/>
      </c>
      <c r="AC38" s="334"/>
      <c r="AD38" s="334" t="str">
        <f ca="1">IF(AND('Mapa final'!$J$12="Muy Baja",'Mapa final'!$N$12="Mayor"),CONCATENATE("R",'Mapa final'!$A$12),"")</f>
        <v/>
      </c>
      <c r="AE38" s="334"/>
      <c r="AF38" s="334" t="str">
        <f ca="1">IF(AND('Mapa final'!$J$15="Muy Baja",'Mapa final'!$N$15="Mayor"),CONCATENATE("R",'Mapa final'!$A$15),"")</f>
        <v/>
      </c>
      <c r="AG38" s="335"/>
      <c r="AH38" s="323" t="str">
        <f ca="1">IF(AND('Mapa final'!$J$10="Muy Baja",'Mapa final'!$N$10="Catastrófico"),CONCATENATE("R",'Mapa final'!$A$10),"")</f>
        <v/>
      </c>
      <c r="AI38" s="324"/>
      <c r="AJ38" s="324" t="str">
        <f ca="1">IF(AND('Mapa final'!$J$12="Muy Baja",'Mapa final'!$N$12="Catastrófico"),CONCATENATE("R",'Mapa final'!$A$12),"")</f>
        <v/>
      </c>
      <c r="AK38" s="324"/>
      <c r="AL38" s="324" t="str">
        <f ca="1">IF(AND('Mapa final'!$J$15="Muy Baja",'Mapa final'!$N$15="Catastrófico"),CONCATENATE("R",'Mapa final'!$A$15),"")</f>
        <v/>
      </c>
      <c r="AM38" s="325"/>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row>
    <row r="39" spans="1:80" x14ac:dyDescent="0.25">
      <c r="A39" s="68"/>
      <c r="B39" s="348"/>
      <c r="C39" s="348"/>
      <c r="D39" s="349"/>
      <c r="E39" s="340"/>
      <c r="F39" s="341"/>
      <c r="G39" s="341"/>
      <c r="H39" s="341"/>
      <c r="I39" s="342"/>
      <c r="J39" s="299"/>
      <c r="K39" s="300"/>
      <c r="L39" s="300"/>
      <c r="M39" s="300"/>
      <c r="N39" s="300"/>
      <c r="O39" s="301"/>
      <c r="P39" s="299"/>
      <c r="Q39" s="300"/>
      <c r="R39" s="300"/>
      <c r="S39" s="300"/>
      <c r="T39" s="300"/>
      <c r="U39" s="301"/>
      <c r="V39" s="308"/>
      <c r="W39" s="309"/>
      <c r="X39" s="309"/>
      <c r="Y39" s="309"/>
      <c r="Z39" s="309"/>
      <c r="AA39" s="310"/>
      <c r="AB39" s="326"/>
      <c r="AC39" s="327"/>
      <c r="AD39" s="327"/>
      <c r="AE39" s="327"/>
      <c r="AF39" s="327"/>
      <c r="AG39" s="329"/>
      <c r="AH39" s="317"/>
      <c r="AI39" s="318"/>
      <c r="AJ39" s="318"/>
      <c r="AK39" s="318"/>
      <c r="AL39" s="318"/>
      <c r="AM39" s="319"/>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row>
    <row r="40" spans="1:80" x14ac:dyDescent="0.25">
      <c r="A40" s="68"/>
      <c r="B40" s="348"/>
      <c r="C40" s="348"/>
      <c r="D40" s="349"/>
      <c r="E40" s="340"/>
      <c r="F40" s="341"/>
      <c r="G40" s="341"/>
      <c r="H40" s="341"/>
      <c r="I40" s="342"/>
      <c r="J40" s="299" t="str">
        <f ca="1">IF(AND('Mapa final'!$J$21="Muy Baja",'Mapa final'!$N$21="Leve"),CONCATENATE("R",'Mapa final'!$A$21),"")</f>
        <v/>
      </c>
      <c r="K40" s="300"/>
      <c r="L40" s="300" t="str">
        <f ca="1">IF(AND('Mapa final'!$J$27="Muy Baja",'Mapa final'!$N$27="Leve"),CONCATENATE("R",'Mapa final'!$A$27),"")</f>
        <v/>
      </c>
      <c r="M40" s="300"/>
      <c r="N40" s="300" t="str">
        <f ca="1">IF(AND('Mapa final'!$J$33="Muy Baja",'Mapa final'!$N$33="Leve"),CONCATENATE("R",'Mapa final'!$A$33),"")</f>
        <v/>
      </c>
      <c r="O40" s="301"/>
      <c r="P40" s="299" t="str">
        <f ca="1">IF(AND('Mapa final'!$J$21="Muy Baja",'Mapa final'!$N$21="Menor"),CONCATENATE("R",'Mapa final'!$A$21),"")</f>
        <v/>
      </c>
      <c r="Q40" s="300"/>
      <c r="R40" s="300" t="str">
        <f ca="1">IF(AND('Mapa final'!$J$27="Muy Baja",'Mapa final'!$N$27="Menor"),CONCATENATE("R",'Mapa final'!$A$27),"")</f>
        <v/>
      </c>
      <c r="S40" s="300"/>
      <c r="T40" s="300" t="str">
        <f ca="1">IF(AND('Mapa final'!$J$33="Muy Baja",'Mapa final'!$N$33="Menor"),CONCATENATE("R",'Mapa final'!$A$33),"")</f>
        <v/>
      </c>
      <c r="U40" s="301"/>
      <c r="V40" s="308" t="str">
        <f ca="1">IF(AND('Mapa final'!$J$21="Muy Baja",'Mapa final'!$N$21="Moderado"),CONCATENATE("R",'Mapa final'!$A$21),"")</f>
        <v/>
      </c>
      <c r="W40" s="309"/>
      <c r="X40" s="309" t="str">
        <f ca="1">IF(AND('Mapa final'!$J$27="Muy Baja",'Mapa final'!$N$27="Moderado"),CONCATENATE("R",'Mapa final'!$A$27),"")</f>
        <v/>
      </c>
      <c r="Y40" s="309"/>
      <c r="Z40" s="309" t="str">
        <f ca="1">IF(AND('Mapa final'!$J$33="Muy Baja",'Mapa final'!$N$33="Moderado"),CONCATENATE("R",'Mapa final'!$A$33),"")</f>
        <v/>
      </c>
      <c r="AA40" s="310"/>
      <c r="AB40" s="326" t="str">
        <f ca="1">IF(AND('Mapa final'!$J$21="Muy Baja",'Mapa final'!$N$21="Mayor"),CONCATENATE("R",'Mapa final'!$A$21),"")</f>
        <v/>
      </c>
      <c r="AC40" s="327"/>
      <c r="AD40" s="328" t="str">
        <f ca="1">IF(AND('Mapa final'!$J$27="Muy Baja",'Mapa final'!$N$27="Mayor"),CONCATENATE("R",'Mapa final'!$A$27),"")</f>
        <v/>
      </c>
      <c r="AE40" s="328"/>
      <c r="AF40" s="328" t="str">
        <f ca="1">IF(AND('Mapa final'!$J$33="Muy Baja",'Mapa final'!$N$33="Mayor"),CONCATENATE("R",'Mapa final'!$A$33),"")</f>
        <v/>
      </c>
      <c r="AG40" s="329"/>
      <c r="AH40" s="317" t="str">
        <f ca="1">IF(AND('Mapa final'!$J$21="Muy Baja",'Mapa final'!$N$21="Catastrófico"),CONCATENATE("R",'Mapa final'!$A$21),"")</f>
        <v/>
      </c>
      <c r="AI40" s="318"/>
      <c r="AJ40" s="318" t="str">
        <f ca="1">IF(AND('Mapa final'!$J$27="Muy Baja",'Mapa final'!$N$27="Catastrófico"),CONCATENATE("R",'Mapa final'!$A$27),"")</f>
        <v/>
      </c>
      <c r="AK40" s="318"/>
      <c r="AL40" s="318" t="str">
        <f ca="1">IF(AND('Mapa final'!$J$33="Muy Baja",'Mapa final'!$N$33="Catastrófico"),CONCATENATE("R",'Mapa final'!$A$33),"")</f>
        <v/>
      </c>
      <c r="AM40" s="319"/>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row>
    <row r="41" spans="1:80" x14ac:dyDescent="0.25">
      <c r="A41" s="68"/>
      <c r="B41" s="348"/>
      <c r="C41" s="348"/>
      <c r="D41" s="349"/>
      <c r="E41" s="340"/>
      <c r="F41" s="341"/>
      <c r="G41" s="341"/>
      <c r="H41" s="341"/>
      <c r="I41" s="342"/>
      <c r="J41" s="299"/>
      <c r="K41" s="300"/>
      <c r="L41" s="300"/>
      <c r="M41" s="300"/>
      <c r="N41" s="300"/>
      <c r="O41" s="301"/>
      <c r="P41" s="299"/>
      <c r="Q41" s="300"/>
      <c r="R41" s="300"/>
      <c r="S41" s="300"/>
      <c r="T41" s="300"/>
      <c r="U41" s="301"/>
      <c r="V41" s="308"/>
      <c r="W41" s="309"/>
      <c r="X41" s="309"/>
      <c r="Y41" s="309"/>
      <c r="Z41" s="309"/>
      <c r="AA41" s="310"/>
      <c r="AB41" s="326"/>
      <c r="AC41" s="327"/>
      <c r="AD41" s="328"/>
      <c r="AE41" s="328"/>
      <c r="AF41" s="328"/>
      <c r="AG41" s="329"/>
      <c r="AH41" s="317"/>
      <c r="AI41" s="318"/>
      <c r="AJ41" s="318"/>
      <c r="AK41" s="318"/>
      <c r="AL41" s="318"/>
      <c r="AM41" s="319"/>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row>
    <row r="42" spans="1:80" x14ac:dyDescent="0.25">
      <c r="A42" s="68"/>
      <c r="B42" s="348"/>
      <c r="C42" s="348"/>
      <c r="D42" s="349"/>
      <c r="E42" s="340"/>
      <c r="F42" s="341"/>
      <c r="G42" s="341"/>
      <c r="H42" s="341"/>
      <c r="I42" s="342"/>
      <c r="J42" s="299" t="str">
        <f ca="1">IF(AND('Mapa final'!$J$39="Muy Baja",'Mapa final'!$N$39="Leve"),CONCATENATE("R",'Mapa final'!$A$39),"")</f>
        <v/>
      </c>
      <c r="K42" s="300"/>
      <c r="L42" s="300" t="str">
        <f ca="1">IF(AND('Mapa final'!$J$45="Muy Baja",'Mapa final'!$N$45="Leve"),CONCATENATE("R",'Mapa final'!$A$45),"")</f>
        <v/>
      </c>
      <c r="M42" s="300"/>
      <c r="N42" s="300" t="str">
        <f ca="1">IF(AND('Mapa final'!$J$51="Muy Baja",'Mapa final'!$N$51="Leve"),CONCATENATE("R",'Mapa final'!$A$51),"")</f>
        <v/>
      </c>
      <c r="O42" s="301"/>
      <c r="P42" s="299" t="str">
        <f ca="1">IF(AND('Mapa final'!$J$39="Muy Baja",'Mapa final'!$N$39="Menor"),CONCATENATE("R",'Mapa final'!$A$39),"")</f>
        <v/>
      </c>
      <c r="Q42" s="300"/>
      <c r="R42" s="300" t="str">
        <f ca="1">IF(AND('Mapa final'!$J$45="Muy Baja",'Mapa final'!$N$45="Menor"),CONCATENATE("R",'Mapa final'!$A$45),"")</f>
        <v/>
      </c>
      <c r="S42" s="300"/>
      <c r="T42" s="300" t="str">
        <f ca="1">IF(AND('Mapa final'!$J$51="Muy Baja",'Mapa final'!$N$51="Menor"),CONCATENATE("R",'Mapa final'!$A$51),"")</f>
        <v/>
      </c>
      <c r="U42" s="301"/>
      <c r="V42" s="308" t="str">
        <f ca="1">IF(AND('Mapa final'!$J$39="Muy Baja",'Mapa final'!$N$39="Moderado"),CONCATENATE("R",'Mapa final'!$A$39),"")</f>
        <v/>
      </c>
      <c r="W42" s="309"/>
      <c r="X42" s="309" t="str">
        <f ca="1">IF(AND('Mapa final'!$J$45="Muy Baja",'Mapa final'!$N$45="Moderado"),CONCATENATE("R",'Mapa final'!$A$45),"")</f>
        <v/>
      </c>
      <c r="Y42" s="309"/>
      <c r="Z42" s="309" t="str">
        <f ca="1">IF(AND('Mapa final'!$J$51="Muy Baja",'Mapa final'!$N$51="Moderado"),CONCATENATE("R",'Mapa final'!$A$51),"")</f>
        <v/>
      </c>
      <c r="AA42" s="310"/>
      <c r="AB42" s="326" t="str">
        <f ca="1">IF(AND('Mapa final'!$J$39="Muy Baja",'Mapa final'!$N$39="Mayor"),CONCATENATE("R",'Mapa final'!$A$39),"")</f>
        <v/>
      </c>
      <c r="AC42" s="327"/>
      <c r="AD42" s="328" t="str">
        <f ca="1">IF(AND('Mapa final'!$J$45="Muy Baja",'Mapa final'!$N$45="Mayor"),CONCATENATE("R",'Mapa final'!$A$45),"")</f>
        <v/>
      </c>
      <c r="AE42" s="328"/>
      <c r="AF42" s="328" t="str">
        <f ca="1">IF(AND('Mapa final'!$J$51="Muy Baja",'Mapa final'!$N$51="Mayor"),CONCATENATE("R",'Mapa final'!$A$51),"")</f>
        <v/>
      </c>
      <c r="AG42" s="329"/>
      <c r="AH42" s="317" t="str">
        <f ca="1">IF(AND('Mapa final'!$J$39="Muy Baja",'Mapa final'!$N$39="Catastrófico"),CONCATENATE("R",'Mapa final'!$A$39),"")</f>
        <v/>
      </c>
      <c r="AI42" s="318"/>
      <c r="AJ42" s="318" t="str">
        <f ca="1">IF(AND('Mapa final'!$J$45="Muy Baja",'Mapa final'!$N$45="Catastrófico"),CONCATENATE("R",'Mapa final'!$A$45),"")</f>
        <v/>
      </c>
      <c r="AK42" s="318"/>
      <c r="AL42" s="318" t="str">
        <f ca="1">IF(AND('Mapa final'!$J$51="Muy Baja",'Mapa final'!$N$51="Catastrófico"),CONCATENATE("R",'Mapa final'!$A$51),"")</f>
        <v/>
      </c>
      <c r="AM42" s="319"/>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row>
    <row r="43" spans="1:80" x14ac:dyDescent="0.25">
      <c r="A43" s="68"/>
      <c r="B43" s="348"/>
      <c r="C43" s="348"/>
      <c r="D43" s="349"/>
      <c r="E43" s="340"/>
      <c r="F43" s="341"/>
      <c r="G43" s="341"/>
      <c r="H43" s="341"/>
      <c r="I43" s="342"/>
      <c r="J43" s="299"/>
      <c r="K43" s="300"/>
      <c r="L43" s="300"/>
      <c r="M43" s="300"/>
      <c r="N43" s="300"/>
      <c r="O43" s="301"/>
      <c r="P43" s="299"/>
      <c r="Q43" s="300"/>
      <c r="R43" s="300"/>
      <c r="S43" s="300"/>
      <c r="T43" s="300"/>
      <c r="U43" s="301"/>
      <c r="V43" s="308"/>
      <c r="W43" s="309"/>
      <c r="X43" s="309"/>
      <c r="Y43" s="309"/>
      <c r="Z43" s="309"/>
      <c r="AA43" s="310"/>
      <c r="AB43" s="326"/>
      <c r="AC43" s="327"/>
      <c r="AD43" s="328"/>
      <c r="AE43" s="328"/>
      <c r="AF43" s="328"/>
      <c r="AG43" s="329"/>
      <c r="AH43" s="317"/>
      <c r="AI43" s="318"/>
      <c r="AJ43" s="318"/>
      <c r="AK43" s="318"/>
      <c r="AL43" s="318"/>
      <c r="AM43" s="319"/>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row>
    <row r="44" spans="1:80" x14ac:dyDescent="0.25">
      <c r="A44" s="68"/>
      <c r="B44" s="348"/>
      <c r="C44" s="348"/>
      <c r="D44" s="349"/>
      <c r="E44" s="340"/>
      <c r="F44" s="341"/>
      <c r="G44" s="341"/>
      <c r="H44" s="341"/>
      <c r="I44" s="342"/>
      <c r="J44" s="299" t="str">
        <f ca="1">IF(AND('Mapa final'!$J$57="Muy Baja",'Mapa final'!$N$57="Leve"),CONCATENATE("R",'Mapa final'!$A$57),"")</f>
        <v/>
      </c>
      <c r="K44" s="300"/>
      <c r="L44" s="300" t="str">
        <f>IF(AND('Mapa final'!$J$63="Muy Baja",'Mapa final'!$N$63="Leve"),CONCATENATE("R",'Mapa final'!$A$63),"")</f>
        <v/>
      </c>
      <c r="M44" s="300"/>
      <c r="N44" s="300" t="str">
        <f>IF(AND('Mapa final'!$J$69="Muy Baja",'Mapa final'!$N$69="Leve"),CONCATENATE("R",'Mapa final'!$A$69),"")</f>
        <v/>
      </c>
      <c r="O44" s="301"/>
      <c r="P44" s="299" t="str">
        <f ca="1">IF(AND('Mapa final'!$J$57="Muy Baja",'Mapa final'!$N$57="Menor"),CONCATENATE("R",'Mapa final'!$A$57),"")</f>
        <v/>
      </c>
      <c r="Q44" s="300"/>
      <c r="R44" s="300" t="str">
        <f>IF(AND('Mapa final'!$J$63="Muy Baja",'Mapa final'!$N$63="Menor"),CONCATENATE("R",'Mapa final'!$A$63),"")</f>
        <v/>
      </c>
      <c r="S44" s="300"/>
      <c r="T44" s="300" t="str">
        <f>IF(AND('Mapa final'!$J$69="Muy Baja",'Mapa final'!$N$69="Menor"),CONCATENATE("R",'Mapa final'!$A$69),"")</f>
        <v/>
      </c>
      <c r="U44" s="301"/>
      <c r="V44" s="308" t="str">
        <f ca="1">IF(AND('Mapa final'!$J$57="Muy Baja",'Mapa final'!$N$57="Moderado"),CONCATENATE("R",'Mapa final'!$A$57),"")</f>
        <v/>
      </c>
      <c r="W44" s="309"/>
      <c r="X44" s="309" t="str">
        <f>IF(AND('Mapa final'!$J$63="Muy Baja",'Mapa final'!$N$63="Moderado"),CONCATENATE("R",'Mapa final'!$A$63),"")</f>
        <v/>
      </c>
      <c r="Y44" s="309"/>
      <c r="Z44" s="309" t="str">
        <f>IF(AND('Mapa final'!$J$69="Muy Baja",'Mapa final'!$N$69="Moderado"),CONCATENATE("R",'Mapa final'!$A$69),"")</f>
        <v/>
      </c>
      <c r="AA44" s="310"/>
      <c r="AB44" s="326" t="str">
        <f ca="1">IF(AND('Mapa final'!$J$57="Muy Baja",'Mapa final'!$N$57="Mayor"),CONCATENATE("R",'Mapa final'!$A$57),"")</f>
        <v/>
      </c>
      <c r="AC44" s="327"/>
      <c r="AD44" s="328" t="str">
        <f>IF(AND('Mapa final'!$J$63="Muy Baja",'Mapa final'!$N$63="Mayor"),CONCATENATE("R",'Mapa final'!$A$63),"")</f>
        <v/>
      </c>
      <c r="AE44" s="328"/>
      <c r="AF44" s="328" t="str">
        <f>IF(AND('Mapa final'!$J$69="Muy Baja",'Mapa final'!$N$69="Mayor"),CONCATENATE("R",'Mapa final'!$A$69),"")</f>
        <v/>
      </c>
      <c r="AG44" s="329"/>
      <c r="AH44" s="317" t="str">
        <f ca="1">IF(AND('Mapa final'!$J$57="Muy Baja",'Mapa final'!$N$57="Catastrófico"),CONCATENATE("R",'Mapa final'!$A$57),"")</f>
        <v/>
      </c>
      <c r="AI44" s="318"/>
      <c r="AJ44" s="318" t="str">
        <f>IF(AND('Mapa final'!$J$63="Muy Baja",'Mapa final'!$N$63="Catastrófico"),CONCATENATE("R",'Mapa final'!$A$63),"")</f>
        <v/>
      </c>
      <c r="AK44" s="318"/>
      <c r="AL44" s="318" t="str">
        <f>IF(AND('Mapa final'!$J$69="Muy Baja",'Mapa final'!$N$69="Catastrófico"),CONCATENATE("R",'Mapa final'!$A$69),"")</f>
        <v/>
      </c>
      <c r="AM44" s="319"/>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row>
    <row r="45" spans="1:80" ht="15.75" thickBot="1" x14ac:dyDescent="0.3">
      <c r="A45" s="68"/>
      <c r="B45" s="348"/>
      <c r="C45" s="348"/>
      <c r="D45" s="349"/>
      <c r="E45" s="343"/>
      <c r="F45" s="344"/>
      <c r="G45" s="344"/>
      <c r="H45" s="344"/>
      <c r="I45" s="345"/>
      <c r="J45" s="302"/>
      <c r="K45" s="303"/>
      <c r="L45" s="303"/>
      <c r="M45" s="303"/>
      <c r="N45" s="303"/>
      <c r="O45" s="304"/>
      <c r="P45" s="302"/>
      <c r="Q45" s="303"/>
      <c r="R45" s="303"/>
      <c r="S45" s="303"/>
      <c r="T45" s="303"/>
      <c r="U45" s="304"/>
      <c r="V45" s="311"/>
      <c r="W45" s="312"/>
      <c r="X45" s="312"/>
      <c r="Y45" s="312"/>
      <c r="Z45" s="312"/>
      <c r="AA45" s="313"/>
      <c r="AB45" s="330"/>
      <c r="AC45" s="331"/>
      <c r="AD45" s="331"/>
      <c r="AE45" s="331"/>
      <c r="AF45" s="331"/>
      <c r="AG45" s="332"/>
      <c r="AH45" s="320"/>
      <c r="AI45" s="321"/>
      <c r="AJ45" s="321"/>
      <c r="AK45" s="321"/>
      <c r="AL45" s="321"/>
      <c r="AM45" s="322"/>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row>
    <row r="46" spans="1:80" x14ac:dyDescent="0.25">
      <c r="A46" s="68"/>
      <c r="B46" s="68"/>
      <c r="C46" s="68"/>
      <c r="D46" s="68"/>
      <c r="E46" s="68"/>
      <c r="F46" s="68"/>
      <c r="G46" s="68"/>
      <c r="H46" s="68"/>
      <c r="I46" s="68"/>
      <c r="J46" s="337" t="s">
        <v>107</v>
      </c>
      <c r="K46" s="338"/>
      <c r="L46" s="338"/>
      <c r="M46" s="338"/>
      <c r="N46" s="338"/>
      <c r="O46" s="339"/>
      <c r="P46" s="337" t="s">
        <v>106</v>
      </c>
      <c r="Q46" s="338"/>
      <c r="R46" s="338"/>
      <c r="S46" s="338"/>
      <c r="T46" s="338"/>
      <c r="U46" s="339"/>
      <c r="V46" s="337" t="s">
        <v>105</v>
      </c>
      <c r="W46" s="338"/>
      <c r="X46" s="338"/>
      <c r="Y46" s="338"/>
      <c r="Z46" s="338"/>
      <c r="AA46" s="339"/>
      <c r="AB46" s="337" t="s">
        <v>104</v>
      </c>
      <c r="AC46" s="347"/>
      <c r="AD46" s="338"/>
      <c r="AE46" s="338"/>
      <c r="AF46" s="338"/>
      <c r="AG46" s="339"/>
      <c r="AH46" s="337" t="s">
        <v>103</v>
      </c>
      <c r="AI46" s="338"/>
      <c r="AJ46" s="338"/>
      <c r="AK46" s="338"/>
      <c r="AL46" s="338"/>
      <c r="AM46" s="339"/>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x14ac:dyDescent="0.25">
      <c r="A47" s="68"/>
      <c r="B47" s="68"/>
      <c r="C47" s="68"/>
      <c r="D47" s="68"/>
      <c r="E47" s="68"/>
      <c r="F47" s="68"/>
      <c r="G47" s="68"/>
      <c r="H47" s="68"/>
      <c r="I47" s="68"/>
      <c r="J47" s="340"/>
      <c r="K47" s="341"/>
      <c r="L47" s="341"/>
      <c r="M47" s="341"/>
      <c r="N47" s="341"/>
      <c r="O47" s="342"/>
      <c r="P47" s="340"/>
      <c r="Q47" s="341"/>
      <c r="R47" s="341"/>
      <c r="S47" s="341"/>
      <c r="T47" s="341"/>
      <c r="U47" s="342"/>
      <c r="V47" s="340"/>
      <c r="W47" s="341"/>
      <c r="X47" s="341"/>
      <c r="Y47" s="341"/>
      <c r="Z47" s="341"/>
      <c r="AA47" s="342"/>
      <c r="AB47" s="340"/>
      <c r="AC47" s="341"/>
      <c r="AD47" s="341"/>
      <c r="AE47" s="341"/>
      <c r="AF47" s="341"/>
      <c r="AG47" s="342"/>
      <c r="AH47" s="340"/>
      <c r="AI47" s="341"/>
      <c r="AJ47" s="341"/>
      <c r="AK47" s="341"/>
      <c r="AL47" s="341"/>
      <c r="AM47" s="342"/>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x14ac:dyDescent="0.25">
      <c r="A48" s="68"/>
      <c r="B48" s="68"/>
      <c r="C48" s="68"/>
      <c r="D48" s="68"/>
      <c r="E48" s="68"/>
      <c r="F48" s="68"/>
      <c r="G48" s="68"/>
      <c r="H48" s="68"/>
      <c r="I48" s="68"/>
      <c r="J48" s="340"/>
      <c r="K48" s="341"/>
      <c r="L48" s="341"/>
      <c r="M48" s="341"/>
      <c r="N48" s="341"/>
      <c r="O48" s="342"/>
      <c r="P48" s="340"/>
      <c r="Q48" s="341"/>
      <c r="R48" s="341"/>
      <c r="S48" s="341"/>
      <c r="T48" s="341"/>
      <c r="U48" s="342"/>
      <c r="V48" s="340"/>
      <c r="W48" s="341"/>
      <c r="X48" s="341"/>
      <c r="Y48" s="341"/>
      <c r="Z48" s="341"/>
      <c r="AA48" s="342"/>
      <c r="AB48" s="340"/>
      <c r="AC48" s="341"/>
      <c r="AD48" s="341"/>
      <c r="AE48" s="341"/>
      <c r="AF48" s="341"/>
      <c r="AG48" s="342"/>
      <c r="AH48" s="340"/>
      <c r="AI48" s="341"/>
      <c r="AJ48" s="341"/>
      <c r="AK48" s="341"/>
      <c r="AL48" s="341"/>
      <c r="AM48" s="342"/>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x14ac:dyDescent="0.25">
      <c r="A49" s="68"/>
      <c r="B49" s="68"/>
      <c r="C49" s="68"/>
      <c r="D49" s="68"/>
      <c r="E49" s="68"/>
      <c r="F49" s="68"/>
      <c r="G49" s="68"/>
      <c r="H49" s="68"/>
      <c r="I49" s="68"/>
      <c r="J49" s="340"/>
      <c r="K49" s="341"/>
      <c r="L49" s="341"/>
      <c r="M49" s="341"/>
      <c r="N49" s="341"/>
      <c r="O49" s="342"/>
      <c r="P49" s="340"/>
      <c r="Q49" s="341"/>
      <c r="R49" s="341"/>
      <c r="S49" s="341"/>
      <c r="T49" s="341"/>
      <c r="U49" s="342"/>
      <c r="V49" s="340"/>
      <c r="W49" s="341"/>
      <c r="X49" s="341"/>
      <c r="Y49" s="341"/>
      <c r="Z49" s="341"/>
      <c r="AA49" s="342"/>
      <c r="AB49" s="340"/>
      <c r="AC49" s="341"/>
      <c r="AD49" s="341"/>
      <c r="AE49" s="341"/>
      <c r="AF49" s="341"/>
      <c r="AG49" s="342"/>
      <c r="AH49" s="340"/>
      <c r="AI49" s="341"/>
      <c r="AJ49" s="341"/>
      <c r="AK49" s="341"/>
      <c r="AL49" s="341"/>
      <c r="AM49" s="342"/>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x14ac:dyDescent="0.25">
      <c r="A50" s="68"/>
      <c r="B50" s="68"/>
      <c r="C50" s="68"/>
      <c r="D50" s="68"/>
      <c r="E50" s="68"/>
      <c r="F50" s="68"/>
      <c r="G50" s="68"/>
      <c r="H50" s="68"/>
      <c r="I50" s="68"/>
      <c r="J50" s="340"/>
      <c r="K50" s="341"/>
      <c r="L50" s="341"/>
      <c r="M50" s="341"/>
      <c r="N50" s="341"/>
      <c r="O50" s="342"/>
      <c r="P50" s="340"/>
      <c r="Q50" s="341"/>
      <c r="R50" s="341"/>
      <c r="S50" s="341"/>
      <c r="T50" s="341"/>
      <c r="U50" s="342"/>
      <c r="V50" s="340"/>
      <c r="W50" s="341"/>
      <c r="X50" s="341"/>
      <c r="Y50" s="341"/>
      <c r="Z50" s="341"/>
      <c r="AA50" s="342"/>
      <c r="AB50" s="340"/>
      <c r="AC50" s="341"/>
      <c r="AD50" s="341"/>
      <c r="AE50" s="341"/>
      <c r="AF50" s="341"/>
      <c r="AG50" s="342"/>
      <c r="AH50" s="340"/>
      <c r="AI50" s="341"/>
      <c r="AJ50" s="341"/>
      <c r="AK50" s="341"/>
      <c r="AL50" s="341"/>
      <c r="AM50" s="342"/>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75" thickBot="1" x14ac:dyDescent="0.3">
      <c r="A51" s="68"/>
      <c r="B51" s="68"/>
      <c r="C51" s="68"/>
      <c r="D51" s="68"/>
      <c r="E51" s="68"/>
      <c r="F51" s="68"/>
      <c r="G51" s="68"/>
      <c r="H51" s="68"/>
      <c r="I51" s="68"/>
      <c r="J51" s="343"/>
      <c r="K51" s="344"/>
      <c r="L51" s="344"/>
      <c r="M51" s="344"/>
      <c r="N51" s="344"/>
      <c r="O51" s="345"/>
      <c r="P51" s="343"/>
      <c r="Q51" s="344"/>
      <c r="R51" s="344"/>
      <c r="S51" s="344"/>
      <c r="T51" s="344"/>
      <c r="U51" s="345"/>
      <c r="V51" s="343"/>
      <c r="W51" s="344"/>
      <c r="X51" s="344"/>
      <c r="Y51" s="344"/>
      <c r="Z51" s="344"/>
      <c r="AA51" s="345"/>
      <c r="AB51" s="343"/>
      <c r="AC51" s="344"/>
      <c r="AD51" s="344"/>
      <c r="AE51" s="344"/>
      <c r="AF51" s="344"/>
      <c r="AG51" s="345"/>
      <c r="AH51" s="343"/>
      <c r="AI51" s="344"/>
      <c r="AJ51" s="344"/>
      <c r="AK51" s="344"/>
      <c r="AL51" s="344"/>
      <c r="AM51" s="345"/>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x14ac:dyDescent="0.2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x14ac:dyDescent="0.2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x14ac:dyDescent="0.2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row>
    <row r="63" spans="1:80" x14ac:dyDescent="0.2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row>
    <row r="64" spans="1:80" x14ac:dyDescent="0.2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row>
    <row r="65" spans="1:8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row>
    <row r="66" spans="1:8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row>
    <row r="67" spans="1:8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row>
    <row r="68" spans="1:8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row>
    <row r="69" spans="1:8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row>
    <row r="70" spans="1:8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row>
    <row r="71" spans="1:8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row>
    <row r="72" spans="1:8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row>
    <row r="73" spans="1:8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row>
    <row r="74" spans="1:8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row>
    <row r="75" spans="1:8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row>
    <row r="76" spans="1:8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row>
    <row r="77" spans="1:8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row>
    <row r="78" spans="1:8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row>
    <row r="79" spans="1:8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row>
    <row r="80" spans="1:8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row>
    <row r="81" spans="1:63"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row>
    <row r="82" spans="1:63"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row>
    <row r="83" spans="1:63"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row>
    <row r="84" spans="1:63"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row>
    <row r="85" spans="1:63"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row>
    <row r="86" spans="1:63"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row>
    <row r="87" spans="1:63"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row>
    <row r="88" spans="1:63"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row>
    <row r="89" spans="1:63"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row>
    <row r="90" spans="1:63"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row>
    <row r="91" spans="1:63"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row>
    <row r="92" spans="1:63"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row>
    <row r="93" spans="1:63"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row>
    <row r="94" spans="1:63"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row>
    <row r="95" spans="1:63"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row>
    <row r="96" spans="1:63"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row>
    <row r="97" spans="1:63"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row>
    <row r="98" spans="1:63"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row>
    <row r="99" spans="1:63"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row>
    <row r="100" spans="1:63"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row>
    <row r="101" spans="1:63"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row>
    <row r="102" spans="1:63"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row>
    <row r="103" spans="1:63"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row>
    <row r="104" spans="1:63"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row>
    <row r="105" spans="1:63"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row>
    <row r="106" spans="1:63"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row>
    <row r="107" spans="1:63"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row>
    <row r="108" spans="1:63"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row>
    <row r="109" spans="1:63"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row>
    <row r="110" spans="1:63"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row>
    <row r="111" spans="1:63"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row>
    <row r="112" spans="1:63"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row>
    <row r="113" spans="1:63"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row>
    <row r="114" spans="1:63"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row>
    <row r="115" spans="1:63"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row>
    <row r="116" spans="1:63"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row>
    <row r="117" spans="1:63"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row>
    <row r="118" spans="1:63"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row>
    <row r="119" spans="1:63"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row>
    <row r="120" spans="1:63"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row>
    <row r="121" spans="1:63"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row>
    <row r="122" spans="1:63" x14ac:dyDescent="0.25">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row>
    <row r="123" spans="1:63" x14ac:dyDescent="0.25">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row>
    <row r="124" spans="1:63" x14ac:dyDescent="0.25">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row>
    <row r="125" spans="1:63" x14ac:dyDescent="0.25">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row>
    <row r="126" spans="1:63" x14ac:dyDescent="0.25">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row>
    <row r="127" spans="1:63" x14ac:dyDescent="0.25">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row>
    <row r="128" spans="1:63" x14ac:dyDescent="0.25">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row>
    <row r="129" spans="2:63" x14ac:dyDescent="0.25">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row>
    <row r="130" spans="2:63" x14ac:dyDescent="0.25">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row>
    <row r="131" spans="2:63" x14ac:dyDescent="0.25">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row>
    <row r="132" spans="2:63" x14ac:dyDescent="0.25">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row>
    <row r="133" spans="2:63" x14ac:dyDescent="0.25">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row>
    <row r="134" spans="2:63" x14ac:dyDescent="0.25">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row>
    <row r="135" spans="2:63" x14ac:dyDescent="0.25">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row>
    <row r="136" spans="2:63" x14ac:dyDescent="0.25">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row>
    <row r="137" spans="2:63" x14ac:dyDescent="0.25">
      <c r="B137" s="68"/>
      <c r="C137" s="68"/>
      <c r="D137" s="68"/>
      <c r="E137" s="68"/>
      <c r="F137" s="68"/>
      <c r="G137" s="68"/>
      <c r="H137" s="68"/>
      <c r="I137" s="68"/>
    </row>
    <row r="138" spans="2:63" x14ac:dyDescent="0.25">
      <c r="B138" s="68"/>
      <c r="C138" s="68"/>
      <c r="D138" s="68"/>
      <c r="E138" s="68"/>
      <c r="F138" s="68"/>
      <c r="G138" s="68"/>
      <c r="H138" s="68"/>
      <c r="I138" s="68"/>
    </row>
    <row r="139" spans="2:63" x14ac:dyDescent="0.25">
      <c r="B139" s="68"/>
      <c r="C139" s="68"/>
      <c r="D139" s="68"/>
      <c r="E139" s="68"/>
      <c r="F139" s="68"/>
      <c r="G139" s="68"/>
      <c r="H139" s="68"/>
      <c r="I139" s="68"/>
    </row>
    <row r="140" spans="2:63" x14ac:dyDescent="0.25">
      <c r="B140" s="68"/>
      <c r="C140" s="68"/>
      <c r="D140" s="68"/>
      <c r="E140" s="68"/>
      <c r="F140" s="68"/>
      <c r="G140" s="68"/>
      <c r="H140" s="68"/>
      <c r="I140" s="68"/>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row>
    <row r="2" spans="1:91" ht="18" customHeight="1" x14ac:dyDescent="0.25">
      <c r="A2" s="68"/>
      <c r="B2" s="416" t="s">
        <v>149</v>
      </c>
      <c r="C2" s="417"/>
      <c r="D2" s="417"/>
      <c r="E2" s="417"/>
      <c r="F2" s="417"/>
      <c r="G2" s="417"/>
      <c r="H2" s="417"/>
      <c r="I2" s="417"/>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row>
    <row r="3" spans="1:91" ht="18.75" customHeight="1" x14ac:dyDescent="0.25">
      <c r="A3" s="68"/>
      <c r="B3" s="417"/>
      <c r="C3" s="417"/>
      <c r="D3" s="417"/>
      <c r="E3" s="417"/>
      <c r="F3" s="417"/>
      <c r="G3" s="417"/>
      <c r="H3" s="417"/>
      <c r="I3" s="417"/>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row>
    <row r="4" spans="1:91" ht="15" customHeight="1" x14ac:dyDescent="0.25">
      <c r="A4" s="68"/>
      <c r="B4" s="417"/>
      <c r="C4" s="417"/>
      <c r="D4" s="417"/>
      <c r="E4" s="417"/>
      <c r="F4" s="417"/>
      <c r="G4" s="417"/>
      <c r="H4" s="417"/>
      <c r="I4" s="417"/>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row>
    <row r="5" spans="1:91"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91" ht="15" customHeight="1" x14ac:dyDescent="0.25">
      <c r="A6" s="68"/>
      <c r="B6" s="348" t="s">
        <v>4</v>
      </c>
      <c r="C6" s="348"/>
      <c r="D6" s="349"/>
      <c r="E6" s="386" t="s">
        <v>111</v>
      </c>
      <c r="F6" s="387"/>
      <c r="G6" s="387"/>
      <c r="H6" s="387"/>
      <c r="I6" s="388"/>
      <c r="J6" s="30" t="str">
        <f ca="1">IF(AND('Mapa final'!$AA$10="Muy Alta",'Mapa final'!$AC$10="Leve"),CONCATENATE("R1C",'Mapa final'!$Q$10),"")</f>
        <v/>
      </c>
      <c r="K6" s="31" t="str">
        <f>IF(AND('Mapa final'!$AA$11="Muy Alta",'Mapa final'!$AC$11="Leve"),CONCATENATE("R1C",'Mapa final'!$Q$11),"")</f>
        <v/>
      </c>
      <c r="L6" s="31" t="e">
        <f>IF(AND('Mapa final'!#REF!="Muy Alta",'Mapa final'!#REF!="Leve"),CONCATENATE("R1C",'Mapa final'!#REF!),"")</f>
        <v>#REF!</v>
      </c>
      <c r="M6" s="31" t="e">
        <f>IF(AND('Mapa final'!#REF!="Muy Alta",'Mapa final'!#REF!="Leve"),CONCATENATE("R1C",'Mapa final'!#REF!),"")</f>
        <v>#REF!</v>
      </c>
      <c r="N6" s="31" t="e">
        <f>IF(AND('Mapa final'!#REF!="Muy Alta",'Mapa final'!#REF!="Leve"),CONCATENATE("R1C",'Mapa final'!#REF!),"")</f>
        <v>#REF!</v>
      </c>
      <c r="O6" s="32" t="e">
        <f>IF(AND('Mapa final'!#REF!="Muy Alta",'Mapa final'!#REF!="Leve"),CONCATENATE("R1C",'Mapa final'!#REF!),"")</f>
        <v>#REF!</v>
      </c>
      <c r="P6" s="30" t="str">
        <f ca="1">IF(AND('Mapa final'!$AA$10="Muy Alta",'Mapa final'!$AC$10="Menor"),CONCATENATE("R1C",'Mapa final'!$Q$10),"")</f>
        <v/>
      </c>
      <c r="Q6" s="31" t="str">
        <f>IF(AND('Mapa final'!$AA$11="Muy Alta",'Mapa final'!$AC$11="Menor"),CONCATENATE("R1C",'Mapa final'!$Q$11),"")</f>
        <v/>
      </c>
      <c r="R6" s="31" t="e">
        <f>IF(AND('Mapa final'!#REF!="Muy Alta",'Mapa final'!#REF!="Menor"),CONCATENATE("R1C",'Mapa final'!#REF!),"")</f>
        <v>#REF!</v>
      </c>
      <c r="S6" s="31" t="e">
        <f>IF(AND('Mapa final'!#REF!="Muy Alta",'Mapa final'!#REF!="Menor"),CONCATENATE("R1C",'Mapa final'!#REF!),"")</f>
        <v>#REF!</v>
      </c>
      <c r="T6" s="31" t="e">
        <f>IF(AND('Mapa final'!#REF!="Muy Alta",'Mapa final'!#REF!="Menor"),CONCATENATE("R1C",'Mapa final'!#REF!),"")</f>
        <v>#REF!</v>
      </c>
      <c r="U6" s="32" t="e">
        <f>IF(AND('Mapa final'!#REF!="Muy Alta",'Mapa final'!#REF!="Menor"),CONCATENATE("R1C",'Mapa final'!#REF!),"")</f>
        <v>#REF!</v>
      </c>
      <c r="V6" s="30" t="str">
        <f ca="1">IF(AND('Mapa final'!$AA$10="Muy Alta",'Mapa final'!$AC$10="Moderado"),CONCATENATE("R1C",'Mapa final'!$Q$10),"")</f>
        <v/>
      </c>
      <c r="W6" s="31" t="str">
        <f>IF(AND('Mapa final'!$AA$11="Muy Alta",'Mapa final'!$AC$11="Moderado"),CONCATENATE("R1C",'Mapa final'!$Q$11),"")</f>
        <v/>
      </c>
      <c r="X6" s="31" t="e">
        <f>IF(AND('Mapa final'!#REF!="Muy Alta",'Mapa final'!#REF!="Moderado"),CONCATENATE("R1C",'Mapa final'!#REF!),"")</f>
        <v>#REF!</v>
      </c>
      <c r="Y6" s="31" t="e">
        <f>IF(AND('Mapa final'!#REF!="Muy Alta",'Mapa final'!#REF!="Moderado"),CONCATENATE("R1C",'Mapa final'!#REF!),"")</f>
        <v>#REF!</v>
      </c>
      <c r="Z6" s="31" t="e">
        <f>IF(AND('Mapa final'!#REF!="Muy Alta",'Mapa final'!#REF!="Moderado"),CONCATENATE("R1C",'Mapa final'!#REF!),"")</f>
        <v>#REF!</v>
      </c>
      <c r="AA6" s="32" t="e">
        <f>IF(AND('Mapa final'!#REF!="Muy Alta",'Mapa final'!#REF!="Moderado"),CONCATENATE("R1C",'Mapa final'!#REF!),"")</f>
        <v>#REF!</v>
      </c>
      <c r="AB6" s="30" t="str">
        <f ca="1">IF(AND('Mapa final'!$AA$10="Muy Alta",'Mapa final'!$AC$10="Mayor"),CONCATENATE("R1C",'Mapa final'!$Q$10),"")</f>
        <v/>
      </c>
      <c r="AC6" s="31" t="str">
        <f>IF(AND('Mapa final'!$AA$11="Muy Alta",'Mapa final'!$AC$11="Mayor"),CONCATENATE("R1C",'Mapa final'!$Q$11),"")</f>
        <v/>
      </c>
      <c r="AD6" s="31" t="e">
        <f>IF(AND('Mapa final'!#REF!="Muy Alta",'Mapa final'!#REF!="Mayor"),CONCATENATE("R1C",'Mapa final'!#REF!),"")</f>
        <v>#REF!</v>
      </c>
      <c r="AE6" s="31" t="e">
        <f>IF(AND('Mapa final'!#REF!="Muy Alta",'Mapa final'!#REF!="Mayor"),CONCATENATE("R1C",'Mapa final'!#REF!),"")</f>
        <v>#REF!</v>
      </c>
      <c r="AF6" s="31" t="e">
        <f>IF(AND('Mapa final'!#REF!="Muy Alta",'Mapa final'!#REF!="Mayor"),CONCATENATE("R1C",'Mapa final'!#REF!),"")</f>
        <v>#REF!</v>
      </c>
      <c r="AG6" s="32" t="e">
        <f>IF(AND('Mapa final'!#REF!="Muy Alta",'Mapa final'!#REF!="Mayor"),CONCATENATE("R1C",'Mapa final'!#REF!),"")</f>
        <v>#REF!</v>
      </c>
      <c r="AH6" s="33" t="str">
        <f ca="1">IF(AND('Mapa final'!$AA$10="Muy Alta",'Mapa final'!$AC$10="Catastrófico"),CONCATENATE("R1C",'Mapa final'!$Q$10),"")</f>
        <v/>
      </c>
      <c r="AI6" s="34" t="str">
        <f>IF(AND('Mapa final'!$AA$11="Muy Alta",'Mapa final'!$AC$11="Catastrófico"),CONCATENATE("R1C",'Mapa final'!$Q$11),"")</f>
        <v/>
      </c>
      <c r="AJ6" s="34" t="e">
        <f>IF(AND('Mapa final'!#REF!="Muy Alta",'Mapa final'!#REF!="Catastrófico"),CONCATENATE("R1C",'Mapa final'!#REF!),"")</f>
        <v>#REF!</v>
      </c>
      <c r="AK6" s="34" t="e">
        <f>IF(AND('Mapa final'!#REF!="Muy Alta",'Mapa final'!#REF!="Catastrófico"),CONCATENATE("R1C",'Mapa final'!#REF!),"")</f>
        <v>#REF!</v>
      </c>
      <c r="AL6" s="34" t="e">
        <f>IF(AND('Mapa final'!#REF!="Muy Alta",'Mapa final'!#REF!="Catastrófico"),CONCATENATE("R1C",'Mapa final'!#REF!),"")</f>
        <v>#REF!</v>
      </c>
      <c r="AM6" s="35" t="e">
        <f>IF(AND('Mapa final'!#REF!="Muy Alta",'Mapa final'!#REF!="Catastrófico"),CONCATENATE("R1C",'Mapa final'!#REF!),"")</f>
        <v>#REF!</v>
      </c>
      <c r="AN6" s="68"/>
      <c r="AO6" s="407" t="s">
        <v>78</v>
      </c>
      <c r="AP6" s="408"/>
      <c r="AQ6" s="408"/>
      <c r="AR6" s="408"/>
      <c r="AS6" s="408"/>
      <c r="AT6" s="409"/>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row>
    <row r="7" spans="1:91" ht="15" customHeight="1" x14ac:dyDescent="0.25">
      <c r="A7" s="68"/>
      <c r="B7" s="348"/>
      <c r="C7" s="348"/>
      <c r="D7" s="349"/>
      <c r="E7" s="389"/>
      <c r="F7" s="390"/>
      <c r="G7" s="390"/>
      <c r="H7" s="390"/>
      <c r="I7" s="391"/>
      <c r="J7" s="36" t="str">
        <f>IF(AND('Mapa final'!$AA$12="Muy Alta",'Mapa final'!$AC$12="Leve"),CONCATENATE("R2C",'Mapa final'!$Q$12),"")</f>
        <v/>
      </c>
      <c r="K7" s="37" t="str">
        <f>IF(AND('Mapa final'!$AA$13="Muy Alta",'Mapa final'!$AC$13="Leve"),CONCATENATE("R2C",'Mapa final'!$Q$13),"")</f>
        <v/>
      </c>
      <c r="L7" s="37" t="str">
        <f>IF(AND('Mapa final'!$AA$14="Muy Alta",'Mapa final'!$AC$14="Leve"),CONCATENATE("R2C",'Mapa final'!$Q$14),"")</f>
        <v/>
      </c>
      <c r="M7" s="37" t="e">
        <f>IF(AND('Mapa final'!#REF!="Muy Alta",'Mapa final'!#REF!="Leve"),CONCATENATE("R2C",'Mapa final'!#REF!),"")</f>
        <v>#REF!</v>
      </c>
      <c r="N7" s="37" t="e">
        <f>IF(AND('Mapa final'!#REF!="Muy Alta",'Mapa final'!#REF!="Leve"),CONCATENATE("R2C",'Mapa final'!#REF!),"")</f>
        <v>#REF!</v>
      </c>
      <c r="O7" s="38" t="e">
        <f>IF(AND('Mapa final'!#REF!="Muy Alta",'Mapa final'!#REF!="Leve"),CONCATENATE("R2C",'Mapa final'!#REF!),"")</f>
        <v>#REF!</v>
      </c>
      <c r="P7" s="36" t="str">
        <f>IF(AND('Mapa final'!$AA$12="Muy Alta",'Mapa final'!$AC$12="Menor"),CONCATENATE("R2C",'Mapa final'!$Q$12),"")</f>
        <v/>
      </c>
      <c r="Q7" s="37" t="str">
        <f>IF(AND('Mapa final'!$AA$13="Muy Alta",'Mapa final'!$AC$13="Menor"),CONCATENATE("R2C",'Mapa final'!$Q$13),"")</f>
        <v/>
      </c>
      <c r="R7" s="37" t="str">
        <f>IF(AND('Mapa final'!$AA$14="Muy Alta",'Mapa final'!$AC$14="Menor"),CONCATENATE("R2C",'Mapa final'!$Q$14),"")</f>
        <v/>
      </c>
      <c r="S7" s="37" t="e">
        <f>IF(AND('Mapa final'!#REF!="Muy Alta",'Mapa final'!#REF!="Menor"),CONCATENATE("R2C",'Mapa final'!#REF!),"")</f>
        <v>#REF!</v>
      </c>
      <c r="T7" s="37" t="e">
        <f>IF(AND('Mapa final'!#REF!="Muy Alta",'Mapa final'!#REF!="Menor"),CONCATENATE("R2C",'Mapa final'!#REF!),"")</f>
        <v>#REF!</v>
      </c>
      <c r="U7" s="38" t="e">
        <f>IF(AND('Mapa final'!#REF!="Muy Alta",'Mapa final'!#REF!="Menor"),CONCATENATE("R2C",'Mapa final'!#REF!),"")</f>
        <v>#REF!</v>
      </c>
      <c r="V7" s="36" t="str">
        <f>IF(AND('Mapa final'!$AA$12="Muy Alta",'Mapa final'!$AC$12="Moderado"),CONCATENATE("R2C",'Mapa final'!$Q$12),"")</f>
        <v/>
      </c>
      <c r="W7" s="37" t="str">
        <f>IF(AND('Mapa final'!$AA$13="Muy Alta",'Mapa final'!$AC$13="Moderado"),CONCATENATE("R2C",'Mapa final'!$Q$13),"")</f>
        <v/>
      </c>
      <c r="X7" s="37" t="str">
        <f>IF(AND('Mapa final'!$AA$14="Muy Alta",'Mapa final'!$AC$14="Moderado"),CONCATENATE("R2C",'Mapa final'!$Q$14),"")</f>
        <v/>
      </c>
      <c r="Y7" s="37" t="e">
        <f>IF(AND('Mapa final'!#REF!="Muy Alta",'Mapa final'!#REF!="Moderado"),CONCATENATE("R2C",'Mapa final'!#REF!),"")</f>
        <v>#REF!</v>
      </c>
      <c r="Z7" s="37" t="e">
        <f>IF(AND('Mapa final'!#REF!="Muy Alta",'Mapa final'!#REF!="Moderado"),CONCATENATE("R2C",'Mapa final'!#REF!),"")</f>
        <v>#REF!</v>
      </c>
      <c r="AA7" s="38" t="e">
        <f>IF(AND('Mapa final'!#REF!="Muy Alta",'Mapa final'!#REF!="Moderado"),CONCATENATE("R2C",'Mapa final'!#REF!),"")</f>
        <v>#REF!</v>
      </c>
      <c r="AB7" s="36" t="str">
        <f>IF(AND('Mapa final'!$AA$12="Muy Alta",'Mapa final'!$AC$12="Mayor"),CONCATENATE("R2C",'Mapa final'!$Q$12),"")</f>
        <v/>
      </c>
      <c r="AC7" s="37" t="str">
        <f>IF(AND('Mapa final'!$AA$13="Muy Alta",'Mapa final'!$AC$13="Mayor"),CONCATENATE("R2C",'Mapa final'!$Q$13),"")</f>
        <v/>
      </c>
      <c r="AD7" s="37" t="str">
        <f>IF(AND('Mapa final'!$AA$14="Muy Alta",'Mapa final'!$AC$14="Mayor"),CONCATENATE("R2C",'Mapa final'!$Q$14),"")</f>
        <v/>
      </c>
      <c r="AE7" s="37" t="e">
        <f>IF(AND('Mapa final'!#REF!="Muy Alta",'Mapa final'!#REF!="Mayor"),CONCATENATE("R2C",'Mapa final'!#REF!),"")</f>
        <v>#REF!</v>
      </c>
      <c r="AF7" s="37" t="e">
        <f>IF(AND('Mapa final'!#REF!="Muy Alta",'Mapa final'!#REF!="Mayor"),CONCATENATE("R2C",'Mapa final'!#REF!),"")</f>
        <v>#REF!</v>
      </c>
      <c r="AG7" s="38" t="e">
        <f>IF(AND('Mapa final'!#REF!="Muy Alta",'Mapa final'!#REF!="Mayor"),CONCATENATE("R2C",'Mapa final'!#REF!),"")</f>
        <v>#REF!</v>
      </c>
      <c r="AH7" s="39" t="str">
        <f>IF(AND('Mapa final'!$AA$12="Muy Alta",'Mapa final'!$AC$12="Catastrófico"),CONCATENATE("R2C",'Mapa final'!$Q$12),"")</f>
        <v/>
      </c>
      <c r="AI7" s="40" t="str">
        <f>IF(AND('Mapa final'!$AA$13="Muy Alta",'Mapa final'!$AC$13="Catastrófico"),CONCATENATE("R2C",'Mapa final'!$Q$13),"")</f>
        <v/>
      </c>
      <c r="AJ7" s="40" t="str">
        <f>IF(AND('Mapa final'!$AA$14="Muy Alta",'Mapa final'!$AC$14="Catastrófico"),CONCATENATE("R2C",'Mapa final'!$Q$14),"")</f>
        <v/>
      </c>
      <c r="AK7" s="40" t="e">
        <f>IF(AND('Mapa final'!#REF!="Muy Alta",'Mapa final'!#REF!="Catastrófico"),CONCATENATE("R2C",'Mapa final'!#REF!),"")</f>
        <v>#REF!</v>
      </c>
      <c r="AL7" s="40" t="e">
        <f>IF(AND('Mapa final'!#REF!="Muy Alta",'Mapa final'!#REF!="Catastrófico"),CONCATENATE("R2C",'Mapa final'!#REF!),"")</f>
        <v>#REF!</v>
      </c>
      <c r="AM7" s="41" t="e">
        <f>IF(AND('Mapa final'!#REF!="Muy Alta",'Mapa final'!#REF!="Catastrófico"),CONCATENATE("R2C",'Mapa final'!#REF!),"")</f>
        <v>#REF!</v>
      </c>
      <c r="AN7" s="68"/>
      <c r="AO7" s="410"/>
      <c r="AP7" s="411"/>
      <c r="AQ7" s="411"/>
      <c r="AR7" s="411"/>
      <c r="AS7" s="411"/>
      <c r="AT7" s="412"/>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row>
    <row r="8" spans="1:91" ht="15" customHeight="1" x14ac:dyDescent="0.25">
      <c r="A8" s="68"/>
      <c r="B8" s="348"/>
      <c r="C8" s="348"/>
      <c r="D8" s="349"/>
      <c r="E8" s="389"/>
      <c r="F8" s="390"/>
      <c r="G8" s="390"/>
      <c r="H8" s="390"/>
      <c r="I8" s="391"/>
      <c r="J8" s="36" t="str">
        <f>IF(AND('Mapa final'!$AA$15="Muy Alta",'Mapa final'!$AC$15="Leve"),CONCATENATE("R3C",'Mapa final'!$Q$15),"")</f>
        <v/>
      </c>
      <c r="K8" s="37" t="str">
        <f>IF(AND('Mapa final'!$AA$16="Muy Alta",'Mapa final'!$AC$16="Leve"),CONCATENATE("R3C",'Mapa final'!$Q$16),"")</f>
        <v/>
      </c>
      <c r="L8" s="37" t="str">
        <f>IF(AND('Mapa final'!$AA$17="Muy Alta",'Mapa final'!$AC$17="Leve"),CONCATENATE("R3C",'Mapa final'!$Q$17),"")</f>
        <v/>
      </c>
      <c r="M8" s="37" t="str">
        <f>IF(AND('Mapa final'!$AA$18="Muy Alta",'Mapa final'!$AC$18="Leve"),CONCATENATE("R3C",'Mapa final'!$Q$18),"")</f>
        <v/>
      </c>
      <c r="N8" s="37" t="str">
        <f>IF(AND('Mapa final'!$AA$19="Muy Alta",'Mapa final'!$AC$19="Leve"),CONCATENATE("R3C",'Mapa final'!$Q$19),"")</f>
        <v/>
      </c>
      <c r="O8" s="38" t="str">
        <f>IF(AND('Mapa final'!$AA$20="Muy Alta",'Mapa final'!$AC$20="Leve"),CONCATENATE("R3C",'Mapa final'!$Q$20),"")</f>
        <v/>
      </c>
      <c r="P8" s="36" t="str">
        <f>IF(AND('Mapa final'!$AA$15="Muy Alta",'Mapa final'!$AC$15="Menor"),CONCATENATE("R3C",'Mapa final'!$Q$15),"")</f>
        <v/>
      </c>
      <c r="Q8" s="37" t="str">
        <f>IF(AND('Mapa final'!$AA$16="Muy Alta",'Mapa final'!$AC$16="Menor"),CONCATENATE("R3C",'Mapa final'!$Q$16),"")</f>
        <v/>
      </c>
      <c r="R8" s="37" t="str">
        <f>IF(AND('Mapa final'!$AA$17="Muy Alta",'Mapa final'!$AC$17="Menor"),CONCATENATE("R3C",'Mapa final'!$Q$17),"")</f>
        <v/>
      </c>
      <c r="S8" s="37" t="str">
        <f>IF(AND('Mapa final'!$AA$18="Muy Alta",'Mapa final'!$AC$18="Menor"),CONCATENATE("R3C",'Mapa final'!$Q$18),"")</f>
        <v/>
      </c>
      <c r="T8" s="37" t="str">
        <f>IF(AND('Mapa final'!$AA$19="Muy Alta",'Mapa final'!$AC$19="Menor"),CONCATENATE("R3C",'Mapa final'!$Q$19),"")</f>
        <v/>
      </c>
      <c r="U8" s="38" t="str">
        <f>IF(AND('Mapa final'!$AA$20="Muy Alta",'Mapa final'!$AC$20="Menor"),CONCATENATE("R3C",'Mapa final'!$Q$20),"")</f>
        <v/>
      </c>
      <c r="V8" s="36" t="str">
        <f>IF(AND('Mapa final'!$AA$15="Muy Alta",'Mapa final'!$AC$15="Moderado"),CONCATENATE("R3C",'Mapa final'!$Q$15),"")</f>
        <v/>
      </c>
      <c r="W8" s="37" t="str">
        <f>IF(AND('Mapa final'!$AA$16="Muy Alta",'Mapa final'!$AC$16="Moderado"),CONCATENATE("R3C",'Mapa final'!$Q$16),"")</f>
        <v/>
      </c>
      <c r="X8" s="37" t="str">
        <f>IF(AND('Mapa final'!$AA$17="Muy Alta",'Mapa final'!$AC$17="Moderado"),CONCATENATE("R3C",'Mapa final'!$Q$17),"")</f>
        <v/>
      </c>
      <c r="Y8" s="37" t="str">
        <f>IF(AND('Mapa final'!$AA$18="Muy Alta",'Mapa final'!$AC$18="Moderado"),CONCATENATE("R3C",'Mapa final'!$Q$18),"")</f>
        <v/>
      </c>
      <c r="Z8" s="37" t="str">
        <f>IF(AND('Mapa final'!$AA$19="Muy Alta",'Mapa final'!$AC$19="Moderado"),CONCATENATE("R3C",'Mapa final'!$Q$19),"")</f>
        <v/>
      </c>
      <c r="AA8" s="38" t="str">
        <f>IF(AND('Mapa final'!$AA$20="Muy Alta",'Mapa final'!$AC$20="Moderado"),CONCATENATE("R3C",'Mapa final'!$Q$20),"")</f>
        <v/>
      </c>
      <c r="AB8" s="36" t="str">
        <f>IF(AND('Mapa final'!$AA$15="Muy Alta",'Mapa final'!$AC$15="Mayor"),CONCATENATE("R3C",'Mapa final'!$Q$15),"")</f>
        <v/>
      </c>
      <c r="AC8" s="37" t="str">
        <f>IF(AND('Mapa final'!$AA$16="Muy Alta",'Mapa final'!$AC$16="Mayor"),CONCATENATE("R3C",'Mapa final'!$Q$16),"")</f>
        <v/>
      </c>
      <c r="AD8" s="37" t="str">
        <f>IF(AND('Mapa final'!$AA$17="Muy Alta",'Mapa final'!$AC$17="Mayor"),CONCATENATE("R3C",'Mapa final'!$Q$17),"")</f>
        <v/>
      </c>
      <c r="AE8" s="37" t="str">
        <f>IF(AND('Mapa final'!$AA$18="Muy Alta",'Mapa final'!$AC$18="Mayor"),CONCATENATE("R3C",'Mapa final'!$Q$18),"")</f>
        <v/>
      </c>
      <c r="AF8" s="37" t="str">
        <f>IF(AND('Mapa final'!$AA$19="Muy Alta",'Mapa final'!$AC$19="Mayor"),CONCATENATE("R3C",'Mapa final'!$Q$19),"")</f>
        <v/>
      </c>
      <c r="AG8" s="38" t="str">
        <f>IF(AND('Mapa final'!$AA$20="Muy Alta",'Mapa final'!$AC$20="Mayor"),CONCATENATE("R3C",'Mapa final'!$Q$20),"")</f>
        <v/>
      </c>
      <c r="AH8" s="39" t="str">
        <f>IF(AND('Mapa final'!$AA$15="Muy Alta",'Mapa final'!$AC$15="Catastrófico"),CONCATENATE("R3C",'Mapa final'!$Q$15),"")</f>
        <v/>
      </c>
      <c r="AI8" s="40" t="str">
        <f>IF(AND('Mapa final'!$AA$16="Muy Alta",'Mapa final'!$AC$16="Catastrófico"),CONCATENATE("R3C",'Mapa final'!$Q$16),"")</f>
        <v/>
      </c>
      <c r="AJ8" s="40" t="str">
        <f>IF(AND('Mapa final'!$AA$17="Muy Alta",'Mapa final'!$AC$17="Catastrófico"),CONCATENATE("R3C",'Mapa final'!$Q$17),"")</f>
        <v/>
      </c>
      <c r="AK8" s="40" t="str">
        <f>IF(AND('Mapa final'!$AA$18="Muy Alta",'Mapa final'!$AC$18="Catastrófico"),CONCATENATE("R3C",'Mapa final'!$Q$18),"")</f>
        <v/>
      </c>
      <c r="AL8" s="40" t="str">
        <f>IF(AND('Mapa final'!$AA$19="Muy Alta",'Mapa final'!$AC$19="Catastrófico"),CONCATENATE("R3C",'Mapa final'!$Q$19),"")</f>
        <v/>
      </c>
      <c r="AM8" s="41" t="str">
        <f>IF(AND('Mapa final'!$AA$20="Muy Alta",'Mapa final'!$AC$20="Catastrófico"),CONCATENATE("R3C",'Mapa final'!$Q$20),"")</f>
        <v/>
      </c>
      <c r="AN8" s="68"/>
      <c r="AO8" s="410"/>
      <c r="AP8" s="411"/>
      <c r="AQ8" s="411"/>
      <c r="AR8" s="411"/>
      <c r="AS8" s="411"/>
      <c r="AT8" s="412"/>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row>
    <row r="9" spans="1:91" ht="15" customHeight="1" x14ac:dyDescent="0.25">
      <c r="A9" s="68"/>
      <c r="B9" s="348"/>
      <c r="C9" s="348"/>
      <c r="D9" s="349"/>
      <c r="E9" s="389"/>
      <c r="F9" s="390"/>
      <c r="G9" s="390"/>
      <c r="H9" s="390"/>
      <c r="I9" s="391"/>
      <c r="J9" s="36" t="str">
        <f>IF(AND('Mapa final'!$AA$21="Muy Alta",'Mapa final'!$AC$21="Leve"),CONCATENATE("R4C",'Mapa final'!$Q$21),"")</f>
        <v/>
      </c>
      <c r="K9" s="37" t="str">
        <f>IF(AND('Mapa final'!$AA$22="Muy Alta",'Mapa final'!$AC$22="Leve"),CONCATENATE("R4C",'Mapa final'!$Q$22),"")</f>
        <v/>
      </c>
      <c r="L9" s="42" t="str">
        <f>IF(AND('Mapa final'!$AA$23="Muy Alta",'Mapa final'!$AC$23="Leve"),CONCATENATE("R4C",'Mapa final'!$Q$23),"")</f>
        <v/>
      </c>
      <c r="M9" s="42" t="str">
        <f>IF(AND('Mapa final'!$AA$24="Muy Alta",'Mapa final'!$AC$24="Leve"),CONCATENATE("R4C",'Mapa final'!$Q$24),"")</f>
        <v/>
      </c>
      <c r="N9" s="42" t="str">
        <f>IF(AND('Mapa final'!$AA$25="Muy Alta",'Mapa final'!$AC$25="Leve"),CONCATENATE("R4C",'Mapa final'!$Q$25),"")</f>
        <v/>
      </c>
      <c r="O9" s="38" t="str">
        <f>IF(AND('Mapa final'!$AA$26="Muy Alta",'Mapa final'!$AC$26="Leve"),CONCATENATE("R4C",'Mapa final'!$Q$26),"")</f>
        <v/>
      </c>
      <c r="P9" s="36" t="str">
        <f>IF(AND('Mapa final'!$AA$21="Muy Alta",'Mapa final'!$AC$21="Menor"),CONCATENATE("R4C",'Mapa final'!$Q$21),"")</f>
        <v/>
      </c>
      <c r="Q9" s="37" t="str">
        <f>IF(AND('Mapa final'!$AA$22="Muy Alta",'Mapa final'!$AC$22="Menor"),CONCATENATE("R4C",'Mapa final'!$Q$22),"")</f>
        <v/>
      </c>
      <c r="R9" s="42" t="str">
        <f>IF(AND('Mapa final'!$AA$23="Muy Alta",'Mapa final'!$AC$23="Menor"),CONCATENATE("R4C",'Mapa final'!$Q$23),"")</f>
        <v/>
      </c>
      <c r="S9" s="42" t="str">
        <f>IF(AND('Mapa final'!$AA$24="Muy Alta",'Mapa final'!$AC$24="Menor"),CONCATENATE("R4C",'Mapa final'!$Q$24),"")</f>
        <v/>
      </c>
      <c r="T9" s="42" t="str">
        <f>IF(AND('Mapa final'!$AA$25="Muy Alta",'Mapa final'!$AC$25="Menor"),CONCATENATE("R4C",'Mapa final'!$Q$25),"")</f>
        <v/>
      </c>
      <c r="U9" s="38" t="str">
        <f>IF(AND('Mapa final'!$AA$26="Muy Alta",'Mapa final'!$AC$26="Menor"),CONCATENATE("R4C",'Mapa final'!$Q$26),"")</f>
        <v/>
      </c>
      <c r="V9" s="36" t="str">
        <f>IF(AND('Mapa final'!$AA$21="Muy Alta",'Mapa final'!$AC$21="Moderado"),CONCATENATE("R4C",'Mapa final'!$Q$21),"")</f>
        <v/>
      </c>
      <c r="W9" s="37" t="str">
        <f>IF(AND('Mapa final'!$AA$22="Muy Alta",'Mapa final'!$AC$22="Moderado"),CONCATENATE("R4C",'Mapa final'!$Q$22),"")</f>
        <v/>
      </c>
      <c r="X9" s="42" t="str">
        <f>IF(AND('Mapa final'!$AA$23="Muy Alta",'Mapa final'!$AC$23="Moderado"),CONCATENATE("R4C",'Mapa final'!$Q$23),"")</f>
        <v/>
      </c>
      <c r="Y9" s="42" t="str">
        <f>IF(AND('Mapa final'!$AA$24="Muy Alta",'Mapa final'!$AC$24="Moderado"),CONCATENATE("R4C",'Mapa final'!$Q$24),"")</f>
        <v/>
      </c>
      <c r="Z9" s="42" t="str">
        <f>IF(AND('Mapa final'!$AA$25="Muy Alta",'Mapa final'!$AC$25="Moderado"),CONCATENATE("R4C",'Mapa final'!$Q$25),"")</f>
        <v/>
      </c>
      <c r="AA9" s="38" t="str">
        <f>IF(AND('Mapa final'!$AA$26="Muy Alta",'Mapa final'!$AC$26="Moderado"),CONCATENATE("R4C",'Mapa final'!$Q$26),"")</f>
        <v/>
      </c>
      <c r="AB9" s="36" t="str">
        <f>IF(AND('Mapa final'!$AA$21="Muy Alta",'Mapa final'!$AC$21="Mayor"),CONCATENATE("R4C",'Mapa final'!$Q$21),"")</f>
        <v/>
      </c>
      <c r="AC9" s="37" t="str">
        <f>IF(AND('Mapa final'!$AA$22="Muy Alta",'Mapa final'!$AC$22="Mayor"),CONCATENATE("R4C",'Mapa final'!$Q$22),"")</f>
        <v/>
      </c>
      <c r="AD9" s="42" t="str">
        <f>IF(AND('Mapa final'!$AA$23="Muy Alta",'Mapa final'!$AC$23="Mayor"),CONCATENATE("R4C",'Mapa final'!$Q$23),"")</f>
        <v/>
      </c>
      <c r="AE9" s="42" t="str">
        <f>IF(AND('Mapa final'!$AA$24="Muy Alta",'Mapa final'!$AC$24="Mayor"),CONCATENATE("R4C",'Mapa final'!$Q$24),"")</f>
        <v/>
      </c>
      <c r="AF9" s="42" t="str">
        <f>IF(AND('Mapa final'!$AA$25="Muy Alta",'Mapa final'!$AC$25="Mayor"),CONCATENATE("R4C",'Mapa final'!$Q$25),"")</f>
        <v/>
      </c>
      <c r="AG9" s="38" t="str">
        <f>IF(AND('Mapa final'!$AA$26="Muy Alta",'Mapa final'!$AC$26="Mayor"),CONCATENATE("R4C",'Mapa final'!$Q$26),"")</f>
        <v/>
      </c>
      <c r="AH9" s="39" t="str">
        <f>IF(AND('Mapa final'!$AA$21="Muy Alta",'Mapa final'!$AC$21="Catastrófico"),CONCATENATE("R4C",'Mapa final'!$Q$21),"")</f>
        <v/>
      </c>
      <c r="AI9" s="40" t="str">
        <f>IF(AND('Mapa final'!$AA$22="Muy Alta",'Mapa final'!$AC$22="Catastrófico"),CONCATENATE("R4C",'Mapa final'!$Q$22),"")</f>
        <v/>
      </c>
      <c r="AJ9" s="40" t="str">
        <f>IF(AND('Mapa final'!$AA$23="Muy Alta",'Mapa final'!$AC$23="Catastrófico"),CONCATENATE("R4C",'Mapa final'!$Q$23),"")</f>
        <v/>
      </c>
      <c r="AK9" s="40" t="str">
        <f>IF(AND('Mapa final'!$AA$24="Muy Alta",'Mapa final'!$AC$24="Catastrófico"),CONCATENATE("R4C",'Mapa final'!$Q$24),"")</f>
        <v/>
      </c>
      <c r="AL9" s="40" t="str">
        <f>IF(AND('Mapa final'!$AA$25="Muy Alta",'Mapa final'!$AC$25="Catastrófico"),CONCATENATE("R4C",'Mapa final'!$Q$25),"")</f>
        <v/>
      </c>
      <c r="AM9" s="41" t="str">
        <f>IF(AND('Mapa final'!$AA$26="Muy Alta",'Mapa final'!$AC$26="Catastrófico"),CONCATENATE("R4C",'Mapa final'!$Q$26),"")</f>
        <v/>
      </c>
      <c r="AN9" s="68"/>
      <c r="AO9" s="410"/>
      <c r="AP9" s="411"/>
      <c r="AQ9" s="411"/>
      <c r="AR9" s="411"/>
      <c r="AS9" s="411"/>
      <c r="AT9" s="412"/>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row>
    <row r="10" spans="1:91" ht="15" customHeight="1" x14ac:dyDescent="0.25">
      <c r="A10" s="68"/>
      <c r="B10" s="348"/>
      <c r="C10" s="348"/>
      <c r="D10" s="349"/>
      <c r="E10" s="389"/>
      <c r="F10" s="390"/>
      <c r="G10" s="390"/>
      <c r="H10" s="390"/>
      <c r="I10" s="391"/>
      <c r="J10" s="36" t="str">
        <f>IF(AND('Mapa final'!$AA$27="Muy Alta",'Mapa final'!$AC$27="Leve"),CONCATENATE("R5C",'Mapa final'!$Q$27),"")</f>
        <v/>
      </c>
      <c r="K10" s="37" t="str">
        <f>IF(AND('Mapa final'!$AA$28="Muy Alta",'Mapa final'!$AC$28="Leve"),CONCATENATE("R5C",'Mapa final'!$Q$28),"")</f>
        <v/>
      </c>
      <c r="L10" s="42" t="str">
        <f>IF(AND('Mapa final'!$AA$29="Muy Alta",'Mapa final'!$AC$29="Leve"),CONCATENATE("R5C",'Mapa final'!$Q$29),"")</f>
        <v/>
      </c>
      <c r="M10" s="42" t="str">
        <f>IF(AND('Mapa final'!$AA$30="Muy Alta",'Mapa final'!$AC$30="Leve"),CONCATENATE("R5C",'Mapa final'!$Q$30),"")</f>
        <v/>
      </c>
      <c r="N10" s="42" t="str">
        <f>IF(AND('Mapa final'!$AA$31="Muy Alta",'Mapa final'!$AC$31="Leve"),CONCATENATE("R5C",'Mapa final'!$Q$31),"")</f>
        <v/>
      </c>
      <c r="O10" s="38" t="str">
        <f>IF(AND('Mapa final'!$AA$32="Muy Alta",'Mapa final'!$AC$32="Leve"),CONCATENATE("R5C",'Mapa final'!$Q$32),"")</f>
        <v/>
      </c>
      <c r="P10" s="36" t="str">
        <f>IF(AND('Mapa final'!$AA$27="Muy Alta",'Mapa final'!$AC$27="Menor"),CONCATENATE("R5C",'Mapa final'!$Q$27),"")</f>
        <v/>
      </c>
      <c r="Q10" s="37" t="str">
        <f>IF(AND('Mapa final'!$AA$28="Muy Alta",'Mapa final'!$AC$28="Menor"),CONCATENATE("R5C",'Mapa final'!$Q$28),"")</f>
        <v/>
      </c>
      <c r="R10" s="42" t="str">
        <f>IF(AND('Mapa final'!$AA$29="Muy Alta",'Mapa final'!$AC$29="Menor"),CONCATENATE("R5C",'Mapa final'!$Q$29),"")</f>
        <v/>
      </c>
      <c r="S10" s="42" t="str">
        <f>IF(AND('Mapa final'!$AA$30="Muy Alta",'Mapa final'!$AC$30="Menor"),CONCATENATE("R5C",'Mapa final'!$Q$30),"")</f>
        <v/>
      </c>
      <c r="T10" s="42" t="str">
        <f>IF(AND('Mapa final'!$AA$31="Muy Alta",'Mapa final'!$AC$31="Menor"),CONCATENATE("R5C",'Mapa final'!$Q$31),"")</f>
        <v/>
      </c>
      <c r="U10" s="38" t="str">
        <f>IF(AND('Mapa final'!$AA$32="Muy Alta",'Mapa final'!$AC$32="Menor"),CONCATENATE("R5C",'Mapa final'!$Q$32),"")</f>
        <v/>
      </c>
      <c r="V10" s="36" t="str">
        <f>IF(AND('Mapa final'!$AA$27="Muy Alta",'Mapa final'!$AC$27="Moderado"),CONCATENATE("R5C",'Mapa final'!$Q$27),"")</f>
        <v/>
      </c>
      <c r="W10" s="37" t="str">
        <f>IF(AND('Mapa final'!$AA$28="Muy Alta",'Mapa final'!$AC$28="Moderado"),CONCATENATE("R5C",'Mapa final'!$Q$28),"")</f>
        <v/>
      </c>
      <c r="X10" s="42" t="str">
        <f>IF(AND('Mapa final'!$AA$29="Muy Alta",'Mapa final'!$AC$29="Moderado"),CONCATENATE("R5C",'Mapa final'!$Q$29),"")</f>
        <v/>
      </c>
      <c r="Y10" s="42" t="str">
        <f>IF(AND('Mapa final'!$AA$30="Muy Alta",'Mapa final'!$AC$30="Moderado"),CONCATENATE("R5C",'Mapa final'!$Q$30),"")</f>
        <v/>
      </c>
      <c r="Z10" s="42" t="str">
        <f>IF(AND('Mapa final'!$AA$31="Muy Alta",'Mapa final'!$AC$31="Moderado"),CONCATENATE("R5C",'Mapa final'!$Q$31),"")</f>
        <v/>
      </c>
      <c r="AA10" s="38" t="str">
        <f>IF(AND('Mapa final'!$AA$32="Muy Alta",'Mapa final'!$AC$32="Moderado"),CONCATENATE("R5C",'Mapa final'!$Q$32),"")</f>
        <v/>
      </c>
      <c r="AB10" s="36" t="str">
        <f>IF(AND('Mapa final'!$AA$27="Muy Alta",'Mapa final'!$AC$27="Mayor"),CONCATENATE("R5C",'Mapa final'!$Q$27),"")</f>
        <v/>
      </c>
      <c r="AC10" s="37" t="str">
        <f>IF(AND('Mapa final'!$AA$28="Muy Alta",'Mapa final'!$AC$28="Mayor"),CONCATENATE("R5C",'Mapa final'!$Q$28),"")</f>
        <v/>
      </c>
      <c r="AD10" s="42" t="str">
        <f>IF(AND('Mapa final'!$AA$29="Muy Alta",'Mapa final'!$AC$29="Mayor"),CONCATENATE("R5C",'Mapa final'!$Q$29),"")</f>
        <v/>
      </c>
      <c r="AE10" s="42" t="str">
        <f>IF(AND('Mapa final'!$AA$30="Muy Alta",'Mapa final'!$AC$30="Mayor"),CONCATENATE("R5C",'Mapa final'!$Q$30),"")</f>
        <v/>
      </c>
      <c r="AF10" s="42" t="str">
        <f>IF(AND('Mapa final'!$AA$31="Muy Alta",'Mapa final'!$AC$31="Mayor"),CONCATENATE("R5C",'Mapa final'!$Q$31),"")</f>
        <v/>
      </c>
      <c r="AG10" s="38" t="str">
        <f>IF(AND('Mapa final'!$AA$32="Muy Alta",'Mapa final'!$AC$32="Mayor"),CONCATENATE("R5C",'Mapa final'!$Q$32),"")</f>
        <v/>
      </c>
      <c r="AH10" s="39" t="str">
        <f>IF(AND('Mapa final'!$AA$27="Muy Alta",'Mapa final'!$AC$27="Catastrófico"),CONCATENATE("R5C",'Mapa final'!$Q$27),"")</f>
        <v/>
      </c>
      <c r="AI10" s="40" t="str">
        <f>IF(AND('Mapa final'!$AA$28="Muy Alta",'Mapa final'!$AC$28="Catastrófico"),CONCATENATE("R5C",'Mapa final'!$Q$28),"")</f>
        <v/>
      </c>
      <c r="AJ10" s="40" t="str">
        <f>IF(AND('Mapa final'!$AA$29="Muy Alta",'Mapa final'!$AC$29="Catastrófico"),CONCATENATE("R5C",'Mapa final'!$Q$29),"")</f>
        <v/>
      </c>
      <c r="AK10" s="40" t="str">
        <f>IF(AND('Mapa final'!$AA$30="Muy Alta",'Mapa final'!$AC$30="Catastrófico"),CONCATENATE("R5C",'Mapa final'!$Q$30),"")</f>
        <v/>
      </c>
      <c r="AL10" s="40" t="str">
        <f>IF(AND('Mapa final'!$AA$31="Muy Alta",'Mapa final'!$AC$31="Catastrófico"),CONCATENATE("R5C",'Mapa final'!$Q$31),"")</f>
        <v/>
      </c>
      <c r="AM10" s="41" t="str">
        <f>IF(AND('Mapa final'!$AA$32="Muy Alta",'Mapa final'!$AC$32="Catastrófico"),CONCATENATE("R5C",'Mapa final'!$Q$32),"")</f>
        <v/>
      </c>
      <c r="AN10" s="68"/>
      <c r="AO10" s="410"/>
      <c r="AP10" s="411"/>
      <c r="AQ10" s="411"/>
      <c r="AR10" s="411"/>
      <c r="AS10" s="411"/>
      <c r="AT10" s="412"/>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row>
    <row r="11" spans="1:91" ht="15" customHeight="1" x14ac:dyDescent="0.25">
      <c r="A11" s="68"/>
      <c r="B11" s="348"/>
      <c r="C11" s="348"/>
      <c r="D11" s="349"/>
      <c r="E11" s="389"/>
      <c r="F11" s="390"/>
      <c r="G11" s="390"/>
      <c r="H11" s="390"/>
      <c r="I11" s="391"/>
      <c r="J11" s="36" t="str">
        <f>IF(AND('Mapa final'!$AA$33="Muy Alta",'Mapa final'!$AC$33="Leve"),CONCATENATE("R6C",'Mapa final'!$Q$33),"")</f>
        <v/>
      </c>
      <c r="K11" s="37" t="str">
        <f>IF(AND('Mapa final'!$AA$34="Muy Alta",'Mapa final'!$AC$34="Leve"),CONCATENATE("R6C",'Mapa final'!$Q$34),"")</f>
        <v/>
      </c>
      <c r="L11" s="42" t="str">
        <f>IF(AND('Mapa final'!$AA$35="Muy Alta",'Mapa final'!$AC$35="Leve"),CONCATENATE("R6C",'Mapa final'!$Q$35),"")</f>
        <v/>
      </c>
      <c r="M11" s="42" t="str">
        <f>IF(AND('Mapa final'!$AA$36="Muy Alta",'Mapa final'!$AC$36="Leve"),CONCATENATE("R6C",'Mapa final'!$Q$36),"")</f>
        <v/>
      </c>
      <c r="N11" s="42" t="str">
        <f>IF(AND('Mapa final'!$AA$37="Muy Alta",'Mapa final'!$AC$37="Leve"),CONCATENATE("R6C",'Mapa final'!$Q$37),"")</f>
        <v/>
      </c>
      <c r="O11" s="38" t="str">
        <f>IF(AND('Mapa final'!$AA$38="Muy Alta",'Mapa final'!$AC$38="Leve"),CONCATENATE("R6C",'Mapa final'!$Q$38),"")</f>
        <v/>
      </c>
      <c r="P11" s="36" t="str">
        <f>IF(AND('Mapa final'!$AA$33="Muy Alta",'Mapa final'!$AC$33="Menor"),CONCATENATE("R6C",'Mapa final'!$Q$33),"")</f>
        <v/>
      </c>
      <c r="Q11" s="37" t="str">
        <f>IF(AND('Mapa final'!$AA$34="Muy Alta",'Mapa final'!$AC$34="Menor"),CONCATENATE("R6C",'Mapa final'!$Q$34),"")</f>
        <v/>
      </c>
      <c r="R11" s="42" t="str">
        <f>IF(AND('Mapa final'!$AA$35="Muy Alta",'Mapa final'!$AC$35="Menor"),CONCATENATE("R6C",'Mapa final'!$Q$35),"")</f>
        <v/>
      </c>
      <c r="S11" s="42" t="str">
        <f>IF(AND('Mapa final'!$AA$36="Muy Alta",'Mapa final'!$AC$36="Menor"),CONCATENATE("R6C",'Mapa final'!$Q$36),"")</f>
        <v/>
      </c>
      <c r="T11" s="42" t="str">
        <f>IF(AND('Mapa final'!$AA$37="Muy Alta",'Mapa final'!$AC$37="Menor"),CONCATENATE("R6C",'Mapa final'!$Q$37),"")</f>
        <v/>
      </c>
      <c r="U11" s="38" t="str">
        <f>IF(AND('Mapa final'!$AA$38="Muy Alta",'Mapa final'!$AC$38="Menor"),CONCATENATE("R6C",'Mapa final'!$Q$38),"")</f>
        <v/>
      </c>
      <c r="V11" s="36" t="str">
        <f>IF(AND('Mapa final'!$AA$33="Muy Alta",'Mapa final'!$AC$33="Moderado"),CONCATENATE("R6C",'Mapa final'!$Q$33),"")</f>
        <v/>
      </c>
      <c r="W11" s="37" t="str">
        <f>IF(AND('Mapa final'!$AA$34="Muy Alta",'Mapa final'!$AC$34="Moderado"),CONCATENATE("R6C",'Mapa final'!$Q$34),"")</f>
        <v/>
      </c>
      <c r="X11" s="42" t="str">
        <f>IF(AND('Mapa final'!$AA$35="Muy Alta",'Mapa final'!$AC$35="Moderado"),CONCATENATE("R6C",'Mapa final'!$Q$35),"")</f>
        <v/>
      </c>
      <c r="Y11" s="42" t="str">
        <f>IF(AND('Mapa final'!$AA$36="Muy Alta",'Mapa final'!$AC$36="Moderado"),CONCATENATE("R6C",'Mapa final'!$Q$36),"")</f>
        <v/>
      </c>
      <c r="Z11" s="42" t="str">
        <f>IF(AND('Mapa final'!$AA$37="Muy Alta",'Mapa final'!$AC$37="Moderado"),CONCATENATE("R6C",'Mapa final'!$Q$37),"")</f>
        <v/>
      </c>
      <c r="AA11" s="38" t="str">
        <f>IF(AND('Mapa final'!$AA$38="Muy Alta",'Mapa final'!$AC$38="Moderado"),CONCATENATE("R6C",'Mapa final'!$Q$38),"")</f>
        <v/>
      </c>
      <c r="AB11" s="36" t="str">
        <f>IF(AND('Mapa final'!$AA$33="Muy Alta",'Mapa final'!$AC$33="Mayor"),CONCATENATE("R6C",'Mapa final'!$Q$33),"")</f>
        <v/>
      </c>
      <c r="AC11" s="37" t="str">
        <f>IF(AND('Mapa final'!$AA$34="Muy Alta",'Mapa final'!$AC$34="Mayor"),CONCATENATE("R6C",'Mapa final'!$Q$34),"")</f>
        <v/>
      </c>
      <c r="AD11" s="42" t="str">
        <f>IF(AND('Mapa final'!$AA$35="Muy Alta",'Mapa final'!$AC$35="Mayor"),CONCATENATE("R6C",'Mapa final'!$Q$35),"")</f>
        <v/>
      </c>
      <c r="AE11" s="42" t="str">
        <f>IF(AND('Mapa final'!$AA$36="Muy Alta",'Mapa final'!$AC$36="Mayor"),CONCATENATE("R6C",'Mapa final'!$Q$36),"")</f>
        <v/>
      </c>
      <c r="AF11" s="42" t="str">
        <f>IF(AND('Mapa final'!$AA$37="Muy Alta",'Mapa final'!$AC$37="Mayor"),CONCATENATE("R6C",'Mapa final'!$Q$37),"")</f>
        <v/>
      </c>
      <c r="AG11" s="38" t="str">
        <f>IF(AND('Mapa final'!$AA$38="Muy Alta",'Mapa final'!$AC$38="Mayor"),CONCATENATE("R6C",'Mapa final'!$Q$38),"")</f>
        <v/>
      </c>
      <c r="AH11" s="39" t="str">
        <f>IF(AND('Mapa final'!$AA$33="Muy Alta",'Mapa final'!$AC$33="Catastrófico"),CONCATENATE("R6C",'Mapa final'!$Q$33),"")</f>
        <v/>
      </c>
      <c r="AI11" s="40" t="str">
        <f>IF(AND('Mapa final'!$AA$34="Muy Alta",'Mapa final'!$AC$34="Catastrófico"),CONCATENATE("R6C",'Mapa final'!$Q$34),"")</f>
        <v/>
      </c>
      <c r="AJ11" s="40" t="str">
        <f>IF(AND('Mapa final'!$AA$35="Muy Alta",'Mapa final'!$AC$35="Catastrófico"),CONCATENATE("R6C",'Mapa final'!$Q$35),"")</f>
        <v/>
      </c>
      <c r="AK11" s="40" t="str">
        <f>IF(AND('Mapa final'!$AA$36="Muy Alta",'Mapa final'!$AC$36="Catastrófico"),CONCATENATE("R6C",'Mapa final'!$Q$36),"")</f>
        <v/>
      </c>
      <c r="AL11" s="40" t="str">
        <f>IF(AND('Mapa final'!$AA$37="Muy Alta",'Mapa final'!$AC$37="Catastrófico"),CONCATENATE("R6C",'Mapa final'!$Q$37),"")</f>
        <v/>
      </c>
      <c r="AM11" s="41" t="str">
        <f>IF(AND('Mapa final'!$AA$38="Muy Alta",'Mapa final'!$AC$38="Catastrófico"),CONCATENATE("R6C",'Mapa final'!$Q$38),"")</f>
        <v/>
      </c>
      <c r="AN11" s="68"/>
      <c r="AO11" s="410"/>
      <c r="AP11" s="411"/>
      <c r="AQ11" s="411"/>
      <c r="AR11" s="411"/>
      <c r="AS11" s="411"/>
      <c r="AT11" s="412"/>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row>
    <row r="12" spans="1:91" ht="15" customHeight="1" x14ac:dyDescent="0.25">
      <c r="A12" s="68"/>
      <c r="B12" s="348"/>
      <c r="C12" s="348"/>
      <c r="D12" s="349"/>
      <c r="E12" s="389"/>
      <c r="F12" s="390"/>
      <c r="G12" s="390"/>
      <c r="H12" s="390"/>
      <c r="I12" s="391"/>
      <c r="J12" s="36" t="str">
        <f>IF(AND('Mapa final'!$AA$39="Muy Alta",'Mapa final'!$AC$39="Leve"),CONCATENATE("R7C",'Mapa final'!$Q$39),"")</f>
        <v/>
      </c>
      <c r="K12" s="37" t="str">
        <f>IF(AND('Mapa final'!$AA$40="Muy Alta",'Mapa final'!$AC$40="Leve"),CONCATENATE("R7C",'Mapa final'!$Q$40),"")</f>
        <v/>
      </c>
      <c r="L12" s="42" t="str">
        <f>IF(AND('Mapa final'!$AA$41="Muy Alta",'Mapa final'!$AC$41="Leve"),CONCATENATE("R7C",'Mapa final'!$Q$41),"")</f>
        <v/>
      </c>
      <c r="M12" s="42" t="str">
        <f>IF(AND('Mapa final'!$AA$42="Muy Alta",'Mapa final'!$AC$42="Leve"),CONCATENATE("R7C",'Mapa final'!$Q$42),"")</f>
        <v/>
      </c>
      <c r="N12" s="42" t="str">
        <f>IF(AND('Mapa final'!$AA$43="Muy Alta",'Mapa final'!$AC$43="Leve"),CONCATENATE("R7C",'Mapa final'!$Q$43),"")</f>
        <v/>
      </c>
      <c r="O12" s="38" t="str">
        <f>IF(AND('Mapa final'!$AA$44="Muy Alta",'Mapa final'!$AC$44="Leve"),CONCATENATE("R7C",'Mapa final'!$Q$44),"")</f>
        <v/>
      </c>
      <c r="P12" s="36" t="str">
        <f>IF(AND('Mapa final'!$AA$39="Muy Alta",'Mapa final'!$AC$39="Menor"),CONCATENATE("R7C",'Mapa final'!$Q$39),"")</f>
        <v/>
      </c>
      <c r="Q12" s="37" t="str">
        <f>IF(AND('Mapa final'!$AA$40="Muy Alta",'Mapa final'!$AC$40="Menor"),CONCATENATE("R7C",'Mapa final'!$Q$40),"")</f>
        <v/>
      </c>
      <c r="R12" s="42" t="str">
        <f>IF(AND('Mapa final'!$AA$41="Muy Alta",'Mapa final'!$AC$41="Menor"),CONCATENATE("R7C",'Mapa final'!$Q$41),"")</f>
        <v/>
      </c>
      <c r="S12" s="42" t="str">
        <f>IF(AND('Mapa final'!$AA$42="Muy Alta",'Mapa final'!$AC$42="Menor"),CONCATENATE("R7C",'Mapa final'!$Q$42),"")</f>
        <v/>
      </c>
      <c r="T12" s="42" t="str">
        <f>IF(AND('Mapa final'!$AA$43="Muy Alta",'Mapa final'!$AC$43="Menor"),CONCATENATE("R7C",'Mapa final'!$Q$43),"")</f>
        <v/>
      </c>
      <c r="U12" s="38" t="str">
        <f>IF(AND('Mapa final'!$AA$44="Muy Alta",'Mapa final'!$AC$44="Menor"),CONCATENATE("R7C",'Mapa final'!$Q$44),"")</f>
        <v/>
      </c>
      <c r="V12" s="36" t="str">
        <f>IF(AND('Mapa final'!$AA$39="Muy Alta",'Mapa final'!$AC$39="Moderado"),CONCATENATE("R7C",'Mapa final'!$Q$39),"")</f>
        <v/>
      </c>
      <c r="W12" s="37" t="str">
        <f>IF(AND('Mapa final'!$AA$40="Muy Alta",'Mapa final'!$AC$40="Moderado"),CONCATENATE("R7C",'Mapa final'!$Q$40),"")</f>
        <v/>
      </c>
      <c r="X12" s="42" t="str">
        <f>IF(AND('Mapa final'!$AA$41="Muy Alta",'Mapa final'!$AC$41="Moderado"),CONCATENATE("R7C",'Mapa final'!$Q$41),"")</f>
        <v/>
      </c>
      <c r="Y12" s="42" t="str">
        <f>IF(AND('Mapa final'!$AA$42="Muy Alta",'Mapa final'!$AC$42="Moderado"),CONCATENATE("R7C",'Mapa final'!$Q$42),"")</f>
        <v/>
      </c>
      <c r="Z12" s="42" t="str">
        <f>IF(AND('Mapa final'!$AA$43="Muy Alta",'Mapa final'!$AC$43="Moderado"),CONCATENATE("R7C",'Mapa final'!$Q$43),"")</f>
        <v/>
      </c>
      <c r="AA12" s="38" t="str">
        <f>IF(AND('Mapa final'!$AA$44="Muy Alta",'Mapa final'!$AC$44="Moderado"),CONCATENATE("R7C",'Mapa final'!$Q$44),"")</f>
        <v/>
      </c>
      <c r="AB12" s="36" t="str">
        <f>IF(AND('Mapa final'!$AA$39="Muy Alta",'Mapa final'!$AC$39="Mayor"),CONCATENATE("R7C",'Mapa final'!$Q$39),"")</f>
        <v/>
      </c>
      <c r="AC12" s="37" t="str">
        <f>IF(AND('Mapa final'!$AA$40="Muy Alta",'Mapa final'!$AC$40="Mayor"),CONCATENATE("R7C",'Mapa final'!$Q$40),"")</f>
        <v/>
      </c>
      <c r="AD12" s="42" t="str">
        <f>IF(AND('Mapa final'!$AA$41="Muy Alta",'Mapa final'!$AC$41="Mayor"),CONCATENATE("R7C",'Mapa final'!$Q$41),"")</f>
        <v/>
      </c>
      <c r="AE12" s="42" t="str">
        <f>IF(AND('Mapa final'!$AA$42="Muy Alta",'Mapa final'!$AC$42="Mayor"),CONCATENATE("R7C",'Mapa final'!$Q$42),"")</f>
        <v/>
      </c>
      <c r="AF12" s="42" t="str">
        <f>IF(AND('Mapa final'!$AA$43="Muy Alta",'Mapa final'!$AC$43="Mayor"),CONCATENATE("R7C",'Mapa final'!$Q$43),"")</f>
        <v/>
      </c>
      <c r="AG12" s="38" t="str">
        <f>IF(AND('Mapa final'!$AA$44="Muy Alta",'Mapa final'!$AC$44="Mayor"),CONCATENATE("R7C",'Mapa final'!$Q$44),"")</f>
        <v/>
      </c>
      <c r="AH12" s="39" t="str">
        <f>IF(AND('Mapa final'!$AA$39="Muy Alta",'Mapa final'!$AC$39="Catastrófico"),CONCATENATE("R7C",'Mapa final'!$Q$39),"")</f>
        <v/>
      </c>
      <c r="AI12" s="40" t="str">
        <f>IF(AND('Mapa final'!$AA$40="Muy Alta",'Mapa final'!$AC$40="Catastrófico"),CONCATENATE("R7C",'Mapa final'!$Q$40),"")</f>
        <v/>
      </c>
      <c r="AJ12" s="40" t="str">
        <f>IF(AND('Mapa final'!$AA$41="Muy Alta",'Mapa final'!$AC$41="Catastrófico"),CONCATENATE("R7C",'Mapa final'!$Q$41),"")</f>
        <v/>
      </c>
      <c r="AK12" s="40" t="str">
        <f>IF(AND('Mapa final'!$AA$42="Muy Alta",'Mapa final'!$AC$42="Catastrófico"),CONCATENATE("R7C",'Mapa final'!$Q$42),"")</f>
        <v/>
      </c>
      <c r="AL12" s="40" t="str">
        <f>IF(AND('Mapa final'!$AA$43="Muy Alta",'Mapa final'!$AC$43="Catastrófico"),CONCATENATE("R7C",'Mapa final'!$Q$43),"")</f>
        <v/>
      </c>
      <c r="AM12" s="41" t="str">
        <f>IF(AND('Mapa final'!$AA$44="Muy Alta",'Mapa final'!$AC$44="Catastrófico"),CONCATENATE("R7C",'Mapa final'!$Q$44),"")</f>
        <v/>
      </c>
      <c r="AN12" s="68"/>
      <c r="AO12" s="410"/>
      <c r="AP12" s="411"/>
      <c r="AQ12" s="411"/>
      <c r="AR12" s="411"/>
      <c r="AS12" s="411"/>
      <c r="AT12" s="412"/>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row>
    <row r="13" spans="1:91" ht="15" customHeight="1" x14ac:dyDescent="0.25">
      <c r="A13" s="68"/>
      <c r="B13" s="348"/>
      <c r="C13" s="348"/>
      <c r="D13" s="349"/>
      <c r="E13" s="389"/>
      <c r="F13" s="390"/>
      <c r="G13" s="390"/>
      <c r="H13" s="390"/>
      <c r="I13" s="391"/>
      <c r="J13" s="36" t="str">
        <f>IF(AND('Mapa final'!$AA$45="Muy Alta",'Mapa final'!$AC$45="Leve"),CONCATENATE("R8C",'Mapa final'!$Q$45),"")</f>
        <v/>
      </c>
      <c r="K13" s="37" t="str">
        <f>IF(AND('Mapa final'!$AA$46="Muy Alta",'Mapa final'!$AC$46="Leve"),CONCATENATE("R8C",'Mapa final'!$Q$46),"")</f>
        <v/>
      </c>
      <c r="L13" s="42" t="str">
        <f>IF(AND('Mapa final'!$AA$47="Muy Alta",'Mapa final'!$AC$47="Leve"),CONCATENATE("R8C",'Mapa final'!$Q$47),"")</f>
        <v/>
      </c>
      <c r="M13" s="42" t="str">
        <f>IF(AND('Mapa final'!$AA$48="Muy Alta",'Mapa final'!$AC$48="Leve"),CONCATENATE("R8C",'Mapa final'!$Q$48),"")</f>
        <v/>
      </c>
      <c r="N13" s="42" t="str">
        <f>IF(AND('Mapa final'!$AA$49="Muy Alta",'Mapa final'!$AC$49="Leve"),CONCATENATE("R8C",'Mapa final'!$Q$49),"")</f>
        <v/>
      </c>
      <c r="O13" s="38" t="str">
        <f>IF(AND('Mapa final'!$AA$50="Muy Alta",'Mapa final'!$AC$50="Leve"),CONCATENATE("R8C",'Mapa final'!$Q$50),"")</f>
        <v/>
      </c>
      <c r="P13" s="36" t="str">
        <f>IF(AND('Mapa final'!$AA$45="Muy Alta",'Mapa final'!$AC$45="Menor"),CONCATENATE("R8C",'Mapa final'!$Q$45),"")</f>
        <v/>
      </c>
      <c r="Q13" s="37" t="str">
        <f>IF(AND('Mapa final'!$AA$46="Muy Alta",'Mapa final'!$AC$46="Menor"),CONCATENATE("R8C",'Mapa final'!$Q$46),"")</f>
        <v/>
      </c>
      <c r="R13" s="42" t="str">
        <f>IF(AND('Mapa final'!$AA$47="Muy Alta",'Mapa final'!$AC$47="Menor"),CONCATENATE("R8C",'Mapa final'!$Q$47),"")</f>
        <v/>
      </c>
      <c r="S13" s="42" t="str">
        <f>IF(AND('Mapa final'!$AA$48="Muy Alta",'Mapa final'!$AC$48="Menor"),CONCATENATE("R8C",'Mapa final'!$Q$48),"")</f>
        <v/>
      </c>
      <c r="T13" s="42" t="str">
        <f>IF(AND('Mapa final'!$AA$49="Muy Alta",'Mapa final'!$AC$49="Menor"),CONCATENATE("R8C",'Mapa final'!$Q$49),"")</f>
        <v/>
      </c>
      <c r="U13" s="38" t="str">
        <f>IF(AND('Mapa final'!$AA$50="Muy Alta",'Mapa final'!$AC$50="Menor"),CONCATENATE("R8C",'Mapa final'!$Q$50),"")</f>
        <v/>
      </c>
      <c r="V13" s="36" t="str">
        <f>IF(AND('Mapa final'!$AA$45="Muy Alta",'Mapa final'!$AC$45="Moderado"),CONCATENATE("R8C",'Mapa final'!$Q$45),"")</f>
        <v/>
      </c>
      <c r="W13" s="37" t="str">
        <f>IF(AND('Mapa final'!$AA$46="Muy Alta",'Mapa final'!$AC$46="Moderado"),CONCATENATE("R8C",'Mapa final'!$Q$46),"")</f>
        <v/>
      </c>
      <c r="X13" s="42" t="str">
        <f>IF(AND('Mapa final'!$AA$47="Muy Alta",'Mapa final'!$AC$47="Moderado"),CONCATENATE("R8C",'Mapa final'!$Q$47),"")</f>
        <v/>
      </c>
      <c r="Y13" s="42" t="str">
        <f>IF(AND('Mapa final'!$AA$48="Muy Alta",'Mapa final'!$AC$48="Moderado"),CONCATENATE("R8C",'Mapa final'!$Q$48),"")</f>
        <v/>
      </c>
      <c r="Z13" s="42" t="str">
        <f>IF(AND('Mapa final'!$AA$49="Muy Alta",'Mapa final'!$AC$49="Moderado"),CONCATENATE("R8C",'Mapa final'!$Q$49),"")</f>
        <v/>
      </c>
      <c r="AA13" s="38" t="str">
        <f>IF(AND('Mapa final'!$AA$50="Muy Alta",'Mapa final'!$AC$50="Moderado"),CONCATENATE("R8C",'Mapa final'!$Q$50),"")</f>
        <v/>
      </c>
      <c r="AB13" s="36" t="str">
        <f>IF(AND('Mapa final'!$AA$45="Muy Alta",'Mapa final'!$AC$45="Mayor"),CONCATENATE("R8C",'Mapa final'!$Q$45),"")</f>
        <v/>
      </c>
      <c r="AC13" s="37" t="str">
        <f>IF(AND('Mapa final'!$AA$46="Muy Alta",'Mapa final'!$AC$46="Mayor"),CONCATENATE("R8C",'Mapa final'!$Q$46),"")</f>
        <v/>
      </c>
      <c r="AD13" s="42" t="str">
        <f>IF(AND('Mapa final'!$AA$47="Muy Alta",'Mapa final'!$AC$47="Mayor"),CONCATENATE("R8C",'Mapa final'!$Q$47),"")</f>
        <v/>
      </c>
      <c r="AE13" s="42" t="str">
        <f>IF(AND('Mapa final'!$AA$48="Muy Alta",'Mapa final'!$AC$48="Mayor"),CONCATENATE("R8C",'Mapa final'!$Q$48),"")</f>
        <v/>
      </c>
      <c r="AF13" s="42" t="str">
        <f>IF(AND('Mapa final'!$AA$49="Muy Alta",'Mapa final'!$AC$49="Mayor"),CONCATENATE("R8C",'Mapa final'!$Q$49),"")</f>
        <v/>
      </c>
      <c r="AG13" s="38" t="str">
        <f>IF(AND('Mapa final'!$AA$50="Muy Alta",'Mapa final'!$AC$50="Mayor"),CONCATENATE("R8C",'Mapa final'!$Q$50),"")</f>
        <v/>
      </c>
      <c r="AH13" s="39" t="str">
        <f>IF(AND('Mapa final'!$AA$45="Muy Alta",'Mapa final'!$AC$45="Catastrófico"),CONCATENATE("R8C",'Mapa final'!$Q$45),"")</f>
        <v/>
      </c>
      <c r="AI13" s="40" t="str">
        <f>IF(AND('Mapa final'!$AA$46="Muy Alta",'Mapa final'!$AC$46="Catastrófico"),CONCATENATE("R8C",'Mapa final'!$Q$46),"")</f>
        <v/>
      </c>
      <c r="AJ13" s="40" t="str">
        <f>IF(AND('Mapa final'!$AA$47="Muy Alta",'Mapa final'!$AC$47="Catastrófico"),CONCATENATE("R8C",'Mapa final'!$Q$47),"")</f>
        <v/>
      </c>
      <c r="AK13" s="40" t="str">
        <f>IF(AND('Mapa final'!$AA$48="Muy Alta",'Mapa final'!$AC$48="Catastrófico"),CONCATENATE("R8C",'Mapa final'!$Q$48),"")</f>
        <v/>
      </c>
      <c r="AL13" s="40" t="str">
        <f>IF(AND('Mapa final'!$AA$49="Muy Alta",'Mapa final'!$AC$49="Catastrófico"),CONCATENATE("R8C",'Mapa final'!$Q$49),"")</f>
        <v/>
      </c>
      <c r="AM13" s="41" t="str">
        <f>IF(AND('Mapa final'!$AA$50="Muy Alta",'Mapa final'!$AC$50="Catastrófico"),CONCATENATE("R8C",'Mapa final'!$Q$50),"")</f>
        <v/>
      </c>
      <c r="AN13" s="68"/>
      <c r="AO13" s="410"/>
      <c r="AP13" s="411"/>
      <c r="AQ13" s="411"/>
      <c r="AR13" s="411"/>
      <c r="AS13" s="411"/>
      <c r="AT13" s="412"/>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row>
    <row r="14" spans="1:91" ht="15" customHeight="1" x14ac:dyDescent="0.25">
      <c r="A14" s="68"/>
      <c r="B14" s="348"/>
      <c r="C14" s="348"/>
      <c r="D14" s="349"/>
      <c r="E14" s="389"/>
      <c r="F14" s="390"/>
      <c r="G14" s="390"/>
      <c r="H14" s="390"/>
      <c r="I14" s="391"/>
      <c r="J14" s="36" t="str">
        <f>IF(AND('Mapa final'!$AA$51="Muy Alta",'Mapa final'!$AC$51="Leve"),CONCATENATE("R9C",'Mapa final'!$Q$51),"")</f>
        <v/>
      </c>
      <c r="K14" s="37" t="str">
        <f>IF(AND('Mapa final'!$AA$52="Muy Alta",'Mapa final'!$AC$52="Leve"),CONCATENATE("R9C",'Mapa final'!$Q$52),"")</f>
        <v/>
      </c>
      <c r="L14" s="42" t="str">
        <f>IF(AND('Mapa final'!$AA$53="Muy Alta",'Mapa final'!$AC$53="Leve"),CONCATENATE("R9C",'Mapa final'!$Q$53),"")</f>
        <v/>
      </c>
      <c r="M14" s="42" t="str">
        <f>IF(AND('Mapa final'!$AA$54="Muy Alta",'Mapa final'!$AC$54="Leve"),CONCATENATE("R9C",'Mapa final'!$Q$54),"")</f>
        <v/>
      </c>
      <c r="N14" s="42" t="str">
        <f>IF(AND('Mapa final'!$AA$55="Muy Alta",'Mapa final'!$AC$55="Leve"),CONCATENATE("R9C",'Mapa final'!$Q$55),"")</f>
        <v/>
      </c>
      <c r="O14" s="38" t="str">
        <f>IF(AND('Mapa final'!$AA$56="Muy Alta",'Mapa final'!$AC$56="Leve"),CONCATENATE("R9C",'Mapa final'!$Q$56),"")</f>
        <v/>
      </c>
      <c r="P14" s="36" t="str">
        <f>IF(AND('Mapa final'!$AA$51="Muy Alta",'Mapa final'!$AC$51="Menor"),CONCATENATE("R9C",'Mapa final'!$Q$51),"")</f>
        <v/>
      </c>
      <c r="Q14" s="37" t="str">
        <f>IF(AND('Mapa final'!$AA$52="Muy Alta",'Mapa final'!$AC$52="Menor"),CONCATENATE("R9C",'Mapa final'!$Q$52),"")</f>
        <v/>
      </c>
      <c r="R14" s="42" t="str">
        <f>IF(AND('Mapa final'!$AA$53="Muy Alta",'Mapa final'!$AC$53="Menor"),CONCATENATE("R9C",'Mapa final'!$Q$53),"")</f>
        <v/>
      </c>
      <c r="S14" s="42" t="str">
        <f>IF(AND('Mapa final'!$AA$54="Muy Alta",'Mapa final'!$AC$54="Menor"),CONCATENATE("R9C",'Mapa final'!$Q$54),"")</f>
        <v/>
      </c>
      <c r="T14" s="42" t="str">
        <f>IF(AND('Mapa final'!$AA$55="Muy Alta",'Mapa final'!$AC$55="Menor"),CONCATENATE("R9C",'Mapa final'!$Q$55),"")</f>
        <v/>
      </c>
      <c r="U14" s="38" t="str">
        <f>IF(AND('Mapa final'!$AA$56="Muy Alta",'Mapa final'!$AC$56="Menor"),CONCATENATE("R9C",'Mapa final'!$Q$56),"")</f>
        <v/>
      </c>
      <c r="V14" s="36" t="str">
        <f>IF(AND('Mapa final'!$AA$51="Muy Alta",'Mapa final'!$AC$51="Moderado"),CONCATENATE("R9C",'Mapa final'!$Q$51),"")</f>
        <v/>
      </c>
      <c r="W14" s="37" t="str">
        <f>IF(AND('Mapa final'!$AA$52="Muy Alta",'Mapa final'!$AC$52="Moderado"),CONCATENATE("R9C",'Mapa final'!$Q$52),"")</f>
        <v/>
      </c>
      <c r="X14" s="42" t="str">
        <f>IF(AND('Mapa final'!$AA$53="Muy Alta",'Mapa final'!$AC$53="Moderado"),CONCATENATE("R9C",'Mapa final'!$Q$53),"")</f>
        <v/>
      </c>
      <c r="Y14" s="42" t="str">
        <f>IF(AND('Mapa final'!$AA$54="Muy Alta",'Mapa final'!$AC$54="Moderado"),CONCATENATE("R9C",'Mapa final'!$Q$54),"")</f>
        <v/>
      </c>
      <c r="Z14" s="42" t="str">
        <f>IF(AND('Mapa final'!$AA$55="Muy Alta",'Mapa final'!$AC$55="Moderado"),CONCATENATE("R9C",'Mapa final'!$Q$55),"")</f>
        <v/>
      </c>
      <c r="AA14" s="38" t="str">
        <f>IF(AND('Mapa final'!$AA$56="Muy Alta",'Mapa final'!$AC$56="Moderado"),CONCATENATE("R9C",'Mapa final'!$Q$56),"")</f>
        <v/>
      </c>
      <c r="AB14" s="36" t="str">
        <f>IF(AND('Mapa final'!$AA$51="Muy Alta",'Mapa final'!$AC$51="Mayor"),CONCATENATE("R9C",'Mapa final'!$Q$51),"")</f>
        <v/>
      </c>
      <c r="AC14" s="37" t="str">
        <f>IF(AND('Mapa final'!$AA$52="Muy Alta",'Mapa final'!$AC$52="Mayor"),CONCATENATE("R9C",'Mapa final'!$Q$52),"")</f>
        <v/>
      </c>
      <c r="AD14" s="42" t="str">
        <f>IF(AND('Mapa final'!$AA$53="Muy Alta",'Mapa final'!$AC$53="Mayor"),CONCATENATE("R9C",'Mapa final'!$Q$53),"")</f>
        <v/>
      </c>
      <c r="AE14" s="42" t="str">
        <f>IF(AND('Mapa final'!$AA$54="Muy Alta",'Mapa final'!$AC$54="Mayor"),CONCATENATE("R9C",'Mapa final'!$Q$54),"")</f>
        <v/>
      </c>
      <c r="AF14" s="42" t="str">
        <f>IF(AND('Mapa final'!$AA$55="Muy Alta",'Mapa final'!$AC$55="Mayor"),CONCATENATE("R9C",'Mapa final'!$Q$55),"")</f>
        <v/>
      </c>
      <c r="AG14" s="38" t="str">
        <f>IF(AND('Mapa final'!$AA$56="Muy Alta",'Mapa final'!$AC$56="Mayor"),CONCATENATE("R9C",'Mapa final'!$Q$56),"")</f>
        <v/>
      </c>
      <c r="AH14" s="39" t="str">
        <f>IF(AND('Mapa final'!$AA$51="Muy Alta",'Mapa final'!$AC$51="Catastrófico"),CONCATENATE("R9C",'Mapa final'!$Q$51),"")</f>
        <v/>
      </c>
      <c r="AI14" s="40" t="str">
        <f>IF(AND('Mapa final'!$AA$52="Muy Alta",'Mapa final'!$AC$52="Catastrófico"),CONCATENATE("R9C",'Mapa final'!$Q$52),"")</f>
        <v/>
      </c>
      <c r="AJ14" s="40" t="str">
        <f>IF(AND('Mapa final'!$AA$53="Muy Alta",'Mapa final'!$AC$53="Catastrófico"),CONCATENATE("R9C",'Mapa final'!$Q$53),"")</f>
        <v/>
      </c>
      <c r="AK14" s="40" t="str">
        <f>IF(AND('Mapa final'!$AA$54="Muy Alta",'Mapa final'!$AC$54="Catastrófico"),CONCATENATE("R9C",'Mapa final'!$Q$54),"")</f>
        <v/>
      </c>
      <c r="AL14" s="40" t="str">
        <f>IF(AND('Mapa final'!$AA$55="Muy Alta",'Mapa final'!$AC$55="Catastrófico"),CONCATENATE("R9C",'Mapa final'!$Q$55),"")</f>
        <v/>
      </c>
      <c r="AM14" s="41" t="str">
        <f>IF(AND('Mapa final'!$AA$56="Muy Alta",'Mapa final'!$AC$56="Catastrófico"),CONCATENATE("R9C",'Mapa final'!$Q$56),"")</f>
        <v/>
      </c>
      <c r="AN14" s="68"/>
      <c r="AO14" s="410"/>
      <c r="AP14" s="411"/>
      <c r="AQ14" s="411"/>
      <c r="AR14" s="411"/>
      <c r="AS14" s="411"/>
      <c r="AT14" s="412"/>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row>
    <row r="15" spans="1:91" ht="15.75" customHeight="1" thickBot="1" x14ac:dyDescent="0.3">
      <c r="A15" s="68"/>
      <c r="B15" s="348"/>
      <c r="C15" s="348"/>
      <c r="D15" s="349"/>
      <c r="E15" s="392"/>
      <c r="F15" s="393"/>
      <c r="G15" s="393"/>
      <c r="H15" s="393"/>
      <c r="I15" s="394"/>
      <c r="J15" s="43" t="str">
        <f>IF(AND('Mapa final'!$AA$57="Muy Alta",'Mapa final'!$AC$57="Leve"),CONCATENATE("R10C",'Mapa final'!$Q$57),"")</f>
        <v/>
      </c>
      <c r="K15" s="44" t="str">
        <f>IF(AND('Mapa final'!$AA$58="Muy Alta",'Mapa final'!$AC$58="Leve"),CONCATENATE("R10C",'Mapa final'!$Q$58),"")</f>
        <v/>
      </c>
      <c r="L15" s="44" t="str">
        <f>IF(AND('Mapa final'!$AA$59="Muy Alta",'Mapa final'!$AC$59="Leve"),CONCATENATE("R10C",'Mapa final'!$Q$59),"")</f>
        <v/>
      </c>
      <c r="M15" s="44" t="str">
        <f>IF(AND('Mapa final'!$AA$60="Muy Alta",'Mapa final'!$AC$60="Leve"),CONCATENATE("R10C",'Mapa final'!$Q$60),"")</f>
        <v/>
      </c>
      <c r="N15" s="44" t="str">
        <f>IF(AND('Mapa final'!$AA$61="Muy Alta",'Mapa final'!$AC$61="Leve"),CONCATENATE("R10C",'Mapa final'!$Q$61),"")</f>
        <v/>
      </c>
      <c r="O15" s="45" t="str">
        <f>IF(AND('Mapa final'!$AA$62="Muy Alta",'Mapa final'!$AC$62="Leve"),CONCATENATE("R10C",'Mapa final'!$Q$62),"")</f>
        <v/>
      </c>
      <c r="P15" s="36" t="str">
        <f>IF(AND('Mapa final'!$AA$57="Muy Alta",'Mapa final'!$AC$57="Menor"),CONCATENATE("R10C",'Mapa final'!$Q$57),"")</f>
        <v/>
      </c>
      <c r="Q15" s="37" t="str">
        <f>IF(AND('Mapa final'!$AA$58="Muy Alta",'Mapa final'!$AC$58="Menor"),CONCATENATE("R10C",'Mapa final'!$Q$58),"")</f>
        <v/>
      </c>
      <c r="R15" s="37" t="str">
        <f>IF(AND('Mapa final'!$AA$59="Muy Alta",'Mapa final'!$AC$59="Menor"),CONCATENATE("R10C",'Mapa final'!$Q$59),"")</f>
        <v/>
      </c>
      <c r="S15" s="37" t="str">
        <f>IF(AND('Mapa final'!$AA$60="Muy Alta",'Mapa final'!$AC$60="Menor"),CONCATENATE("R10C",'Mapa final'!$Q$60),"")</f>
        <v/>
      </c>
      <c r="T15" s="37" t="str">
        <f>IF(AND('Mapa final'!$AA$61="Muy Alta",'Mapa final'!$AC$61="Menor"),CONCATENATE("R10C",'Mapa final'!$Q$61),"")</f>
        <v/>
      </c>
      <c r="U15" s="38" t="str">
        <f>IF(AND('Mapa final'!$AA$62="Muy Alta",'Mapa final'!$AC$62="Menor"),CONCATENATE("R10C",'Mapa final'!$Q$62),"")</f>
        <v/>
      </c>
      <c r="V15" s="43" t="str">
        <f>IF(AND('Mapa final'!$AA$57="Muy Alta",'Mapa final'!$AC$57="Moderado"),CONCATENATE("R10C",'Mapa final'!$Q$57),"")</f>
        <v/>
      </c>
      <c r="W15" s="44" t="str">
        <f>IF(AND('Mapa final'!$AA$58="Muy Alta",'Mapa final'!$AC$58="Moderado"),CONCATENATE("R10C",'Mapa final'!$Q$58),"")</f>
        <v/>
      </c>
      <c r="X15" s="44" t="str">
        <f>IF(AND('Mapa final'!$AA$59="Muy Alta",'Mapa final'!$AC$59="Moderado"),CONCATENATE("R10C",'Mapa final'!$Q$59),"")</f>
        <v/>
      </c>
      <c r="Y15" s="44" t="str">
        <f>IF(AND('Mapa final'!$AA$60="Muy Alta",'Mapa final'!$AC$60="Moderado"),CONCATENATE("R10C",'Mapa final'!$Q$60),"")</f>
        <v/>
      </c>
      <c r="Z15" s="44" t="str">
        <f>IF(AND('Mapa final'!$AA$61="Muy Alta",'Mapa final'!$AC$61="Moderado"),CONCATENATE("R10C",'Mapa final'!$Q$61),"")</f>
        <v/>
      </c>
      <c r="AA15" s="45" t="str">
        <f>IF(AND('Mapa final'!$AA$62="Muy Alta",'Mapa final'!$AC$62="Moderado"),CONCATENATE("R10C",'Mapa final'!$Q$62),"")</f>
        <v/>
      </c>
      <c r="AB15" s="36" t="str">
        <f>IF(AND('Mapa final'!$AA$57="Muy Alta",'Mapa final'!$AC$57="Mayor"),CONCATENATE("R10C",'Mapa final'!$Q$57),"")</f>
        <v/>
      </c>
      <c r="AC15" s="37" t="str">
        <f>IF(AND('Mapa final'!$AA$58="Muy Alta",'Mapa final'!$AC$58="Mayor"),CONCATENATE("R10C",'Mapa final'!$Q$58),"")</f>
        <v/>
      </c>
      <c r="AD15" s="37" t="str">
        <f>IF(AND('Mapa final'!$AA$59="Muy Alta",'Mapa final'!$AC$59="Mayor"),CONCATENATE("R10C",'Mapa final'!$Q$59),"")</f>
        <v/>
      </c>
      <c r="AE15" s="37" t="str">
        <f>IF(AND('Mapa final'!$AA$60="Muy Alta",'Mapa final'!$AC$60="Mayor"),CONCATENATE("R10C",'Mapa final'!$Q$60),"")</f>
        <v/>
      </c>
      <c r="AF15" s="37" t="str">
        <f>IF(AND('Mapa final'!$AA$61="Muy Alta",'Mapa final'!$AC$61="Mayor"),CONCATENATE("R10C",'Mapa final'!$Q$61),"")</f>
        <v/>
      </c>
      <c r="AG15" s="38" t="str">
        <f>IF(AND('Mapa final'!$AA$62="Muy Alta",'Mapa final'!$AC$62="Mayor"),CONCATENATE("R10C",'Mapa final'!$Q$62),"")</f>
        <v/>
      </c>
      <c r="AH15" s="46" t="str">
        <f>IF(AND('Mapa final'!$AA$57="Muy Alta",'Mapa final'!$AC$57="Catastrófico"),CONCATENATE("R10C",'Mapa final'!$Q$57),"")</f>
        <v/>
      </c>
      <c r="AI15" s="47" t="str">
        <f>IF(AND('Mapa final'!$AA$58="Muy Alta",'Mapa final'!$AC$58="Catastrófico"),CONCATENATE("R10C",'Mapa final'!$Q$58),"")</f>
        <v/>
      </c>
      <c r="AJ15" s="47" t="str">
        <f>IF(AND('Mapa final'!$AA$59="Muy Alta",'Mapa final'!$AC$59="Catastrófico"),CONCATENATE("R10C",'Mapa final'!$Q$59),"")</f>
        <v/>
      </c>
      <c r="AK15" s="47" t="str">
        <f>IF(AND('Mapa final'!$AA$60="Muy Alta",'Mapa final'!$AC$60="Catastrófico"),CONCATENATE("R10C",'Mapa final'!$Q$60),"")</f>
        <v/>
      </c>
      <c r="AL15" s="47" t="str">
        <f>IF(AND('Mapa final'!$AA$61="Muy Alta",'Mapa final'!$AC$61="Catastrófico"),CONCATENATE("R10C",'Mapa final'!$Q$61),"")</f>
        <v/>
      </c>
      <c r="AM15" s="48" t="str">
        <f>IF(AND('Mapa final'!$AA$62="Muy Alta",'Mapa final'!$AC$62="Catastrófico"),CONCATENATE("R10C",'Mapa final'!$Q$62),"")</f>
        <v/>
      </c>
      <c r="AN15" s="68"/>
      <c r="AO15" s="413"/>
      <c r="AP15" s="414"/>
      <c r="AQ15" s="414"/>
      <c r="AR15" s="414"/>
      <c r="AS15" s="414"/>
      <c r="AT15" s="415"/>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row>
    <row r="16" spans="1:91" ht="15" customHeight="1" x14ac:dyDescent="0.25">
      <c r="A16" s="68"/>
      <c r="B16" s="348"/>
      <c r="C16" s="348"/>
      <c r="D16" s="349"/>
      <c r="E16" s="386" t="s">
        <v>110</v>
      </c>
      <c r="F16" s="387"/>
      <c r="G16" s="387"/>
      <c r="H16" s="387"/>
      <c r="I16" s="387"/>
      <c r="J16" s="49" t="str">
        <f ca="1">IF(AND('Mapa final'!$AA$10="Alta",'Mapa final'!$AC$10="Leve"),CONCATENATE("R1C",'Mapa final'!$Q$10),"")</f>
        <v/>
      </c>
      <c r="K16" s="50" t="str">
        <f>IF(AND('Mapa final'!$AA$11="Alta",'Mapa final'!$AC$11="Leve"),CONCATENATE("R1C",'Mapa final'!$Q$11),"")</f>
        <v/>
      </c>
      <c r="L16" s="50" t="e">
        <f>IF(AND('Mapa final'!#REF!="Alta",'Mapa final'!#REF!="Leve"),CONCATENATE("R1C",'Mapa final'!#REF!),"")</f>
        <v>#REF!</v>
      </c>
      <c r="M16" s="50" t="e">
        <f>IF(AND('Mapa final'!#REF!="Alta",'Mapa final'!#REF!="Leve"),CONCATENATE("R1C",'Mapa final'!#REF!),"")</f>
        <v>#REF!</v>
      </c>
      <c r="N16" s="50" t="e">
        <f>IF(AND('Mapa final'!#REF!="Alta",'Mapa final'!#REF!="Leve"),CONCATENATE("R1C",'Mapa final'!#REF!),"")</f>
        <v>#REF!</v>
      </c>
      <c r="O16" s="51" t="e">
        <f>IF(AND('Mapa final'!#REF!="Alta",'Mapa final'!#REF!="Leve"),CONCATENATE("R1C",'Mapa final'!#REF!),"")</f>
        <v>#REF!</v>
      </c>
      <c r="P16" s="49" t="str">
        <f ca="1">IF(AND('Mapa final'!$AA$10="Alta",'Mapa final'!$AC$10="Menor"),CONCATENATE("R1C",'Mapa final'!$Q$10),"")</f>
        <v/>
      </c>
      <c r="Q16" s="50" t="str">
        <f>IF(AND('Mapa final'!$AA$11="Alta",'Mapa final'!$AC$11="Menor"),CONCATENATE("R1C",'Mapa final'!$Q$11),"")</f>
        <v/>
      </c>
      <c r="R16" s="50" t="e">
        <f>IF(AND('Mapa final'!#REF!="Alta",'Mapa final'!#REF!="Menor"),CONCATENATE("R1C",'Mapa final'!#REF!),"")</f>
        <v>#REF!</v>
      </c>
      <c r="S16" s="50" t="e">
        <f>IF(AND('Mapa final'!#REF!="Alta",'Mapa final'!#REF!="Menor"),CONCATENATE("R1C",'Mapa final'!#REF!),"")</f>
        <v>#REF!</v>
      </c>
      <c r="T16" s="50" t="e">
        <f>IF(AND('Mapa final'!#REF!="Alta",'Mapa final'!#REF!="Menor"),CONCATENATE("R1C",'Mapa final'!#REF!),"")</f>
        <v>#REF!</v>
      </c>
      <c r="U16" s="51" t="e">
        <f>IF(AND('Mapa final'!#REF!="Alta",'Mapa final'!#REF!="Menor"),CONCATENATE("R1C",'Mapa final'!#REF!),"")</f>
        <v>#REF!</v>
      </c>
      <c r="V16" s="30" t="str">
        <f ca="1">IF(AND('Mapa final'!$AA$10="Alta",'Mapa final'!$AC$10="Moderado"),CONCATENATE("R1C",'Mapa final'!$Q$10),"")</f>
        <v/>
      </c>
      <c r="W16" s="31" t="str">
        <f>IF(AND('Mapa final'!$AA$11="Alta",'Mapa final'!$AC$11="Moderado"),CONCATENATE("R1C",'Mapa final'!$Q$11),"")</f>
        <v/>
      </c>
      <c r="X16" s="31" t="e">
        <f>IF(AND('Mapa final'!#REF!="Alta",'Mapa final'!#REF!="Moderado"),CONCATENATE("R1C",'Mapa final'!#REF!),"")</f>
        <v>#REF!</v>
      </c>
      <c r="Y16" s="31" t="e">
        <f>IF(AND('Mapa final'!#REF!="Alta",'Mapa final'!#REF!="Moderado"),CONCATENATE("R1C",'Mapa final'!#REF!),"")</f>
        <v>#REF!</v>
      </c>
      <c r="Z16" s="31" t="e">
        <f>IF(AND('Mapa final'!#REF!="Alta",'Mapa final'!#REF!="Moderado"),CONCATENATE("R1C",'Mapa final'!#REF!),"")</f>
        <v>#REF!</v>
      </c>
      <c r="AA16" s="32" t="e">
        <f>IF(AND('Mapa final'!#REF!="Alta",'Mapa final'!#REF!="Moderado"),CONCATENATE("R1C",'Mapa final'!#REF!),"")</f>
        <v>#REF!</v>
      </c>
      <c r="AB16" s="30" t="str">
        <f ca="1">IF(AND('Mapa final'!$AA$10="Alta",'Mapa final'!$AC$10="Mayor"),CONCATENATE("R1C",'Mapa final'!$Q$10),"")</f>
        <v/>
      </c>
      <c r="AC16" s="31" t="str">
        <f>IF(AND('Mapa final'!$AA$11="Alta",'Mapa final'!$AC$11="Mayor"),CONCATENATE("R1C",'Mapa final'!$Q$11),"")</f>
        <v/>
      </c>
      <c r="AD16" s="31" t="e">
        <f>IF(AND('Mapa final'!#REF!="Alta",'Mapa final'!#REF!="Mayor"),CONCATENATE("R1C",'Mapa final'!#REF!),"")</f>
        <v>#REF!</v>
      </c>
      <c r="AE16" s="31" t="e">
        <f>IF(AND('Mapa final'!#REF!="Alta",'Mapa final'!#REF!="Mayor"),CONCATENATE("R1C",'Mapa final'!#REF!),"")</f>
        <v>#REF!</v>
      </c>
      <c r="AF16" s="31" t="e">
        <f>IF(AND('Mapa final'!#REF!="Alta",'Mapa final'!#REF!="Mayor"),CONCATENATE("R1C",'Mapa final'!#REF!),"")</f>
        <v>#REF!</v>
      </c>
      <c r="AG16" s="32" t="e">
        <f>IF(AND('Mapa final'!#REF!="Alta",'Mapa final'!#REF!="Mayor"),CONCATENATE("R1C",'Mapa final'!#REF!),"")</f>
        <v>#REF!</v>
      </c>
      <c r="AH16" s="33" t="str">
        <f ca="1">IF(AND('Mapa final'!$AA$10="Alta",'Mapa final'!$AC$10="Catastrófico"),CONCATENATE("R1C",'Mapa final'!$Q$10),"")</f>
        <v/>
      </c>
      <c r="AI16" s="34" t="str">
        <f>IF(AND('Mapa final'!$AA$11="Alta",'Mapa final'!$AC$11="Catastrófico"),CONCATENATE("R1C",'Mapa final'!$Q$11),"")</f>
        <v/>
      </c>
      <c r="AJ16" s="34" t="e">
        <f>IF(AND('Mapa final'!#REF!="Alta",'Mapa final'!#REF!="Catastrófico"),CONCATENATE("R1C",'Mapa final'!#REF!),"")</f>
        <v>#REF!</v>
      </c>
      <c r="AK16" s="34" t="e">
        <f>IF(AND('Mapa final'!#REF!="Alta",'Mapa final'!#REF!="Catastrófico"),CONCATENATE("R1C",'Mapa final'!#REF!),"")</f>
        <v>#REF!</v>
      </c>
      <c r="AL16" s="34" t="e">
        <f>IF(AND('Mapa final'!#REF!="Alta",'Mapa final'!#REF!="Catastrófico"),CONCATENATE("R1C",'Mapa final'!#REF!),"")</f>
        <v>#REF!</v>
      </c>
      <c r="AM16" s="35" t="e">
        <f>IF(AND('Mapa final'!#REF!="Alta",'Mapa final'!#REF!="Catastrófico"),CONCATENATE("R1C",'Mapa final'!#REF!),"")</f>
        <v>#REF!</v>
      </c>
      <c r="AN16" s="68"/>
      <c r="AO16" s="396" t="s">
        <v>79</v>
      </c>
      <c r="AP16" s="397"/>
      <c r="AQ16" s="397"/>
      <c r="AR16" s="397"/>
      <c r="AS16" s="397"/>
      <c r="AT16" s="39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row>
    <row r="17" spans="1:76" ht="15" customHeight="1" x14ac:dyDescent="0.25">
      <c r="A17" s="68"/>
      <c r="B17" s="348"/>
      <c r="C17" s="348"/>
      <c r="D17" s="349"/>
      <c r="E17" s="405"/>
      <c r="F17" s="406"/>
      <c r="G17" s="406"/>
      <c r="H17" s="406"/>
      <c r="I17" s="406"/>
      <c r="J17" s="52" t="str">
        <f>IF(AND('Mapa final'!$AA$12="Alta",'Mapa final'!$AC$12="Leve"),CONCATENATE("R2C",'Mapa final'!$Q$12),"")</f>
        <v/>
      </c>
      <c r="K17" s="53" t="str">
        <f>IF(AND('Mapa final'!$AA$13="Alta",'Mapa final'!$AC$13="Leve"),CONCATENATE("R2C",'Mapa final'!$Q$13),"")</f>
        <v/>
      </c>
      <c r="L17" s="53" t="str">
        <f>IF(AND('Mapa final'!$AA$14="Alta",'Mapa final'!$AC$14="Leve"),CONCATENATE("R2C",'Mapa final'!$Q$14),"")</f>
        <v/>
      </c>
      <c r="M17" s="53" t="e">
        <f>IF(AND('Mapa final'!#REF!="Alta",'Mapa final'!#REF!="Leve"),CONCATENATE("R2C",'Mapa final'!#REF!),"")</f>
        <v>#REF!</v>
      </c>
      <c r="N17" s="53" t="e">
        <f>IF(AND('Mapa final'!#REF!="Alta",'Mapa final'!#REF!="Leve"),CONCATENATE("R2C",'Mapa final'!#REF!),"")</f>
        <v>#REF!</v>
      </c>
      <c r="O17" s="54" t="e">
        <f>IF(AND('Mapa final'!#REF!="Alta",'Mapa final'!#REF!="Leve"),CONCATENATE("R2C",'Mapa final'!#REF!),"")</f>
        <v>#REF!</v>
      </c>
      <c r="P17" s="52" t="str">
        <f>IF(AND('Mapa final'!$AA$12="Alta",'Mapa final'!$AC$12="Menor"),CONCATENATE("R2C",'Mapa final'!$Q$12),"")</f>
        <v/>
      </c>
      <c r="Q17" s="53" t="str">
        <f>IF(AND('Mapa final'!$AA$13="Alta",'Mapa final'!$AC$13="Menor"),CONCATENATE("R2C",'Mapa final'!$Q$13),"")</f>
        <v/>
      </c>
      <c r="R17" s="53" t="str">
        <f>IF(AND('Mapa final'!$AA$14="Alta",'Mapa final'!$AC$14="Menor"),CONCATENATE("R2C",'Mapa final'!$Q$14),"")</f>
        <v/>
      </c>
      <c r="S17" s="53" t="e">
        <f>IF(AND('Mapa final'!#REF!="Alta",'Mapa final'!#REF!="Menor"),CONCATENATE("R2C",'Mapa final'!#REF!),"")</f>
        <v>#REF!</v>
      </c>
      <c r="T17" s="53" t="e">
        <f>IF(AND('Mapa final'!#REF!="Alta",'Mapa final'!#REF!="Menor"),CONCATENATE("R2C",'Mapa final'!#REF!),"")</f>
        <v>#REF!</v>
      </c>
      <c r="U17" s="54" t="e">
        <f>IF(AND('Mapa final'!#REF!="Alta",'Mapa final'!#REF!="Menor"),CONCATENATE("R2C",'Mapa final'!#REF!),"")</f>
        <v>#REF!</v>
      </c>
      <c r="V17" s="36" t="str">
        <f>IF(AND('Mapa final'!$AA$12="Alta",'Mapa final'!$AC$12="Moderado"),CONCATENATE("R2C",'Mapa final'!$Q$12),"")</f>
        <v/>
      </c>
      <c r="W17" s="37" t="str">
        <f>IF(AND('Mapa final'!$AA$13="Alta",'Mapa final'!$AC$13="Moderado"),CONCATENATE("R2C",'Mapa final'!$Q$13),"")</f>
        <v/>
      </c>
      <c r="X17" s="37" t="str">
        <f>IF(AND('Mapa final'!$AA$14="Alta",'Mapa final'!$AC$14="Moderado"),CONCATENATE("R2C",'Mapa final'!$Q$14),"")</f>
        <v/>
      </c>
      <c r="Y17" s="37" t="e">
        <f>IF(AND('Mapa final'!#REF!="Alta",'Mapa final'!#REF!="Moderado"),CONCATENATE("R2C",'Mapa final'!#REF!),"")</f>
        <v>#REF!</v>
      </c>
      <c r="Z17" s="37" t="e">
        <f>IF(AND('Mapa final'!#REF!="Alta",'Mapa final'!#REF!="Moderado"),CONCATENATE("R2C",'Mapa final'!#REF!),"")</f>
        <v>#REF!</v>
      </c>
      <c r="AA17" s="38" t="e">
        <f>IF(AND('Mapa final'!#REF!="Alta",'Mapa final'!#REF!="Moderado"),CONCATENATE("R2C",'Mapa final'!#REF!),"")</f>
        <v>#REF!</v>
      </c>
      <c r="AB17" s="36" t="str">
        <f>IF(AND('Mapa final'!$AA$12="Alta",'Mapa final'!$AC$12="Mayor"),CONCATENATE("R2C",'Mapa final'!$Q$12),"")</f>
        <v/>
      </c>
      <c r="AC17" s="37" t="str">
        <f>IF(AND('Mapa final'!$AA$13="Alta",'Mapa final'!$AC$13="Mayor"),CONCATENATE("R2C",'Mapa final'!$Q$13),"")</f>
        <v/>
      </c>
      <c r="AD17" s="37" t="str">
        <f>IF(AND('Mapa final'!$AA$14="Alta",'Mapa final'!$AC$14="Mayor"),CONCATENATE("R2C",'Mapa final'!$Q$14),"")</f>
        <v/>
      </c>
      <c r="AE17" s="37" t="e">
        <f>IF(AND('Mapa final'!#REF!="Alta",'Mapa final'!#REF!="Mayor"),CONCATENATE("R2C",'Mapa final'!#REF!),"")</f>
        <v>#REF!</v>
      </c>
      <c r="AF17" s="37" t="e">
        <f>IF(AND('Mapa final'!#REF!="Alta",'Mapa final'!#REF!="Mayor"),CONCATENATE("R2C",'Mapa final'!#REF!),"")</f>
        <v>#REF!</v>
      </c>
      <c r="AG17" s="38" t="e">
        <f>IF(AND('Mapa final'!#REF!="Alta",'Mapa final'!#REF!="Mayor"),CONCATENATE("R2C",'Mapa final'!#REF!),"")</f>
        <v>#REF!</v>
      </c>
      <c r="AH17" s="39" t="str">
        <f>IF(AND('Mapa final'!$AA$12="Alta",'Mapa final'!$AC$12="Catastrófico"),CONCATENATE("R2C",'Mapa final'!$Q$12),"")</f>
        <v/>
      </c>
      <c r="AI17" s="40" t="str">
        <f>IF(AND('Mapa final'!$AA$13="Alta",'Mapa final'!$AC$13="Catastrófico"),CONCATENATE("R2C",'Mapa final'!$Q$13),"")</f>
        <v/>
      </c>
      <c r="AJ17" s="40" t="str">
        <f>IF(AND('Mapa final'!$AA$14="Alta",'Mapa final'!$AC$14="Catastrófico"),CONCATENATE("R2C",'Mapa final'!$Q$14),"")</f>
        <v/>
      </c>
      <c r="AK17" s="40" t="e">
        <f>IF(AND('Mapa final'!#REF!="Alta",'Mapa final'!#REF!="Catastrófico"),CONCATENATE("R2C",'Mapa final'!#REF!),"")</f>
        <v>#REF!</v>
      </c>
      <c r="AL17" s="40" t="e">
        <f>IF(AND('Mapa final'!#REF!="Alta",'Mapa final'!#REF!="Catastrófico"),CONCATENATE("R2C",'Mapa final'!#REF!),"")</f>
        <v>#REF!</v>
      </c>
      <c r="AM17" s="41" t="e">
        <f>IF(AND('Mapa final'!#REF!="Alta",'Mapa final'!#REF!="Catastrófico"),CONCATENATE("R2C",'Mapa final'!#REF!),"")</f>
        <v>#REF!</v>
      </c>
      <c r="AN17" s="68"/>
      <c r="AO17" s="399"/>
      <c r="AP17" s="400"/>
      <c r="AQ17" s="400"/>
      <c r="AR17" s="400"/>
      <c r="AS17" s="400"/>
      <c r="AT17" s="401"/>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row>
    <row r="18" spans="1:76" ht="15" customHeight="1" x14ac:dyDescent="0.25">
      <c r="A18" s="68"/>
      <c r="B18" s="348"/>
      <c r="C18" s="348"/>
      <c r="D18" s="349"/>
      <c r="E18" s="389"/>
      <c r="F18" s="390"/>
      <c r="G18" s="390"/>
      <c r="H18" s="390"/>
      <c r="I18" s="406"/>
      <c r="J18" s="52" t="str">
        <f>IF(AND('Mapa final'!$AA$15="Alta",'Mapa final'!$AC$15="Leve"),CONCATENATE("R3C",'Mapa final'!$Q$15),"")</f>
        <v/>
      </c>
      <c r="K18" s="53" t="str">
        <f>IF(AND('Mapa final'!$AA$16="Alta",'Mapa final'!$AC$16="Leve"),CONCATENATE("R3C",'Mapa final'!$Q$16),"")</f>
        <v/>
      </c>
      <c r="L18" s="53" t="str">
        <f>IF(AND('Mapa final'!$AA$17="Alta",'Mapa final'!$AC$17="Leve"),CONCATENATE("R3C",'Mapa final'!$Q$17),"")</f>
        <v/>
      </c>
      <c r="M18" s="53" t="str">
        <f>IF(AND('Mapa final'!$AA$18="Alta",'Mapa final'!$AC$18="Leve"),CONCATENATE("R3C",'Mapa final'!$Q$18),"")</f>
        <v/>
      </c>
      <c r="N18" s="53" t="str">
        <f>IF(AND('Mapa final'!$AA$19="Alta",'Mapa final'!$AC$19="Leve"),CONCATENATE("R3C",'Mapa final'!$Q$19),"")</f>
        <v/>
      </c>
      <c r="O18" s="54" t="str">
        <f>IF(AND('Mapa final'!$AA$20="Alta",'Mapa final'!$AC$20="Leve"),CONCATENATE("R3C",'Mapa final'!$Q$20),"")</f>
        <v/>
      </c>
      <c r="P18" s="52" t="str">
        <f>IF(AND('Mapa final'!$AA$15="Alta",'Mapa final'!$AC$15="Menor"),CONCATENATE("R3C",'Mapa final'!$Q$15),"")</f>
        <v/>
      </c>
      <c r="Q18" s="53" t="str">
        <f>IF(AND('Mapa final'!$AA$16="Alta",'Mapa final'!$AC$16="Menor"),CONCATENATE("R3C",'Mapa final'!$Q$16),"")</f>
        <v/>
      </c>
      <c r="R18" s="53" t="str">
        <f>IF(AND('Mapa final'!$AA$17="Alta",'Mapa final'!$AC$17="Menor"),CONCATENATE("R3C",'Mapa final'!$Q$17),"")</f>
        <v/>
      </c>
      <c r="S18" s="53" t="str">
        <f>IF(AND('Mapa final'!$AA$18="Alta",'Mapa final'!$AC$18="Menor"),CONCATENATE("R3C",'Mapa final'!$Q$18),"")</f>
        <v/>
      </c>
      <c r="T18" s="53" t="str">
        <f>IF(AND('Mapa final'!$AA$19="Alta",'Mapa final'!$AC$19="Menor"),CONCATENATE("R3C",'Mapa final'!$Q$19),"")</f>
        <v/>
      </c>
      <c r="U18" s="54" t="str">
        <f>IF(AND('Mapa final'!$AA$20="Alta",'Mapa final'!$AC$20="Menor"),CONCATENATE("R3C",'Mapa final'!$Q$20),"")</f>
        <v/>
      </c>
      <c r="V18" s="36" t="str">
        <f>IF(AND('Mapa final'!$AA$15="Alta",'Mapa final'!$AC$15="Moderado"),CONCATENATE("R3C",'Mapa final'!$Q$15),"")</f>
        <v/>
      </c>
      <c r="W18" s="37" t="str">
        <f>IF(AND('Mapa final'!$AA$16="Alta",'Mapa final'!$AC$16="Moderado"),CONCATENATE("R3C",'Mapa final'!$Q$16),"")</f>
        <v/>
      </c>
      <c r="X18" s="37" t="str">
        <f>IF(AND('Mapa final'!$AA$17="Alta",'Mapa final'!$AC$17="Moderado"),CONCATENATE("R3C",'Mapa final'!$Q$17),"")</f>
        <v/>
      </c>
      <c r="Y18" s="37" t="str">
        <f>IF(AND('Mapa final'!$AA$18="Alta",'Mapa final'!$AC$18="Moderado"),CONCATENATE("R3C",'Mapa final'!$Q$18),"")</f>
        <v/>
      </c>
      <c r="Z18" s="37" t="str">
        <f>IF(AND('Mapa final'!$AA$19="Alta",'Mapa final'!$AC$19="Moderado"),CONCATENATE("R3C",'Mapa final'!$Q$19),"")</f>
        <v/>
      </c>
      <c r="AA18" s="38" t="str">
        <f>IF(AND('Mapa final'!$AA$20="Alta",'Mapa final'!$AC$20="Moderado"),CONCATENATE("R3C",'Mapa final'!$Q$20),"")</f>
        <v/>
      </c>
      <c r="AB18" s="36" t="str">
        <f>IF(AND('Mapa final'!$AA$15="Alta",'Mapa final'!$AC$15="Mayor"),CONCATENATE("R3C",'Mapa final'!$Q$15),"")</f>
        <v/>
      </c>
      <c r="AC18" s="37" t="str">
        <f>IF(AND('Mapa final'!$AA$16="Alta",'Mapa final'!$AC$16="Mayor"),CONCATENATE("R3C",'Mapa final'!$Q$16),"")</f>
        <v/>
      </c>
      <c r="AD18" s="37" t="str">
        <f>IF(AND('Mapa final'!$AA$17="Alta",'Mapa final'!$AC$17="Mayor"),CONCATENATE("R3C",'Mapa final'!$Q$17),"")</f>
        <v/>
      </c>
      <c r="AE18" s="37" t="str">
        <f>IF(AND('Mapa final'!$AA$18="Alta",'Mapa final'!$AC$18="Mayor"),CONCATENATE("R3C",'Mapa final'!$Q$18),"")</f>
        <v/>
      </c>
      <c r="AF18" s="37" t="str">
        <f>IF(AND('Mapa final'!$AA$19="Alta",'Mapa final'!$AC$19="Mayor"),CONCATENATE("R3C",'Mapa final'!$Q$19),"")</f>
        <v/>
      </c>
      <c r="AG18" s="38" t="str">
        <f>IF(AND('Mapa final'!$AA$20="Alta",'Mapa final'!$AC$20="Mayor"),CONCATENATE("R3C",'Mapa final'!$Q$20),"")</f>
        <v/>
      </c>
      <c r="AH18" s="39" t="str">
        <f>IF(AND('Mapa final'!$AA$15="Alta",'Mapa final'!$AC$15="Catastrófico"),CONCATENATE("R3C",'Mapa final'!$Q$15),"")</f>
        <v/>
      </c>
      <c r="AI18" s="40" t="str">
        <f>IF(AND('Mapa final'!$AA$16="Alta",'Mapa final'!$AC$16="Catastrófico"),CONCATENATE("R3C",'Mapa final'!$Q$16),"")</f>
        <v/>
      </c>
      <c r="AJ18" s="40" t="str">
        <f>IF(AND('Mapa final'!$AA$17="Alta",'Mapa final'!$AC$17="Catastrófico"),CONCATENATE("R3C",'Mapa final'!$Q$17),"")</f>
        <v/>
      </c>
      <c r="AK18" s="40" t="str">
        <f>IF(AND('Mapa final'!$AA$18="Alta",'Mapa final'!$AC$18="Catastrófico"),CONCATENATE("R3C",'Mapa final'!$Q$18),"")</f>
        <v/>
      </c>
      <c r="AL18" s="40" t="str">
        <f>IF(AND('Mapa final'!$AA$19="Alta",'Mapa final'!$AC$19="Catastrófico"),CONCATENATE("R3C",'Mapa final'!$Q$19),"")</f>
        <v/>
      </c>
      <c r="AM18" s="41" t="str">
        <f>IF(AND('Mapa final'!$AA$20="Alta",'Mapa final'!$AC$20="Catastrófico"),CONCATENATE("R3C",'Mapa final'!$Q$20),"")</f>
        <v/>
      </c>
      <c r="AN18" s="68"/>
      <c r="AO18" s="399"/>
      <c r="AP18" s="400"/>
      <c r="AQ18" s="400"/>
      <c r="AR18" s="400"/>
      <c r="AS18" s="400"/>
      <c r="AT18" s="401"/>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1:76" ht="15" customHeight="1" x14ac:dyDescent="0.25">
      <c r="A19" s="68"/>
      <c r="B19" s="348"/>
      <c r="C19" s="348"/>
      <c r="D19" s="349"/>
      <c r="E19" s="389"/>
      <c r="F19" s="390"/>
      <c r="G19" s="390"/>
      <c r="H19" s="390"/>
      <c r="I19" s="406"/>
      <c r="J19" s="52" t="str">
        <f>IF(AND('Mapa final'!$AA$21="Alta",'Mapa final'!$AC$21="Leve"),CONCATENATE("R4C",'Mapa final'!$Q$21),"")</f>
        <v/>
      </c>
      <c r="K19" s="53" t="str">
        <f>IF(AND('Mapa final'!$AA$22="Alta",'Mapa final'!$AC$22="Leve"),CONCATENATE("R4C",'Mapa final'!$Q$22),"")</f>
        <v/>
      </c>
      <c r="L19" s="53" t="str">
        <f>IF(AND('Mapa final'!$AA$23="Alta",'Mapa final'!$AC$23="Leve"),CONCATENATE("R4C",'Mapa final'!$Q$23),"")</f>
        <v/>
      </c>
      <c r="M19" s="53" t="str">
        <f>IF(AND('Mapa final'!$AA$24="Alta",'Mapa final'!$AC$24="Leve"),CONCATENATE("R4C",'Mapa final'!$Q$24),"")</f>
        <v/>
      </c>
      <c r="N19" s="53" t="str">
        <f>IF(AND('Mapa final'!$AA$25="Alta",'Mapa final'!$AC$25="Leve"),CONCATENATE("R4C",'Mapa final'!$Q$25),"")</f>
        <v/>
      </c>
      <c r="O19" s="54" t="str">
        <f>IF(AND('Mapa final'!$AA$26="Alta",'Mapa final'!$AC$26="Leve"),CONCATENATE("R4C",'Mapa final'!$Q$26),"")</f>
        <v/>
      </c>
      <c r="P19" s="52" t="str">
        <f>IF(AND('Mapa final'!$AA$21="Alta",'Mapa final'!$AC$21="Menor"),CONCATENATE("R4C",'Mapa final'!$Q$21),"")</f>
        <v/>
      </c>
      <c r="Q19" s="53" t="str">
        <f>IF(AND('Mapa final'!$AA$22="Alta",'Mapa final'!$AC$22="Menor"),CONCATENATE("R4C",'Mapa final'!$Q$22),"")</f>
        <v/>
      </c>
      <c r="R19" s="53" t="str">
        <f>IF(AND('Mapa final'!$AA$23="Alta",'Mapa final'!$AC$23="Menor"),CONCATENATE("R4C",'Mapa final'!$Q$23),"")</f>
        <v/>
      </c>
      <c r="S19" s="53" t="str">
        <f>IF(AND('Mapa final'!$AA$24="Alta",'Mapa final'!$AC$24="Menor"),CONCATENATE("R4C",'Mapa final'!$Q$24),"")</f>
        <v/>
      </c>
      <c r="T19" s="53" t="str">
        <f>IF(AND('Mapa final'!$AA$25="Alta",'Mapa final'!$AC$25="Menor"),CONCATENATE("R4C",'Mapa final'!$Q$25),"")</f>
        <v/>
      </c>
      <c r="U19" s="54" t="str">
        <f>IF(AND('Mapa final'!$AA$26="Alta",'Mapa final'!$AC$26="Menor"),CONCATENATE("R4C",'Mapa final'!$Q$26),"")</f>
        <v/>
      </c>
      <c r="V19" s="36" t="str">
        <f>IF(AND('Mapa final'!$AA$21="Alta",'Mapa final'!$AC$21="Moderado"),CONCATENATE("R4C",'Mapa final'!$Q$21),"")</f>
        <v/>
      </c>
      <c r="W19" s="37" t="str">
        <f>IF(AND('Mapa final'!$AA$22="Alta",'Mapa final'!$AC$22="Moderado"),CONCATENATE("R4C",'Mapa final'!$Q$22),"")</f>
        <v/>
      </c>
      <c r="X19" s="42" t="str">
        <f>IF(AND('Mapa final'!$AA$23="Alta",'Mapa final'!$AC$23="Moderado"),CONCATENATE("R4C",'Mapa final'!$Q$23),"")</f>
        <v/>
      </c>
      <c r="Y19" s="42" t="str">
        <f>IF(AND('Mapa final'!$AA$24="Alta",'Mapa final'!$AC$24="Moderado"),CONCATENATE("R4C",'Mapa final'!$Q$24),"")</f>
        <v/>
      </c>
      <c r="Z19" s="42" t="str">
        <f>IF(AND('Mapa final'!$AA$25="Alta",'Mapa final'!$AC$25="Moderado"),CONCATENATE("R4C",'Mapa final'!$Q$25),"")</f>
        <v/>
      </c>
      <c r="AA19" s="38" t="str">
        <f>IF(AND('Mapa final'!$AA$26="Alta",'Mapa final'!$AC$26="Moderado"),CONCATENATE("R4C",'Mapa final'!$Q$26),"")</f>
        <v/>
      </c>
      <c r="AB19" s="36" t="str">
        <f>IF(AND('Mapa final'!$AA$21="Alta",'Mapa final'!$AC$21="Mayor"),CONCATENATE("R4C",'Mapa final'!$Q$21),"")</f>
        <v/>
      </c>
      <c r="AC19" s="37" t="str">
        <f>IF(AND('Mapa final'!$AA$22="Alta",'Mapa final'!$AC$22="Mayor"),CONCATENATE("R4C",'Mapa final'!$Q$22),"")</f>
        <v/>
      </c>
      <c r="AD19" s="42" t="str">
        <f>IF(AND('Mapa final'!$AA$23="Alta",'Mapa final'!$AC$23="Mayor"),CONCATENATE("R4C",'Mapa final'!$Q$23),"")</f>
        <v/>
      </c>
      <c r="AE19" s="42" t="str">
        <f>IF(AND('Mapa final'!$AA$24="Alta",'Mapa final'!$AC$24="Mayor"),CONCATENATE("R4C",'Mapa final'!$Q$24),"")</f>
        <v/>
      </c>
      <c r="AF19" s="42" t="str">
        <f>IF(AND('Mapa final'!$AA$25="Alta",'Mapa final'!$AC$25="Mayor"),CONCATENATE("R4C",'Mapa final'!$Q$25),"")</f>
        <v/>
      </c>
      <c r="AG19" s="38" t="str">
        <f>IF(AND('Mapa final'!$AA$26="Alta",'Mapa final'!$AC$26="Mayor"),CONCATENATE("R4C",'Mapa final'!$Q$26),"")</f>
        <v/>
      </c>
      <c r="AH19" s="39" t="str">
        <f>IF(AND('Mapa final'!$AA$21="Alta",'Mapa final'!$AC$21="Catastrófico"),CONCATENATE("R4C",'Mapa final'!$Q$21),"")</f>
        <v/>
      </c>
      <c r="AI19" s="40" t="str">
        <f>IF(AND('Mapa final'!$AA$22="Alta",'Mapa final'!$AC$22="Catastrófico"),CONCATENATE("R4C",'Mapa final'!$Q$22),"")</f>
        <v/>
      </c>
      <c r="AJ19" s="40" t="str">
        <f>IF(AND('Mapa final'!$AA$23="Alta",'Mapa final'!$AC$23="Catastrófico"),CONCATENATE("R4C",'Mapa final'!$Q$23),"")</f>
        <v/>
      </c>
      <c r="AK19" s="40" t="str">
        <f>IF(AND('Mapa final'!$AA$24="Alta",'Mapa final'!$AC$24="Catastrófico"),CONCATENATE("R4C",'Mapa final'!$Q$24),"")</f>
        <v/>
      </c>
      <c r="AL19" s="40" t="str">
        <f>IF(AND('Mapa final'!$AA$25="Alta",'Mapa final'!$AC$25="Catastrófico"),CONCATENATE("R4C",'Mapa final'!$Q$25),"")</f>
        <v/>
      </c>
      <c r="AM19" s="41" t="str">
        <f>IF(AND('Mapa final'!$AA$26="Alta",'Mapa final'!$AC$26="Catastrófico"),CONCATENATE("R4C",'Mapa final'!$Q$26),"")</f>
        <v/>
      </c>
      <c r="AN19" s="68"/>
      <c r="AO19" s="399"/>
      <c r="AP19" s="400"/>
      <c r="AQ19" s="400"/>
      <c r="AR19" s="400"/>
      <c r="AS19" s="400"/>
      <c r="AT19" s="401"/>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row>
    <row r="20" spans="1:76" ht="15" customHeight="1" x14ac:dyDescent="0.25">
      <c r="A20" s="68"/>
      <c r="B20" s="348"/>
      <c r="C20" s="348"/>
      <c r="D20" s="349"/>
      <c r="E20" s="389"/>
      <c r="F20" s="390"/>
      <c r="G20" s="390"/>
      <c r="H20" s="390"/>
      <c r="I20" s="406"/>
      <c r="J20" s="52" t="str">
        <f>IF(AND('Mapa final'!$AA$27="Alta",'Mapa final'!$AC$27="Leve"),CONCATENATE("R5C",'Mapa final'!$Q$27),"")</f>
        <v/>
      </c>
      <c r="K20" s="53" t="str">
        <f>IF(AND('Mapa final'!$AA$28="Alta",'Mapa final'!$AC$28="Leve"),CONCATENATE("R5C",'Mapa final'!$Q$28),"")</f>
        <v/>
      </c>
      <c r="L20" s="53" t="str">
        <f>IF(AND('Mapa final'!$AA$29="Alta",'Mapa final'!$AC$29="Leve"),CONCATENATE("R5C",'Mapa final'!$Q$29),"")</f>
        <v/>
      </c>
      <c r="M20" s="53" t="str">
        <f>IF(AND('Mapa final'!$AA$30="Alta",'Mapa final'!$AC$30="Leve"),CONCATENATE("R5C",'Mapa final'!$Q$30),"")</f>
        <v/>
      </c>
      <c r="N20" s="53" t="str">
        <f>IF(AND('Mapa final'!$AA$31="Alta",'Mapa final'!$AC$31="Leve"),CONCATENATE("R5C",'Mapa final'!$Q$31),"")</f>
        <v/>
      </c>
      <c r="O20" s="54" t="str">
        <f>IF(AND('Mapa final'!$AA$32="Alta",'Mapa final'!$AC$32="Leve"),CONCATENATE("R5C",'Mapa final'!$Q$32),"")</f>
        <v/>
      </c>
      <c r="P20" s="52" t="str">
        <f>IF(AND('Mapa final'!$AA$27="Alta",'Mapa final'!$AC$27="Menor"),CONCATENATE("R5C",'Mapa final'!$Q$27),"")</f>
        <v/>
      </c>
      <c r="Q20" s="53" t="str">
        <f>IF(AND('Mapa final'!$AA$28="Alta",'Mapa final'!$AC$28="Menor"),CONCATENATE("R5C",'Mapa final'!$Q$28),"")</f>
        <v/>
      </c>
      <c r="R20" s="53" t="str">
        <f>IF(AND('Mapa final'!$AA$29="Alta",'Mapa final'!$AC$29="Menor"),CONCATENATE("R5C",'Mapa final'!$Q$29),"")</f>
        <v/>
      </c>
      <c r="S20" s="53" t="str">
        <f>IF(AND('Mapa final'!$AA$30="Alta",'Mapa final'!$AC$30="Menor"),CONCATENATE("R5C",'Mapa final'!$Q$30),"")</f>
        <v/>
      </c>
      <c r="T20" s="53" t="str">
        <f>IF(AND('Mapa final'!$AA$31="Alta",'Mapa final'!$AC$31="Menor"),CONCATENATE("R5C",'Mapa final'!$Q$31),"")</f>
        <v/>
      </c>
      <c r="U20" s="54" t="str">
        <f>IF(AND('Mapa final'!$AA$32="Alta",'Mapa final'!$AC$32="Menor"),CONCATENATE("R5C",'Mapa final'!$Q$32),"")</f>
        <v/>
      </c>
      <c r="V20" s="36" t="str">
        <f>IF(AND('Mapa final'!$AA$27="Alta",'Mapa final'!$AC$27="Moderado"),CONCATENATE("R5C",'Mapa final'!$Q$27),"")</f>
        <v/>
      </c>
      <c r="W20" s="37" t="str">
        <f>IF(AND('Mapa final'!$AA$28="Alta",'Mapa final'!$AC$28="Moderado"),CONCATENATE("R5C",'Mapa final'!$Q$28),"")</f>
        <v/>
      </c>
      <c r="X20" s="42" t="str">
        <f>IF(AND('Mapa final'!$AA$29="Alta",'Mapa final'!$AC$29="Moderado"),CONCATENATE("R5C",'Mapa final'!$Q$29),"")</f>
        <v/>
      </c>
      <c r="Y20" s="42" t="str">
        <f>IF(AND('Mapa final'!$AA$30="Alta",'Mapa final'!$AC$30="Moderado"),CONCATENATE("R5C",'Mapa final'!$Q$30),"")</f>
        <v/>
      </c>
      <c r="Z20" s="42" t="str">
        <f>IF(AND('Mapa final'!$AA$31="Alta",'Mapa final'!$AC$31="Moderado"),CONCATENATE("R5C",'Mapa final'!$Q$31),"")</f>
        <v/>
      </c>
      <c r="AA20" s="38" t="str">
        <f>IF(AND('Mapa final'!$AA$32="Alta",'Mapa final'!$AC$32="Moderado"),CONCATENATE("R5C",'Mapa final'!$Q$32),"")</f>
        <v/>
      </c>
      <c r="AB20" s="36" t="str">
        <f>IF(AND('Mapa final'!$AA$27="Alta",'Mapa final'!$AC$27="Mayor"),CONCATENATE("R5C",'Mapa final'!$Q$27),"")</f>
        <v/>
      </c>
      <c r="AC20" s="37" t="str">
        <f>IF(AND('Mapa final'!$AA$28="Alta",'Mapa final'!$AC$28="Mayor"),CONCATENATE("R5C",'Mapa final'!$Q$28),"")</f>
        <v/>
      </c>
      <c r="AD20" s="42" t="str">
        <f>IF(AND('Mapa final'!$AA$29="Alta",'Mapa final'!$AC$29="Mayor"),CONCATENATE("R5C",'Mapa final'!$Q$29),"")</f>
        <v/>
      </c>
      <c r="AE20" s="42" t="str">
        <f>IF(AND('Mapa final'!$AA$30="Alta",'Mapa final'!$AC$30="Mayor"),CONCATENATE("R5C",'Mapa final'!$Q$30),"")</f>
        <v/>
      </c>
      <c r="AF20" s="42" t="str">
        <f>IF(AND('Mapa final'!$AA$31="Alta",'Mapa final'!$AC$31="Mayor"),CONCATENATE("R5C",'Mapa final'!$Q$31),"")</f>
        <v/>
      </c>
      <c r="AG20" s="38" t="str">
        <f>IF(AND('Mapa final'!$AA$32="Alta",'Mapa final'!$AC$32="Mayor"),CONCATENATE("R5C",'Mapa final'!$Q$32),"")</f>
        <v/>
      </c>
      <c r="AH20" s="39" t="str">
        <f>IF(AND('Mapa final'!$AA$27="Alta",'Mapa final'!$AC$27="Catastrófico"),CONCATENATE("R5C",'Mapa final'!$Q$27),"")</f>
        <v/>
      </c>
      <c r="AI20" s="40" t="str">
        <f>IF(AND('Mapa final'!$AA$28="Alta",'Mapa final'!$AC$28="Catastrófico"),CONCATENATE("R5C",'Mapa final'!$Q$28),"")</f>
        <v/>
      </c>
      <c r="AJ20" s="40" t="str">
        <f>IF(AND('Mapa final'!$AA$29="Alta",'Mapa final'!$AC$29="Catastrófico"),CONCATENATE("R5C",'Mapa final'!$Q$29),"")</f>
        <v/>
      </c>
      <c r="AK20" s="40" t="str">
        <f>IF(AND('Mapa final'!$AA$30="Alta",'Mapa final'!$AC$30="Catastrófico"),CONCATENATE("R5C",'Mapa final'!$Q$30),"")</f>
        <v/>
      </c>
      <c r="AL20" s="40" t="str">
        <f>IF(AND('Mapa final'!$AA$31="Alta",'Mapa final'!$AC$31="Catastrófico"),CONCATENATE("R5C",'Mapa final'!$Q$31),"")</f>
        <v/>
      </c>
      <c r="AM20" s="41" t="str">
        <f>IF(AND('Mapa final'!$AA$32="Alta",'Mapa final'!$AC$32="Catastrófico"),CONCATENATE("R5C",'Mapa final'!$Q$32),"")</f>
        <v/>
      </c>
      <c r="AN20" s="68"/>
      <c r="AO20" s="399"/>
      <c r="AP20" s="400"/>
      <c r="AQ20" s="400"/>
      <c r="AR20" s="400"/>
      <c r="AS20" s="400"/>
      <c r="AT20" s="401"/>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row>
    <row r="21" spans="1:76" ht="15" customHeight="1" x14ac:dyDescent="0.25">
      <c r="A21" s="68"/>
      <c r="B21" s="348"/>
      <c r="C21" s="348"/>
      <c r="D21" s="349"/>
      <c r="E21" s="389"/>
      <c r="F21" s="390"/>
      <c r="G21" s="390"/>
      <c r="H21" s="390"/>
      <c r="I21" s="406"/>
      <c r="J21" s="52" t="str">
        <f>IF(AND('Mapa final'!$AA$33="Alta",'Mapa final'!$AC$33="Leve"),CONCATENATE("R6C",'Mapa final'!$Q$33),"")</f>
        <v/>
      </c>
      <c r="K21" s="53" t="str">
        <f>IF(AND('Mapa final'!$AA$34="Alta",'Mapa final'!$AC$34="Leve"),CONCATENATE("R6C",'Mapa final'!$Q$34),"")</f>
        <v/>
      </c>
      <c r="L21" s="53" t="str">
        <f>IF(AND('Mapa final'!$AA$35="Alta",'Mapa final'!$AC$35="Leve"),CONCATENATE("R6C",'Mapa final'!$Q$35),"")</f>
        <v/>
      </c>
      <c r="M21" s="53" t="str">
        <f>IF(AND('Mapa final'!$AA$36="Alta",'Mapa final'!$AC$36="Leve"),CONCATENATE("R6C",'Mapa final'!$Q$36),"")</f>
        <v/>
      </c>
      <c r="N21" s="53" t="str">
        <f>IF(AND('Mapa final'!$AA$37="Alta",'Mapa final'!$AC$37="Leve"),CONCATENATE("R6C",'Mapa final'!$Q$37),"")</f>
        <v/>
      </c>
      <c r="O21" s="54" t="str">
        <f>IF(AND('Mapa final'!$AA$38="Alta",'Mapa final'!$AC$38="Leve"),CONCATENATE("R6C",'Mapa final'!$Q$38),"")</f>
        <v/>
      </c>
      <c r="P21" s="52" t="str">
        <f>IF(AND('Mapa final'!$AA$33="Alta",'Mapa final'!$AC$33="Menor"),CONCATENATE("R6C",'Mapa final'!$Q$33),"")</f>
        <v/>
      </c>
      <c r="Q21" s="53" t="str">
        <f>IF(AND('Mapa final'!$AA$34="Alta",'Mapa final'!$AC$34="Menor"),CONCATENATE("R6C",'Mapa final'!$Q$34),"")</f>
        <v/>
      </c>
      <c r="R21" s="53" t="str">
        <f>IF(AND('Mapa final'!$AA$35="Alta",'Mapa final'!$AC$35="Menor"),CONCATENATE("R6C",'Mapa final'!$Q$35),"")</f>
        <v/>
      </c>
      <c r="S21" s="53" t="str">
        <f>IF(AND('Mapa final'!$AA$36="Alta",'Mapa final'!$AC$36="Menor"),CONCATENATE("R6C",'Mapa final'!$Q$36),"")</f>
        <v/>
      </c>
      <c r="T21" s="53" t="str">
        <f>IF(AND('Mapa final'!$AA$37="Alta",'Mapa final'!$AC$37="Menor"),CONCATENATE("R6C",'Mapa final'!$Q$37),"")</f>
        <v/>
      </c>
      <c r="U21" s="54" t="str">
        <f>IF(AND('Mapa final'!$AA$38="Alta",'Mapa final'!$AC$38="Menor"),CONCATENATE("R6C",'Mapa final'!$Q$38),"")</f>
        <v/>
      </c>
      <c r="V21" s="36" t="str">
        <f>IF(AND('Mapa final'!$AA$33="Alta",'Mapa final'!$AC$33="Moderado"),CONCATENATE("R6C",'Mapa final'!$Q$33),"")</f>
        <v/>
      </c>
      <c r="W21" s="37" t="str">
        <f>IF(AND('Mapa final'!$AA$34="Alta",'Mapa final'!$AC$34="Moderado"),CONCATENATE("R6C",'Mapa final'!$Q$34),"")</f>
        <v/>
      </c>
      <c r="X21" s="42" t="str">
        <f>IF(AND('Mapa final'!$AA$35="Alta",'Mapa final'!$AC$35="Moderado"),CONCATENATE("R6C",'Mapa final'!$Q$35),"")</f>
        <v/>
      </c>
      <c r="Y21" s="42" t="str">
        <f>IF(AND('Mapa final'!$AA$36="Alta",'Mapa final'!$AC$36="Moderado"),CONCATENATE("R6C",'Mapa final'!$Q$36),"")</f>
        <v/>
      </c>
      <c r="Z21" s="42" t="str">
        <f>IF(AND('Mapa final'!$AA$37="Alta",'Mapa final'!$AC$37="Moderado"),CONCATENATE("R6C",'Mapa final'!$Q$37),"")</f>
        <v/>
      </c>
      <c r="AA21" s="38" t="str">
        <f>IF(AND('Mapa final'!$AA$38="Alta",'Mapa final'!$AC$38="Moderado"),CONCATENATE("R6C",'Mapa final'!$Q$38),"")</f>
        <v/>
      </c>
      <c r="AB21" s="36" t="str">
        <f>IF(AND('Mapa final'!$AA$33="Alta",'Mapa final'!$AC$33="Mayor"),CONCATENATE("R6C",'Mapa final'!$Q$33),"")</f>
        <v/>
      </c>
      <c r="AC21" s="37" t="str">
        <f>IF(AND('Mapa final'!$AA$34="Alta",'Mapa final'!$AC$34="Mayor"),CONCATENATE("R6C",'Mapa final'!$Q$34),"")</f>
        <v/>
      </c>
      <c r="AD21" s="42" t="str">
        <f>IF(AND('Mapa final'!$AA$35="Alta",'Mapa final'!$AC$35="Mayor"),CONCATENATE("R6C",'Mapa final'!$Q$35),"")</f>
        <v/>
      </c>
      <c r="AE21" s="42" t="str">
        <f>IF(AND('Mapa final'!$AA$36="Alta",'Mapa final'!$AC$36="Mayor"),CONCATENATE("R6C",'Mapa final'!$Q$36),"")</f>
        <v/>
      </c>
      <c r="AF21" s="42" t="str">
        <f>IF(AND('Mapa final'!$AA$37="Alta",'Mapa final'!$AC$37="Mayor"),CONCATENATE("R6C",'Mapa final'!$Q$37),"")</f>
        <v/>
      </c>
      <c r="AG21" s="38" t="str">
        <f>IF(AND('Mapa final'!$AA$38="Alta",'Mapa final'!$AC$38="Mayor"),CONCATENATE("R6C",'Mapa final'!$Q$38),"")</f>
        <v/>
      </c>
      <c r="AH21" s="39" t="str">
        <f>IF(AND('Mapa final'!$AA$33="Alta",'Mapa final'!$AC$33="Catastrófico"),CONCATENATE("R6C",'Mapa final'!$Q$33),"")</f>
        <v/>
      </c>
      <c r="AI21" s="40" t="str">
        <f>IF(AND('Mapa final'!$AA$34="Alta",'Mapa final'!$AC$34="Catastrófico"),CONCATENATE("R6C",'Mapa final'!$Q$34),"")</f>
        <v/>
      </c>
      <c r="AJ21" s="40" t="str">
        <f>IF(AND('Mapa final'!$AA$35="Alta",'Mapa final'!$AC$35="Catastrófico"),CONCATENATE("R6C",'Mapa final'!$Q$35),"")</f>
        <v/>
      </c>
      <c r="AK21" s="40" t="str">
        <f>IF(AND('Mapa final'!$AA$36="Alta",'Mapa final'!$AC$36="Catastrófico"),CONCATENATE("R6C",'Mapa final'!$Q$36),"")</f>
        <v/>
      </c>
      <c r="AL21" s="40" t="str">
        <f>IF(AND('Mapa final'!$AA$37="Alta",'Mapa final'!$AC$37="Catastrófico"),CONCATENATE("R6C",'Mapa final'!$Q$37),"")</f>
        <v/>
      </c>
      <c r="AM21" s="41" t="str">
        <f>IF(AND('Mapa final'!$AA$38="Alta",'Mapa final'!$AC$38="Catastrófico"),CONCATENATE("R6C",'Mapa final'!$Q$38),"")</f>
        <v/>
      </c>
      <c r="AN21" s="68"/>
      <c r="AO21" s="399"/>
      <c r="AP21" s="400"/>
      <c r="AQ21" s="400"/>
      <c r="AR21" s="400"/>
      <c r="AS21" s="400"/>
      <c r="AT21" s="401"/>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row>
    <row r="22" spans="1:76" ht="15" customHeight="1" x14ac:dyDescent="0.25">
      <c r="A22" s="68"/>
      <c r="B22" s="348"/>
      <c r="C22" s="348"/>
      <c r="D22" s="349"/>
      <c r="E22" s="389"/>
      <c r="F22" s="390"/>
      <c r="G22" s="390"/>
      <c r="H22" s="390"/>
      <c r="I22" s="406"/>
      <c r="J22" s="52" t="str">
        <f>IF(AND('Mapa final'!$AA$39="Alta",'Mapa final'!$AC$39="Leve"),CONCATENATE("R7C",'Mapa final'!$Q$39),"")</f>
        <v/>
      </c>
      <c r="K22" s="53" t="str">
        <f>IF(AND('Mapa final'!$AA$40="Alta",'Mapa final'!$AC$40="Leve"),CONCATENATE("R7C",'Mapa final'!$Q$40),"")</f>
        <v/>
      </c>
      <c r="L22" s="53" t="str">
        <f>IF(AND('Mapa final'!$AA$41="Alta",'Mapa final'!$AC$41="Leve"),CONCATENATE("R7C",'Mapa final'!$Q$41),"")</f>
        <v/>
      </c>
      <c r="M22" s="53" t="str">
        <f>IF(AND('Mapa final'!$AA$42="Alta",'Mapa final'!$AC$42="Leve"),CONCATENATE("R7C",'Mapa final'!$Q$42),"")</f>
        <v/>
      </c>
      <c r="N22" s="53" t="str">
        <f>IF(AND('Mapa final'!$AA$43="Alta",'Mapa final'!$AC$43="Leve"),CONCATENATE("R7C",'Mapa final'!$Q$43),"")</f>
        <v/>
      </c>
      <c r="O22" s="54" t="str">
        <f>IF(AND('Mapa final'!$AA$44="Alta",'Mapa final'!$AC$44="Leve"),CONCATENATE("R7C",'Mapa final'!$Q$44),"")</f>
        <v/>
      </c>
      <c r="P22" s="52" t="str">
        <f>IF(AND('Mapa final'!$AA$39="Alta",'Mapa final'!$AC$39="Menor"),CONCATENATE("R7C",'Mapa final'!$Q$39),"")</f>
        <v/>
      </c>
      <c r="Q22" s="53" t="str">
        <f>IF(AND('Mapa final'!$AA$40="Alta",'Mapa final'!$AC$40="Menor"),CONCATENATE("R7C",'Mapa final'!$Q$40),"")</f>
        <v/>
      </c>
      <c r="R22" s="53" t="str">
        <f>IF(AND('Mapa final'!$AA$41="Alta",'Mapa final'!$AC$41="Menor"),CONCATENATE("R7C",'Mapa final'!$Q$41),"")</f>
        <v/>
      </c>
      <c r="S22" s="53" t="str">
        <f>IF(AND('Mapa final'!$AA$42="Alta",'Mapa final'!$AC$42="Menor"),CONCATENATE("R7C",'Mapa final'!$Q$42),"")</f>
        <v/>
      </c>
      <c r="T22" s="53" t="str">
        <f>IF(AND('Mapa final'!$AA$43="Alta",'Mapa final'!$AC$43="Menor"),CONCATENATE("R7C",'Mapa final'!$Q$43),"")</f>
        <v/>
      </c>
      <c r="U22" s="54" t="str">
        <f>IF(AND('Mapa final'!$AA$44="Alta",'Mapa final'!$AC$44="Menor"),CONCATENATE("R7C",'Mapa final'!$Q$44),"")</f>
        <v/>
      </c>
      <c r="V22" s="36" t="str">
        <f>IF(AND('Mapa final'!$AA$39="Alta",'Mapa final'!$AC$39="Moderado"),CONCATENATE("R7C",'Mapa final'!$Q$39),"")</f>
        <v/>
      </c>
      <c r="W22" s="37" t="str">
        <f>IF(AND('Mapa final'!$AA$40="Alta",'Mapa final'!$AC$40="Moderado"),CONCATENATE("R7C",'Mapa final'!$Q$40),"")</f>
        <v/>
      </c>
      <c r="X22" s="42" t="str">
        <f>IF(AND('Mapa final'!$AA$41="Alta",'Mapa final'!$AC$41="Moderado"),CONCATENATE("R7C",'Mapa final'!$Q$41),"")</f>
        <v/>
      </c>
      <c r="Y22" s="42" t="str">
        <f>IF(AND('Mapa final'!$AA$42="Alta",'Mapa final'!$AC$42="Moderado"),CONCATENATE("R7C",'Mapa final'!$Q$42),"")</f>
        <v/>
      </c>
      <c r="Z22" s="42" t="str">
        <f>IF(AND('Mapa final'!$AA$43="Alta",'Mapa final'!$AC$43="Moderado"),CONCATENATE("R7C",'Mapa final'!$Q$43),"")</f>
        <v/>
      </c>
      <c r="AA22" s="38" t="str">
        <f>IF(AND('Mapa final'!$AA$44="Alta",'Mapa final'!$AC$44="Moderado"),CONCATENATE("R7C",'Mapa final'!$Q$44),"")</f>
        <v/>
      </c>
      <c r="AB22" s="36" t="str">
        <f>IF(AND('Mapa final'!$AA$39="Alta",'Mapa final'!$AC$39="Mayor"),CONCATENATE("R7C",'Mapa final'!$Q$39),"")</f>
        <v/>
      </c>
      <c r="AC22" s="37" t="str">
        <f>IF(AND('Mapa final'!$AA$40="Alta",'Mapa final'!$AC$40="Mayor"),CONCATENATE("R7C",'Mapa final'!$Q$40),"")</f>
        <v/>
      </c>
      <c r="AD22" s="42" t="str">
        <f>IF(AND('Mapa final'!$AA$41="Alta",'Mapa final'!$AC$41="Mayor"),CONCATENATE("R7C",'Mapa final'!$Q$41),"")</f>
        <v/>
      </c>
      <c r="AE22" s="42" t="str">
        <f>IF(AND('Mapa final'!$AA$42="Alta",'Mapa final'!$AC$42="Mayor"),CONCATENATE("R7C",'Mapa final'!$Q$42),"")</f>
        <v/>
      </c>
      <c r="AF22" s="42" t="str">
        <f>IF(AND('Mapa final'!$AA$43="Alta",'Mapa final'!$AC$43="Mayor"),CONCATENATE("R7C",'Mapa final'!$Q$43),"")</f>
        <v/>
      </c>
      <c r="AG22" s="38" t="str">
        <f>IF(AND('Mapa final'!$AA$44="Alta",'Mapa final'!$AC$44="Mayor"),CONCATENATE("R7C",'Mapa final'!$Q$44),"")</f>
        <v/>
      </c>
      <c r="AH22" s="39" t="str">
        <f>IF(AND('Mapa final'!$AA$39="Alta",'Mapa final'!$AC$39="Catastrófico"),CONCATENATE("R7C",'Mapa final'!$Q$39),"")</f>
        <v/>
      </c>
      <c r="AI22" s="40" t="str">
        <f>IF(AND('Mapa final'!$AA$40="Alta",'Mapa final'!$AC$40="Catastrófico"),CONCATENATE("R7C",'Mapa final'!$Q$40),"")</f>
        <v/>
      </c>
      <c r="AJ22" s="40" t="str">
        <f>IF(AND('Mapa final'!$AA$41="Alta",'Mapa final'!$AC$41="Catastrófico"),CONCATENATE("R7C",'Mapa final'!$Q$41),"")</f>
        <v/>
      </c>
      <c r="AK22" s="40" t="str">
        <f>IF(AND('Mapa final'!$AA$42="Alta",'Mapa final'!$AC$42="Catastrófico"),CONCATENATE("R7C",'Mapa final'!$Q$42),"")</f>
        <v/>
      </c>
      <c r="AL22" s="40" t="str">
        <f>IF(AND('Mapa final'!$AA$43="Alta",'Mapa final'!$AC$43="Catastrófico"),CONCATENATE("R7C",'Mapa final'!$Q$43),"")</f>
        <v/>
      </c>
      <c r="AM22" s="41" t="str">
        <f>IF(AND('Mapa final'!$AA$44="Alta",'Mapa final'!$AC$44="Catastrófico"),CONCATENATE("R7C",'Mapa final'!$Q$44),"")</f>
        <v/>
      </c>
      <c r="AN22" s="68"/>
      <c r="AO22" s="399"/>
      <c r="AP22" s="400"/>
      <c r="AQ22" s="400"/>
      <c r="AR22" s="400"/>
      <c r="AS22" s="400"/>
      <c r="AT22" s="401"/>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row>
    <row r="23" spans="1:76" ht="15" customHeight="1" x14ac:dyDescent="0.25">
      <c r="A23" s="68"/>
      <c r="B23" s="348"/>
      <c r="C23" s="348"/>
      <c r="D23" s="349"/>
      <c r="E23" s="389"/>
      <c r="F23" s="390"/>
      <c r="G23" s="390"/>
      <c r="H23" s="390"/>
      <c r="I23" s="406"/>
      <c r="J23" s="52" t="str">
        <f>IF(AND('Mapa final'!$AA$45="Alta",'Mapa final'!$AC$45="Leve"),CONCATENATE("R8C",'Mapa final'!$Q$45),"")</f>
        <v/>
      </c>
      <c r="K23" s="53" t="str">
        <f>IF(AND('Mapa final'!$AA$46="Alta",'Mapa final'!$AC$46="Leve"),CONCATENATE("R8C",'Mapa final'!$Q$46),"")</f>
        <v/>
      </c>
      <c r="L23" s="53" t="str">
        <f>IF(AND('Mapa final'!$AA$47="Alta",'Mapa final'!$AC$47="Leve"),CONCATENATE("R8C",'Mapa final'!$Q$47),"")</f>
        <v/>
      </c>
      <c r="M23" s="53" t="str">
        <f>IF(AND('Mapa final'!$AA$48="Alta",'Mapa final'!$AC$48="Leve"),CONCATENATE("R8C",'Mapa final'!$Q$48),"")</f>
        <v/>
      </c>
      <c r="N23" s="53" t="str">
        <f>IF(AND('Mapa final'!$AA$49="Alta",'Mapa final'!$AC$49="Leve"),CONCATENATE("R8C",'Mapa final'!$Q$49),"")</f>
        <v/>
      </c>
      <c r="O23" s="54" t="str">
        <f>IF(AND('Mapa final'!$AA$50="Alta",'Mapa final'!$AC$50="Leve"),CONCATENATE("R8C",'Mapa final'!$Q$50),"")</f>
        <v/>
      </c>
      <c r="P23" s="52" t="str">
        <f>IF(AND('Mapa final'!$AA$45="Alta",'Mapa final'!$AC$45="Menor"),CONCATENATE("R8C",'Mapa final'!$Q$45),"")</f>
        <v/>
      </c>
      <c r="Q23" s="53" t="str">
        <f>IF(AND('Mapa final'!$AA$46="Alta",'Mapa final'!$AC$46="Menor"),CONCATENATE("R8C",'Mapa final'!$Q$46),"")</f>
        <v/>
      </c>
      <c r="R23" s="53" t="str">
        <f>IF(AND('Mapa final'!$AA$47="Alta",'Mapa final'!$AC$47="Menor"),CONCATENATE("R8C",'Mapa final'!$Q$47),"")</f>
        <v/>
      </c>
      <c r="S23" s="53" t="str">
        <f>IF(AND('Mapa final'!$AA$48="Alta",'Mapa final'!$AC$48="Menor"),CONCATENATE("R8C",'Mapa final'!$Q$48),"")</f>
        <v/>
      </c>
      <c r="T23" s="53" t="str">
        <f>IF(AND('Mapa final'!$AA$49="Alta",'Mapa final'!$AC$49="Menor"),CONCATENATE("R8C",'Mapa final'!$Q$49),"")</f>
        <v/>
      </c>
      <c r="U23" s="54" t="str">
        <f>IF(AND('Mapa final'!$AA$50="Alta",'Mapa final'!$AC$50="Menor"),CONCATENATE("R8C",'Mapa final'!$Q$50),"")</f>
        <v/>
      </c>
      <c r="V23" s="36" t="str">
        <f>IF(AND('Mapa final'!$AA$45="Alta",'Mapa final'!$AC$45="Moderado"),CONCATENATE("R8C",'Mapa final'!$Q$45),"")</f>
        <v/>
      </c>
      <c r="W23" s="37" t="str">
        <f>IF(AND('Mapa final'!$AA$46="Alta",'Mapa final'!$AC$46="Moderado"),CONCATENATE("R8C",'Mapa final'!$Q$46),"")</f>
        <v/>
      </c>
      <c r="X23" s="42" t="str">
        <f>IF(AND('Mapa final'!$AA$47="Alta",'Mapa final'!$AC$47="Moderado"),CONCATENATE("R8C",'Mapa final'!$Q$47),"")</f>
        <v/>
      </c>
      <c r="Y23" s="42" t="str">
        <f>IF(AND('Mapa final'!$AA$48="Alta",'Mapa final'!$AC$48="Moderado"),CONCATENATE("R8C",'Mapa final'!$Q$48),"")</f>
        <v/>
      </c>
      <c r="Z23" s="42" t="str">
        <f>IF(AND('Mapa final'!$AA$49="Alta",'Mapa final'!$AC$49="Moderado"),CONCATENATE("R8C",'Mapa final'!$Q$49),"")</f>
        <v/>
      </c>
      <c r="AA23" s="38" t="str">
        <f>IF(AND('Mapa final'!$AA$50="Alta",'Mapa final'!$AC$50="Moderado"),CONCATENATE("R8C",'Mapa final'!$Q$50),"")</f>
        <v/>
      </c>
      <c r="AB23" s="36" t="str">
        <f>IF(AND('Mapa final'!$AA$45="Alta",'Mapa final'!$AC$45="Mayor"),CONCATENATE("R8C",'Mapa final'!$Q$45),"")</f>
        <v/>
      </c>
      <c r="AC23" s="37" t="str">
        <f>IF(AND('Mapa final'!$AA$46="Alta",'Mapa final'!$AC$46="Mayor"),CONCATENATE("R8C",'Mapa final'!$Q$46),"")</f>
        <v/>
      </c>
      <c r="AD23" s="42" t="str">
        <f>IF(AND('Mapa final'!$AA$47="Alta",'Mapa final'!$AC$47="Mayor"),CONCATENATE("R8C",'Mapa final'!$Q$47),"")</f>
        <v/>
      </c>
      <c r="AE23" s="42" t="str">
        <f>IF(AND('Mapa final'!$AA$48="Alta",'Mapa final'!$AC$48="Mayor"),CONCATENATE("R8C",'Mapa final'!$Q$48),"")</f>
        <v/>
      </c>
      <c r="AF23" s="42" t="str">
        <f>IF(AND('Mapa final'!$AA$49="Alta",'Mapa final'!$AC$49="Mayor"),CONCATENATE("R8C",'Mapa final'!$Q$49),"")</f>
        <v/>
      </c>
      <c r="AG23" s="38" t="str">
        <f>IF(AND('Mapa final'!$AA$50="Alta",'Mapa final'!$AC$50="Mayor"),CONCATENATE("R8C",'Mapa final'!$Q$50),"")</f>
        <v/>
      </c>
      <c r="AH23" s="39" t="str">
        <f>IF(AND('Mapa final'!$AA$45="Alta",'Mapa final'!$AC$45="Catastrófico"),CONCATENATE("R8C",'Mapa final'!$Q$45),"")</f>
        <v/>
      </c>
      <c r="AI23" s="40" t="str">
        <f>IF(AND('Mapa final'!$AA$46="Alta",'Mapa final'!$AC$46="Catastrófico"),CONCATENATE("R8C",'Mapa final'!$Q$46),"")</f>
        <v/>
      </c>
      <c r="AJ23" s="40" t="str">
        <f>IF(AND('Mapa final'!$AA$47="Alta",'Mapa final'!$AC$47="Catastrófico"),CONCATENATE("R8C",'Mapa final'!$Q$47),"")</f>
        <v/>
      </c>
      <c r="AK23" s="40" t="str">
        <f>IF(AND('Mapa final'!$AA$48="Alta",'Mapa final'!$AC$48="Catastrófico"),CONCATENATE("R8C",'Mapa final'!$Q$48),"")</f>
        <v/>
      </c>
      <c r="AL23" s="40" t="str">
        <f>IF(AND('Mapa final'!$AA$49="Alta",'Mapa final'!$AC$49="Catastrófico"),CONCATENATE("R8C",'Mapa final'!$Q$49),"")</f>
        <v/>
      </c>
      <c r="AM23" s="41" t="str">
        <f>IF(AND('Mapa final'!$AA$50="Alta",'Mapa final'!$AC$50="Catastrófico"),CONCATENATE("R8C",'Mapa final'!$Q$50),"")</f>
        <v/>
      </c>
      <c r="AN23" s="68"/>
      <c r="AO23" s="399"/>
      <c r="AP23" s="400"/>
      <c r="AQ23" s="400"/>
      <c r="AR23" s="400"/>
      <c r="AS23" s="400"/>
      <c r="AT23" s="401"/>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row>
    <row r="24" spans="1:76" ht="15" customHeight="1" x14ac:dyDescent="0.25">
      <c r="A24" s="68"/>
      <c r="B24" s="348"/>
      <c r="C24" s="348"/>
      <c r="D24" s="349"/>
      <c r="E24" s="389"/>
      <c r="F24" s="390"/>
      <c r="G24" s="390"/>
      <c r="H24" s="390"/>
      <c r="I24" s="406"/>
      <c r="J24" s="52" t="str">
        <f>IF(AND('Mapa final'!$AA$51="Alta",'Mapa final'!$AC$51="Leve"),CONCATENATE("R9C",'Mapa final'!$Q$51),"")</f>
        <v/>
      </c>
      <c r="K24" s="53" t="str">
        <f>IF(AND('Mapa final'!$AA$52="Alta",'Mapa final'!$AC$52="Leve"),CONCATENATE("R9C",'Mapa final'!$Q$52),"")</f>
        <v/>
      </c>
      <c r="L24" s="53" t="str">
        <f>IF(AND('Mapa final'!$AA$53="Alta",'Mapa final'!$AC$53="Leve"),CONCATENATE("R9C",'Mapa final'!$Q$53),"")</f>
        <v/>
      </c>
      <c r="M24" s="53" t="str">
        <f>IF(AND('Mapa final'!$AA$54="Alta",'Mapa final'!$AC$54="Leve"),CONCATENATE("R9C",'Mapa final'!$Q$54),"")</f>
        <v/>
      </c>
      <c r="N24" s="53" t="str">
        <f>IF(AND('Mapa final'!$AA$55="Alta",'Mapa final'!$AC$55="Leve"),CONCATENATE("R9C",'Mapa final'!$Q$55),"")</f>
        <v/>
      </c>
      <c r="O24" s="54" t="str">
        <f>IF(AND('Mapa final'!$AA$56="Alta",'Mapa final'!$AC$56="Leve"),CONCATENATE("R9C",'Mapa final'!$Q$56),"")</f>
        <v/>
      </c>
      <c r="P24" s="52" t="str">
        <f>IF(AND('Mapa final'!$AA$51="Alta",'Mapa final'!$AC$51="Menor"),CONCATENATE("R9C",'Mapa final'!$Q$51),"")</f>
        <v/>
      </c>
      <c r="Q24" s="53" t="str">
        <f>IF(AND('Mapa final'!$AA$52="Alta",'Mapa final'!$AC$52="Menor"),CONCATENATE("R9C",'Mapa final'!$Q$52),"")</f>
        <v/>
      </c>
      <c r="R24" s="53" t="str">
        <f>IF(AND('Mapa final'!$AA$53="Alta",'Mapa final'!$AC$53="Menor"),CONCATENATE("R9C",'Mapa final'!$Q$53),"")</f>
        <v/>
      </c>
      <c r="S24" s="53" t="str">
        <f>IF(AND('Mapa final'!$AA$54="Alta",'Mapa final'!$AC$54="Menor"),CONCATENATE("R9C",'Mapa final'!$Q$54),"")</f>
        <v/>
      </c>
      <c r="T24" s="53" t="str">
        <f>IF(AND('Mapa final'!$AA$55="Alta",'Mapa final'!$AC$55="Menor"),CONCATENATE("R9C",'Mapa final'!$Q$55),"")</f>
        <v/>
      </c>
      <c r="U24" s="54" t="str">
        <f>IF(AND('Mapa final'!$AA$56="Alta",'Mapa final'!$AC$56="Menor"),CONCATENATE("R9C",'Mapa final'!$Q$56),"")</f>
        <v/>
      </c>
      <c r="V24" s="36" t="str">
        <f>IF(AND('Mapa final'!$AA$51="Alta",'Mapa final'!$AC$51="Moderado"),CONCATENATE("R9C",'Mapa final'!$Q$51),"")</f>
        <v/>
      </c>
      <c r="W24" s="37" t="str">
        <f>IF(AND('Mapa final'!$AA$52="Alta",'Mapa final'!$AC$52="Moderado"),CONCATENATE("R9C",'Mapa final'!$Q$52),"")</f>
        <v/>
      </c>
      <c r="X24" s="42" t="str">
        <f>IF(AND('Mapa final'!$AA$53="Alta",'Mapa final'!$AC$53="Moderado"),CONCATENATE("R9C",'Mapa final'!$Q$53),"")</f>
        <v/>
      </c>
      <c r="Y24" s="42" t="str">
        <f>IF(AND('Mapa final'!$AA$54="Alta",'Mapa final'!$AC$54="Moderado"),CONCATENATE("R9C",'Mapa final'!$Q$54),"")</f>
        <v/>
      </c>
      <c r="Z24" s="42" t="str">
        <f>IF(AND('Mapa final'!$AA$55="Alta",'Mapa final'!$AC$55="Moderado"),CONCATENATE("R9C",'Mapa final'!$Q$55),"")</f>
        <v/>
      </c>
      <c r="AA24" s="38" t="str">
        <f>IF(AND('Mapa final'!$AA$56="Alta",'Mapa final'!$AC$56="Moderado"),CONCATENATE("R9C",'Mapa final'!$Q$56),"")</f>
        <v/>
      </c>
      <c r="AB24" s="36" t="str">
        <f>IF(AND('Mapa final'!$AA$51="Alta",'Mapa final'!$AC$51="Mayor"),CONCATENATE("R9C",'Mapa final'!$Q$51),"")</f>
        <v/>
      </c>
      <c r="AC24" s="37" t="str">
        <f>IF(AND('Mapa final'!$AA$52="Alta",'Mapa final'!$AC$52="Mayor"),CONCATENATE("R9C",'Mapa final'!$Q$52),"")</f>
        <v/>
      </c>
      <c r="AD24" s="42" t="str">
        <f>IF(AND('Mapa final'!$AA$53="Alta",'Mapa final'!$AC$53="Mayor"),CONCATENATE("R9C",'Mapa final'!$Q$53),"")</f>
        <v/>
      </c>
      <c r="AE24" s="42" t="str">
        <f>IF(AND('Mapa final'!$AA$54="Alta",'Mapa final'!$AC$54="Mayor"),CONCATENATE("R9C",'Mapa final'!$Q$54),"")</f>
        <v/>
      </c>
      <c r="AF24" s="42" t="str">
        <f>IF(AND('Mapa final'!$AA$55="Alta",'Mapa final'!$AC$55="Mayor"),CONCATENATE("R9C",'Mapa final'!$Q$55),"")</f>
        <v/>
      </c>
      <c r="AG24" s="38" t="str">
        <f>IF(AND('Mapa final'!$AA$56="Alta",'Mapa final'!$AC$56="Mayor"),CONCATENATE("R9C",'Mapa final'!$Q$56),"")</f>
        <v/>
      </c>
      <c r="AH24" s="39" t="str">
        <f>IF(AND('Mapa final'!$AA$51="Alta",'Mapa final'!$AC$51="Catastrófico"),CONCATENATE("R9C",'Mapa final'!$Q$51),"")</f>
        <v/>
      </c>
      <c r="AI24" s="40" t="str">
        <f>IF(AND('Mapa final'!$AA$52="Alta",'Mapa final'!$AC$52="Catastrófico"),CONCATENATE("R9C",'Mapa final'!$Q$52),"")</f>
        <v/>
      </c>
      <c r="AJ24" s="40" t="str">
        <f>IF(AND('Mapa final'!$AA$53="Alta",'Mapa final'!$AC$53="Catastrófico"),CONCATENATE("R9C",'Mapa final'!$Q$53),"")</f>
        <v/>
      </c>
      <c r="AK24" s="40" t="str">
        <f>IF(AND('Mapa final'!$AA$54="Alta",'Mapa final'!$AC$54="Catastrófico"),CONCATENATE("R9C",'Mapa final'!$Q$54),"")</f>
        <v/>
      </c>
      <c r="AL24" s="40" t="str">
        <f>IF(AND('Mapa final'!$AA$55="Alta",'Mapa final'!$AC$55="Catastrófico"),CONCATENATE("R9C",'Mapa final'!$Q$55),"")</f>
        <v/>
      </c>
      <c r="AM24" s="41" t="str">
        <f>IF(AND('Mapa final'!$AA$56="Alta",'Mapa final'!$AC$56="Catastrófico"),CONCATENATE("R9C",'Mapa final'!$Q$56),"")</f>
        <v/>
      </c>
      <c r="AN24" s="68"/>
      <c r="AO24" s="399"/>
      <c r="AP24" s="400"/>
      <c r="AQ24" s="400"/>
      <c r="AR24" s="400"/>
      <c r="AS24" s="400"/>
      <c r="AT24" s="401"/>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row>
    <row r="25" spans="1:76" ht="15.75" customHeight="1" thickBot="1" x14ac:dyDescent="0.3">
      <c r="A25" s="68"/>
      <c r="B25" s="348"/>
      <c r="C25" s="348"/>
      <c r="D25" s="349"/>
      <c r="E25" s="392"/>
      <c r="F25" s="393"/>
      <c r="G25" s="393"/>
      <c r="H25" s="393"/>
      <c r="I25" s="393"/>
      <c r="J25" s="55" t="str">
        <f>IF(AND('Mapa final'!$AA$57="Alta",'Mapa final'!$AC$57="Leve"),CONCATENATE("R10C",'Mapa final'!$Q$57),"")</f>
        <v/>
      </c>
      <c r="K25" s="56" t="str">
        <f>IF(AND('Mapa final'!$AA$58="Alta",'Mapa final'!$AC$58="Leve"),CONCATENATE("R10C",'Mapa final'!$Q$58),"")</f>
        <v/>
      </c>
      <c r="L25" s="56" t="str">
        <f>IF(AND('Mapa final'!$AA$59="Alta",'Mapa final'!$AC$59="Leve"),CONCATENATE("R10C",'Mapa final'!$Q$59),"")</f>
        <v/>
      </c>
      <c r="M25" s="56" t="str">
        <f>IF(AND('Mapa final'!$AA$60="Alta",'Mapa final'!$AC$60="Leve"),CONCATENATE("R10C",'Mapa final'!$Q$60),"")</f>
        <v/>
      </c>
      <c r="N25" s="56" t="str">
        <f>IF(AND('Mapa final'!$AA$61="Alta",'Mapa final'!$AC$61="Leve"),CONCATENATE("R10C",'Mapa final'!$Q$61),"")</f>
        <v/>
      </c>
      <c r="O25" s="57" t="str">
        <f>IF(AND('Mapa final'!$AA$62="Alta",'Mapa final'!$AC$62="Leve"),CONCATENATE("R10C",'Mapa final'!$Q$62),"")</f>
        <v/>
      </c>
      <c r="P25" s="55" t="str">
        <f>IF(AND('Mapa final'!$AA$57="Alta",'Mapa final'!$AC$57="Menor"),CONCATENATE("R10C",'Mapa final'!$Q$57),"")</f>
        <v/>
      </c>
      <c r="Q25" s="56" t="str">
        <f>IF(AND('Mapa final'!$AA$58="Alta",'Mapa final'!$AC$58="Menor"),CONCATENATE("R10C",'Mapa final'!$Q$58),"")</f>
        <v/>
      </c>
      <c r="R25" s="56" t="str">
        <f>IF(AND('Mapa final'!$AA$59="Alta",'Mapa final'!$AC$59="Menor"),CONCATENATE("R10C",'Mapa final'!$Q$59),"")</f>
        <v/>
      </c>
      <c r="S25" s="56" t="str">
        <f>IF(AND('Mapa final'!$AA$60="Alta",'Mapa final'!$AC$60="Menor"),CONCATENATE("R10C",'Mapa final'!$Q$60),"")</f>
        <v/>
      </c>
      <c r="T25" s="56" t="str">
        <f>IF(AND('Mapa final'!$AA$61="Alta",'Mapa final'!$AC$61="Menor"),CONCATENATE("R10C",'Mapa final'!$Q$61),"")</f>
        <v/>
      </c>
      <c r="U25" s="57" t="str">
        <f>IF(AND('Mapa final'!$AA$62="Alta",'Mapa final'!$AC$62="Menor"),CONCATENATE("R10C",'Mapa final'!$Q$62),"")</f>
        <v/>
      </c>
      <c r="V25" s="43" t="str">
        <f>IF(AND('Mapa final'!$AA$57="Alta",'Mapa final'!$AC$57="Moderado"),CONCATENATE("R10C",'Mapa final'!$Q$57),"")</f>
        <v/>
      </c>
      <c r="W25" s="44" t="str">
        <f>IF(AND('Mapa final'!$AA$58="Alta",'Mapa final'!$AC$58="Moderado"),CONCATENATE("R10C",'Mapa final'!$Q$58),"")</f>
        <v/>
      </c>
      <c r="X25" s="44" t="str">
        <f>IF(AND('Mapa final'!$AA$59="Alta",'Mapa final'!$AC$59="Moderado"),CONCATENATE("R10C",'Mapa final'!$Q$59),"")</f>
        <v/>
      </c>
      <c r="Y25" s="44" t="str">
        <f>IF(AND('Mapa final'!$AA$60="Alta",'Mapa final'!$AC$60="Moderado"),CONCATENATE("R10C",'Mapa final'!$Q$60),"")</f>
        <v/>
      </c>
      <c r="Z25" s="44" t="str">
        <f>IF(AND('Mapa final'!$AA$61="Alta",'Mapa final'!$AC$61="Moderado"),CONCATENATE("R10C",'Mapa final'!$Q$61),"")</f>
        <v/>
      </c>
      <c r="AA25" s="45" t="str">
        <f>IF(AND('Mapa final'!$AA$62="Alta",'Mapa final'!$AC$62="Moderado"),CONCATENATE("R10C",'Mapa final'!$Q$62),"")</f>
        <v/>
      </c>
      <c r="AB25" s="43" t="str">
        <f>IF(AND('Mapa final'!$AA$57="Alta",'Mapa final'!$AC$57="Mayor"),CONCATENATE("R10C",'Mapa final'!$Q$57),"")</f>
        <v/>
      </c>
      <c r="AC25" s="44" t="str">
        <f>IF(AND('Mapa final'!$AA$58="Alta",'Mapa final'!$AC$58="Mayor"),CONCATENATE("R10C",'Mapa final'!$Q$58),"")</f>
        <v/>
      </c>
      <c r="AD25" s="44" t="str">
        <f>IF(AND('Mapa final'!$AA$59="Alta",'Mapa final'!$AC$59="Mayor"),CONCATENATE("R10C",'Mapa final'!$Q$59),"")</f>
        <v/>
      </c>
      <c r="AE25" s="44" t="str">
        <f>IF(AND('Mapa final'!$AA$60="Alta",'Mapa final'!$AC$60="Mayor"),CONCATENATE("R10C",'Mapa final'!$Q$60),"")</f>
        <v/>
      </c>
      <c r="AF25" s="44" t="str">
        <f>IF(AND('Mapa final'!$AA$61="Alta",'Mapa final'!$AC$61="Mayor"),CONCATENATE("R10C",'Mapa final'!$Q$61),"")</f>
        <v/>
      </c>
      <c r="AG25" s="45" t="str">
        <f>IF(AND('Mapa final'!$AA$62="Alta",'Mapa final'!$AC$62="Mayor"),CONCATENATE("R10C",'Mapa final'!$Q$62),"")</f>
        <v/>
      </c>
      <c r="AH25" s="46" t="str">
        <f>IF(AND('Mapa final'!$AA$57="Alta",'Mapa final'!$AC$57="Catastrófico"),CONCATENATE("R10C",'Mapa final'!$Q$57),"")</f>
        <v/>
      </c>
      <c r="AI25" s="47" t="str">
        <f>IF(AND('Mapa final'!$AA$58="Alta",'Mapa final'!$AC$58="Catastrófico"),CONCATENATE("R10C",'Mapa final'!$Q$58),"")</f>
        <v/>
      </c>
      <c r="AJ25" s="47" t="str">
        <f>IF(AND('Mapa final'!$AA$59="Alta",'Mapa final'!$AC$59="Catastrófico"),CONCATENATE("R10C",'Mapa final'!$Q$59),"")</f>
        <v/>
      </c>
      <c r="AK25" s="47" t="str">
        <f>IF(AND('Mapa final'!$AA$60="Alta",'Mapa final'!$AC$60="Catastrófico"),CONCATENATE("R10C",'Mapa final'!$Q$60),"")</f>
        <v/>
      </c>
      <c r="AL25" s="47" t="str">
        <f>IF(AND('Mapa final'!$AA$61="Alta",'Mapa final'!$AC$61="Catastrófico"),CONCATENATE("R10C",'Mapa final'!$Q$61),"")</f>
        <v/>
      </c>
      <c r="AM25" s="48" t="str">
        <f>IF(AND('Mapa final'!$AA$62="Alta",'Mapa final'!$AC$62="Catastrófico"),CONCATENATE("R10C",'Mapa final'!$Q$62),"")</f>
        <v/>
      </c>
      <c r="AN25" s="68"/>
      <c r="AO25" s="402"/>
      <c r="AP25" s="403"/>
      <c r="AQ25" s="403"/>
      <c r="AR25" s="403"/>
      <c r="AS25" s="403"/>
      <c r="AT25" s="404"/>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row>
    <row r="26" spans="1:76" ht="15" customHeight="1" x14ac:dyDescent="0.25">
      <c r="A26" s="68"/>
      <c r="B26" s="348"/>
      <c r="C26" s="348"/>
      <c r="D26" s="349"/>
      <c r="E26" s="386" t="s">
        <v>112</v>
      </c>
      <c r="F26" s="387"/>
      <c r="G26" s="387"/>
      <c r="H26" s="387"/>
      <c r="I26" s="388"/>
      <c r="J26" s="49" t="str">
        <f ca="1">IF(AND('Mapa final'!$AA$10="Media",'Mapa final'!$AC$10="Leve"),CONCATENATE("R1C",'Mapa final'!$Q$10),"")</f>
        <v/>
      </c>
      <c r="K26" s="50" t="str">
        <f>IF(AND('Mapa final'!$AA$11="Media",'Mapa final'!$AC$11="Leve"),CONCATENATE("R1C",'Mapa final'!$Q$11),"")</f>
        <v/>
      </c>
      <c r="L26" s="50" t="e">
        <f>IF(AND('Mapa final'!#REF!="Media",'Mapa final'!#REF!="Leve"),CONCATENATE("R1C",'Mapa final'!#REF!),"")</f>
        <v>#REF!</v>
      </c>
      <c r="M26" s="50" t="e">
        <f>IF(AND('Mapa final'!#REF!="Media",'Mapa final'!#REF!="Leve"),CONCATENATE("R1C",'Mapa final'!#REF!),"")</f>
        <v>#REF!</v>
      </c>
      <c r="N26" s="50" t="e">
        <f>IF(AND('Mapa final'!#REF!="Media",'Mapa final'!#REF!="Leve"),CONCATENATE("R1C",'Mapa final'!#REF!),"")</f>
        <v>#REF!</v>
      </c>
      <c r="O26" s="51" t="e">
        <f>IF(AND('Mapa final'!#REF!="Media",'Mapa final'!#REF!="Leve"),CONCATENATE("R1C",'Mapa final'!#REF!),"")</f>
        <v>#REF!</v>
      </c>
      <c r="P26" s="49" t="str">
        <f ca="1">IF(AND('Mapa final'!$AA$10="Media",'Mapa final'!$AC$10="Menor"),CONCATENATE("R1C",'Mapa final'!$Q$10),"")</f>
        <v/>
      </c>
      <c r="Q26" s="50" t="str">
        <f>IF(AND('Mapa final'!$AA$11="Media",'Mapa final'!$AC$11="Menor"),CONCATENATE("R1C",'Mapa final'!$Q$11),"")</f>
        <v/>
      </c>
      <c r="R26" s="50" t="e">
        <f>IF(AND('Mapa final'!#REF!="Media",'Mapa final'!#REF!="Menor"),CONCATENATE("R1C",'Mapa final'!#REF!),"")</f>
        <v>#REF!</v>
      </c>
      <c r="S26" s="50" t="e">
        <f>IF(AND('Mapa final'!#REF!="Media",'Mapa final'!#REF!="Menor"),CONCATENATE("R1C",'Mapa final'!#REF!),"")</f>
        <v>#REF!</v>
      </c>
      <c r="T26" s="50" t="e">
        <f>IF(AND('Mapa final'!#REF!="Media",'Mapa final'!#REF!="Menor"),CONCATENATE("R1C",'Mapa final'!#REF!),"")</f>
        <v>#REF!</v>
      </c>
      <c r="U26" s="51" t="e">
        <f>IF(AND('Mapa final'!#REF!="Media",'Mapa final'!#REF!="Menor"),CONCATENATE("R1C",'Mapa final'!#REF!),"")</f>
        <v>#REF!</v>
      </c>
      <c r="V26" s="49" t="str">
        <f ca="1">IF(AND('Mapa final'!$AA$10="Media",'Mapa final'!$AC$10="Moderado"),CONCATENATE("R1C",'Mapa final'!$Q$10),"")</f>
        <v/>
      </c>
      <c r="W26" s="50" t="str">
        <f>IF(AND('Mapa final'!$AA$11="Media",'Mapa final'!$AC$11="Moderado"),CONCATENATE("R1C",'Mapa final'!$Q$11),"")</f>
        <v/>
      </c>
      <c r="X26" s="50" t="e">
        <f>IF(AND('Mapa final'!#REF!="Media",'Mapa final'!#REF!="Moderado"),CONCATENATE("R1C",'Mapa final'!#REF!),"")</f>
        <v>#REF!</v>
      </c>
      <c r="Y26" s="50" t="e">
        <f>IF(AND('Mapa final'!#REF!="Media",'Mapa final'!#REF!="Moderado"),CONCATENATE("R1C",'Mapa final'!#REF!),"")</f>
        <v>#REF!</v>
      </c>
      <c r="Z26" s="50" t="e">
        <f>IF(AND('Mapa final'!#REF!="Media",'Mapa final'!#REF!="Moderado"),CONCATENATE("R1C",'Mapa final'!#REF!),"")</f>
        <v>#REF!</v>
      </c>
      <c r="AA26" s="51" t="e">
        <f>IF(AND('Mapa final'!#REF!="Media",'Mapa final'!#REF!="Moderado"),CONCATENATE("R1C",'Mapa final'!#REF!),"")</f>
        <v>#REF!</v>
      </c>
      <c r="AB26" s="30" t="str">
        <f ca="1">IF(AND('Mapa final'!$AA$10="Media",'Mapa final'!$AC$10="Mayor"),CONCATENATE("R1C",'Mapa final'!$Q$10),"")</f>
        <v/>
      </c>
      <c r="AC26" s="31" t="str">
        <f>IF(AND('Mapa final'!$AA$11="Media",'Mapa final'!$AC$11="Mayor"),CONCATENATE("R1C",'Mapa final'!$Q$11),"")</f>
        <v/>
      </c>
      <c r="AD26" s="31" t="e">
        <f>IF(AND('Mapa final'!#REF!="Media",'Mapa final'!#REF!="Mayor"),CONCATENATE("R1C",'Mapa final'!#REF!),"")</f>
        <v>#REF!</v>
      </c>
      <c r="AE26" s="31" t="e">
        <f>IF(AND('Mapa final'!#REF!="Media",'Mapa final'!#REF!="Mayor"),CONCATENATE("R1C",'Mapa final'!#REF!),"")</f>
        <v>#REF!</v>
      </c>
      <c r="AF26" s="31" t="e">
        <f>IF(AND('Mapa final'!#REF!="Media",'Mapa final'!#REF!="Mayor"),CONCATENATE("R1C",'Mapa final'!#REF!),"")</f>
        <v>#REF!</v>
      </c>
      <c r="AG26" s="32" t="e">
        <f>IF(AND('Mapa final'!#REF!="Media",'Mapa final'!#REF!="Mayor"),CONCATENATE("R1C",'Mapa final'!#REF!),"")</f>
        <v>#REF!</v>
      </c>
      <c r="AH26" s="33" t="str">
        <f ca="1">IF(AND('Mapa final'!$AA$10="Media",'Mapa final'!$AC$10="Catastrófico"),CONCATENATE("R1C",'Mapa final'!$Q$10),"")</f>
        <v/>
      </c>
      <c r="AI26" s="34" t="str">
        <f>IF(AND('Mapa final'!$AA$11="Media",'Mapa final'!$AC$11="Catastrófico"),CONCATENATE("R1C",'Mapa final'!$Q$11),"")</f>
        <v/>
      </c>
      <c r="AJ26" s="34" t="e">
        <f>IF(AND('Mapa final'!#REF!="Media",'Mapa final'!#REF!="Catastrófico"),CONCATENATE("R1C",'Mapa final'!#REF!),"")</f>
        <v>#REF!</v>
      </c>
      <c r="AK26" s="34" t="e">
        <f>IF(AND('Mapa final'!#REF!="Media",'Mapa final'!#REF!="Catastrófico"),CONCATENATE("R1C",'Mapa final'!#REF!),"")</f>
        <v>#REF!</v>
      </c>
      <c r="AL26" s="34" t="e">
        <f>IF(AND('Mapa final'!#REF!="Media",'Mapa final'!#REF!="Catastrófico"),CONCATENATE("R1C",'Mapa final'!#REF!),"")</f>
        <v>#REF!</v>
      </c>
      <c r="AM26" s="35" t="e">
        <f>IF(AND('Mapa final'!#REF!="Media",'Mapa final'!#REF!="Catastrófico"),CONCATENATE("R1C",'Mapa final'!#REF!),"")</f>
        <v>#REF!</v>
      </c>
      <c r="AN26" s="68"/>
      <c r="AO26" s="427" t="s">
        <v>80</v>
      </c>
      <c r="AP26" s="428"/>
      <c r="AQ26" s="428"/>
      <c r="AR26" s="428"/>
      <c r="AS26" s="428"/>
      <c r="AT26" s="429"/>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row>
    <row r="27" spans="1:76" ht="15" customHeight="1" x14ac:dyDescent="0.25">
      <c r="A27" s="68"/>
      <c r="B27" s="348"/>
      <c r="C27" s="348"/>
      <c r="D27" s="349"/>
      <c r="E27" s="405"/>
      <c r="F27" s="406"/>
      <c r="G27" s="406"/>
      <c r="H27" s="406"/>
      <c r="I27" s="391"/>
      <c r="J27" s="52" t="str">
        <f>IF(AND('Mapa final'!$AA$12="Media",'Mapa final'!$AC$12="Leve"),CONCATENATE("R2C",'Mapa final'!$Q$12),"")</f>
        <v/>
      </c>
      <c r="K27" s="53" t="str">
        <f>IF(AND('Mapa final'!$AA$13="Media",'Mapa final'!$AC$13="Leve"),CONCATENATE("R2C",'Mapa final'!$Q$13),"")</f>
        <v/>
      </c>
      <c r="L27" s="53" t="str">
        <f>IF(AND('Mapa final'!$AA$14="Media",'Mapa final'!$AC$14="Leve"),CONCATENATE("R2C",'Mapa final'!$Q$14),"")</f>
        <v/>
      </c>
      <c r="M27" s="53" t="e">
        <f>IF(AND('Mapa final'!#REF!="Media",'Mapa final'!#REF!="Leve"),CONCATENATE("R2C",'Mapa final'!#REF!),"")</f>
        <v>#REF!</v>
      </c>
      <c r="N27" s="53" t="e">
        <f>IF(AND('Mapa final'!#REF!="Media",'Mapa final'!#REF!="Leve"),CONCATENATE("R2C",'Mapa final'!#REF!),"")</f>
        <v>#REF!</v>
      </c>
      <c r="O27" s="54" t="e">
        <f>IF(AND('Mapa final'!#REF!="Media",'Mapa final'!#REF!="Leve"),CONCATENATE("R2C",'Mapa final'!#REF!),"")</f>
        <v>#REF!</v>
      </c>
      <c r="P27" s="52" t="str">
        <f>IF(AND('Mapa final'!$AA$12="Media",'Mapa final'!$AC$12="Menor"),CONCATENATE("R2C",'Mapa final'!$Q$12),"")</f>
        <v/>
      </c>
      <c r="Q27" s="53" t="str">
        <f>IF(AND('Mapa final'!$AA$13="Media",'Mapa final'!$AC$13="Menor"),CONCATENATE("R2C",'Mapa final'!$Q$13),"")</f>
        <v/>
      </c>
      <c r="R27" s="53" t="str">
        <f>IF(AND('Mapa final'!$AA$14="Media",'Mapa final'!$AC$14="Menor"),CONCATENATE("R2C",'Mapa final'!$Q$14),"")</f>
        <v/>
      </c>
      <c r="S27" s="53" t="e">
        <f>IF(AND('Mapa final'!#REF!="Media",'Mapa final'!#REF!="Menor"),CONCATENATE("R2C",'Mapa final'!#REF!),"")</f>
        <v>#REF!</v>
      </c>
      <c r="T27" s="53" t="e">
        <f>IF(AND('Mapa final'!#REF!="Media",'Mapa final'!#REF!="Menor"),CONCATENATE("R2C",'Mapa final'!#REF!),"")</f>
        <v>#REF!</v>
      </c>
      <c r="U27" s="54" t="e">
        <f>IF(AND('Mapa final'!#REF!="Media",'Mapa final'!#REF!="Menor"),CONCATENATE("R2C",'Mapa final'!#REF!),"")</f>
        <v>#REF!</v>
      </c>
      <c r="V27" s="52" t="str">
        <f>IF(AND('Mapa final'!$AA$12="Media",'Mapa final'!$AC$12="Moderado"),CONCATENATE("R2C",'Mapa final'!$Q$12),"")</f>
        <v/>
      </c>
      <c r="W27" s="53" t="str">
        <f>IF(AND('Mapa final'!$AA$13="Media",'Mapa final'!$AC$13="Moderado"),CONCATENATE("R2C",'Mapa final'!$Q$13),"")</f>
        <v/>
      </c>
      <c r="X27" s="53" t="str">
        <f>IF(AND('Mapa final'!$AA$14="Media",'Mapa final'!$AC$14="Moderado"),CONCATENATE("R2C",'Mapa final'!$Q$14),"")</f>
        <v/>
      </c>
      <c r="Y27" s="53" t="e">
        <f>IF(AND('Mapa final'!#REF!="Media",'Mapa final'!#REF!="Moderado"),CONCATENATE("R2C",'Mapa final'!#REF!),"")</f>
        <v>#REF!</v>
      </c>
      <c r="Z27" s="53" t="e">
        <f>IF(AND('Mapa final'!#REF!="Media",'Mapa final'!#REF!="Moderado"),CONCATENATE("R2C",'Mapa final'!#REF!),"")</f>
        <v>#REF!</v>
      </c>
      <c r="AA27" s="54" t="e">
        <f>IF(AND('Mapa final'!#REF!="Media",'Mapa final'!#REF!="Moderado"),CONCATENATE("R2C",'Mapa final'!#REF!),"")</f>
        <v>#REF!</v>
      </c>
      <c r="AB27" s="36" t="str">
        <f>IF(AND('Mapa final'!$AA$12="Media",'Mapa final'!$AC$12="Mayor"),CONCATENATE("R2C",'Mapa final'!$Q$12),"")</f>
        <v/>
      </c>
      <c r="AC27" s="37" t="str">
        <f>IF(AND('Mapa final'!$AA$13="Media",'Mapa final'!$AC$13="Mayor"),CONCATENATE("R2C",'Mapa final'!$Q$13),"")</f>
        <v/>
      </c>
      <c r="AD27" s="37" t="str">
        <f>IF(AND('Mapa final'!$AA$14="Media",'Mapa final'!$AC$14="Mayor"),CONCATENATE("R2C",'Mapa final'!$Q$14),"")</f>
        <v/>
      </c>
      <c r="AE27" s="37" t="e">
        <f>IF(AND('Mapa final'!#REF!="Media",'Mapa final'!#REF!="Mayor"),CONCATENATE("R2C",'Mapa final'!#REF!),"")</f>
        <v>#REF!</v>
      </c>
      <c r="AF27" s="37" t="e">
        <f>IF(AND('Mapa final'!#REF!="Media",'Mapa final'!#REF!="Mayor"),CONCATENATE("R2C",'Mapa final'!#REF!),"")</f>
        <v>#REF!</v>
      </c>
      <c r="AG27" s="38" t="e">
        <f>IF(AND('Mapa final'!#REF!="Media",'Mapa final'!#REF!="Mayor"),CONCATENATE("R2C",'Mapa final'!#REF!),"")</f>
        <v>#REF!</v>
      </c>
      <c r="AH27" s="39" t="str">
        <f>IF(AND('Mapa final'!$AA$12="Media",'Mapa final'!$AC$12="Catastrófico"),CONCATENATE("R2C",'Mapa final'!$Q$12),"")</f>
        <v/>
      </c>
      <c r="AI27" s="40" t="str">
        <f>IF(AND('Mapa final'!$AA$13="Media",'Mapa final'!$AC$13="Catastrófico"),CONCATENATE("R2C",'Mapa final'!$Q$13),"")</f>
        <v/>
      </c>
      <c r="AJ27" s="40" t="str">
        <f>IF(AND('Mapa final'!$AA$14="Media",'Mapa final'!$AC$14="Catastrófico"),CONCATENATE("R2C",'Mapa final'!$Q$14),"")</f>
        <v/>
      </c>
      <c r="AK27" s="40" t="e">
        <f>IF(AND('Mapa final'!#REF!="Media",'Mapa final'!#REF!="Catastrófico"),CONCATENATE("R2C",'Mapa final'!#REF!),"")</f>
        <v>#REF!</v>
      </c>
      <c r="AL27" s="40" t="e">
        <f>IF(AND('Mapa final'!#REF!="Media",'Mapa final'!#REF!="Catastrófico"),CONCATENATE("R2C",'Mapa final'!#REF!),"")</f>
        <v>#REF!</v>
      </c>
      <c r="AM27" s="41" t="e">
        <f>IF(AND('Mapa final'!#REF!="Media",'Mapa final'!#REF!="Catastrófico"),CONCATENATE("R2C",'Mapa final'!#REF!),"")</f>
        <v>#REF!</v>
      </c>
      <c r="AN27" s="68"/>
      <c r="AO27" s="430"/>
      <c r="AP27" s="431"/>
      <c r="AQ27" s="431"/>
      <c r="AR27" s="431"/>
      <c r="AS27" s="431"/>
      <c r="AT27" s="432"/>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row>
    <row r="28" spans="1:76" ht="15" customHeight="1" x14ac:dyDescent="0.25">
      <c r="A28" s="68"/>
      <c r="B28" s="348"/>
      <c r="C28" s="348"/>
      <c r="D28" s="349"/>
      <c r="E28" s="389"/>
      <c r="F28" s="390"/>
      <c r="G28" s="390"/>
      <c r="H28" s="390"/>
      <c r="I28" s="391"/>
      <c r="J28" s="52" t="str">
        <f>IF(AND('Mapa final'!$AA$15="Media",'Mapa final'!$AC$15="Leve"),CONCATENATE("R3C",'Mapa final'!$Q$15),"")</f>
        <v/>
      </c>
      <c r="K28" s="53" t="str">
        <f>IF(AND('Mapa final'!$AA$16="Media",'Mapa final'!$AC$16="Leve"),CONCATENATE("R3C",'Mapa final'!$Q$16),"")</f>
        <v/>
      </c>
      <c r="L28" s="53" t="str">
        <f>IF(AND('Mapa final'!$AA$17="Media",'Mapa final'!$AC$17="Leve"),CONCATENATE("R3C",'Mapa final'!$Q$17),"")</f>
        <v/>
      </c>
      <c r="M28" s="53" t="str">
        <f>IF(AND('Mapa final'!$AA$18="Media",'Mapa final'!$AC$18="Leve"),CONCATENATE("R3C",'Mapa final'!$Q$18),"")</f>
        <v/>
      </c>
      <c r="N28" s="53" t="str">
        <f>IF(AND('Mapa final'!$AA$19="Media",'Mapa final'!$AC$19="Leve"),CONCATENATE("R3C",'Mapa final'!$Q$19),"")</f>
        <v/>
      </c>
      <c r="O28" s="54" t="str">
        <f>IF(AND('Mapa final'!$AA$20="Media",'Mapa final'!$AC$20="Leve"),CONCATENATE("R3C",'Mapa final'!$Q$20),"")</f>
        <v/>
      </c>
      <c r="P28" s="52" t="str">
        <f>IF(AND('Mapa final'!$AA$15="Media",'Mapa final'!$AC$15="Menor"),CONCATENATE("R3C",'Mapa final'!$Q$15),"")</f>
        <v/>
      </c>
      <c r="Q28" s="53" t="str">
        <f>IF(AND('Mapa final'!$AA$16="Media",'Mapa final'!$AC$16="Menor"),CONCATENATE("R3C",'Mapa final'!$Q$16),"")</f>
        <v/>
      </c>
      <c r="R28" s="53" t="str">
        <f>IF(AND('Mapa final'!$AA$17="Media",'Mapa final'!$AC$17="Menor"),CONCATENATE("R3C",'Mapa final'!$Q$17),"")</f>
        <v/>
      </c>
      <c r="S28" s="53" t="str">
        <f>IF(AND('Mapa final'!$AA$18="Media",'Mapa final'!$AC$18="Menor"),CONCATENATE("R3C",'Mapa final'!$Q$18),"")</f>
        <v/>
      </c>
      <c r="T28" s="53" t="str">
        <f>IF(AND('Mapa final'!$AA$19="Media",'Mapa final'!$AC$19="Menor"),CONCATENATE("R3C",'Mapa final'!$Q$19),"")</f>
        <v/>
      </c>
      <c r="U28" s="54" t="str">
        <f>IF(AND('Mapa final'!$AA$20="Media",'Mapa final'!$AC$20="Menor"),CONCATENATE("R3C",'Mapa final'!$Q$20),"")</f>
        <v/>
      </c>
      <c r="V28" s="52" t="str">
        <f>IF(AND('Mapa final'!$AA$15="Media",'Mapa final'!$AC$15="Moderado"),CONCATENATE("R3C",'Mapa final'!$Q$15),"")</f>
        <v/>
      </c>
      <c r="W28" s="53" t="str">
        <f>IF(AND('Mapa final'!$AA$16="Media",'Mapa final'!$AC$16="Moderado"),CONCATENATE("R3C",'Mapa final'!$Q$16),"")</f>
        <v/>
      </c>
      <c r="X28" s="53" t="str">
        <f>IF(AND('Mapa final'!$AA$17="Media",'Mapa final'!$AC$17="Moderado"),CONCATENATE("R3C",'Mapa final'!$Q$17),"")</f>
        <v/>
      </c>
      <c r="Y28" s="53" t="str">
        <f>IF(AND('Mapa final'!$AA$18="Media",'Mapa final'!$AC$18="Moderado"),CONCATENATE("R3C",'Mapa final'!$Q$18),"")</f>
        <v/>
      </c>
      <c r="Z28" s="53" t="str">
        <f>IF(AND('Mapa final'!$AA$19="Media",'Mapa final'!$AC$19="Moderado"),CONCATENATE("R3C",'Mapa final'!$Q$19),"")</f>
        <v/>
      </c>
      <c r="AA28" s="54" t="str">
        <f>IF(AND('Mapa final'!$AA$20="Media",'Mapa final'!$AC$20="Moderado"),CONCATENATE("R3C",'Mapa final'!$Q$20),"")</f>
        <v/>
      </c>
      <c r="AB28" s="36" t="str">
        <f>IF(AND('Mapa final'!$AA$15="Media",'Mapa final'!$AC$15="Mayor"),CONCATENATE("R3C",'Mapa final'!$Q$15),"")</f>
        <v/>
      </c>
      <c r="AC28" s="37" t="str">
        <f>IF(AND('Mapa final'!$AA$16="Media",'Mapa final'!$AC$16="Mayor"),CONCATENATE("R3C",'Mapa final'!$Q$16),"")</f>
        <v/>
      </c>
      <c r="AD28" s="37" t="str">
        <f>IF(AND('Mapa final'!$AA$17="Media",'Mapa final'!$AC$17="Mayor"),CONCATENATE("R3C",'Mapa final'!$Q$17),"")</f>
        <v/>
      </c>
      <c r="AE28" s="37" t="str">
        <f>IF(AND('Mapa final'!$AA$18="Media",'Mapa final'!$AC$18="Mayor"),CONCATENATE("R3C",'Mapa final'!$Q$18),"")</f>
        <v/>
      </c>
      <c r="AF28" s="37" t="str">
        <f>IF(AND('Mapa final'!$AA$19="Media",'Mapa final'!$AC$19="Mayor"),CONCATENATE("R3C",'Mapa final'!$Q$19),"")</f>
        <v/>
      </c>
      <c r="AG28" s="38" t="str">
        <f>IF(AND('Mapa final'!$AA$20="Media",'Mapa final'!$AC$20="Mayor"),CONCATENATE("R3C",'Mapa final'!$Q$20),"")</f>
        <v/>
      </c>
      <c r="AH28" s="39" t="str">
        <f>IF(AND('Mapa final'!$AA$15="Media",'Mapa final'!$AC$15="Catastrófico"),CONCATENATE("R3C",'Mapa final'!$Q$15),"")</f>
        <v/>
      </c>
      <c r="AI28" s="40" t="str">
        <f>IF(AND('Mapa final'!$AA$16="Media",'Mapa final'!$AC$16="Catastrófico"),CONCATENATE("R3C",'Mapa final'!$Q$16),"")</f>
        <v/>
      </c>
      <c r="AJ28" s="40" t="str">
        <f>IF(AND('Mapa final'!$AA$17="Media",'Mapa final'!$AC$17="Catastrófico"),CONCATENATE("R3C",'Mapa final'!$Q$17),"")</f>
        <v/>
      </c>
      <c r="AK28" s="40" t="str">
        <f>IF(AND('Mapa final'!$AA$18="Media",'Mapa final'!$AC$18="Catastrófico"),CONCATENATE("R3C",'Mapa final'!$Q$18),"")</f>
        <v/>
      </c>
      <c r="AL28" s="40" t="str">
        <f>IF(AND('Mapa final'!$AA$19="Media",'Mapa final'!$AC$19="Catastrófico"),CONCATENATE("R3C",'Mapa final'!$Q$19),"")</f>
        <v/>
      </c>
      <c r="AM28" s="41" t="str">
        <f>IF(AND('Mapa final'!$AA$20="Media",'Mapa final'!$AC$20="Catastrófico"),CONCATENATE("R3C",'Mapa final'!$Q$20),"")</f>
        <v/>
      </c>
      <c r="AN28" s="68"/>
      <c r="AO28" s="430"/>
      <c r="AP28" s="431"/>
      <c r="AQ28" s="431"/>
      <c r="AR28" s="431"/>
      <c r="AS28" s="431"/>
      <c r="AT28" s="432"/>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row>
    <row r="29" spans="1:76" ht="15" customHeight="1" x14ac:dyDescent="0.25">
      <c r="A29" s="68"/>
      <c r="B29" s="348"/>
      <c r="C29" s="348"/>
      <c r="D29" s="349"/>
      <c r="E29" s="389"/>
      <c r="F29" s="390"/>
      <c r="G29" s="390"/>
      <c r="H29" s="390"/>
      <c r="I29" s="391"/>
      <c r="J29" s="52" t="str">
        <f>IF(AND('Mapa final'!$AA$21="Media",'Mapa final'!$AC$21="Leve"),CONCATENATE("R4C",'Mapa final'!$Q$21),"")</f>
        <v/>
      </c>
      <c r="K29" s="53" t="str">
        <f>IF(AND('Mapa final'!$AA$22="Media",'Mapa final'!$AC$22="Leve"),CONCATENATE("R4C",'Mapa final'!$Q$22),"")</f>
        <v/>
      </c>
      <c r="L29" s="53" t="str">
        <f>IF(AND('Mapa final'!$AA$23="Media",'Mapa final'!$AC$23="Leve"),CONCATENATE("R4C",'Mapa final'!$Q$23),"")</f>
        <v/>
      </c>
      <c r="M29" s="53" t="str">
        <f>IF(AND('Mapa final'!$AA$24="Media",'Mapa final'!$AC$24="Leve"),CONCATENATE("R4C",'Mapa final'!$Q$24),"")</f>
        <v/>
      </c>
      <c r="N29" s="53" t="str">
        <f>IF(AND('Mapa final'!$AA$25="Media",'Mapa final'!$AC$25="Leve"),CONCATENATE("R4C",'Mapa final'!$Q$25),"")</f>
        <v/>
      </c>
      <c r="O29" s="54" t="str">
        <f>IF(AND('Mapa final'!$AA$26="Media",'Mapa final'!$AC$26="Leve"),CONCATENATE("R4C",'Mapa final'!$Q$26),"")</f>
        <v/>
      </c>
      <c r="P29" s="52" t="str">
        <f>IF(AND('Mapa final'!$AA$21="Media",'Mapa final'!$AC$21="Menor"),CONCATENATE("R4C",'Mapa final'!$Q$21),"")</f>
        <v/>
      </c>
      <c r="Q29" s="53" t="str">
        <f>IF(AND('Mapa final'!$AA$22="Media",'Mapa final'!$AC$22="Menor"),CONCATENATE("R4C",'Mapa final'!$Q$22),"")</f>
        <v/>
      </c>
      <c r="R29" s="53" t="str">
        <f>IF(AND('Mapa final'!$AA$23="Media",'Mapa final'!$AC$23="Menor"),CONCATENATE("R4C",'Mapa final'!$Q$23),"")</f>
        <v/>
      </c>
      <c r="S29" s="53" t="str">
        <f>IF(AND('Mapa final'!$AA$24="Media",'Mapa final'!$AC$24="Menor"),CONCATENATE("R4C",'Mapa final'!$Q$24),"")</f>
        <v/>
      </c>
      <c r="T29" s="53" t="str">
        <f>IF(AND('Mapa final'!$AA$25="Media",'Mapa final'!$AC$25="Menor"),CONCATENATE("R4C",'Mapa final'!$Q$25),"")</f>
        <v/>
      </c>
      <c r="U29" s="54" t="str">
        <f>IF(AND('Mapa final'!$AA$26="Media",'Mapa final'!$AC$26="Menor"),CONCATENATE("R4C",'Mapa final'!$Q$26),"")</f>
        <v/>
      </c>
      <c r="V29" s="52" t="str">
        <f>IF(AND('Mapa final'!$AA$21="Media",'Mapa final'!$AC$21="Moderado"),CONCATENATE("R4C",'Mapa final'!$Q$21),"")</f>
        <v/>
      </c>
      <c r="W29" s="53" t="str">
        <f>IF(AND('Mapa final'!$AA$22="Media",'Mapa final'!$AC$22="Moderado"),CONCATENATE("R4C",'Mapa final'!$Q$22),"")</f>
        <v/>
      </c>
      <c r="X29" s="53" t="str">
        <f>IF(AND('Mapa final'!$AA$23="Media",'Mapa final'!$AC$23="Moderado"),CONCATENATE("R4C",'Mapa final'!$Q$23),"")</f>
        <v/>
      </c>
      <c r="Y29" s="53" t="str">
        <f>IF(AND('Mapa final'!$AA$24="Media",'Mapa final'!$AC$24="Moderado"),CONCATENATE("R4C",'Mapa final'!$Q$24),"")</f>
        <v/>
      </c>
      <c r="Z29" s="53" t="str">
        <f>IF(AND('Mapa final'!$AA$25="Media",'Mapa final'!$AC$25="Moderado"),CONCATENATE("R4C",'Mapa final'!$Q$25),"")</f>
        <v/>
      </c>
      <c r="AA29" s="54" t="str">
        <f>IF(AND('Mapa final'!$AA$26="Media",'Mapa final'!$AC$26="Moderado"),CONCATENATE("R4C",'Mapa final'!$Q$26),"")</f>
        <v/>
      </c>
      <c r="AB29" s="36" t="str">
        <f>IF(AND('Mapa final'!$AA$21="Media",'Mapa final'!$AC$21="Mayor"),CONCATENATE("R4C",'Mapa final'!$Q$21),"")</f>
        <v/>
      </c>
      <c r="AC29" s="37" t="str">
        <f>IF(AND('Mapa final'!$AA$22="Media",'Mapa final'!$AC$22="Mayor"),CONCATENATE("R4C",'Mapa final'!$Q$22),"")</f>
        <v/>
      </c>
      <c r="AD29" s="42" t="str">
        <f>IF(AND('Mapa final'!$AA$23="Media",'Mapa final'!$AC$23="Mayor"),CONCATENATE("R4C",'Mapa final'!$Q$23),"")</f>
        <v/>
      </c>
      <c r="AE29" s="42" t="str">
        <f>IF(AND('Mapa final'!$AA$24="Media",'Mapa final'!$AC$24="Mayor"),CONCATENATE("R4C",'Mapa final'!$Q$24),"")</f>
        <v/>
      </c>
      <c r="AF29" s="42" t="str">
        <f>IF(AND('Mapa final'!$AA$25="Media",'Mapa final'!$AC$25="Mayor"),CONCATENATE("R4C",'Mapa final'!$Q$25),"")</f>
        <v/>
      </c>
      <c r="AG29" s="38" t="str">
        <f>IF(AND('Mapa final'!$AA$26="Media",'Mapa final'!$AC$26="Mayor"),CONCATENATE("R4C",'Mapa final'!$Q$26),"")</f>
        <v/>
      </c>
      <c r="AH29" s="39" t="str">
        <f>IF(AND('Mapa final'!$AA$21="Media",'Mapa final'!$AC$21="Catastrófico"),CONCATENATE("R4C",'Mapa final'!$Q$21),"")</f>
        <v/>
      </c>
      <c r="AI29" s="40" t="str">
        <f>IF(AND('Mapa final'!$AA$22="Media",'Mapa final'!$AC$22="Catastrófico"),CONCATENATE("R4C",'Mapa final'!$Q$22),"")</f>
        <v/>
      </c>
      <c r="AJ29" s="40" t="str">
        <f>IF(AND('Mapa final'!$AA$23="Media",'Mapa final'!$AC$23="Catastrófico"),CONCATENATE("R4C",'Mapa final'!$Q$23),"")</f>
        <v/>
      </c>
      <c r="AK29" s="40" t="str">
        <f>IF(AND('Mapa final'!$AA$24="Media",'Mapa final'!$AC$24="Catastrófico"),CONCATENATE("R4C",'Mapa final'!$Q$24),"")</f>
        <v/>
      </c>
      <c r="AL29" s="40" t="str">
        <f>IF(AND('Mapa final'!$AA$25="Media",'Mapa final'!$AC$25="Catastrófico"),CONCATENATE("R4C",'Mapa final'!$Q$25),"")</f>
        <v/>
      </c>
      <c r="AM29" s="41" t="str">
        <f>IF(AND('Mapa final'!$AA$26="Media",'Mapa final'!$AC$26="Catastrófico"),CONCATENATE("R4C",'Mapa final'!$Q$26),"")</f>
        <v/>
      </c>
      <c r="AN29" s="68"/>
      <c r="AO29" s="430"/>
      <c r="AP29" s="431"/>
      <c r="AQ29" s="431"/>
      <c r="AR29" s="431"/>
      <c r="AS29" s="431"/>
      <c r="AT29" s="432"/>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row>
    <row r="30" spans="1:76" ht="15" customHeight="1" x14ac:dyDescent="0.25">
      <c r="A30" s="68"/>
      <c r="B30" s="348"/>
      <c r="C30" s="348"/>
      <c r="D30" s="349"/>
      <c r="E30" s="389"/>
      <c r="F30" s="390"/>
      <c r="G30" s="390"/>
      <c r="H30" s="390"/>
      <c r="I30" s="391"/>
      <c r="J30" s="52" t="str">
        <f>IF(AND('Mapa final'!$AA$27="Media",'Mapa final'!$AC$27="Leve"),CONCATENATE("R5C",'Mapa final'!$Q$27),"")</f>
        <v/>
      </c>
      <c r="K30" s="53" t="str">
        <f>IF(AND('Mapa final'!$AA$28="Media",'Mapa final'!$AC$28="Leve"),CONCATENATE("R5C",'Mapa final'!$Q$28),"")</f>
        <v/>
      </c>
      <c r="L30" s="53" t="str">
        <f>IF(AND('Mapa final'!$AA$29="Media",'Mapa final'!$AC$29="Leve"),CONCATENATE("R5C",'Mapa final'!$Q$29),"")</f>
        <v/>
      </c>
      <c r="M30" s="53" t="str">
        <f>IF(AND('Mapa final'!$AA$30="Media",'Mapa final'!$AC$30="Leve"),CONCATENATE("R5C",'Mapa final'!$Q$30),"")</f>
        <v/>
      </c>
      <c r="N30" s="53" t="str">
        <f>IF(AND('Mapa final'!$AA$31="Media",'Mapa final'!$AC$31="Leve"),CONCATENATE("R5C",'Mapa final'!$Q$31),"")</f>
        <v/>
      </c>
      <c r="O30" s="54" t="str">
        <f>IF(AND('Mapa final'!$AA$32="Media",'Mapa final'!$AC$32="Leve"),CONCATENATE("R5C",'Mapa final'!$Q$32),"")</f>
        <v/>
      </c>
      <c r="P30" s="52" t="str">
        <f>IF(AND('Mapa final'!$AA$27="Media",'Mapa final'!$AC$27="Menor"),CONCATENATE("R5C",'Mapa final'!$Q$27),"")</f>
        <v/>
      </c>
      <c r="Q30" s="53" t="str">
        <f>IF(AND('Mapa final'!$AA$28="Media",'Mapa final'!$AC$28="Menor"),CONCATENATE("R5C",'Mapa final'!$Q$28),"")</f>
        <v/>
      </c>
      <c r="R30" s="53" t="str">
        <f>IF(AND('Mapa final'!$AA$29="Media",'Mapa final'!$AC$29="Menor"),CONCATENATE("R5C",'Mapa final'!$Q$29),"")</f>
        <v/>
      </c>
      <c r="S30" s="53" t="str">
        <f>IF(AND('Mapa final'!$AA$30="Media",'Mapa final'!$AC$30="Menor"),CONCATENATE("R5C",'Mapa final'!$Q$30),"")</f>
        <v/>
      </c>
      <c r="T30" s="53" t="str">
        <f>IF(AND('Mapa final'!$AA$31="Media",'Mapa final'!$AC$31="Menor"),CONCATENATE("R5C",'Mapa final'!$Q$31),"")</f>
        <v/>
      </c>
      <c r="U30" s="54" t="str">
        <f>IF(AND('Mapa final'!$AA$32="Media",'Mapa final'!$AC$32="Menor"),CONCATENATE("R5C",'Mapa final'!$Q$32),"")</f>
        <v/>
      </c>
      <c r="V30" s="52" t="str">
        <f>IF(AND('Mapa final'!$AA$27="Media",'Mapa final'!$AC$27="Moderado"),CONCATENATE("R5C",'Mapa final'!$Q$27),"")</f>
        <v/>
      </c>
      <c r="W30" s="53" t="str">
        <f>IF(AND('Mapa final'!$AA$28="Media",'Mapa final'!$AC$28="Moderado"),CONCATENATE("R5C",'Mapa final'!$Q$28),"")</f>
        <v/>
      </c>
      <c r="X30" s="53" t="str">
        <f>IF(AND('Mapa final'!$AA$29="Media",'Mapa final'!$AC$29="Moderado"),CONCATENATE("R5C",'Mapa final'!$Q$29),"")</f>
        <v/>
      </c>
      <c r="Y30" s="53" t="str">
        <f>IF(AND('Mapa final'!$AA$30="Media",'Mapa final'!$AC$30="Moderado"),CONCATENATE("R5C",'Mapa final'!$Q$30),"")</f>
        <v/>
      </c>
      <c r="Z30" s="53" t="str">
        <f>IF(AND('Mapa final'!$AA$31="Media",'Mapa final'!$AC$31="Moderado"),CONCATENATE("R5C",'Mapa final'!$Q$31),"")</f>
        <v/>
      </c>
      <c r="AA30" s="54" t="str">
        <f>IF(AND('Mapa final'!$AA$32="Media",'Mapa final'!$AC$32="Moderado"),CONCATENATE("R5C",'Mapa final'!$Q$32),"")</f>
        <v/>
      </c>
      <c r="AB30" s="36" t="str">
        <f>IF(AND('Mapa final'!$AA$27="Media",'Mapa final'!$AC$27="Mayor"),CONCATENATE("R5C",'Mapa final'!$Q$27),"")</f>
        <v/>
      </c>
      <c r="AC30" s="37" t="str">
        <f>IF(AND('Mapa final'!$AA$28="Media",'Mapa final'!$AC$28="Mayor"),CONCATENATE("R5C",'Mapa final'!$Q$28),"")</f>
        <v/>
      </c>
      <c r="AD30" s="42" t="str">
        <f>IF(AND('Mapa final'!$AA$29="Media",'Mapa final'!$AC$29="Mayor"),CONCATENATE("R5C",'Mapa final'!$Q$29),"")</f>
        <v/>
      </c>
      <c r="AE30" s="42" t="str">
        <f>IF(AND('Mapa final'!$AA$30="Media",'Mapa final'!$AC$30="Mayor"),CONCATENATE("R5C",'Mapa final'!$Q$30),"")</f>
        <v/>
      </c>
      <c r="AF30" s="42" t="str">
        <f>IF(AND('Mapa final'!$AA$31="Media",'Mapa final'!$AC$31="Mayor"),CONCATENATE("R5C",'Mapa final'!$Q$31),"")</f>
        <v/>
      </c>
      <c r="AG30" s="38" t="str">
        <f>IF(AND('Mapa final'!$AA$32="Media",'Mapa final'!$AC$32="Mayor"),CONCATENATE("R5C",'Mapa final'!$Q$32),"")</f>
        <v/>
      </c>
      <c r="AH30" s="39" t="str">
        <f>IF(AND('Mapa final'!$AA$27="Media",'Mapa final'!$AC$27="Catastrófico"),CONCATENATE("R5C",'Mapa final'!$Q$27),"")</f>
        <v/>
      </c>
      <c r="AI30" s="40" t="str">
        <f>IF(AND('Mapa final'!$AA$28="Media",'Mapa final'!$AC$28="Catastrófico"),CONCATENATE("R5C",'Mapa final'!$Q$28),"")</f>
        <v/>
      </c>
      <c r="AJ30" s="40" t="str">
        <f>IF(AND('Mapa final'!$AA$29="Media",'Mapa final'!$AC$29="Catastrófico"),CONCATENATE("R5C",'Mapa final'!$Q$29),"")</f>
        <v/>
      </c>
      <c r="AK30" s="40" t="str">
        <f>IF(AND('Mapa final'!$AA$30="Media",'Mapa final'!$AC$30="Catastrófico"),CONCATENATE("R5C",'Mapa final'!$Q$30),"")</f>
        <v/>
      </c>
      <c r="AL30" s="40" t="str">
        <f>IF(AND('Mapa final'!$AA$31="Media",'Mapa final'!$AC$31="Catastrófico"),CONCATENATE("R5C",'Mapa final'!$Q$31),"")</f>
        <v/>
      </c>
      <c r="AM30" s="41" t="str">
        <f>IF(AND('Mapa final'!$AA$32="Media",'Mapa final'!$AC$32="Catastrófico"),CONCATENATE("R5C",'Mapa final'!$Q$32),"")</f>
        <v/>
      </c>
      <c r="AN30" s="68"/>
      <c r="AO30" s="430"/>
      <c r="AP30" s="431"/>
      <c r="AQ30" s="431"/>
      <c r="AR30" s="431"/>
      <c r="AS30" s="431"/>
      <c r="AT30" s="432"/>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row>
    <row r="31" spans="1:76" ht="15" customHeight="1" x14ac:dyDescent="0.25">
      <c r="A31" s="68"/>
      <c r="B31" s="348"/>
      <c r="C31" s="348"/>
      <c r="D31" s="349"/>
      <c r="E31" s="389"/>
      <c r="F31" s="390"/>
      <c r="G31" s="390"/>
      <c r="H31" s="390"/>
      <c r="I31" s="391"/>
      <c r="J31" s="52" t="str">
        <f>IF(AND('Mapa final'!$AA$33="Media",'Mapa final'!$AC$33="Leve"),CONCATENATE("R6C",'Mapa final'!$Q$33),"")</f>
        <v/>
      </c>
      <c r="K31" s="53" t="str">
        <f>IF(AND('Mapa final'!$AA$34="Media",'Mapa final'!$AC$34="Leve"),CONCATENATE("R6C",'Mapa final'!$Q$34),"")</f>
        <v/>
      </c>
      <c r="L31" s="53" t="str">
        <f>IF(AND('Mapa final'!$AA$35="Media",'Mapa final'!$AC$35="Leve"),CONCATENATE("R6C",'Mapa final'!$Q$35),"")</f>
        <v/>
      </c>
      <c r="M31" s="53" t="str">
        <f>IF(AND('Mapa final'!$AA$36="Media",'Mapa final'!$AC$36="Leve"),CONCATENATE("R6C",'Mapa final'!$Q$36),"")</f>
        <v/>
      </c>
      <c r="N31" s="53" t="str">
        <f>IF(AND('Mapa final'!$AA$37="Media",'Mapa final'!$AC$37="Leve"),CONCATENATE("R6C",'Mapa final'!$Q$37),"")</f>
        <v/>
      </c>
      <c r="O31" s="54" t="str">
        <f>IF(AND('Mapa final'!$AA$38="Media",'Mapa final'!$AC$38="Leve"),CONCATENATE("R6C",'Mapa final'!$Q$38),"")</f>
        <v/>
      </c>
      <c r="P31" s="52" t="str">
        <f>IF(AND('Mapa final'!$AA$33="Media",'Mapa final'!$AC$33="Menor"),CONCATENATE("R6C",'Mapa final'!$Q$33),"")</f>
        <v/>
      </c>
      <c r="Q31" s="53" t="str">
        <f>IF(AND('Mapa final'!$AA$34="Media",'Mapa final'!$AC$34="Menor"),CONCATENATE("R6C",'Mapa final'!$Q$34),"")</f>
        <v/>
      </c>
      <c r="R31" s="53" t="str">
        <f>IF(AND('Mapa final'!$AA$35="Media",'Mapa final'!$AC$35="Menor"),CONCATENATE("R6C",'Mapa final'!$Q$35),"")</f>
        <v/>
      </c>
      <c r="S31" s="53" t="str">
        <f>IF(AND('Mapa final'!$AA$36="Media",'Mapa final'!$AC$36="Menor"),CONCATENATE("R6C",'Mapa final'!$Q$36),"")</f>
        <v/>
      </c>
      <c r="T31" s="53" t="str">
        <f>IF(AND('Mapa final'!$AA$37="Media",'Mapa final'!$AC$37="Menor"),CONCATENATE("R6C",'Mapa final'!$Q$37),"")</f>
        <v/>
      </c>
      <c r="U31" s="54" t="str">
        <f>IF(AND('Mapa final'!$AA$38="Media",'Mapa final'!$AC$38="Menor"),CONCATENATE("R6C",'Mapa final'!$Q$38),"")</f>
        <v/>
      </c>
      <c r="V31" s="52" t="str">
        <f>IF(AND('Mapa final'!$AA$33="Media",'Mapa final'!$AC$33="Moderado"),CONCATENATE("R6C",'Mapa final'!$Q$33),"")</f>
        <v/>
      </c>
      <c r="W31" s="53" t="str">
        <f>IF(AND('Mapa final'!$AA$34="Media",'Mapa final'!$AC$34="Moderado"),CONCATENATE("R6C",'Mapa final'!$Q$34),"")</f>
        <v/>
      </c>
      <c r="X31" s="53" t="str">
        <f>IF(AND('Mapa final'!$AA$35="Media",'Mapa final'!$AC$35="Moderado"),CONCATENATE("R6C",'Mapa final'!$Q$35),"")</f>
        <v/>
      </c>
      <c r="Y31" s="53" t="str">
        <f>IF(AND('Mapa final'!$AA$36="Media",'Mapa final'!$AC$36="Moderado"),CONCATENATE("R6C",'Mapa final'!$Q$36),"")</f>
        <v/>
      </c>
      <c r="Z31" s="53" t="str">
        <f>IF(AND('Mapa final'!$AA$37="Media",'Mapa final'!$AC$37="Moderado"),CONCATENATE("R6C",'Mapa final'!$Q$37),"")</f>
        <v/>
      </c>
      <c r="AA31" s="54" t="str">
        <f>IF(AND('Mapa final'!$AA$38="Media",'Mapa final'!$AC$38="Moderado"),CONCATENATE("R6C",'Mapa final'!$Q$38),"")</f>
        <v/>
      </c>
      <c r="AB31" s="36" t="str">
        <f>IF(AND('Mapa final'!$AA$33="Media",'Mapa final'!$AC$33="Mayor"),CONCATENATE("R6C",'Mapa final'!$Q$33),"")</f>
        <v/>
      </c>
      <c r="AC31" s="37" t="str">
        <f>IF(AND('Mapa final'!$AA$34="Media",'Mapa final'!$AC$34="Mayor"),CONCATENATE("R6C",'Mapa final'!$Q$34),"")</f>
        <v/>
      </c>
      <c r="AD31" s="42" t="str">
        <f>IF(AND('Mapa final'!$AA$35="Media",'Mapa final'!$AC$35="Mayor"),CONCATENATE("R6C",'Mapa final'!$Q$35),"")</f>
        <v/>
      </c>
      <c r="AE31" s="42" t="str">
        <f>IF(AND('Mapa final'!$AA$36="Media",'Mapa final'!$AC$36="Mayor"),CONCATENATE("R6C",'Mapa final'!$Q$36),"")</f>
        <v/>
      </c>
      <c r="AF31" s="42" t="str">
        <f>IF(AND('Mapa final'!$AA$37="Media",'Mapa final'!$AC$37="Mayor"),CONCATENATE("R6C",'Mapa final'!$Q$37),"")</f>
        <v/>
      </c>
      <c r="AG31" s="38" t="str">
        <f>IF(AND('Mapa final'!$AA$38="Media",'Mapa final'!$AC$38="Mayor"),CONCATENATE("R6C",'Mapa final'!$Q$38),"")</f>
        <v/>
      </c>
      <c r="AH31" s="39" t="str">
        <f>IF(AND('Mapa final'!$AA$33="Media",'Mapa final'!$AC$33="Catastrófico"),CONCATENATE("R6C",'Mapa final'!$Q$33),"")</f>
        <v/>
      </c>
      <c r="AI31" s="40" t="str">
        <f>IF(AND('Mapa final'!$AA$34="Media",'Mapa final'!$AC$34="Catastrófico"),CONCATENATE("R6C",'Mapa final'!$Q$34),"")</f>
        <v/>
      </c>
      <c r="AJ31" s="40" t="str">
        <f>IF(AND('Mapa final'!$AA$35="Media",'Mapa final'!$AC$35="Catastrófico"),CONCATENATE("R6C",'Mapa final'!$Q$35),"")</f>
        <v/>
      </c>
      <c r="AK31" s="40" t="str">
        <f>IF(AND('Mapa final'!$AA$36="Media",'Mapa final'!$AC$36="Catastrófico"),CONCATENATE("R6C",'Mapa final'!$Q$36),"")</f>
        <v/>
      </c>
      <c r="AL31" s="40" t="str">
        <f>IF(AND('Mapa final'!$AA$37="Media",'Mapa final'!$AC$37="Catastrófico"),CONCATENATE("R6C",'Mapa final'!$Q$37),"")</f>
        <v/>
      </c>
      <c r="AM31" s="41" t="str">
        <f>IF(AND('Mapa final'!$AA$38="Media",'Mapa final'!$AC$38="Catastrófico"),CONCATENATE("R6C",'Mapa final'!$Q$38),"")</f>
        <v/>
      </c>
      <c r="AN31" s="68"/>
      <c r="AO31" s="430"/>
      <c r="AP31" s="431"/>
      <c r="AQ31" s="431"/>
      <c r="AR31" s="431"/>
      <c r="AS31" s="431"/>
      <c r="AT31" s="432"/>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row>
    <row r="32" spans="1:76" ht="15" customHeight="1" x14ac:dyDescent="0.25">
      <c r="A32" s="68"/>
      <c r="B32" s="348"/>
      <c r="C32" s="348"/>
      <c r="D32" s="349"/>
      <c r="E32" s="389"/>
      <c r="F32" s="390"/>
      <c r="G32" s="390"/>
      <c r="H32" s="390"/>
      <c r="I32" s="391"/>
      <c r="J32" s="52" t="str">
        <f>IF(AND('Mapa final'!$AA$39="Media",'Mapa final'!$AC$39="Leve"),CONCATENATE("R7C",'Mapa final'!$Q$39),"")</f>
        <v/>
      </c>
      <c r="K32" s="53" t="str">
        <f>IF(AND('Mapa final'!$AA$40="Media",'Mapa final'!$AC$40="Leve"),CONCATENATE("R7C",'Mapa final'!$Q$40),"")</f>
        <v/>
      </c>
      <c r="L32" s="53" t="str">
        <f>IF(AND('Mapa final'!$AA$41="Media",'Mapa final'!$AC$41="Leve"),CONCATENATE("R7C",'Mapa final'!$Q$41),"")</f>
        <v/>
      </c>
      <c r="M32" s="53" t="str">
        <f>IF(AND('Mapa final'!$AA$42="Media",'Mapa final'!$AC$42="Leve"),CONCATENATE("R7C",'Mapa final'!$Q$42),"")</f>
        <v/>
      </c>
      <c r="N32" s="53" t="str">
        <f>IF(AND('Mapa final'!$AA$43="Media",'Mapa final'!$AC$43="Leve"),CONCATENATE("R7C",'Mapa final'!$Q$43),"")</f>
        <v/>
      </c>
      <c r="O32" s="54" t="str">
        <f>IF(AND('Mapa final'!$AA$44="Media",'Mapa final'!$AC$44="Leve"),CONCATENATE("R7C",'Mapa final'!$Q$44),"")</f>
        <v/>
      </c>
      <c r="P32" s="52" t="str">
        <f>IF(AND('Mapa final'!$AA$39="Media",'Mapa final'!$AC$39="Menor"),CONCATENATE("R7C",'Mapa final'!$Q$39),"")</f>
        <v/>
      </c>
      <c r="Q32" s="53" t="str">
        <f>IF(AND('Mapa final'!$AA$40="Media",'Mapa final'!$AC$40="Menor"),CONCATENATE("R7C",'Mapa final'!$Q$40),"")</f>
        <v/>
      </c>
      <c r="R32" s="53" t="str">
        <f>IF(AND('Mapa final'!$AA$41="Media",'Mapa final'!$AC$41="Menor"),CONCATENATE("R7C",'Mapa final'!$Q$41),"")</f>
        <v/>
      </c>
      <c r="S32" s="53" t="str">
        <f>IF(AND('Mapa final'!$AA$42="Media",'Mapa final'!$AC$42="Menor"),CONCATENATE("R7C",'Mapa final'!$Q$42),"")</f>
        <v/>
      </c>
      <c r="T32" s="53" t="str">
        <f>IF(AND('Mapa final'!$AA$43="Media",'Mapa final'!$AC$43="Menor"),CONCATENATE("R7C",'Mapa final'!$Q$43),"")</f>
        <v/>
      </c>
      <c r="U32" s="54" t="str">
        <f>IF(AND('Mapa final'!$AA$44="Media",'Mapa final'!$AC$44="Menor"),CONCATENATE("R7C",'Mapa final'!$Q$44),"")</f>
        <v/>
      </c>
      <c r="V32" s="52" t="str">
        <f>IF(AND('Mapa final'!$AA$39="Media",'Mapa final'!$AC$39="Moderado"),CONCATENATE("R7C",'Mapa final'!$Q$39),"")</f>
        <v/>
      </c>
      <c r="W32" s="53" t="str">
        <f>IF(AND('Mapa final'!$AA$40="Media",'Mapa final'!$AC$40="Moderado"),CONCATENATE("R7C",'Mapa final'!$Q$40),"")</f>
        <v/>
      </c>
      <c r="X32" s="53" t="str">
        <f>IF(AND('Mapa final'!$AA$41="Media",'Mapa final'!$AC$41="Moderado"),CONCATENATE("R7C",'Mapa final'!$Q$41),"")</f>
        <v/>
      </c>
      <c r="Y32" s="53" t="str">
        <f>IF(AND('Mapa final'!$AA$42="Media",'Mapa final'!$AC$42="Moderado"),CONCATENATE("R7C",'Mapa final'!$Q$42),"")</f>
        <v/>
      </c>
      <c r="Z32" s="53" t="str">
        <f>IF(AND('Mapa final'!$AA$43="Media",'Mapa final'!$AC$43="Moderado"),CONCATENATE("R7C",'Mapa final'!$Q$43),"")</f>
        <v/>
      </c>
      <c r="AA32" s="54" t="str">
        <f>IF(AND('Mapa final'!$AA$44="Media",'Mapa final'!$AC$44="Moderado"),CONCATENATE("R7C",'Mapa final'!$Q$44),"")</f>
        <v/>
      </c>
      <c r="AB32" s="36" t="str">
        <f>IF(AND('Mapa final'!$AA$39="Media",'Mapa final'!$AC$39="Mayor"),CONCATENATE("R7C",'Mapa final'!$Q$39),"")</f>
        <v/>
      </c>
      <c r="AC32" s="37" t="str">
        <f>IF(AND('Mapa final'!$AA$40="Media",'Mapa final'!$AC$40="Mayor"),CONCATENATE("R7C",'Mapa final'!$Q$40),"")</f>
        <v/>
      </c>
      <c r="AD32" s="42" t="str">
        <f>IF(AND('Mapa final'!$AA$41="Media",'Mapa final'!$AC$41="Mayor"),CONCATENATE("R7C",'Mapa final'!$Q$41),"")</f>
        <v/>
      </c>
      <c r="AE32" s="42" t="str">
        <f>IF(AND('Mapa final'!$AA$42="Media",'Mapa final'!$AC$42="Mayor"),CONCATENATE("R7C",'Mapa final'!$Q$42),"")</f>
        <v/>
      </c>
      <c r="AF32" s="42" t="str">
        <f>IF(AND('Mapa final'!$AA$43="Media",'Mapa final'!$AC$43="Mayor"),CONCATENATE("R7C",'Mapa final'!$Q$43),"")</f>
        <v/>
      </c>
      <c r="AG32" s="38" t="str">
        <f>IF(AND('Mapa final'!$AA$44="Media",'Mapa final'!$AC$44="Mayor"),CONCATENATE("R7C",'Mapa final'!$Q$44),"")</f>
        <v/>
      </c>
      <c r="AH32" s="39" t="str">
        <f>IF(AND('Mapa final'!$AA$39="Media",'Mapa final'!$AC$39="Catastrófico"),CONCATENATE("R7C",'Mapa final'!$Q$39),"")</f>
        <v/>
      </c>
      <c r="AI32" s="40" t="str">
        <f>IF(AND('Mapa final'!$AA$40="Media",'Mapa final'!$AC$40="Catastrófico"),CONCATENATE("R7C",'Mapa final'!$Q$40),"")</f>
        <v/>
      </c>
      <c r="AJ32" s="40" t="str">
        <f>IF(AND('Mapa final'!$AA$41="Media",'Mapa final'!$AC$41="Catastrófico"),CONCATENATE("R7C",'Mapa final'!$Q$41),"")</f>
        <v/>
      </c>
      <c r="AK32" s="40" t="str">
        <f>IF(AND('Mapa final'!$AA$42="Media",'Mapa final'!$AC$42="Catastrófico"),CONCATENATE("R7C",'Mapa final'!$Q$42),"")</f>
        <v/>
      </c>
      <c r="AL32" s="40" t="str">
        <f>IF(AND('Mapa final'!$AA$43="Media",'Mapa final'!$AC$43="Catastrófico"),CONCATENATE("R7C",'Mapa final'!$Q$43),"")</f>
        <v/>
      </c>
      <c r="AM32" s="41" t="str">
        <f>IF(AND('Mapa final'!$AA$44="Media",'Mapa final'!$AC$44="Catastrófico"),CONCATENATE("R7C",'Mapa final'!$Q$44),"")</f>
        <v/>
      </c>
      <c r="AN32" s="68"/>
      <c r="AO32" s="430"/>
      <c r="AP32" s="431"/>
      <c r="AQ32" s="431"/>
      <c r="AR32" s="431"/>
      <c r="AS32" s="431"/>
      <c r="AT32" s="432"/>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row>
    <row r="33" spans="1:80" ht="15" customHeight="1" x14ac:dyDescent="0.25">
      <c r="A33" s="68"/>
      <c r="B33" s="348"/>
      <c r="C33" s="348"/>
      <c r="D33" s="349"/>
      <c r="E33" s="389"/>
      <c r="F33" s="390"/>
      <c r="G33" s="390"/>
      <c r="H33" s="390"/>
      <c r="I33" s="391"/>
      <c r="J33" s="52" t="str">
        <f>IF(AND('Mapa final'!$AA$45="Media",'Mapa final'!$AC$45="Leve"),CONCATENATE("R8C",'Mapa final'!$Q$45),"")</f>
        <v/>
      </c>
      <c r="K33" s="53" t="str">
        <f>IF(AND('Mapa final'!$AA$46="Media",'Mapa final'!$AC$46="Leve"),CONCATENATE("R8C",'Mapa final'!$Q$46),"")</f>
        <v/>
      </c>
      <c r="L33" s="53" t="str">
        <f>IF(AND('Mapa final'!$AA$47="Media",'Mapa final'!$AC$47="Leve"),CONCATENATE("R8C",'Mapa final'!$Q$47),"")</f>
        <v/>
      </c>
      <c r="M33" s="53" t="str">
        <f>IF(AND('Mapa final'!$AA$48="Media",'Mapa final'!$AC$48="Leve"),CONCATENATE("R8C",'Mapa final'!$Q$48),"")</f>
        <v/>
      </c>
      <c r="N33" s="53" t="str">
        <f>IF(AND('Mapa final'!$AA$49="Media",'Mapa final'!$AC$49="Leve"),CONCATENATE("R8C",'Mapa final'!$Q$49),"")</f>
        <v/>
      </c>
      <c r="O33" s="54" t="str">
        <f>IF(AND('Mapa final'!$AA$50="Media",'Mapa final'!$AC$50="Leve"),CONCATENATE("R8C",'Mapa final'!$Q$50),"")</f>
        <v/>
      </c>
      <c r="P33" s="52" t="str">
        <f>IF(AND('Mapa final'!$AA$45="Media",'Mapa final'!$AC$45="Menor"),CONCATENATE("R8C",'Mapa final'!$Q$45),"")</f>
        <v/>
      </c>
      <c r="Q33" s="53" t="str">
        <f>IF(AND('Mapa final'!$AA$46="Media",'Mapa final'!$AC$46="Menor"),CONCATENATE("R8C",'Mapa final'!$Q$46),"")</f>
        <v/>
      </c>
      <c r="R33" s="53" t="str">
        <f>IF(AND('Mapa final'!$AA$47="Media",'Mapa final'!$AC$47="Menor"),CONCATENATE("R8C",'Mapa final'!$Q$47),"")</f>
        <v/>
      </c>
      <c r="S33" s="53" t="str">
        <f>IF(AND('Mapa final'!$AA$48="Media",'Mapa final'!$AC$48="Menor"),CONCATENATE("R8C",'Mapa final'!$Q$48),"")</f>
        <v/>
      </c>
      <c r="T33" s="53" t="str">
        <f>IF(AND('Mapa final'!$AA$49="Media",'Mapa final'!$AC$49="Menor"),CONCATENATE("R8C",'Mapa final'!$Q$49),"")</f>
        <v/>
      </c>
      <c r="U33" s="54" t="str">
        <f>IF(AND('Mapa final'!$AA$50="Media",'Mapa final'!$AC$50="Menor"),CONCATENATE("R8C",'Mapa final'!$Q$50),"")</f>
        <v/>
      </c>
      <c r="V33" s="52" t="str">
        <f>IF(AND('Mapa final'!$AA$45="Media",'Mapa final'!$AC$45="Moderado"),CONCATENATE("R8C",'Mapa final'!$Q$45),"")</f>
        <v/>
      </c>
      <c r="W33" s="53" t="str">
        <f>IF(AND('Mapa final'!$AA$46="Media",'Mapa final'!$AC$46="Moderado"),CONCATENATE("R8C",'Mapa final'!$Q$46),"")</f>
        <v/>
      </c>
      <c r="X33" s="53" t="str">
        <f>IF(AND('Mapa final'!$AA$47="Media",'Mapa final'!$AC$47="Moderado"),CONCATENATE("R8C",'Mapa final'!$Q$47),"")</f>
        <v/>
      </c>
      <c r="Y33" s="53" t="str">
        <f>IF(AND('Mapa final'!$AA$48="Media",'Mapa final'!$AC$48="Moderado"),CONCATENATE("R8C",'Mapa final'!$Q$48),"")</f>
        <v/>
      </c>
      <c r="Z33" s="53" t="str">
        <f>IF(AND('Mapa final'!$AA$49="Media",'Mapa final'!$AC$49="Moderado"),CONCATENATE("R8C",'Mapa final'!$Q$49),"")</f>
        <v/>
      </c>
      <c r="AA33" s="54" t="str">
        <f>IF(AND('Mapa final'!$AA$50="Media",'Mapa final'!$AC$50="Moderado"),CONCATENATE("R8C",'Mapa final'!$Q$50),"")</f>
        <v/>
      </c>
      <c r="AB33" s="36" t="str">
        <f>IF(AND('Mapa final'!$AA$45="Media",'Mapa final'!$AC$45="Mayor"),CONCATENATE("R8C",'Mapa final'!$Q$45),"")</f>
        <v/>
      </c>
      <c r="AC33" s="37" t="str">
        <f>IF(AND('Mapa final'!$AA$46="Media",'Mapa final'!$AC$46="Mayor"),CONCATENATE("R8C",'Mapa final'!$Q$46),"")</f>
        <v/>
      </c>
      <c r="AD33" s="42" t="str">
        <f>IF(AND('Mapa final'!$AA$47="Media",'Mapa final'!$AC$47="Mayor"),CONCATENATE("R8C",'Mapa final'!$Q$47),"")</f>
        <v/>
      </c>
      <c r="AE33" s="42" t="str">
        <f>IF(AND('Mapa final'!$AA$48="Media",'Mapa final'!$AC$48="Mayor"),CONCATENATE("R8C",'Mapa final'!$Q$48),"")</f>
        <v/>
      </c>
      <c r="AF33" s="42" t="str">
        <f>IF(AND('Mapa final'!$AA$49="Media",'Mapa final'!$AC$49="Mayor"),CONCATENATE("R8C",'Mapa final'!$Q$49),"")</f>
        <v/>
      </c>
      <c r="AG33" s="38" t="str">
        <f>IF(AND('Mapa final'!$AA$50="Media",'Mapa final'!$AC$50="Mayor"),CONCATENATE("R8C",'Mapa final'!$Q$50),"")</f>
        <v/>
      </c>
      <c r="AH33" s="39" t="str">
        <f>IF(AND('Mapa final'!$AA$45="Media",'Mapa final'!$AC$45="Catastrófico"),CONCATENATE("R8C",'Mapa final'!$Q$45),"")</f>
        <v/>
      </c>
      <c r="AI33" s="40" t="str">
        <f>IF(AND('Mapa final'!$AA$46="Media",'Mapa final'!$AC$46="Catastrófico"),CONCATENATE("R8C",'Mapa final'!$Q$46),"")</f>
        <v/>
      </c>
      <c r="AJ33" s="40" t="str">
        <f>IF(AND('Mapa final'!$AA$47="Media",'Mapa final'!$AC$47="Catastrófico"),CONCATENATE("R8C",'Mapa final'!$Q$47),"")</f>
        <v/>
      </c>
      <c r="AK33" s="40" t="str">
        <f>IF(AND('Mapa final'!$AA$48="Media",'Mapa final'!$AC$48="Catastrófico"),CONCATENATE("R8C",'Mapa final'!$Q$48),"")</f>
        <v/>
      </c>
      <c r="AL33" s="40" t="str">
        <f>IF(AND('Mapa final'!$AA$49="Media",'Mapa final'!$AC$49="Catastrófico"),CONCATENATE("R8C",'Mapa final'!$Q$49),"")</f>
        <v/>
      </c>
      <c r="AM33" s="41" t="str">
        <f>IF(AND('Mapa final'!$AA$50="Media",'Mapa final'!$AC$50="Catastrófico"),CONCATENATE("R8C",'Mapa final'!$Q$50),"")</f>
        <v/>
      </c>
      <c r="AN33" s="68"/>
      <c r="AO33" s="430"/>
      <c r="AP33" s="431"/>
      <c r="AQ33" s="431"/>
      <c r="AR33" s="431"/>
      <c r="AS33" s="431"/>
      <c r="AT33" s="432"/>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row>
    <row r="34" spans="1:80" ht="15" customHeight="1" x14ac:dyDescent="0.25">
      <c r="A34" s="68"/>
      <c r="B34" s="348"/>
      <c r="C34" s="348"/>
      <c r="D34" s="349"/>
      <c r="E34" s="389"/>
      <c r="F34" s="390"/>
      <c r="G34" s="390"/>
      <c r="H34" s="390"/>
      <c r="I34" s="391"/>
      <c r="J34" s="52" t="str">
        <f>IF(AND('Mapa final'!$AA$51="Media",'Mapa final'!$AC$51="Leve"),CONCATENATE("R9C",'Mapa final'!$Q$51),"")</f>
        <v/>
      </c>
      <c r="K34" s="53" t="str">
        <f>IF(AND('Mapa final'!$AA$52="Media",'Mapa final'!$AC$52="Leve"),CONCATENATE("R9C",'Mapa final'!$Q$52),"")</f>
        <v/>
      </c>
      <c r="L34" s="53" t="str">
        <f>IF(AND('Mapa final'!$AA$53="Media",'Mapa final'!$AC$53="Leve"),CONCATENATE("R9C",'Mapa final'!$Q$53),"")</f>
        <v/>
      </c>
      <c r="M34" s="53" t="str">
        <f>IF(AND('Mapa final'!$AA$54="Media",'Mapa final'!$AC$54="Leve"),CONCATENATE("R9C",'Mapa final'!$Q$54),"")</f>
        <v/>
      </c>
      <c r="N34" s="53" t="str">
        <f>IF(AND('Mapa final'!$AA$55="Media",'Mapa final'!$AC$55="Leve"),CONCATENATE("R9C",'Mapa final'!$Q$55),"")</f>
        <v/>
      </c>
      <c r="O34" s="54" t="str">
        <f>IF(AND('Mapa final'!$AA$56="Media",'Mapa final'!$AC$56="Leve"),CONCATENATE("R9C",'Mapa final'!$Q$56),"")</f>
        <v/>
      </c>
      <c r="P34" s="52" t="str">
        <f>IF(AND('Mapa final'!$AA$51="Media",'Mapa final'!$AC$51="Menor"),CONCATENATE("R9C",'Mapa final'!$Q$51),"")</f>
        <v/>
      </c>
      <c r="Q34" s="53" t="str">
        <f>IF(AND('Mapa final'!$AA$52="Media",'Mapa final'!$AC$52="Menor"),CONCATENATE("R9C",'Mapa final'!$Q$52),"")</f>
        <v/>
      </c>
      <c r="R34" s="53" t="str">
        <f>IF(AND('Mapa final'!$AA$53="Media",'Mapa final'!$AC$53="Menor"),CONCATENATE("R9C",'Mapa final'!$Q$53),"")</f>
        <v/>
      </c>
      <c r="S34" s="53" t="str">
        <f>IF(AND('Mapa final'!$AA$54="Media",'Mapa final'!$AC$54="Menor"),CONCATENATE("R9C",'Mapa final'!$Q$54),"")</f>
        <v/>
      </c>
      <c r="T34" s="53" t="str">
        <f>IF(AND('Mapa final'!$AA$55="Media",'Mapa final'!$AC$55="Menor"),CONCATENATE("R9C",'Mapa final'!$Q$55),"")</f>
        <v/>
      </c>
      <c r="U34" s="54" t="str">
        <f>IF(AND('Mapa final'!$AA$56="Media",'Mapa final'!$AC$56="Menor"),CONCATENATE("R9C",'Mapa final'!$Q$56),"")</f>
        <v/>
      </c>
      <c r="V34" s="52" t="str">
        <f>IF(AND('Mapa final'!$AA$51="Media",'Mapa final'!$AC$51="Moderado"),CONCATENATE("R9C",'Mapa final'!$Q$51),"")</f>
        <v/>
      </c>
      <c r="W34" s="53" t="str">
        <f>IF(AND('Mapa final'!$AA$52="Media",'Mapa final'!$AC$52="Moderado"),CONCATENATE("R9C",'Mapa final'!$Q$52),"")</f>
        <v/>
      </c>
      <c r="X34" s="53" t="str">
        <f>IF(AND('Mapa final'!$AA$53="Media",'Mapa final'!$AC$53="Moderado"),CONCATENATE("R9C",'Mapa final'!$Q$53),"")</f>
        <v/>
      </c>
      <c r="Y34" s="53" t="str">
        <f>IF(AND('Mapa final'!$AA$54="Media",'Mapa final'!$AC$54="Moderado"),CONCATENATE("R9C",'Mapa final'!$Q$54),"")</f>
        <v/>
      </c>
      <c r="Z34" s="53" t="str">
        <f>IF(AND('Mapa final'!$AA$55="Media",'Mapa final'!$AC$55="Moderado"),CONCATENATE("R9C",'Mapa final'!$Q$55),"")</f>
        <v/>
      </c>
      <c r="AA34" s="54" t="str">
        <f>IF(AND('Mapa final'!$AA$56="Media",'Mapa final'!$AC$56="Moderado"),CONCATENATE("R9C",'Mapa final'!$Q$56),"")</f>
        <v/>
      </c>
      <c r="AB34" s="36" t="str">
        <f>IF(AND('Mapa final'!$AA$51="Media",'Mapa final'!$AC$51="Mayor"),CONCATENATE("R9C",'Mapa final'!$Q$51),"")</f>
        <v/>
      </c>
      <c r="AC34" s="37" t="str">
        <f>IF(AND('Mapa final'!$AA$52="Media",'Mapa final'!$AC$52="Mayor"),CONCATENATE("R9C",'Mapa final'!$Q$52),"")</f>
        <v/>
      </c>
      <c r="AD34" s="42" t="str">
        <f>IF(AND('Mapa final'!$AA$53="Media",'Mapa final'!$AC$53="Mayor"),CONCATENATE("R9C",'Mapa final'!$Q$53),"")</f>
        <v/>
      </c>
      <c r="AE34" s="42" t="str">
        <f>IF(AND('Mapa final'!$AA$54="Media",'Mapa final'!$AC$54="Mayor"),CONCATENATE("R9C",'Mapa final'!$Q$54),"")</f>
        <v/>
      </c>
      <c r="AF34" s="42" t="str">
        <f>IF(AND('Mapa final'!$AA$55="Media",'Mapa final'!$AC$55="Mayor"),CONCATENATE("R9C",'Mapa final'!$Q$55),"")</f>
        <v/>
      </c>
      <c r="AG34" s="38" t="str">
        <f>IF(AND('Mapa final'!$AA$56="Media",'Mapa final'!$AC$56="Mayor"),CONCATENATE("R9C",'Mapa final'!$Q$56),"")</f>
        <v/>
      </c>
      <c r="AH34" s="39" t="str">
        <f>IF(AND('Mapa final'!$AA$51="Media",'Mapa final'!$AC$51="Catastrófico"),CONCATENATE("R9C",'Mapa final'!$Q$51),"")</f>
        <v/>
      </c>
      <c r="AI34" s="40" t="str">
        <f>IF(AND('Mapa final'!$AA$52="Media",'Mapa final'!$AC$52="Catastrófico"),CONCATENATE("R9C",'Mapa final'!$Q$52),"")</f>
        <v/>
      </c>
      <c r="AJ34" s="40" t="str">
        <f>IF(AND('Mapa final'!$AA$53="Media",'Mapa final'!$AC$53="Catastrófico"),CONCATENATE("R9C",'Mapa final'!$Q$53),"")</f>
        <v/>
      </c>
      <c r="AK34" s="40" t="str">
        <f>IF(AND('Mapa final'!$AA$54="Media",'Mapa final'!$AC$54="Catastrófico"),CONCATENATE("R9C",'Mapa final'!$Q$54),"")</f>
        <v/>
      </c>
      <c r="AL34" s="40" t="str">
        <f>IF(AND('Mapa final'!$AA$55="Media",'Mapa final'!$AC$55="Catastrófico"),CONCATENATE("R9C",'Mapa final'!$Q$55),"")</f>
        <v/>
      </c>
      <c r="AM34" s="41" t="str">
        <f>IF(AND('Mapa final'!$AA$56="Media",'Mapa final'!$AC$56="Catastrófico"),CONCATENATE("R9C",'Mapa final'!$Q$56),"")</f>
        <v/>
      </c>
      <c r="AN34" s="68"/>
      <c r="AO34" s="430"/>
      <c r="AP34" s="431"/>
      <c r="AQ34" s="431"/>
      <c r="AR34" s="431"/>
      <c r="AS34" s="431"/>
      <c r="AT34" s="432"/>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row>
    <row r="35" spans="1:80" ht="15.75" customHeight="1" thickBot="1" x14ac:dyDescent="0.3">
      <c r="A35" s="68"/>
      <c r="B35" s="348"/>
      <c r="C35" s="348"/>
      <c r="D35" s="349"/>
      <c r="E35" s="392"/>
      <c r="F35" s="393"/>
      <c r="G35" s="393"/>
      <c r="H35" s="393"/>
      <c r="I35" s="394"/>
      <c r="J35" s="52" t="str">
        <f>IF(AND('Mapa final'!$AA$57="Media",'Mapa final'!$AC$57="Leve"),CONCATENATE("R10C",'Mapa final'!$Q$57),"")</f>
        <v/>
      </c>
      <c r="K35" s="53" t="str">
        <f>IF(AND('Mapa final'!$AA$58="Media",'Mapa final'!$AC$58="Leve"),CONCATENATE("R10C",'Mapa final'!$Q$58),"")</f>
        <v/>
      </c>
      <c r="L35" s="53" t="str">
        <f>IF(AND('Mapa final'!$AA$59="Media",'Mapa final'!$AC$59="Leve"),CONCATENATE("R10C",'Mapa final'!$Q$59),"")</f>
        <v/>
      </c>
      <c r="M35" s="53" t="str">
        <f>IF(AND('Mapa final'!$AA$60="Media",'Mapa final'!$AC$60="Leve"),CONCATENATE("R10C",'Mapa final'!$Q$60),"")</f>
        <v/>
      </c>
      <c r="N35" s="53" t="str">
        <f>IF(AND('Mapa final'!$AA$61="Media",'Mapa final'!$AC$61="Leve"),CONCATENATE("R10C",'Mapa final'!$Q$61),"")</f>
        <v/>
      </c>
      <c r="O35" s="54" t="str">
        <f>IF(AND('Mapa final'!$AA$62="Media",'Mapa final'!$AC$62="Leve"),CONCATENATE("R10C",'Mapa final'!$Q$62),"")</f>
        <v/>
      </c>
      <c r="P35" s="52" t="str">
        <f>IF(AND('Mapa final'!$AA$57="Media",'Mapa final'!$AC$57="Menor"),CONCATENATE("R10C",'Mapa final'!$Q$57),"")</f>
        <v/>
      </c>
      <c r="Q35" s="53" t="str">
        <f>IF(AND('Mapa final'!$AA$58="Media",'Mapa final'!$AC$58="Menor"),CONCATENATE("R10C",'Mapa final'!$Q$58),"")</f>
        <v/>
      </c>
      <c r="R35" s="53" t="str">
        <f>IF(AND('Mapa final'!$AA$59="Media",'Mapa final'!$AC$59="Menor"),CONCATENATE("R10C",'Mapa final'!$Q$59),"")</f>
        <v/>
      </c>
      <c r="S35" s="53" t="str">
        <f>IF(AND('Mapa final'!$AA$60="Media",'Mapa final'!$AC$60="Menor"),CONCATENATE("R10C",'Mapa final'!$Q$60),"")</f>
        <v/>
      </c>
      <c r="T35" s="53" t="str">
        <f>IF(AND('Mapa final'!$AA$61="Media",'Mapa final'!$AC$61="Menor"),CONCATENATE("R10C",'Mapa final'!$Q$61),"")</f>
        <v/>
      </c>
      <c r="U35" s="54" t="str">
        <f>IF(AND('Mapa final'!$AA$62="Media",'Mapa final'!$AC$62="Menor"),CONCATENATE("R10C",'Mapa final'!$Q$62),"")</f>
        <v/>
      </c>
      <c r="V35" s="52" t="str">
        <f>IF(AND('Mapa final'!$AA$57="Media",'Mapa final'!$AC$57="Moderado"),CONCATENATE("R10C",'Mapa final'!$Q$57),"")</f>
        <v/>
      </c>
      <c r="W35" s="53" t="str">
        <f>IF(AND('Mapa final'!$AA$58="Media",'Mapa final'!$AC$58="Moderado"),CONCATENATE("R10C",'Mapa final'!$Q$58),"")</f>
        <v/>
      </c>
      <c r="X35" s="53" t="str">
        <f>IF(AND('Mapa final'!$AA$59="Media",'Mapa final'!$AC$59="Moderado"),CONCATENATE("R10C",'Mapa final'!$Q$59),"")</f>
        <v/>
      </c>
      <c r="Y35" s="53" t="str">
        <f>IF(AND('Mapa final'!$AA$60="Media",'Mapa final'!$AC$60="Moderado"),CONCATENATE("R10C",'Mapa final'!$Q$60),"")</f>
        <v/>
      </c>
      <c r="Z35" s="53" t="str">
        <f>IF(AND('Mapa final'!$AA$61="Media",'Mapa final'!$AC$61="Moderado"),CONCATENATE("R10C",'Mapa final'!$Q$61),"")</f>
        <v/>
      </c>
      <c r="AA35" s="54" t="str">
        <f>IF(AND('Mapa final'!$AA$62="Media",'Mapa final'!$AC$62="Moderado"),CONCATENATE("R10C",'Mapa final'!$Q$62),"")</f>
        <v/>
      </c>
      <c r="AB35" s="43" t="str">
        <f>IF(AND('Mapa final'!$AA$57="Media",'Mapa final'!$AC$57="Mayor"),CONCATENATE("R10C",'Mapa final'!$Q$57),"")</f>
        <v/>
      </c>
      <c r="AC35" s="44" t="str">
        <f>IF(AND('Mapa final'!$AA$58="Media",'Mapa final'!$AC$58="Mayor"),CONCATENATE("R10C",'Mapa final'!$Q$58),"")</f>
        <v/>
      </c>
      <c r="AD35" s="44" t="str">
        <f>IF(AND('Mapa final'!$AA$59="Media",'Mapa final'!$AC$59="Mayor"),CONCATENATE("R10C",'Mapa final'!$Q$59),"")</f>
        <v/>
      </c>
      <c r="AE35" s="44" t="str">
        <f>IF(AND('Mapa final'!$AA$60="Media",'Mapa final'!$AC$60="Mayor"),CONCATENATE("R10C",'Mapa final'!$Q$60),"")</f>
        <v/>
      </c>
      <c r="AF35" s="44" t="str">
        <f>IF(AND('Mapa final'!$AA$61="Media",'Mapa final'!$AC$61="Mayor"),CONCATENATE("R10C",'Mapa final'!$Q$61),"")</f>
        <v/>
      </c>
      <c r="AG35" s="45" t="str">
        <f>IF(AND('Mapa final'!$AA$62="Media",'Mapa final'!$AC$62="Mayor"),CONCATENATE("R10C",'Mapa final'!$Q$62),"")</f>
        <v/>
      </c>
      <c r="AH35" s="46" t="str">
        <f>IF(AND('Mapa final'!$AA$57="Media",'Mapa final'!$AC$57="Catastrófico"),CONCATENATE("R10C",'Mapa final'!$Q$57),"")</f>
        <v/>
      </c>
      <c r="AI35" s="47" t="str">
        <f>IF(AND('Mapa final'!$AA$58="Media",'Mapa final'!$AC$58="Catastrófico"),CONCATENATE("R10C",'Mapa final'!$Q$58),"")</f>
        <v/>
      </c>
      <c r="AJ35" s="47" t="str">
        <f>IF(AND('Mapa final'!$AA$59="Media",'Mapa final'!$AC$59="Catastrófico"),CONCATENATE("R10C",'Mapa final'!$Q$59),"")</f>
        <v/>
      </c>
      <c r="AK35" s="47" t="str">
        <f>IF(AND('Mapa final'!$AA$60="Media",'Mapa final'!$AC$60="Catastrófico"),CONCATENATE("R10C",'Mapa final'!$Q$60),"")</f>
        <v/>
      </c>
      <c r="AL35" s="47" t="str">
        <f>IF(AND('Mapa final'!$AA$61="Media",'Mapa final'!$AC$61="Catastrófico"),CONCATENATE("R10C",'Mapa final'!$Q$61),"")</f>
        <v/>
      </c>
      <c r="AM35" s="48" t="str">
        <f>IF(AND('Mapa final'!$AA$62="Media",'Mapa final'!$AC$62="Catastrófico"),CONCATENATE("R10C",'Mapa final'!$Q$62),"")</f>
        <v/>
      </c>
      <c r="AN35" s="68"/>
      <c r="AO35" s="433"/>
      <c r="AP35" s="434"/>
      <c r="AQ35" s="434"/>
      <c r="AR35" s="434"/>
      <c r="AS35" s="434"/>
      <c r="AT35" s="435"/>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row>
    <row r="36" spans="1:80" ht="15" customHeight="1" x14ac:dyDescent="0.25">
      <c r="A36" s="68"/>
      <c r="B36" s="348"/>
      <c r="C36" s="348"/>
      <c r="D36" s="349"/>
      <c r="E36" s="386" t="s">
        <v>109</v>
      </c>
      <c r="F36" s="387"/>
      <c r="G36" s="387"/>
      <c r="H36" s="387"/>
      <c r="I36" s="387"/>
      <c r="J36" s="58" t="str">
        <f ca="1">IF(AND('Mapa final'!$AA$10="Baja",'Mapa final'!$AC$10="Leve"),CONCATENATE("R1C",'Mapa final'!$Q$10),"")</f>
        <v/>
      </c>
      <c r="K36" s="59" t="str">
        <f>IF(AND('Mapa final'!$AA$11="Baja",'Mapa final'!$AC$11="Leve"),CONCATENATE("R1C",'Mapa final'!$Q$11),"")</f>
        <v/>
      </c>
      <c r="L36" s="59" t="e">
        <f>IF(AND('Mapa final'!#REF!="Baja",'Mapa final'!#REF!="Leve"),CONCATENATE("R1C",'Mapa final'!#REF!),"")</f>
        <v>#REF!</v>
      </c>
      <c r="M36" s="59" t="e">
        <f>IF(AND('Mapa final'!#REF!="Baja",'Mapa final'!#REF!="Leve"),CONCATENATE("R1C",'Mapa final'!#REF!),"")</f>
        <v>#REF!</v>
      </c>
      <c r="N36" s="59" t="e">
        <f>IF(AND('Mapa final'!#REF!="Baja",'Mapa final'!#REF!="Leve"),CONCATENATE("R1C",'Mapa final'!#REF!),"")</f>
        <v>#REF!</v>
      </c>
      <c r="O36" s="60" t="e">
        <f>IF(AND('Mapa final'!#REF!="Baja",'Mapa final'!#REF!="Leve"),CONCATENATE("R1C",'Mapa final'!#REF!),"")</f>
        <v>#REF!</v>
      </c>
      <c r="P36" s="49" t="str">
        <f ca="1">IF(AND('Mapa final'!$AA$10="Baja",'Mapa final'!$AC$10="Menor"),CONCATENATE("R1C",'Mapa final'!$Q$10),"")</f>
        <v/>
      </c>
      <c r="Q36" s="50" t="str">
        <f>IF(AND('Mapa final'!$AA$11="Baja",'Mapa final'!$AC$11="Menor"),CONCATENATE("R1C",'Mapa final'!$Q$11),"")</f>
        <v/>
      </c>
      <c r="R36" s="50" t="e">
        <f>IF(AND('Mapa final'!#REF!="Baja",'Mapa final'!#REF!="Menor"),CONCATENATE("R1C",'Mapa final'!#REF!),"")</f>
        <v>#REF!</v>
      </c>
      <c r="S36" s="50" t="e">
        <f>IF(AND('Mapa final'!#REF!="Baja",'Mapa final'!#REF!="Menor"),CONCATENATE("R1C",'Mapa final'!#REF!),"")</f>
        <v>#REF!</v>
      </c>
      <c r="T36" s="50" t="e">
        <f>IF(AND('Mapa final'!#REF!="Baja",'Mapa final'!#REF!="Menor"),CONCATENATE("R1C",'Mapa final'!#REF!),"")</f>
        <v>#REF!</v>
      </c>
      <c r="U36" s="51" t="e">
        <f>IF(AND('Mapa final'!#REF!="Baja",'Mapa final'!#REF!="Menor"),CONCATENATE("R1C",'Mapa final'!#REF!),"")</f>
        <v>#REF!</v>
      </c>
      <c r="V36" s="49" t="str">
        <f ca="1">IF(AND('Mapa final'!$AA$10="Baja",'Mapa final'!$AC$10="Moderado"),CONCATENATE("R1C",'Mapa final'!$Q$10),"")</f>
        <v>R1C1</v>
      </c>
      <c r="W36" s="50" t="str">
        <f>IF(AND('Mapa final'!$AA$11="Baja",'Mapa final'!$AC$11="Moderado"),CONCATENATE("R1C",'Mapa final'!$Q$11),"")</f>
        <v/>
      </c>
      <c r="X36" s="50" t="e">
        <f>IF(AND('Mapa final'!#REF!="Baja",'Mapa final'!#REF!="Moderado"),CONCATENATE("R1C",'Mapa final'!#REF!),"")</f>
        <v>#REF!</v>
      </c>
      <c r="Y36" s="50" t="e">
        <f>IF(AND('Mapa final'!#REF!="Baja",'Mapa final'!#REF!="Moderado"),CONCATENATE("R1C",'Mapa final'!#REF!),"")</f>
        <v>#REF!</v>
      </c>
      <c r="Z36" s="50" t="e">
        <f>IF(AND('Mapa final'!#REF!="Baja",'Mapa final'!#REF!="Moderado"),CONCATENATE("R1C",'Mapa final'!#REF!),"")</f>
        <v>#REF!</v>
      </c>
      <c r="AA36" s="51" t="e">
        <f>IF(AND('Mapa final'!#REF!="Baja",'Mapa final'!#REF!="Moderado"),CONCATENATE("R1C",'Mapa final'!#REF!),"")</f>
        <v>#REF!</v>
      </c>
      <c r="AB36" s="30" t="str">
        <f ca="1">IF(AND('Mapa final'!$AA$10="Baja",'Mapa final'!$AC$10="Mayor"),CONCATENATE("R1C",'Mapa final'!$Q$10),"")</f>
        <v/>
      </c>
      <c r="AC36" s="31" t="str">
        <f>IF(AND('Mapa final'!$AA$11="Baja",'Mapa final'!$AC$11="Mayor"),CONCATENATE("R1C",'Mapa final'!$Q$11),"")</f>
        <v/>
      </c>
      <c r="AD36" s="31" t="e">
        <f>IF(AND('Mapa final'!#REF!="Baja",'Mapa final'!#REF!="Mayor"),CONCATENATE("R1C",'Mapa final'!#REF!),"")</f>
        <v>#REF!</v>
      </c>
      <c r="AE36" s="31" t="e">
        <f>IF(AND('Mapa final'!#REF!="Baja",'Mapa final'!#REF!="Mayor"),CONCATENATE("R1C",'Mapa final'!#REF!),"")</f>
        <v>#REF!</v>
      </c>
      <c r="AF36" s="31" t="e">
        <f>IF(AND('Mapa final'!#REF!="Baja",'Mapa final'!#REF!="Mayor"),CONCATENATE("R1C",'Mapa final'!#REF!),"")</f>
        <v>#REF!</v>
      </c>
      <c r="AG36" s="32" t="e">
        <f>IF(AND('Mapa final'!#REF!="Baja",'Mapa final'!#REF!="Mayor"),CONCATENATE("R1C",'Mapa final'!#REF!),"")</f>
        <v>#REF!</v>
      </c>
      <c r="AH36" s="33" t="str">
        <f ca="1">IF(AND('Mapa final'!$AA$10="Baja",'Mapa final'!$AC$10="Catastrófico"),CONCATENATE("R1C",'Mapa final'!$Q$10),"")</f>
        <v/>
      </c>
      <c r="AI36" s="34" t="str">
        <f>IF(AND('Mapa final'!$AA$11="Baja",'Mapa final'!$AC$11="Catastrófico"),CONCATENATE("R1C",'Mapa final'!$Q$11),"")</f>
        <v/>
      </c>
      <c r="AJ36" s="34" t="e">
        <f>IF(AND('Mapa final'!#REF!="Baja",'Mapa final'!#REF!="Catastrófico"),CONCATENATE("R1C",'Mapa final'!#REF!),"")</f>
        <v>#REF!</v>
      </c>
      <c r="AK36" s="34" t="e">
        <f>IF(AND('Mapa final'!#REF!="Baja",'Mapa final'!#REF!="Catastrófico"),CONCATENATE("R1C",'Mapa final'!#REF!),"")</f>
        <v>#REF!</v>
      </c>
      <c r="AL36" s="34" t="e">
        <f>IF(AND('Mapa final'!#REF!="Baja",'Mapa final'!#REF!="Catastrófico"),CONCATENATE("R1C",'Mapa final'!#REF!),"")</f>
        <v>#REF!</v>
      </c>
      <c r="AM36" s="35" t="e">
        <f>IF(AND('Mapa final'!#REF!="Baja",'Mapa final'!#REF!="Catastrófico"),CONCATENATE("R1C",'Mapa final'!#REF!),"")</f>
        <v>#REF!</v>
      </c>
      <c r="AN36" s="68"/>
      <c r="AO36" s="418" t="s">
        <v>81</v>
      </c>
      <c r="AP36" s="419"/>
      <c r="AQ36" s="419"/>
      <c r="AR36" s="419"/>
      <c r="AS36" s="419"/>
      <c r="AT36" s="420"/>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row>
    <row r="37" spans="1:80" ht="15" customHeight="1" x14ac:dyDescent="0.25">
      <c r="A37" s="68"/>
      <c r="B37" s="348"/>
      <c r="C37" s="348"/>
      <c r="D37" s="349"/>
      <c r="E37" s="405"/>
      <c r="F37" s="406"/>
      <c r="G37" s="406"/>
      <c r="H37" s="406"/>
      <c r="I37" s="406"/>
      <c r="J37" s="61" t="str">
        <f>IF(AND('Mapa final'!$AA$12="Baja",'Mapa final'!$AC$12="Leve"),CONCATENATE("R2C",'Mapa final'!$Q$12),"")</f>
        <v/>
      </c>
      <c r="K37" s="62" t="str">
        <f>IF(AND('Mapa final'!$AA$13="Baja",'Mapa final'!$AC$13="Leve"),CONCATENATE("R2C",'Mapa final'!$Q$13),"")</f>
        <v/>
      </c>
      <c r="L37" s="62" t="str">
        <f>IF(AND('Mapa final'!$AA$14="Baja",'Mapa final'!$AC$14="Leve"),CONCATENATE("R2C",'Mapa final'!$Q$14),"")</f>
        <v/>
      </c>
      <c r="M37" s="62" t="e">
        <f>IF(AND('Mapa final'!#REF!="Baja",'Mapa final'!#REF!="Leve"),CONCATENATE("R2C",'Mapa final'!#REF!),"")</f>
        <v>#REF!</v>
      </c>
      <c r="N37" s="62" t="e">
        <f>IF(AND('Mapa final'!#REF!="Baja",'Mapa final'!#REF!="Leve"),CONCATENATE("R2C",'Mapa final'!#REF!),"")</f>
        <v>#REF!</v>
      </c>
      <c r="O37" s="63" t="e">
        <f>IF(AND('Mapa final'!#REF!="Baja",'Mapa final'!#REF!="Leve"),CONCATENATE("R2C",'Mapa final'!#REF!),"")</f>
        <v>#REF!</v>
      </c>
      <c r="P37" s="52" t="str">
        <f>IF(AND('Mapa final'!$AA$12="Baja",'Mapa final'!$AC$12="Menor"),CONCATENATE("R2C",'Mapa final'!$Q$12),"")</f>
        <v/>
      </c>
      <c r="Q37" s="53" t="str">
        <f>IF(AND('Mapa final'!$AA$13="Baja",'Mapa final'!$AC$13="Menor"),CONCATENATE("R2C",'Mapa final'!$Q$13),"")</f>
        <v/>
      </c>
      <c r="R37" s="53" t="str">
        <f>IF(AND('Mapa final'!$AA$14="Baja",'Mapa final'!$AC$14="Menor"),CONCATENATE("R2C",'Mapa final'!$Q$14),"")</f>
        <v/>
      </c>
      <c r="S37" s="53" t="e">
        <f>IF(AND('Mapa final'!#REF!="Baja",'Mapa final'!#REF!="Menor"),CONCATENATE("R2C",'Mapa final'!#REF!),"")</f>
        <v>#REF!</v>
      </c>
      <c r="T37" s="53" t="e">
        <f>IF(AND('Mapa final'!#REF!="Baja",'Mapa final'!#REF!="Menor"),CONCATENATE("R2C",'Mapa final'!#REF!),"")</f>
        <v>#REF!</v>
      </c>
      <c r="U37" s="54" t="e">
        <f>IF(AND('Mapa final'!#REF!="Baja",'Mapa final'!#REF!="Menor"),CONCATENATE("R2C",'Mapa final'!#REF!),"")</f>
        <v>#REF!</v>
      </c>
      <c r="V37" s="52" t="str">
        <f>IF(AND('Mapa final'!$AA$12="Baja",'Mapa final'!$AC$12="Moderado"),CONCATENATE("R2C",'Mapa final'!$Q$12),"")</f>
        <v/>
      </c>
      <c r="W37" s="53" t="str">
        <f>IF(AND('Mapa final'!$AA$13="Baja",'Mapa final'!$AC$13="Moderado"),CONCATENATE("R2C",'Mapa final'!$Q$13),"")</f>
        <v/>
      </c>
      <c r="X37" s="53" t="str">
        <f>IF(AND('Mapa final'!$AA$14="Baja",'Mapa final'!$AC$14="Moderado"),CONCATENATE("R2C",'Mapa final'!$Q$14),"")</f>
        <v/>
      </c>
      <c r="Y37" s="53" t="e">
        <f>IF(AND('Mapa final'!#REF!="Baja",'Mapa final'!#REF!="Moderado"),CONCATENATE("R2C",'Mapa final'!#REF!),"")</f>
        <v>#REF!</v>
      </c>
      <c r="Z37" s="53" t="e">
        <f>IF(AND('Mapa final'!#REF!="Baja",'Mapa final'!#REF!="Moderado"),CONCATENATE("R2C",'Mapa final'!#REF!),"")</f>
        <v>#REF!</v>
      </c>
      <c r="AA37" s="54" t="e">
        <f>IF(AND('Mapa final'!#REF!="Baja",'Mapa final'!#REF!="Moderado"),CONCATENATE("R2C",'Mapa final'!#REF!),"")</f>
        <v>#REF!</v>
      </c>
      <c r="AB37" s="36" t="str">
        <f>IF(AND('Mapa final'!$AA$12="Baja",'Mapa final'!$AC$12="Mayor"),CONCATENATE("R2C",'Mapa final'!$Q$12),"")</f>
        <v/>
      </c>
      <c r="AC37" s="37" t="str">
        <f>IF(AND('Mapa final'!$AA$13="Baja",'Mapa final'!$AC$13="Mayor"),CONCATENATE("R2C",'Mapa final'!$Q$13),"")</f>
        <v/>
      </c>
      <c r="AD37" s="37" t="str">
        <f>IF(AND('Mapa final'!$AA$14="Baja",'Mapa final'!$AC$14="Mayor"),CONCATENATE("R2C",'Mapa final'!$Q$14),"")</f>
        <v/>
      </c>
      <c r="AE37" s="37" t="e">
        <f>IF(AND('Mapa final'!#REF!="Baja",'Mapa final'!#REF!="Mayor"),CONCATENATE("R2C",'Mapa final'!#REF!),"")</f>
        <v>#REF!</v>
      </c>
      <c r="AF37" s="37" t="e">
        <f>IF(AND('Mapa final'!#REF!="Baja",'Mapa final'!#REF!="Mayor"),CONCATENATE("R2C",'Mapa final'!#REF!),"")</f>
        <v>#REF!</v>
      </c>
      <c r="AG37" s="38" t="e">
        <f>IF(AND('Mapa final'!#REF!="Baja",'Mapa final'!#REF!="Mayor"),CONCATENATE("R2C",'Mapa final'!#REF!),"")</f>
        <v>#REF!</v>
      </c>
      <c r="AH37" s="39" t="str">
        <f>IF(AND('Mapa final'!$AA$12="Baja",'Mapa final'!$AC$12="Catastrófico"),CONCATENATE("R2C",'Mapa final'!$Q$12),"")</f>
        <v/>
      </c>
      <c r="AI37" s="40" t="str">
        <f>IF(AND('Mapa final'!$AA$13="Baja",'Mapa final'!$AC$13="Catastrófico"),CONCATENATE("R2C",'Mapa final'!$Q$13),"")</f>
        <v/>
      </c>
      <c r="AJ37" s="40" t="str">
        <f>IF(AND('Mapa final'!$AA$14="Baja",'Mapa final'!$AC$14="Catastrófico"),CONCATENATE("R2C",'Mapa final'!$Q$14),"")</f>
        <v/>
      </c>
      <c r="AK37" s="40" t="e">
        <f>IF(AND('Mapa final'!#REF!="Baja",'Mapa final'!#REF!="Catastrófico"),CONCATENATE("R2C",'Mapa final'!#REF!),"")</f>
        <v>#REF!</v>
      </c>
      <c r="AL37" s="40" t="e">
        <f>IF(AND('Mapa final'!#REF!="Baja",'Mapa final'!#REF!="Catastrófico"),CONCATENATE("R2C",'Mapa final'!#REF!),"")</f>
        <v>#REF!</v>
      </c>
      <c r="AM37" s="41" t="e">
        <f>IF(AND('Mapa final'!#REF!="Baja",'Mapa final'!#REF!="Catastrófico"),CONCATENATE("R2C",'Mapa final'!#REF!),"")</f>
        <v>#REF!</v>
      </c>
      <c r="AN37" s="68"/>
      <c r="AO37" s="421"/>
      <c r="AP37" s="422"/>
      <c r="AQ37" s="422"/>
      <c r="AR37" s="422"/>
      <c r="AS37" s="422"/>
      <c r="AT37" s="423"/>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row>
    <row r="38" spans="1:80" ht="15" customHeight="1" x14ac:dyDescent="0.25">
      <c r="A38" s="68"/>
      <c r="B38" s="348"/>
      <c r="C38" s="348"/>
      <c r="D38" s="349"/>
      <c r="E38" s="389"/>
      <c r="F38" s="390"/>
      <c r="G38" s="390"/>
      <c r="H38" s="390"/>
      <c r="I38" s="406"/>
      <c r="J38" s="61" t="str">
        <f>IF(AND('Mapa final'!$AA$15="Baja",'Mapa final'!$AC$15="Leve"),CONCATENATE("R3C",'Mapa final'!$Q$15),"")</f>
        <v/>
      </c>
      <c r="K38" s="62" t="str">
        <f>IF(AND('Mapa final'!$AA$16="Baja",'Mapa final'!$AC$16="Leve"),CONCATENATE("R3C",'Mapa final'!$Q$16),"")</f>
        <v/>
      </c>
      <c r="L38" s="62" t="str">
        <f>IF(AND('Mapa final'!$AA$17="Baja",'Mapa final'!$AC$17="Leve"),CONCATENATE("R3C",'Mapa final'!$Q$17),"")</f>
        <v/>
      </c>
      <c r="M38" s="62" t="str">
        <f>IF(AND('Mapa final'!$AA$18="Baja",'Mapa final'!$AC$18="Leve"),CONCATENATE("R3C",'Mapa final'!$Q$18),"")</f>
        <v/>
      </c>
      <c r="N38" s="62" t="str">
        <f>IF(AND('Mapa final'!$AA$19="Baja",'Mapa final'!$AC$19="Leve"),CONCATENATE("R3C",'Mapa final'!$Q$19),"")</f>
        <v/>
      </c>
      <c r="O38" s="63" t="str">
        <f>IF(AND('Mapa final'!$AA$20="Baja",'Mapa final'!$AC$20="Leve"),CONCATENATE("R3C",'Mapa final'!$Q$20),"")</f>
        <v/>
      </c>
      <c r="P38" s="52" t="str">
        <f>IF(AND('Mapa final'!$AA$15="Baja",'Mapa final'!$AC$15="Menor"),CONCATENATE("R3C",'Mapa final'!$Q$15),"")</f>
        <v/>
      </c>
      <c r="Q38" s="53" t="str">
        <f>IF(AND('Mapa final'!$AA$16="Baja",'Mapa final'!$AC$16="Menor"),CONCATENATE("R3C",'Mapa final'!$Q$16),"")</f>
        <v/>
      </c>
      <c r="R38" s="53" t="str">
        <f>IF(AND('Mapa final'!$AA$17="Baja",'Mapa final'!$AC$17="Menor"),CONCATENATE("R3C",'Mapa final'!$Q$17),"")</f>
        <v/>
      </c>
      <c r="S38" s="53" t="str">
        <f>IF(AND('Mapa final'!$AA$18="Baja",'Mapa final'!$AC$18="Menor"),CONCATENATE("R3C",'Mapa final'!$Q$18),"")</f>
        <v/>
      </c>
      <c r="T38" s="53" t="str">
        <f>IF(AND('Mapa final'!$AA$19="Baja",'Mapa final'!$AC$19="Menor"),CONCATENATE("R3C",'Mapa final'!$Q$19),"")</f>
        <v/>
      </c>
      <c r="U38" s="54" t="str">
        <f>IF(AND('Mapa final'!$AA$20="Baja",'Mapa final'!$AC$20="Menor"),CONCATENATE("R3C",'Mapa final'!$Q$20),"")</f>
        <v/>
      </c>
      <c r="V38" s="52" t="str">
        <f>IF(AND('Mapa final'!$AA$15="Baja",'Mapa final'!$AC$15="Moderado"),CONCATENATE("R3C",'Mapa final'!$Q$15),"")</f>
        <v/>
      </c>
      <c r="W38" s="53" t="str">
        <f>IF(AND('Mapa final'!$AA$16="Baja",'Mapa final'!$AC$16="Moderado"),CONCATENATE("R3C",'Mapa final'!$Q$16),"")</f>
        <v/>
      </c>
      <c r="X38" s="53" t="str">
        <f>IF(AND('Mapa final'!$AA$17="Baja",'Mapa final'!$AC$17="Moderado"),CONCATENATE("R3C",'Mapa final'!$Q$17),"")</f>
        <v/>
      </c>
      <c r="Y38" s="53" t="str">
        <f>IF(AND('Mapa final'!$AA$18="Baja",'Mapa final'!$AC$18="Moderado"),CONCATENATE("R3C",'Mapa final'!$Q$18),"")</f>
        <v/>
      </c>
      <c r="Z38" s="53" t="str">
        <f>IF(AND('Mapa final'!$AA$19="Baja",'Mapa final'!$AC$19="Moderado"),CONCATENATE("R3C",'Mapa final'!$Q$19),"")</f>
        <v/>
      </c>
      <c r="AA38" s="54" t="str">
        <f>IF(AND('Mapa final'!$AA$20="Baja",'Mapa final'!$AC$20="Moderado"),CONCATENATE("R3C",'Mapa final'!$Q$20),"")</f>
        <v/>
      </c>
      <c r="AB38" s="36" t="str">
        <f>IF(AND('Mapa final'!$AA$15="Baja",'Mapa final'!$AC$15="Mayor"),CONCATENATE("R3C",'Mapa final'!$Q$15),"")</f>
        <v/>
      </c>
      <c r="AC38" s="37" t="str">
        <f>IF(AND('Mapa final'!$AA$16="Baja",'Mapa final'!$AC$16="Mayor"),CONCATENATE("R3C",'Mapa final'!$Q$16),"")</f>
        <v/>
      </c>
      <c r="AD38" s="37" t="str">
        <f>IF(AND('Mapa final'!$AA$17="Baja",'Mapa final'!$AC$17="Mayor"),CONCATENATE("R3C",'Mapa final'!$Q$17),"")</f>
        <v/>
      </c>
      <c r="AE38" s="37" t="str">
        <f>IF(AND('Mapa final'!$AA$18="Baja",'Mapa final'!$AC$18="Mayor"),CONCATENATE("R3C",'Mapa final'!$Q$18),"")</f>
        <v/>
      </c>
      <c r="AF38" s="37" t="str">
        <f>IF(AND('Mapa final'!$AA$19="Baja",'Mapa final'!$AC$19="Mayor"),CONCATENATE("R3C",'Mapa final'!$Q$19),"")</f>
        <v/>
      </c>
      <c r="AG38" s="38" t="str">
        <f>IF(AND('Mapa final'!$AA$20="Baja",'Mapa final'!$AC$20="Mayor"),CONCATENATE("R3C",'Mapa final'!$Q$20),"")</f>
        <v/>
      </c>
      <c r="AH38" s="39" t="str">
        <f>IF(AND('Mapa final'!$AA$15="Baja",'Mapa final'!$AC$15="Catastrófico"),CONCATENATE("R3C",'Mapa final'!$Q$15),"")</f>
        <v/>
      </c>
      <c r="AI38" s="40" t="str">
        <f>IF(AND('Mapa final'!$AA$16="Baja",'Mapa final'!$AC$16="Catastrófico"),CONCATENATE("R3C",'Mapa final'!$Q$16),"")</f>
        <v/>
      </c>
      <c r="AJ38" s="40" t="str">
        <f>IF(AND('Mapa final'!$AA$17="Baja",'Mapa final'!$AC$17="Catastrófico"),CONCATENATE("R3C",'Mapa final'!$Q$17),"")</f>
        <v/>
      </c>
      <c r="AK38" s="40" t="str">
        <f>IF(AND('Mapa final'!$AA$18="Baja",'Mapa final'!$AC$18="Catastrófico"),CONCATENATE("R3C",'Mapa final'!$Q$18),"")</f>
        <v/>
      </c>
      <c r="AL38" s="40" t="str">
        <f>IF(AND('Mapa final'!$AA$19="Baja",'Mapa final'!$AC$19="Catastrófico"),CONCATENATE("R3C",'Mapa final'!$Q$19),"")</f>
        <v/>
      </c>
      <c r="AM38" s="41" t="str">
        <f>IF(AND('Mapa final'!$AA$20="Baja",'Mapa final'!$AC$20="Catastrófico"),CONCATENATE("R3C",'Mapa final'!$Q$20),"")</f>
        <v/>
      </c>
      <c r="AN38" s="68"/>
      <c r="AO38" s="421"/>
      <c r="AP38" s="422"/>
      <c r="AQ38" s="422"/>
      <c r="AR38" s="422"/>
      <c r="AS38" s="422"/>
      <c r="AT38" s="423"/>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row>
    <row r="39" spans="1:80" ht="15" customHeight="1" x14ac:dyDescent="0.25">
      <c r="A39" s="68"/>
      <c r="B39" s="348"/>
      <c r="C39" s="348"/>
      <c r="D39" s="349"/>
      <c r="E39" s="389"/>
      <c r="F39" s="390"/>
      <c r="G39" s="390"/>
      <c r="H39" s="390"/>
      <c r="I39" s="406"/>
      <c r="J39" s="61" t="str">
        <f>IF(AND('Mapa final'!$AA$21="Baja",'Mapa final'!$AC$21="Leve"),CONCATENATE("R4C",'Mapa final'!$Q$21),"")</f>
        <v/>
      </c>
      <c r="K39" s="62" t="str">
        <f>IF(AND('Mapa final'!$AA$22="Baja",'Mapa final'!$AC$22="Leve"),CONCATENATE("R4C",'Mapa final'!$Q$22),"")</f>
        <v/>
      </c>
      <c r="L39" s="62" t="str">
        <f>IF(AND('Mapa final'!$AA$23="Baja",'Mapa final'!$AC$23="Leve"),CONCATENATE("R4C",'Mapa final'!$Q$23),"")</f>
        <v/>
      </c>
      <c r="M39" s="62" t="str">
        <f>IF(AND('Mapa final'!$AA$24="Baja",'Mapa final'!$AC$24="Leve"),CONCATENATE("R4C",'Mapa final'!$Q$24),"")</f>
        <v/>
      </c>
      <c r="N39" s="62" t="str">
        <f>IF(AND('Mapa final'!$AA$25="Baja",'Mapa final'!$AC$25="Leve"),CONCATENATE("R4C",'Mapa final'!$Q$25),"")</f>
        <v/>
      </c>
      <c r="O39" s="63" t="str">
        <f>IF(AND('Mapa final'!$AA$26="Baja",'Mapa final'!$AC$26="Leve"),CONCATENATE("R4C",'Mapa final'!$Q$26),"")</f>
        <v/>
      </c>
      <c r="P39" s="52" t="str">
        <f>IF(AND('Mapa final'!$AA$21="Baja",'Mapa final'!$AC$21="Menor"),CONCATENATE("R4C",'Mapa final'!$Q$21),"")</f>
        <v/>
      </c>
      <c r="Q39" s="53" t="str">
        <f>IF(AND('Mapa final'!$AA$22="Baja",'Mapa final'!$AC$22="Menor"),CONCATENATE("R4C",'Mapa final'!$Q$22),"")</f>
        <v/>
      </c>
      <c r="R39" s="53" t="str">
        <f>IF(AND('Mapa final'!$AA$23="Baja",'Mapa final'!$AC$23="Menor"),CONCATENATE("R4C",'Mapa final'!$Q$23),"")</f>
        <v/>
      </c>
      <c r="S39" s="53" t="str">
        <f>IF(AND('Mapa final'!$AA$24="Baja",'Mapa final'!$AC$24="Menor"),CONCATENATE("R4C",'Mapa final'!$Q$24),"")</f>
        <v/>
      </c>
      <c r="T39" s="53" t="str">
        <f>IF(AND('Mapa final'!$AA$25="Baja",'Mapa final'!$AC$25="Menor"),CONCATENATE("R4C",'Mapa final'!$Q$25),"")</f>
        <v/>
      </c>
      <c r="U39" s="54" t="str">
        <f>IF(AND('Mapa final'!$AA$26="Baja",'Mapa final'!$AC$26="Menor"),CONCATENATE("R4C",'Mapa final'!$Q$26),"")</f>
        <v/>
      </c>
      <c r="V39" s="52" t="str">
        <f>IF(AND('Mapa final'!$AA$21="Baja",'Mapa final'!$AC$21="Moderado"),CONCATENATE("R4C",'Mapa final'!$Q$21),"")</f>
        <v/>
      </c>
      <c r="W39" s="53" t="str">
        <f>IF(AND('Mapa final'!$AA$22="Baja",'Mapa final'!$AC$22="Moderado"),CONCATENATE("R4C",'Mapa final'!$Q$22),"")</f>
        <v/>
      </c>
      <c r="X39" s="53" t="str">
        <f>IF(AND('Mapa final'!$AA$23="Baja",'Mapa final'!$AC$23="Moderado"),CONCATENATE("R4C",'Mapa final'!$Q$23),"")</f>
        <v/>
      </c>
      <c r="Y39" s="53" t="str">
        <f>IF(AND('Mapa final'!$AA$24="Baja",'Mapa final'!$AC$24="Moderado"),CONCATENATE("R4C",'Mapa final'!$Q$24),"")</f>
        <v/>
      </c>
      <c r="Z39" s="53" t="str">
        <f>IF(AND('Mapa final'!$AA$25="Baja",'Mapa final'!$AC$25="Moderado"),CONCATENATE("R4C",'Mapa final'!$Q$25),"")</f>
        <v/>
      </c>
      <c r="AA39" s="54" t="str">
        <f>IF(AND('Mapa final'!$AA$26="Baja",'Mapa final'!$AC$26="Moderado"),CONCATENATE("R4C",'Mapa final'!$Q$26),"")</f>
        <v/>
      </c>
      <c r="AB39" s="36" t="str">
        <f>IF(AND('Mapa final'!$AA$21="Baja",'Mapa final'!$AC$21="Mayor"),CONCATENATE("R4C",'Mapa final'!$Q$21),"")</f>
        <v/>
      </c>
      <c r="AC39" s="37" t="str">
        <f>IF(AND('Mapa final'!$AA$22="Baja",'Mapa final'!$AC$22="Mayor"),CONCATENATE("R4C",'Mapa final'!$Q$22),"")</f>
        <v/>
      </c>
      <c r="AD39" s="37" t="str">
        <f>IF(AND('Mapa final'!$AA$23="Baja",'Mapa final'!$AC$23="Mayor"),CONCATENATE("R4C",'Mapa final'!$Q$23),"")</f>
        <v/>
      </c>
      <c r="AE39" s="37" t="str">
        <f>IF(AND('Mapa final'!$AA$24="Baja",'Mapa final'!$AC$24="Mayor"),CONCATENATE("R4C",'Mapa final'!$Q$24),"")</f>
        <v/>
      </c>
      <c r="AF39" s="37" t="str">
        <f>IF(AND('Mapa final'!$AA$25="Baja",'Mapa final'!$AC$25="Mayor"),CONCATENATE("R4C",'Mapa final'!$Q$25),"")</f>
        <v/>
      </c>
      <c r="AG39" s="38" t="str">
        <f>IF(AND('Mapa final'!$AA$26="Baja",'Mapa final'!$AC$26="Mayor"),CONCATENATE("R4C",'Mapa final'!$Q$26),"")</f>
        <v/>
      </c>
      <c r="AH39" s="39" t="str">
        <f>IF(AND('Mapa final'!$AA$21="Baja",'Mapa final'!$AC$21="Catastrófico"),CONCATENATE("R4C",'Mapa final'!$Q$21),"")</f>
        <v/>
      </c>
      <c r="AI39" s="40" t="str">
        <f>IF(AND('Mapa final'!$AA$22="Baja",'Mapa final'!$AC$22="Catastrófico"),CONCATENATE("R4C",'Mapa final'!$Q$22),"")</f>
        <v/>
      </c>
      <c r="AJ39" s="40" t="str">
        <f>IF(AND('Mapa final'!$AA$23="Baja",'Mapa final'!$AC$23="Catastrófico"),CONCATENATE("R4C",'Mapa final'!$Q$23),"")</f>
        <v/>
      </c>
      <c r="AK39" s="40" t="str">
        <f>IF(AND('Mapa final'!$AA$24="Baja",'Mapa final'!$AC$24="Catastrófico"),CONCATENATE("R4C",'Mapa final'!$Q$24),"")</f>
        <v/>
      </c>
      <c r="AL39" s="40" t="str">
        <f>IF(AND('Mapa final'!$AA$25="Baja",'Mapa final'!$AC$25="Catastrófico"),CONCATENATE("R4C",'Mapa final'!$Q$25),"")</f>
        <v/>
      </c>
      <c r="AM39" s="41" t="str">
        <f>IF(AND('Mapa final'!$AA$26="Baja",'Mapa final'!$AC$26="Catastrófico"),CONCATENATE("R4C",'Mapa final'!$Q$26),"")</f>
        <v/>
      </c>
      <c r="AN39" s="68"/>
      <c r="AO39" s="421"/>
      <c r="AP39" s="422"/>
      <c r="AQ39" s="422"/>
      <c r="AR39" s="422"/>
      <c r="AS39" s="422"/>
      <c r="AT39" s="423"/>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row>
    <row r="40" spans="1:80" ht="15" customHeight="1" x14ac:dyDescent="0.25">
      <c r="A40" s="68"/>
      <c r="B40" s="348"/>
      <c r="C40" s="348"/>
      <c r="D40" s="349"/>
      <c r="E40" s="389"/>
      <c r="F40" s="390"/>
      <c r="G40" s="390"/>
      <c r="H40" s="390"/>
      <c r="I40" s="406"/>
      <c r="J40" s="61" t="str">
        <f>IF(AND('Mapa final'!$AA$27="Baja",'Mapa final'!$AC$27="Leve"),CONCATENATE("R5C",'Mapa final'!$Q$27),"")</f>
        <v/>
      </c>
      <c r="K40" s="62" t="str">
        <f>IF(AND('Mapa final'!$AA$28="Baja",'Mapa final'!$AC$28="Leve"),CONCATENATE("R5C",'Mapa final'!$Q$28),"")</f>
        <v/>
      </c>
      <c r="L40" s="62" t="str">
        <f>IF(AND('Mapa final'!$AA$29="Baja",'Mapa final'!$AC$29="Leve"),CONCATENATE("R5C",'Mapa final'!$Q$29),"")</f>
        <v/>
      </c>
      <c r="M40" s="62" t="str">
        <f>IF(AND('Mapa final'!$AA$30="Baja",'Mapa final'!$AC$30="Leve"),CONCATENATE("R5C",'Mapa final'!$Q$30),"")</f>
        <v/>
      </c>
      <c r="N40" s="62" t="str">
        <f>IF(AND('Mapa final'!$AA$31="Baja",'Mapa final'!$AC$31="Leve"),CONCATENATE("R5C",'Mapa final'!$Q$31),"")</f>
        <v/>
      </c>
      <c r="O40" s="63" t="str">
        <f>IF(AND('Mapa final'!$AA$32="Baja",'Mapa final'!$AC$32="Leve"),CONCATENATE("R5C",'Mapa final'!$Q$32),"")</f>
        <v/>
      </c>
      <c r="P40" s="52" t="str">
        <f>IF(AND('Mapa final'!$AA$27="Baja",'Mapa final'!$AC$27="Menor"),CONCATENATE("R5C",'Mapa final'!$Q$27),"")</f>
        <v/>
      </c>
      <c r="Q40" s="53" t="str">
        <f>IF(AND('Mapa final'!$AA$28="Baja",'Mapa final'!$AC$28="Menor"),CONCATENATE("R5C",'Mapa final'!$Q$28),"")</f>
        <v/>
      </c>
      <c r="R40" s="53" t="str">
        <f>IF(AND('Mapa final'!$AA$29="Baja",'Mapa final'!$AC$29="Menor"),CONCATENATE("R5C",'Mapa final'!$Q$29),"")</f>
        <v/>
      </c>
      <c r="S40" s="53" t="str">
        <f>IF(AND('Mapa final'!$AA$30="Baja",'Mapa final'!$AC$30="Menor"),CONCATENATE("R5C",'Mapa final'!$Q$30),"")</f>
        <v/>
      </c>
      <c r="T40" s="53" t="str">
        <f>IF(AND('Mapa final'!$AA$31="Baja",'Mapa final'!$AC$31="Menor"),CONCATENATE("R5C",'Mapa final'!$Q$31),"")</f>
        <v/>
      </c>
      <c r="U40" s="54" t="str">
        <f>IF(AND('Mapa final'!$AA$32="Baja",'Mapa final'!$AC$32="Menor"),CONCATENATE("R5C",'Mapa final'!$Q$32),"")</f>
        <v/>
      </c>
      <c r="V40" s="52" t="str">
        <f>IF(AND('Mapa final'!$AA$27="Baja",'Mapa final'!$AC$27="Moderado"),CONCATENATE("R5C",'Mapa final'!$Q$27),"")</f>
        <v/>
      </c>
      <c r="W40" s="53" t="str">
        <f>IF(AND('Mapa final'!$AA$28="Baja",'Mapa final'!$AC$28="Moderado"),CONCATENATE("R5C",'Mapa final'!$Q$28),"")</f>
        <v/>
      </c>
      <c r="X40" s="53" t="str">
        <f>IF(AND('Mapa final'!$AA$29="Baja",'Mapa final'!$AC$29="Moderado"),CONCATENATE("R5C",'Mapa final'!$Q$29),"")</f>
        <v/>
      </c>
      <c r="Y40" s="53" t="str">
        <f>IF(AND('Mapa final'!$AA$30="Baja",'Mapa final'!$AC$30="Moderado"),CONCATENATE("R5C",'Mapa final'!$Q$30),"")</f>
        <v/>
      </c>
      <c r="Z40" s="53" t="str">
        <f>IF(AND('Mapa final'!$AA$31="Baja",'Mapa final'!$AC$31="Moderado"),CONCATENATE("R5C",'Mapa final'!$Q$31),"")</f>
        <v/>
      </c>
      <c r="AA40" s="54" t="str">
        <f>IF(AND('Mapa final'!$AA$32="Baja",'Mapa final'!$AC$32="Moderado"),CONCATENATE("R5C",'Mapa final'!$Q$32),"")</f>
        <v/>
      </c>
      <c r="AB40" s="36" t="str">
        <f>IF(AND('Mapa final'!$AA$27="Baja",'Mapa final'!$AC$27="Mayor"),CONCATENATE("R5C",'Mapa final'!$Q$27),"")</f>
        <v/>
      </c>
      <c r="AC40" s="37" t="str">
        <f>IF(AND('Mapa final'!$AA$28="Baja",'Mapa final'!$AC$28="Mayor"),CONCATENATE("R5C",'Mapa final'!$Q$28),"")</f>
        <v/>
      </c>
      <c r="AD40" s="42" t="str">
        <f>IF(AND('Mapa final'!$AA$29="Baja",'Mapa final'!$AC$29="Mayor"),CONCATENATE("R5C",'Mapa final'!$Q$29),"")</f>
        <v/>
      </c>
      <c r="AE40" s="42" t="str">
        <f>IF(AND('Mapa final'!$AA$30="Baja",'Mapa final'!$AC$30="Mayor"),CONCATENATE("R5C",'Mapa final'!$Q$30),"")</f>
        <v/>
      </c>
      <c r="AF40" s="42" t="str">
        <f>IF(AND('Mapa final'!$AA$31="Baja",'Mapa final'!$AC$31="Mayor"),CONCATENATE("R5C",'Mapa final'!$Q$31),"")</f>
        <v/>
      </c>
      <c r="AG40" s="38" t="str">
        <f>IF(AND('Mapa final'!$AA$32="Baja",'Mapa final'!$AC$32="Mayor"),CONCATENATE("R5C",'Mapa final'!$Q$32),"")</f>
        <v/>
      </c>
      <c r="AH40" s="39" t="str">
        <f>IF(AND('Mapa final'!$AA$27="Baja",'Mapa final'!$AC$27="Catastrófico"),CONCATENATE("R5C",'Mapa final'!$Q$27),"")</f>
        <v/>
      </c>
      <c r="AI40" s="40" t="str">
        <f>IF(AND('Mapa final'!$AA$28="Baja",'Mapa final'!$AC$28="Catastrófico"),CONCATENATE("R5C",'Mapa final'!$Q$28),"")</f>
        <v/>
      </c>
      <c r="AJ40" s="40" t="str">
        <f>IF(AND('Mapa final'!$AA$29="Baja",'Mapa final'!$AC$29="Catastrófico"),CONCATENATE("R5C",'Mapa final'!$Q$29),"")</f>
        <v/>
      </c>
      <c r="AK40" s="40" t="str">
        <f>IF(AND('Mapa final'!$AA$30="Baja",'Mapa final'!$AC$30="Catastrófico"),CONCATENATE("R5C",'Mapa final'!$Q$30),"")</f>
        <v/>
      </c>
      <c r="AL40" s="40" t="str">
        <f>IF(AND('Mapa final'!$AA$31="Baja",'Mapa final'!$AC$31="Catastrófico"),CONCATENATE("R5C",'Mapa final'!$Q$31),"")</f>
        <v/>
      </c>
      <c r="AM40" s="41" t="str">
        <f>IF(AND('Mapa final'!$AA$32="Baja",'Mapa final'!$AC$32="Catastrófico"),CONCATENATE("R5C",'Mapa final'!$Q$32),"")</f>
        <v/>
      </c>
      <c r="AN40" s="68"/>
      <c r="AO40" s="421"/>
      <c r="AP40" s="422"/>
      <c r="AQ40" s="422"/>
      <c r="AR40" s="422"/>
      <c r="AS40" s="422"/>
      <c r="AT40" s="423"/>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row>
    <row r="41" spans="1:80" ht="15" customHeight="1" x14ac:dyDescent="0.25">
      <c r="A41" s="68"/>
      <c r="B41" s="348"/>
      <c r="C41" s="348"/>
      <c r="D41" s="349"/>
      <c r="E41" s="389"/>
      <c r="F41" s="390"/>
      <c r="G41" s="390"/>
      <c r="H41" s="390"/>
      <c r="I41" s="406"/>
      <c r="J41" s="61" t="str">
        <f>IF(AND('Mapa final'!$AA$33="Baja",'Mapa final'!$AC$33="Leve"),CONCATENATE("R6C",'Mapa final'!$Q$33),"")</f>
        <v/>
      </c>
      <c r="K41" s="62" t="str">
        <f>IF(AND('Mapa final'!$AA$34="Baja",'Mapa final'!$AC$34="Leve"),CONCATENATE("R6C",'Mapa final'!$Q$34),"")</f>
        <v/>
      </c>
      <c r="L41" s="62" t="str">
        <f>IF(AND('Mapa final'!$AA$35="Baja",'Mapa final'!$AC$35="Leve"),CONCATENATE("R6C",'Mapa final'!$Q$35),"")</f>
        <v/>
      </c>
      <c r="M41" s="62" t="str">
        <f>IF(AND('Mapa final'!$AA$36="Baja",'Mapa final'!$AC$36="Leve"),CONCATENATE("R6C",'Mapa final'!$Q$36),"")</f>
        <v/>
      </c>
      <c r="N41" s="62" t="str">
        <f>IF(AND('Mapa final'!$AA$37="Baja",'Mapa final'!$AC$37="Leve"),CONCATENATE("R6C",'Mapa final'!$Q$37),"")</f>
        <v/>
      </c>
      <c r="O41" s="63" t="str">
        <f>IF(AND('Mapa final'!$AA$38="Baja",'Mapa final'!$AC$38="Leve"),CONCATENATE("R6C",'Mapa final'!$Q$38),"")</f>
        <v/>
      </c>
      <c r="P41" s="52" t="str">
        <f>IF(AND('Mapa final'!$AA$33="Baja",'Mapa final'!$AC$33="Menor"),CONCATENATE("R6C",'Mapa final'!$Q$33),"")</f>
        <v/>
      </c>
      <c r="Q41" s="53" t="str">
        <f>IF(AND('Mapa final'!$AA$34="Baja",'Mapa final'!$AC$34="Menor"),CONCATENATE("R6C",'Mapa final'!$Q$34),"")</f>
        <v/>
      </c>
      <c r="R41" s="53" t="str">
        <f>IF(AND('Mapa final'!$AA$35="Baja",'Mapa final'!$AC$35="Menor"),CONCATENATE("R6C",'Mapa final'!$Q$35),"")</f>
        <v/>
      </c>
      <c r="S41" s="53" t="str">
        <f>IF(AND('Mapa final'!$AA$36="Baja",'Mapa final'!$AC$36="Menor"),CONCATENATE("R6C",'Mapa final'!$Q$36),"")</f>
        <v/>
      </c>
      <c r="T41" s="53" t="str">
        <f>IF(AND('Mapa final'!$AA$37="Baja",'Mapa final'!$AC$37="Menor"),CONCATENATE("R6C",'Mapa final'!$Q$37),"")</f>
        <v/>
      </c>
      <c r="U41" s="54" t="str">
        <f>IF(AND('Mapa final'!$AA$38="Baja",'Mapa final'!$AC$38="Menor"),CONCATENATE("R6C",'Mapa final'!$Q$38),"")</f>
        <v/>
      </c>
      <c r="V41" s="52" t="str">
        <f>IF(AND('Mapa final'!$AA$33="Baja",'Mapa final'!$AC$33="Moderado"),CONCATENATE("R6C",'Mapa final'!$Q$33),"")</f>
        <v/>
      </c>
      <c r="W41" s="53" t="str">
        <f>IF(AND('Mapa final'!$AA$34="Baja",'Mapa final'!$AC$34="Moderado"),CONCATENATE("R6C",'Mapa final'!$Q$34),"")</f>
        <v/>
      </c>
      <c r="X41" s="53" t="str">
        <f>IF(AND('Mapa final'!$AA$35="Baja",'Mapa final'!$AC$35="Moderado"),CONCATENATE("R6C",'Mapa final'!$Q$35),"")</f>
        <v/>
      </c>
      <c r="Y41" s="53" t="str">
        <f>IF(AND('Mapa final'!$AA$36="Baja",'Mapa final'!$AC$36="Moderado"),CONCATENATE("R6C",'Mapa final'!$Q$36),"")</f>
        <v/>
      </c>
      <c r="Z41" s="53" t="str">
        <f>IF(AND('Mapa final'!$AA$37="Baja",'Mapa final'!$AC$37="Moderado"),CONCATENATE("R6C",'Mapa final'!$Q$37),"")</f>
        <v/>
      </c>
      <c r="AA41" s="54" t="str">
        <f>IF(AND('Mapa final'!$AA$38="Baja",'Mapa final'!$AC$38="Moderado"),CONCATENATE("R6C",'Mapa final'!$Q$38),"")</f>
        <v/>
      </c>
      <c r="AB41" s="36" t="str">
        <f>IF(AND('Mapa final'!$AA$33="Baja",'Mapa final'!$AC$33="Mayor"),CONCATENATE("R6C",'Mapa final'!$Q$33),"")</f>
        <v/>
      </c>
      <c r="AC41" s="37" t="str">
        <f>IF(AND('Mapa final'!$AA$34="Baja",'Mapa final'!$AC$34="Mayor"),CONCATENATE("R6C",'Mapa final'!$Q$34),"")</f>
        <v/>
      </c>
      <c r="AD41" s="42" t="str">
        <f>IF(AND('Mapa final'!$AA$35="Baja",'Mapa final'!$AC$35="Mayor"),CONCATENATE("R6C",'Mapa final'!$Q$35),"")</f>
        <v/>
      </c>
      <c r="AE41" s="42" t="str">
        <f>IF(AND('Mapa final'!$AA$36="Baja",'Mapa final'!$AC$36="Mayor"),CONCATENATE("R6C",'Mapa final'!$Q$36),"")</f>
        <v/>
      </c>
      <c r="AF41" s="42" t="str">
        <f>IF(AND('Mapa final'!$AA$37="Baja",'Mapa final'!$AC$37="Mayor"),CONCATENATE("R6C",'Mapa final'!$Q$37),"")</f>
        <v/>
      </c>
      <c r="AG41" s="38" t="str">
        <f>IF(AND('Mapa final'!$AA$38="Baja",'Mapa final'!$AC$38="Mayor"),CONCATENATE("R6C",'Mapa final'!$Q$38),"")</f>
        <v/>
      </c>
      <c r="AH41" s="39" t="str">
        <f>IF(AND('Mapa final'!$AA$33="Baja",'Mapa final'!$AC$33="Catastrófico"),CONCATENATE("R6C",'Mapa final'!$Q$33),"")</f>
        <v/>
      </c>
      <c r="AI41" s="40" t="str">
        <f>IF(AND('Mapa final'!$AA$34="Baja",'Mapa final'!$AC$34="Catastrófico"),CONCATENATE("R6C",'Mapa final'!$Q$34),"")</f>
        <v/>
      </c>
      <c r="AJ41" s="40" t="str">
        <f>IF(AND('Mapa final'!$AA$35="Baja",'Mapa final'!$AC$35="Catastrófico"),CONCATENATE("R6C",'Mapa final'!$Q$35),"")</f>
        <v/>
      </c>
      <c r="AK41" s="40" t="str">
        <f>IF(AND('Mapa final'!$AA$36="Baja",'Mapa final'!$AC$36="Catastrófico"),CONCATENATE("R6C",'Mapa final'!$Q$36),"")</f>
        <v/>
      </c>
      <c r="AL41" s="40" t="str">
        <f>IF(AND('Mapa final'!$AA$37="Baja",'Mapa final'!$AC$37="Catastrófico"),CONCATENATE("R6C",'Mapa final'!$Q$37),"")</f>
        <v/>
      </c>
      <c r="AM41" s="41" t="str">
        <f>IF(AND('Mapa final'!$AA$38="Baja",'Mapa final'!$AC$38="Catastrófico"),CONCATENATE("R6C",'Mapa final'!$Q$38),"")</f>
        <v/>
      </c>
      <c r="AN41" s="68"/>
      <c r="AO41" s="421"/>
      <c r="AP41" s="422"/>
      <c r="AQ41" s="422"/>
      <c r="AR41" s="422"/>
      <c r="AS41" s="422"/>
      <c r="AT41" s="423"/>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row>
    <row r="42" spans="1:80" ht="15" customHeight="1" x14ac:dyDescent="0.25">
      <c r="A42" s="68"/>
      <c r="B42" s="348"/>
      <c r="C42" s="348"/>
      <c r="D42" s="349"/>
      <c r="E42" s="389"/>
      <c r="F42" s="390"/>
      <c r="G42" s="390"/>
      <c r="H42" s="390"/>
      <c r="I42" s="406"/>
      <c r="J42" s="61" t="str">
        <f>IF(AND('Mapa final'!$AA$39="Baja",'Mapa final'!$AC$39="Leve"),CONCATENATE("R7C",'Mapa final'!$Q$39),"")</f>
        <v/>
      </c>
      <c r="K42" s="62" t="str">
        <f>IF(AND('Mapa final'!$AA$40="Baja",'Mapa final'!$AC$40="Leve"),CONCATENATE("R7C",'Mapa final'!$Q$40),"")</f>
        <v/>
      </c>
      <c r="L42" s="62" t="str">
        <f>IF(AND('Mapa final'!$AA$41="Baja",'Mapa final'!$AC$41="Leve"),CONCATENATE("R7C",'Mapa final'!$Q$41),"")</f>
        <v/>
      </c>
      <c r="M42" s="62" t="str">
        <f>IF(AND('Mapa final'!$AA$42="Baja",'Mapa final'!$AC$42="Leve"),CONCATENATE("R7C",'Mapa final'!$Q$42),"")</f>
        <v/>
      </c>
      <c r="N42" s="62" t="str">
        <f>IF(AND('Mapa final'!$AA$43="Baja",'Mapa final'!$AC$43="Leve"),CONCATENATE("R7C",'Mapa final'!$Q$43),"")</f>
        <v/>
      </c>
      <c r="O42" s="63" t="str">
        <f>IF(AND('Mapa final'!$AA$44="Baja",'Mapa final'!$AC$44="Leve"),CONCATENATE("R7C",'Mapa final'!$Q$44),"")</f>
        <v/>
      </c>
      <c r="P42" s="52" t="str">
        <f>IF(AND('Mapa final'!$AA$39="Baja",'Mapa final'!$AC$39="Menor"),CONCATENATE("R7C",'Mapa final'!$Q$39),"")</f>
        <v/>
      </c>
      <c r="Q42" s="53" t="str">
        <f>IF(AND('Mapa final'!$AA$40="Baja",'Mapa final'!$AC$40="Menor"),CONCATENATE("R7C",'Mapa final'!$Q$40),"")</f>
        <v/>
      </c>
      <c r="R42" s="53" t="str">
        <f>IF(AND('Mapa final'!$AA$41="Baja",'Mapa final'!$AC$41="Menor"),CONCATENATE("R7C",'Mapa final'!$Q$41),"")</f>
        <v/>
      </c>
      <c r="S42" s="53" t="str">
        <f>IF(AND('Mapa final'!$AA$42="Baja",'Mapa final'!$AC$42="Menor"),CONCATENATE("R7C",'Mapa final'!$Q$42),"")</f>
        <v/>
      </c>
      <c r="T42" s="53" t="str">
        <f>IF(AND('Mapa final'!$AA$43="Baja",'Mapa final'!$AC$43="Menor"),CONCATENATE("R7C",'Mapa final'!$Q$43),"")</f>
        <v/>
      </c>
      <c r="U42" s="54" t="str">
        <f>IF(AND('Mapa final'!$AA$44="Baja",'Mapa final'!$AC$44="Menor"),CONCATENATE("R7C",'Mapa final'!$Q$44),"")</f>
        <v/>
      </c>
      <c r="V42" s="52" t="str">
        <f>IF(AND('Mapa final'!$AA$39="Baja",'Mapa final'!$AC$39="Moderado"),CONCATENATE("R7C",'Mapa final'!$Q$39),"")</f>
        <v/>
      </c>
      <c r="W42" s="53" t="str">
        <f>IF(AND('Mapa final'!$AA$40="Baja",'Mapa final'!$AC$40="Moderado"),CONCATENATE("R7C",'Mapa final'!$Q$40),"")</f>
        <v/>
      </c>
      <c r="X42" s="53" t="str">
        <f>IF(AND('Mapa final'!$AA$41="Baja",'Mapa final'!$AC$41="Moderado"),CONCATENATE("R7C",'Mapa final'!$Q$41),"")</f>
        <v/>
      </c>
      <c r="Y42" s="53" t="str">
        <f>IF(AND('Mapa final'!$AA$42="Baja",'Mapa final'!$AC$42="Moderado"),CONCATENATE("R7C",'Mapa final'!$Q$42),"")</f>
        <v/>
      </c>
      <c r="Z42" s="53" t="str">
        <f>IF(AND('Mapa final'!$AA$43="Baja",'Mapa final'!$AC$43="Moderado"),CONCATENATE("R7C",'Mapa final'!$Q$43),"")</f>
        <v/>
      </c>
      <c r="AA42" s="54" t="str">
        <f>IF(AND('Mapa final'!$AA$44="Baja",'Mapa final'!$AC$44="Moderado"),CONCATENATE("R7C",'Mapa final'!$Q$44),"")</f>
        <v/>
      </c>
      <c r="AB42" s="36" t="str">
        <f>IF(AND('Mapa final'!$AA$39="Baja",'Mapa final'!$AC$39="Mayor"),CONCATENATE("R7C",'Mapa final'!$Q$39),"")</f>
        <v/>
      </c>
      <c r="AC42" s="37" t="str">
        <f>IF(AND('Mapa final'!$AA$40="Baja",'Mapa final'!$AC$40="Mayor"),CONCATENATE("R7C",'Mapa final'!$Q$40),"")</f>
        <v/>
      </c>
      <c r="AD42" s="42" t="str">
        <f>IF(AND('Mapa final'!$AA$41="Baja",'Mapa final'!$AC$41="Mayor"),CONCATENATE("R7C",'Mapa final'!$Q$41),"")</f>
        <v/>
      </c>
      <c r="AE42" s="42" t="str">
        <f>IF(AND('Mapa final'!$AA$42="Baja",'Mapa final'!$AC$42="Mayor"),CONCATENATE("R7C",'Mapa final'!$Q$42),"")</f>
        <v/>
      </c>
      <c r="AF42" s="42" t="str">
        <f>IF(AND('Mapa final'!$AA$43="Baja",'Mapa final'!$AC$43="Mayor"),CONCATENATE("R7C",'Mapa final'!$Q$43),"")</f>
        <v/>
      </c>
      <c r="AG42" s="38" t="str">
        <f>IF(AND('Mapa final'!$AA$44="Baja",'Mapa final'!$AC$44="Mayor"),CONCATENATE("R7C",'Mapa final'!$Q$44),"")</f>
        <v/>
      </c>
      <c r="AH42" s="39" t="str">
        <f>IF(AND('Mapa final'!$AA$39="Baja",'Mapa final'!$AC$39="Catastrófico"),CONCATENATE("R7C",'Mapa final'!$Q$39),"")</f>
        <v/>
      </c>
      <c r="AI42" s="40" t="str">
        <f>IF(AND('Mapa final'!$AA$40="Baja",'Mapa final'!$AC$40="Catastrófico"),CONCATENATE("R7C",'Mapa final'!$Q$40),"")</f>
        <v/>
      </c>
      <c r="AJ42" s="40" t="str">
        <f>IF(AND('Mapa final'!$AA$41="Baja",'Mapa final'!$AC$41="Catastrófico"),CONCATENATE("R7C",'Mapa final'!$Q$41),"")</f>
        <v/>
      </c>
      <c r="AK42" s="40" t="str">
        <f>IF(AND('Mapa final'!$AA$42="Baja",'Mapa final'!$AC$42="Catastrófico"),CONCATENATE("R7C",'Mapa final'!$Q$42),"")</f>
        <v/>
      </c>
      <c r="AL42" s="40" t="str">
        <f>IF(AND('Mapa final'!$AA$43="Baja",'Mapa final'!$AC$43="Catastrófico"),CONCATENATE("R7C",'Mapa final'!$Q$43),"")</f>
        <v/>
      </c>
      <c r="AM42" s="41" t="str">
        <f>IF(AND('Mapa final'!$AA$44="Baja",'Mapa final'!$AC$44="Catastrófico"),CONCATENATE("R7C",'Mapa final'!$Q$44),"")</f>
        <v/>
      </c>
      <c r="AN42" s="68"/>
      <c r="AO42" s="421"/>
      <c r="AP42" s="422"/>
      <c r="AQ42" s="422"/>
      <c r="AR42" s="422"/>
      <c r="AS42" s="422"/>
      <c r="AT42" s="423"/>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row>
    <row r="43" spans="1:80" ht="15" customHeight="1" x14ac:dyDescent="0.25">
      <c r="A43" s="68"/>
      <c r="B43" s="348"/>
      <c r="C43" s="348"/>
      <c r="D43" s="349"/>
      <c r="E43" s="389"/>
      <c r="F43" s="390"/>
      <c r="G43" s="390"/>
      <c r="H43" s="390"/>
      <c r="I43" s="406"/>
      <c r="J43" s="61" t="str">
        <f>IF(AND('Mapa final'!$AA$45="Baja",'Mapa final'!$AC$45="Leve"),CONCATENATE("R8C",'Mapa final'!$Q$45),"")</f>
        <v/>
      </c>
      <c r="K43" s="62" t="str">
        <f>IF(AND('Mapa final'!$AA$46="Baja",'Mapa final'!$AC$46="Leve"),CONCATENATE("R8C",'Mapa final'!$Q$46),"")</f>
        <v/>
      </c>
      <c r="L43" s="62" t="str">
        <f>IF(AND('Mapa final'!$AA$47="Baja",'Mapa final'!$AC$47="Leve"),CONCATENATE("R8C",'Mapa final'!$Q$47),"")</f>
        <v/>
      </c>
      <c r="M43" s="62" t="str">
        <f>IF(AND('Mapa final'!$AA$48="Baja",'Mapa final'!$AC$48="Leve"),CONCATENATE("R8C",'Mapa final'!$Q$48),"")</f>
        <v/>
      </c>
      <c r="N43" s="62" t="str">
        <f>IF(AND('Mapa final'!$AA$49="Baja",'Mapa final'!$AC$49="Leve"),CONCATENATE("R8C",'Mapa final'!$Q$49),"")</f>
        <v/>
      </c>
      <c r="O43" s="63" t="str">
        <f>IF(AND('Mapa final'!$AA$50="Baja",'Mapa final'!$AC$50="Leve"),CONCATENATE("R8C",'Mapa final'!$Q$50),"")</f>
        <v/>
      </c>
      <c r="P43" s="52" t="str">
        <f>IF(AND('Mapa final'!$AA$45="Baja",'Mapa final'!$AC$45="Menor"),CONCATENATE("R8C",'Mapa final'!$Q$45),"")</f>
        <v/>
      </c>
      <c r="Q43" s="53" t="str">
        <f>IF(AND('Mapa final'!$AA$46="Baja",'Mapa final'!$AC$46="Menor"),CONCATENATE("R8C",'Mapa final'!$Q$46),"")</f>
        <v/>
      </c>
      <c r="R43" s="53" t="str">
        <f>IF(AND('Mapa final'!$AA$47="Baja",'Mapa final'!$AC$47="Menor"),CONCATENATE("R8C",'Mapa final'!$Q$47),"")</f>
        <v/>
      </c>
      <c r="S43" s="53" t="str">
        <f>IF(AND('Mapa final'!$AA$48="Baja",'Mapa final'!$AC$48="Menor"),CONCATENATE("R8C",'Mapa final'!$Q$48),"")</f>
        <v/>
      </c>
      <c r="T43" s="53" t="str">
        <f>IF(AND('Mapa final'!$AA$49="Baja",'Mapa final'!$AC$49="Menor"),CONCATENATE("R8C",'Mapa final'!$Q$49),"")</f>
        <v/>
      </c>
      <c r="U43" s="54" t="str">
        <f>IF(AND('Mapa final'!$AA$50="Baja",'Mapa final'!$AC$50="Menor"),CONCATENATE("R8C",'Mapa final'!$Q$50),"")</f>
        <v/>
      </c>
      <c r="V43" s="52" t="str">
        <f>IF(AND('Mapa final'!$AA$45="Baja",'Mapa final'!$AC$45="Moderado"),CONCATENATE("R8C",'Mapa final'!$Q$45),"")</f>
        <v/>
      </c>
      <c r="W43" s="53" t="str">
        <f>IF(AND('Mapa final'!$AA$46="Baja",'Mapa final'!$AC$46="Moderado"),CONCATENATE("R8C",'Mapa final'!$Q$46),"")</f>
        <v/>
      </c>
      <c r="X43" s="53" t="str">
        <f>IF(AND('Mapa final'!$AA$47="Baja",'Mapa final'!$AC$47="Moderado"),CONCATENATE("R8C",'Mapa final'!$Q$47),"")</f>
        <v/>
      </c>
      <c r="Y43" s="53" t="str">
        <f>IF(AND('Mapa final'!$AA$48="Baja",'Mapa final'!$AC$48="Moderado"),CONCATENATE("R8C",'Mapa final'!$Q$48),"")</f>
        <v/>
      </c>
      <c r="Z43" s="53" t="str">
        <f>IF(AND('Mapa final'!$AA$49="Baja",'Mapa final'!$AC$49="Moderado"),CONCATENATE("R8C",'Mapa final'!$Q$49),"")</f>
        <v/>
      </c>
      <c r="AA43" s="54" t="str">
        <f>IF(AND('Mapa final'!$AA$50="Baja",'Mapa final'!$AC$50="Moderado"),CONCATENATE("R8C",'Mapa final'!$Q$50),"")</f>
        <v/>
      </c>
      <c r="AB43" s="36" t="str">
        <f>IF(AND('Mapa final'!$AA$45="Baja",'Mapa final'!$AC$45="Mayor"),CONCATENATE("R8C",'Mapa final'!$Q$45),"")</f>
        <v/>
      </c>
      <c r="AC43" s="37" t="str">
        <f>IF(AND('Mapa final'!$AA$46="Baja",'Mapa final'!$AC$46="Mayor"),CONCATENATE("R8C",'Mapa final'!$Q$46),"")</f>
        <v/>
      </c>
      <c r="AD43" s="42" t="str">
        <f>IF(AND('Mapa final'!$AA$47="Baja",'Mapa final'!$AC$47="Mayor"),CONCATENATE("R8C",'Mapa final'!$Q$47),"")</f>
        <v/>
      </c>
      <c r="AE43" s="42" t="str">
        <f>IF(AND('Mapa final'!$AA$48="Baja",'Mapa final'!$AC$48="Mayor"),CONCATENATE("R8C",'Mapa final'!$Q$48),"")</f>
        <v/>
      </c>
      <c r="AF43" s="42" t="str">
        <f>IF(AND('Mapa final'!$AA$49="Baja",'Mapa final'!$AC$49="Mayor"),CONCATENATE("R8C",'Mapa final'!$Q$49),"")</f>
        <v/>
      </c>
      <c r="AG43" s="38" t="str">
        <f>IF(AND('Mapa final'!$AA$50="Baja",'Mapa final'!$AC$50="Mayor"),CONCATENATE("R8C",'Mapa final'!$Q$50),"")</f>
        <v/>
      </c>
      <c r="AH43" s="39" t="str">
        <f>IF(AND('Mapa final'!$AA$45="Baja",'Mapa final'!$AC$45="Catastrófico"),CONCATENATE("R8C",'Mapa final'!$Q$45),"")</f>
        <v/>
      </c>
      <c r="AI43" s="40" t="str">
        <f>IF(AND('Mapa final'!$AA$46="Baja",'Mapa final'!$AC$46="Catastrófico"),CONCATENATE("R8C",'Mapa final'!$Q$46),"")</f>
        <v/>
      </c>
      <c r="AJ43" s="40" t="str">
        <f>IF(AND('Mapa final'!$AA$47="Baja",'Mapa final'!$AC$47="Catastrófico"),CONCATENATE("R8C",'Mapa final'!$Q$47),"")</f>
        <v/>
      </c>
      <c r="AK43" s="40" t="str">
        <f>IF(AND('Mapa final'!$AA$48="Baja",'Mapa final'!$AC$48="Catastrófico"),CONCATENATE("R8C",'Mapa final'!$Q$48),"")</f>
        <v/>
      </c>
      <c r="AL43" s="40" t="str">
        <f>IF(AND('Mapa final'!$AA$49="Baja",'Mapa final'!$AC$49="Catastrófico"),CONCATENATE("R8C",'Mapa final'!$Q$49),"")</f>
        <v/>
      </c>
      <c r="AM43" s="41" t="str">
        <f>IF(AND('Mapa final'!$AA$50="Baja",'Mapa final'!$AC$50="Catastrófico"),CONCATENATE("R8C",'Mapa final'!$Q$50),"")</f>
        <v/>
      </c>
      <c r="AN43" s="68"/>
      <c r="AO43" s="421"/>
      <c r="AP43" s="422"/>
      <c r="AQ43" s="422"/>
      <c r="AR43" s="422"/>
      <c r="AS43" s="422"/>
      <c r="AT43" s="423"/>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row>
    <row r="44" spans="1:80" ht="15" customHeight="1" x14ac:dyDescent="0.25">
      <c r="A44" s="68"/>
      <c r="B44" s="348"/>
      <c r="C44" s="348"/>
      <c r="D44" s="349"/>
      <c r="E44" s="389"/>
      <c r="F44" s="390"/>
      <c r="G44" s="390"/>
      <c r="H44" s="390"/>
      <c r="I44" s="406"/>
      <c r="J44" s="61" t="str">
        <f>IF(AND('Mapa final'!$AA$51="Baja",'Mapa final'!$AC$51="Leve"),CONCATENATE("R9C",'Mapa final'!$Q$51),"")</f>
        <v/>
      </c>
      <c r="K44" s="62" t="str">
        <f>IF(AND('Mapa final'!$AA$52="Baja",'Mapa final'!$AC$52="Leve"),CONCATENATE("R9C",'Mapa final'!$Q$52),"")</f>
        <v/>
      </c>
      <c r="L44" s="62" t="str">
        <f>IF(AND('Mapa final'!$AA$53="Baja",'Mapa final'!$AC$53="Leve"),CONCATENATE("R9C",'Mapa final'!$Q$53),"")</f>
        <v/>
      </c>
      <c r="M44" s="62" t="str">
        <f>IF(AND('Mapa final'!$AA$54="Baja",'Mapa final'!$AC$54="Leve"),CONCATENATE("R9C",'Mapa final'!$Q$54),"")</f>
        <v/>
      </c>
      <c r="N44" s="62" t="str">
        <f>IF(AND('Mapa final'!$AA$55="Baja",'Mapa final'!$AC$55="Leve"),CONCATENATE("R9C",'Mapa final'!$Q$55),"")</f>
        <v/>
      </c>
      <c r="O44" s="63" t="str">
        <f>IF(AND('Mapa final'!$AA$56="Baja",'Mapa final'!$AC$56="Leve"),CONCATENATE("R9C",'Mapa final'!$Q$56),"")</f>
        <v/>
      </c>
      <c r="P44" s="52" t="str">
        <f>IF(AND('Mapa final'!$AA$51="Baja",'Mapa final'!$AC$51="Menor"),CONCATENATE("R9C",'Mapa final'!$Q$51),"")</f>
        <v/>
      </c>
      <c r="Q44" s="53" t="str">
        <f>IF(AND('Mapa final'!$AA$52="Baja",'Mapa final'!$AC$52="Menor"),CONCATENATE("R9C",'Mapa final'!$Q$52),"")</f>
        <v/>
      </c>
      <c r="R44" s="53" t="str">
        <f>IF(AND('Mapa final'!$AA$53="Baja",'Mapa final'!$AC$53="Menor"),CONCATENATE("R9C",'Mapa final'!$Q$53),"")</f>
        <v/>
      </c>
      <c r="S44" s="53" t="str">
        <f>IF(AND('Mapa final'!$AA$54="Baja",'Mapa final'!$AC$54="Menor"),CONCATENATE("R9C",'Mapa final'!$Q$54),"")</f>
        <v/>
      </c>
      <c r="T44" s="53" t="str">
        <f>IF(AND('Mapa final'!$AA$55="Baja",'Mapa final'!$AC$55="Menor"),CONCATENATE("R9C",'Mapa final'!$Q$55),"")</f>
        <v/>
      </c>
      <c r="U44" s="54" t="str">
        <f>IF(AND('Mapa final'!$AA$56="Baja",'Mapa final'!$AC$56="Menor"),CONCATENATE("R9C",'Mapa final'!$Q$56),"")</f>
        <v/>
      </c>
      <c r="V44" s="52" t="str">
        <f>IF(AND('Mapa final'!$AA$51="Baja",'Mapa final'!$AC$51="Moderado"),CONCATENATE("R9C",'Mapa final'!$Q$51),"")</f>
        <v/>
      </c>
      <c r="W44" s="53" t="str">
        <f>IF(AND('Mapa final'!$AA$52="Baja",'Mapa final'!$AC$52="Moderado"),CONCATENATE("R9C",'Mapa final'!$Q$52),"")</f>
        <v/>
      </c>
      <c r="X44" s="53" t="str">
        <f>IF(AND('Mapa final'!$AA$53="Baja",'Mapa final'!$AC$53="Moderado"),CONCATENATE("R9C",'Mapa final'!$Q$53),"")</f>
        <v/>
      </c>
      <c r="Y44" s="53" t="str">
        <f>IF(AND('Mapa final'!$AA$54="Baja",'Mapa final'!$AC$54="Moderado"),CONCATENATE("R9C",'Mapa final'!$Q$54),"")</f>
        <v/>
      </c>
      <c r="Z44" s="53" t="str">
        <f>IF(AND('Mapa final'!$AA$55="Baja",'Mapa final'!$AC$55="Moderado"),CONCATENATE("R9C",'Mapa final'!$Q$55),"")</f>
        <v/>
      </c>
      <c r="AA44" s="54" t="str">
        <f>IF(AND('Mapa final'!$AA$56="Baja",'Mapa final'!$AC$56="Moderado"),CONCATENATE("R9C",'Mapa final'!$Q$56),"")</f>
        <v/>
      </c>
      <c r="AB44" s="36" t="str">
        <f>IF(AND('Mapa final'!$AA$51="Baja",'Mapa final'!$AC$51="Mayor"),CONCATENATE("R9C",'Mapa final'!$Q$51),"")</f>
        <v/>
      </c>
      <c r="AC44" s="37" t="str">
        <f>IF(AND('Mapa final'!$AA$52="Baja",'Mapa final'!$AC$52="Mayor"),CONCATENATE("R9C",'Mapa final'!$Q$52),"")</f>
        <v/>
      </c>
      <c r="AD44" s="42" t="str">
        <f>IF(AND('Mapa final'!$AA$53="Baja",'Mapa final'!$AC$53="Mayor"),CONCATENATE("R9C",'Mapa final'!$Q$53),"")</f>
        <v/>
      </c>
      <c r="AE44" s="42" t="str">
        <f>IF(AND('Mapa final'!$AA$54="Baja",'Mapa final'!$AC$54="Mayor"),CONCATENATE("R9C",'Mapa final'!$Q$54),"")</f>
        <v/>
      </c>
      <c r="AF44" s="42" t="str">
        <f>IF(AND('Mapa final'!$AA$55="Baja",'Mapa final'!$AC$55="Mayor"),CONCATENATE("R9C",'Mapa final'!$Q$55),"")</f>
        <v/>
      </c>
      <c r="AG44" s="38" t="str">
        <f>IF(AND('Mapa final'!$AA$56="Baja",'Mapa final'!$AC$56="Mayor"),CONCATENATE("R9C",'Mapa final'!$Q$56),"")</f>
        <v/>
      </c>
      <c r="AH44" s="39" t="str">
        <f>IF(AND('Mapa final'!$AA$51="Baja",'Mapa final'!$AC$51="Catastrófico"),CONCATENATE("R9C",'Mapa final'!$Q$51),"")</f>
        <v/>
      </c>
      <c r="AI44" s="40" t="str">
        <f>IF(AND('Mapa final'!$AA$52="Baja",'Mapa final'!$AC$52="Catastrófico"),CONCATENATE("R9C",'Mapa final'!$Q$52),"")</f>
        <v/>
      </c>
      <c r="AJ44" s="40" t="str">
        <f>IF(AND('Mapa final'!$AA$53="Baja",'Mapa final'!$AC$53="Catastrófico"),CONCATENATE("R9C",'Mapa final'!$Q$53),"")</f>
        <v/>
      </c>
      <c r="AK44" s="40" t="str">
        <f>IF(AND('Mapa final'!$AA$54="Baja",'Mapa final'!$AC$54="Catastrófico"),CONCATENATE("R9C",'Mapa final'!$Q$54),"")</f>
        <v/>
      </c>
      <c r="AL44" s="40" t="str">
        <f>IF(AND('Mapa final'!$AA$55="Baja",'Mapa final'!$AC$55="Catastrófico"),CONCATENATE("R9C",'Mapa final'!$Q$55),"")</f>
        <v/>
      </c>
      <c r="AM44" s="41" t="str">
        <f>IF(AND('Mapa final'!$AA$56="Baja",'Mapa final'!$AC$56="Catastrófico"),CONCATENATE("R9C",'Mapa final'!$Q$56),"")</f>
        <v/>
      </c>
      <c r="AN44" s="68"/>
      <c r="AO44" s="421"/>
      <c r="AP44" s="422"/>
      <c r="AQ44" s="422"/>
      <c r="AR44" s="422"/>
      <c r="AS44" s="422"/>
      <c r="AT44" s="423"/>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row>
    <row r="45" spans="1:80" ht="15.75" customHeight="1" thickBot="1" x14ac:dyDescent="0.3">
      <c r="A45" s="68"/>
      <c r="B45" s="348"/>
      <c r="C45" s="348"/>
      <c r="D45" s="349"/>
      <c r="E45" s="392"/>
      <c r="F45" s="393"/>
      <c r="G45" s="393"/>
      <c r="H45" s="393"/>
      <c r="I45" s="393"/>
      <c r="J45" s="64" t="str">
        <f>IF(AND('Mapa final'!$AA$57="Baja",'Mapa final'!$AC$57="Leve"),CONCATENATE("R10C",'Mapa final'!$Q$57),"")</f>
        <v/>
      </c>
      <c r="K45" s="65" t="str">
        <f>IF(AND('Mapa final'!$AA$58="Baja",'Mapa final'!$AC$58="Leve"),CONCATENATE("R10C",'Mapa final'!$Q$58),"")</f>
        <v/>
      </c>
      <c r="L45" s="65" t="str">
        <f>IF(AND('Mapa final'!$AA$59="Baja",'Mapa final'!$AC$59="Leve"),CONCATENATE("R10C",'Mapa final'!$Q$59),"")</f>
        <v/>
      </c>
      <c r="M45" s="65" t="str">
        <f>IF(AND('Mapa final'!$AA$60="Baja",'Mapa final'!$AC$60="Leve"),CONCATENATE("R10C",'Mapa final'!$Q$60),"")</f>
        <v/>
      </c>
      <c r="N45" s="65" t="str">
        <f>IF(AND('Mapa final'!$AA$61="Baja",'Mapa final'!$AC$61="Leve"),CONCATENATE("R10C",'Mapa final'!$Q$61),"")</f>
        <v/>
      </c>
      <c r="O45" s="66" t="str">
        <f>IF(AND('Mapa final'!$AA$62="Baja",'Mapa final'!$AC$62="Leve"),CONCATENATE("R10C",'Mapa final'!$Q$62),"")</f>
        <v/>
      </c>
      <c r="P45" s="52" t="str">
        <f>IF(AND('Mapa final'!$AA$57="Baja",'Mapa final'!$AC$57="Menor"),CONCATENATE("R10C",'Mapa final'!$Q$57),"")</f>
        <v/>
      </c>
      <c r="Q45" s="53" t="str">
        <f>IF(AND('Mapa final'!$AA$58="Baja",'Mapa final'!$AC$58="Menor"),CONCATENATE("R10C",'Mapa final'!$Q$58),"")</f>
        <v/>
      </c>
      <c r="R45" s="53" t="str">
        <f>IF(AND('Mapa final'!$AA$59="Baja",'Mapa final'!$AC$59="Menor"),CONCATENATE("R10C",'Mapa final'!$Q$59),"")</f>
        <v/>
      </c>
      <c r="S45" s="53" t="str">
        <f>IF(AND('Mapa final'!$AA$60="Baja",'Mapa final'!$AC$60="Menor"),CONCATENATE("R10C",'Mapa final'!$Q$60),"")</f>
        <v/>
      </c>
      <c r="T45" s="53" t="str">
        <f>IF(AND('Mapa final'!$AA$61="Baja",'Mapa final'!$AC$61="Menor"),CONCATENATE("R10C",'Mapa final'!$Q$61),"")</f>
        <v/>
      </c>
      <c r="U45" s="54" t="str">
        <f>IF(AND('Mapa final'!$AA$62="Baja",'Mapa final'!$AC$62="Menor"),CONCATENATE("R10C",'Mapa final'!$Q$62),"")</f>
        <v/>
      </c>
      <c r="V45" s="55" t="str">
        <f>IF(AND('Mapa final'!$AA$57="Baja",'Mapa final'!$AC$57="Moderado"),CONCATENATE("R10C",'Mapa final'!$Q$57),"")</f>
        <v/>
      </c>
      <c r="W45" s="56" t="str">
        <f>IF(AND('Mapa final'!$AA$58="Baja",'Mapa final'!$AC$58="Moderado"),CONCATENATE("R10C",'Mapa final'!$Q$58),"")</f>
        <v/>
      </c>
      <c r="X45" s="56" t="str">
        <f>IF(AND('Mapa final'!$AA$59="Baja",'Mapa final'!$AC$59="Moderado"),CONCATENATE("R10C",'Mapa final'!$Q$59),"")</f>
        <v/>
      </c>
      <c r="Y45" s="56" t="str">
        <f>IF(AND('Mapa final'!$AA$60="Baja",'Mapa final'!$AC$60="Moderado"),CONCATENATE("R10C",'Mapa final'!$Q$60),"")</f>
        <v/>
      </c>
      <c r="Z45" s="56" t="str">
        <f>IF(AND('Mapa final'!$AA$61="Baja",'Mapa final'!$AC$61="Moderado"),CONCATENATE("R10C",'Mapa final'!$Q$61),"")</f>
        <v/>
      </c>
      <c r="AA45" s="57" t="str">
        <f>IF(AND('Mapa final'!$AA$62="Baja",'Mapa final'!$AC$62="Moderado"),CONCATENATE("R10C",'Mapa final'!$Q$62),"")</f>
        <v/>
      </c>
      <c r="AB45" s="43" t="str">
        <f>IF(AND('Mapa final'!$AA$57="Baja",'Mapa final'!$AC$57="Mayor"),CONCATENATE("R10C",'Mapa final'!$Q$57),"")</f>
        <v/>
      </c>
      <c r="AC45" s="44" t="str">
        <f>IF(AND('Mapa final'!$AA$58="Baja",'Mapa final'!$AC$58="Mayor"),CONCATENATE("R10C",'Mapa final'!$Q$58),"")</f>
        <v/>
      </c>
      <c r="AD45" s="44" t="str">
        <f>IF(AND('Mapa final'!$AA$59="Baja",'Mapa final'!$AC$59="Mayor"),CONCATENATE("R10C",'Mapa final'!$Q$59),"")</f>
        <v/>
      </c>
      <c r="AE45" s="44" t="str">
        <f>IF(AND('Mapa final'!$AA$60="Baja",'Mapa final'!$AC$60="Mayor"),CONCATENATE("R10C",'Mapa final'!$Q$60),"")</f>
        <v/>
      </c>
      <c r="AF45" s="44" t="str">
        <f>IF(AND('Mapa final'!$AA$61="Baja",'Mapa final'!$AC$61="Mayor"),CONCATENATE("R10C",'Mapa final'!$Q$61),"")</f>
        <v/>
      </c>
      <c r="AG45" s="45" t="str">
        <f>IF(AND('Mapa final'!$AA$62="Baja",'Mapa final'!$AC$62="Mayor"),CONCATENATE("R10C",'Mapa final'!$Q$62),"")</f>
        <v/>
      </c>
      <c r="AH45" s="46" t="str">
        <f>IF(AND('Mapa final'!$AA$57="Baja",'Mapa final'!$AC$57="Catastrófico"),CONCATENATE("R10C",'Mapa final'!$Q$57),"")</f>
        <v/>
      </c>
      <c r="AI45" s="47" t="str">
        <f>IF(AND('Mapa final'!$AA$58="Baja",'Mapa final'!$AC$58="Catastrófico"),CONCATENATE("R10C",'Mapa final'!$Q$58),"")</f>
        <v/>
      </c>
      <c r="AJ45" s="47" t="str">
        <f>IF(AND('Mapa final'!$AA$59="Baja",'Mapa final'!$AC$59="Catastrófico"),CONCATENATE("R10C",'Mapa final'!$Q$59),"")</f>
        <v/>
      </c>
      <c r="AK45" s="47" t="str">
        <f>IF(AND('Mapa final'!$AA$60="Baja",'Mapa final'!$AC$60="Catastrófico"),CONCATENATE("R10C",'Mapa final'!$Q$60),"")</f>
        <v/>
      </c>
      <c r="AL45" s="47" t="str">
        <f>IF(AND('Mapa final'!$AA$61="Baja",'Mapa final'!$AC$61="Catastrófico"),CONCATENATE("R10C",'Mapa final'!$Q$61),"")</f>
        <v/>
      </c>
      <c r="AM45" s="48" t="str">
        <f>IF(AND('Mapa final'!$AA$62="Baja",'Mapa final'!$AC$62="Catastrófico"),CONCATENATE("R10C",'Mapa final'!$Q$62),"")</f>
        <v/>
      </c>
      <c r="AN45" s="68"/>
      <c r="AO45" s="424"/>
      <c r="AP45" s="425"/>
      <c r="AQ45" s="425"/>
      <c r="AR45" s="425"/>
      <c r="AS45" s="425"/>
      <c r="AT45" s="426"/>
    </row>
    <row r="46" spans="1:80" ht="46.5" customHeight="1" x14ac:dyDescent="0.35">
      <c r="A46" s="68"/>
      <c r="B46" s="348"/>
      <c r="C46" s="348"/>
      <c r="D46" s="349"/>
      <c r="E46" s="386" t="s">
        <v>108</v>
      </c>
      <c r="F46" s="387"/>
      <c r="G46" s="387"/>
      <c r="H46" s="387"/>
      <c r="I46" s="388"/>
      <c r="J46" s="58" t="str">
        <f ca="1">IF(AND('Mapa final'!$AA$10="Muy Baja",'Mapa final'!$AC$10="Leve"),CONCATENATE("R1C",'Mapa final'!$Q$10),"")</f>
        <v/>
      </c>
      <c r="K46" s="59" t="str">
        <f>IF(AND('Mapa final'!$AA$11="Muy Baja",'Mapa final'!$AC$11="Leve"),CONCATENATE("R1C",'Mapa final'!$Q$11),"")</f>
        <v/>
      </c>
      <c r="L46" s="59" t="e">
        <f>IF(AND('Mapa final'!#REF!="Muy Baja",'Mapa final'!#REF!="Leve"),CONCATENATE("R1C",'Mapa final'!#REF!),"")</f>
        <v>#REF!</v>
      </c>
      <c r="M46" s="59" t="e">
        <f>IF(AND('Mapa final'!#REF!="Muy Baja",'Mapa final'!#REF!="Leve"),CONCATENATE("R1C",'Mapa final'!#REF!),"")</f>
        <v>#REF!</v>
      </c>
      <c r="N46" s="59" t="e">
        <f>IF(AND('Mapa final'!#REF!="Muy Baja",'Mapa final'!#REF!="Leve"),CONCATENATE("R1C",'Mapa final'!#REF!),"")</f>
        <v>#REF!</v>
      </c>
      <c r="O46" s="60" t="e">
        <f>IF(AND('Mapa final'!#REF!="Muy Baja",'Mapa final'!#REF!="Leve"),CONCATENATE("R1C",'Mapa final'!#REF!),"")</f>
        <v>#REF!</v>
      </c>
      <c r="P46" s="58" t="str">
        <f ca="1">IF(AND('Mapa final'!$AA$10="Muy Baja",'Mapa final'!$AC$10="Menor"),CONCATENATE("R1C",'Mapa final'!$Q$10),"")</f>
        <v/>
      </c>
      <c r="Q46" s="59" t="str">
        <f>IF(AND('Mapa final'!$AA$11="Muy Baja",'Mapa final'!$AC$11="Menor"),CONCATENATE("R1C",'Mapa final'!$Q$11),"")</f>
        <v/>
      </c>
      <c r="R46" s="59" t="e">
        <f>IF(AND('Mapa final'!#REF!="Muy Baja",'Mapa final'!#REF!="Menor"),CONCATENATE("R1C",'Mapa final'!#REF!),"")</f>
        <v>#REF!</v>
      </c>
      <c r="S46" s="59" t="e">
        <f>IF(AND('Mapa final'!#REF!="Muy Baja",'Mapa final'!#REF!="Menor"),CONCATENATE("R1C",'Mapa final'!#REF!),"")</f>
        <v>#REF!</v>
      </c>
      <c r="T46" s="59" t="e">
        <f>IF(AND('Mapa final'!#REF!="Muy Baja",'Mapa final'!#REF!="Menor"),CONCATENATE("R1C",'Mapa final'!#REF!),"")</f>
        <v>#REF!</v>
      </c>
      <c r="U46" s="60" t="e">
        <f>IF(AND('Mapa final'!#REF!="Muy Baja",'Mapa final'!#REF!="Menor"),CONCATENATE("R1C",'Mapa final'!#REF!),"")</f>
        <v>#REF!</v>
      </c>
      <c r="V46" s="49" t="str">
        <f ca="1">IF(AND('Mapa final'!$AA$10="Muy Baja",'Mapa final'!$AC$10="Moderado"),CONCATENATE("R1C",'Mapa final'!$Q$10),"")</f>
        <v/>
      </c>
      <c r="W46" s="67" t="str">
        <f>IF(AND('Mapa final'!$AA$11="Muy Baja",'Mapa final'!$AC$11="Moderado"),CONCATENATE("R1C",'Mapa final'!$Q$11),"")</f>
        <v/>
      </c>
      <c r="X46" s="50" t="e">
        <f>IF(AND('Mapa final'!#REF!="Muy Baja",'Mapa final'!#REF!="Moderado"),CONCATENATE("R1C",'Mapa final'!#REF!),"")</f>
        <v>#REF!</v>
      </c>
      <c r="Y46" s="50" t="e">
        <f>IF(AND('Mapa final'!#REF!="Muy Baja",'Mapa final'!#REF!="Moderado"),CONCATENATE("R1C",'Mapa final'!#REF!),"")</f>
        <v>#REF!</v>
      </c>
      <c r="Z46" s="50" t="e">
        <f>IF(AND('Mapa final'!#REF!="Muy Baja",'Mapa final'!#REF!="Moderado"),CONCATENATE("R1C",'Mapa final'!#REF!),"")</f>
        <v>#REF!</v>
      </c>
      <c r="AA46" s="51" t="e">
        <f>IF(AND('Mapa final'!#REF!="Muy Baja",'Mapa final'!#REF!="Moderado"),CONCATENATE("R1C",'Mapa final'!#REF!),"")</f>
        <v>#REF!</v>
      </c>
      <c r="AB46" s="30" t="str">
        <f ca="1">IF(AND('Mapa final'!$AA$10="Muy Baja",'Mapa final'!$AC$10="Mayor"),CONCATENATE("R1C",'Mapa final'!$Q$10),"")</f>
        <v/>
      </c>
      <c r="AC46" s="31" t="str">
        <f>IF(AND('Mapa final'!$AA$11="Muy Baja",'Mapa final'!$AC$11="Mayor"),CONCATENATE("R1C",'Mapa final'!$Q$11),"")</f>
        <v/>
      </c>
      <c r="AD46" s="31" t="e">
        <f>IF(AND('Mapa final'!#REF!="Muy Baja",'Mapa final'!#REF!="Mayor"),CONCATENATE("R1C",'Mapa final'!#REF!),"")</f>
        <v>#REF!</v>
      </c>
      <c r="AE46" s="31" t="e">
        <f>IF(AND('Mapa final'!#REF!="Muy Baja",'Mapa final'!#REF!="Mayor"),CONCATENATE("R1C",'Mapa final'!#REF!),"")</f>
        <v>#REF!</v>
      </c>
      <c r="AF46" s="31" t="e">
        <f>IF(AND('Mapa final'!#REF!="Muy Baja",'Mapa final'!#REF!="Mayor"),CONCATENATE("R1C",'Mapa final'!#REF!),"")</f>
        <v>#REF!</v>
      </c>
      <c r="AG46" s="32" t="e">
        <f>IF(AND('Mapa final'!#REF!="Muy Baja",'Mapa final'!#REF!="Mayor"),CONCATENATE("R1C",'Mapa final'!#REF!),"")</f>
        <v>#REF!</v>
      </c>
      <c r="AH46" s="33" t="str">
        <f ca="1">IF(AND('Mapa final'!$AA$10="Muy Baja",'Mapa final'!$AC$10="Catastrófico"),CONCATENATE("R1C",'Mapa final'!$Q$10),"")</f>
        <v/>
      </c>
      <c r="AI46" s="34" t="str">
        <f>IF(AND('Mapa final'!$AA$11="Muy Baja",'Mapa final'!$AC$11="Catastrófico"),CONCATENATE("R1C",'Mapa final'!$Q$11),"")</f>
        <v/>
      </c>
      <c r="AJ46" s="34" t="e">
        <f>IF(AND('Mapa final'!#REF!="Muy Baja",'Mapa final'!#REF!="Catastrófico"),CONCATENATE("R1C",'Mapa final'!#REF!),"")</f>
        <v>#REF!</v>
      </c>
      <c r="AK46" s="34" t="e">
        <f>IF(AND('Mapa final'!#REF!="Muy Baja",'Mapa final'!#REF!="Catastrófico"),CONCATENATE("R1C",'Mapa final'!#REF!),"")</f>
        <v>#REF!</v>
      </c>
      <c r="AL46" s="34" t="e">
        <f>IF(AND('Mapa final'!#REF!="Muy Baja",'Mapa final'!#REF!="Catastrófico"),CONCATENATE("R1C",'Mapa final'!#REF!),"")</f>
        <v>#REF!</v>
      </c>
      <c r="AM46" s="35" t="e">
        <f>IF(AND('Mapa final'!#REF!="Muy Baja",'Mapa final'!#REF!="Catastrófico"),CONCATENATE("R1C",'Mapa final'!#REF!),"")</f>
        <v>#REF!</v>
      </c>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ht="46.5" customHeight="1" x14ac:dyDescent="0.25">
      <c r="A47" s="68"/>
      <c r="B47" s="348"/>
      <c r="C47" s="348"/>
      <c r="D47" s="349"/>
      <c r="E47" s="405"/>
      <c r="F47" s="406"/>
      <c r="G47" s="406"/>
      <c r="H47" s="406"/>
      <c r="I47" s="391"/>
      <c r="J47" s="61" t="str">
        <f>IF(AND('Mapa final'!$AA$12="Muy Baja",'Mapa final'!$AC$12="Leve"),CONCATENATE("R2C",'Mapa final'!$Q$12),"")</f>
        <v/>
      </c>
      <c r="K47" s="62" t="str">
        <f>IF(AND('Mapa final'!$AA$13="Muy Baja",'Mapa final'!$AC$13="Leve"),CONCATENATE("R2C",'Mapa final'!$Q$13),"")</f>
        <v/>
      </c>
      <c r="L47" s="62" t="str">
        <f>IF(AND('Mapa final'!$AA$14="Muy Baja",'Mapa final'!$AC$14="Leve"),CONCATENATE("R2C",'Mapa final'!$Q$14),"")</f>
        <v/>
      </c>
      <c r="M47" s="62" t="e">
        <f>IF(AND('Mapa final'!#REF!="Muy Baja",'Mapa final'!#REF!="Leve"),CONCATENATE("R2C",'Mapa final'!#REF!),"")</f>
        <v>#REF!</v>
      </c>
      <c r="N47" s="62" t="e">
        <f>IF(AND('Mapa final'!#REF!="Muy Baja",'Mapa final'!#REF!="Leve"),CONCATENATE("R2C",'Mapa final'!#REF!),"")</f>
        <v>#REF!</v>
      </c>
      <c r="O47" s="63" t="e">
        <f>IF(AND('Mapa final'!#REF!="Muy Baja",'Mapa final'!#REF!="Leve"),CONCATENATE("R2C",'Mapa final'!#REF!),"")</f>
        <v>#REF!</v>
      </c>
      <c r="P47" s="61" t="str">
        <f>IF(AND('Mapa final'!$AA$12="Muy Baja",'Mapa final'!$AC$12="Menor"),CONCATENATE("R2C",'Mapa final'!$Q$12),"")</f>
        <v/>
      </c>
      <c r="Q47" s="62" t="str">
        <f>IF(AND('Mapa final'!$AA$13="Muy Baja",'Mapa final'!$AC$13="Menor"),CONCATENATE("R2C",'Mapa final'!$Q$13),"")</f>
        <v/>
      </c>
      <c r="R47" s="62" t="str">
        <f>IF(AND('Mapa final'!$AA$14="Muy Baja",'Mapa final'!$AC$14="Menor"),CONCATENATE("R2C",'Mapa final'!$Q$14),"")</f>
        <v/>
      </c>
      <c r="S47" s="62" t="e">
        <f>IF(AND('Mapa final'!#REF!="Muy Baja",'Mapa final'!#REF!="Menor"),CONCATENATE("R2C",'Mapa final'!#REF!),"")</f>
        <v>#REF!</v>
      </c>
      <c r="T47" s="62" t="e">
        <f>IF(AND('Mapa final'!#REF!="Muy Baja",'Mapa final'!#REF!="Menor"),CONCATENATE("R2C",'Mapa final'!#REF!),"")</f>
        <v>#REF!</v>
      </c>
      <c r="U47" s="63" t="e">
        <f>IF(AND('Mapa final'!#REF!="Muy Baja",'Mapa final'!#REF!="Menor"),CONCATENATE("R2C",'Mapa final'!#REF!),"")</f>
        <v>#REF!</v>
      </c>
      <c r="V47" s="52" t="str">
        <f>IF(AND('Mapa final'!$AA$12="Muy Baja",'Mapa final'!$AC$12="Moderado"),CONCATENATE("R2C",'Mapa final'!$Q$12),"")</f>
        <v/>
      </c>
      <c r="W47" s="53" t="str">
        <f>IF(AND('Mapa final'!$AA$13="Muy Baja",'Mapa final'!$AC$13="Moderado"),CONCATENATE("R2C",'Mapa final'!$Q$13),"")</f>
        <v/>
      </c>
      <c r="X47" s="53" t="str">
        <f>IF(AND('Mapa final'!$AA$14="Muy Baja",'Mapa final'!$AC$14="Moderado"),CONCATENATE("R2C",'Mapa final'!$Q$14),"")</f>
        <v/>
      </c>
      <c r="Y47" s="53" t="e">
        <f>IF(AND('Mapa final'!#REF!="Muy Baja",'Mapa final'!#REF!="Moderado"),CONCATENATE("R2C",'Mapa final'!#REF!),"")</f>
        <v>#REF!</v>
      </c>
      <c r="Z47" s="53" t="e">
        <f>IF(AND('Mapa final'!#REF!="Muy Baja",'Mapa final'!#REF!="Moderado"),CONCATENATE("R2C",'Mapa final'!#REF!),"")</f>
        <v>#REF!</v>
      </c>
      <c r="AA47" s="54" t="e">
        <f>IF(AND('Mapa final'!#REF!="Muy Baja",'Mapa final'!#REF!="Moderado"),CONCATENATE("R2C",'Mapa final'!#REF!),"")</f>
        <v>#REF!</v>
      </c>
      <c r="AB47" s="36" t="str">
        <f>IF(AND('Mapa final'!$AA$12="Muy Baja",'Mapa final'!$AC$12="Mayor"),CONCATENATE("R2C",'Mapa final'!$Q$12),"")</f>
        <v/>
      </c>
      <c r="AC47" s="37" t="str">
        <f>IF(AND('Mapa final'!$AA$13="Muy Baja",'Mapa final'!$AC$13="Mayor"),CONCATENATE("R2C",'Mapa final'!$Q$13),"")</f>
        <v/>
      </c>
      <c r="AD47" s="37" t="str">
        <f>IF(AND('Mapa final'!$AA$14="Muy Baja",'Mapa final'!$AC$14="Mayor"),CONCATENATE("R2C",'Mapa final'!$Q$14),"")</f>
        <v/>
      </c>
      <c r="AE47" s="37" t="e">
        <f>IF(AND('Mapa final'!#REF!="Muy Baja",'Mapa final'!#REF!="Mayor"),CONCATENATE("R2C",'Mapa final'!#REF!),"")</f>
        <v>#REF!</v>
      </c>
      <c r="AF47" s="37" t="e">
        <f>IF(AND('Mapa final'!#REF!="Muy Baja",'Mapa final'!#REF!="Mayor"),CONCATENATE("R2C",'Mapa final'!#REF!),"")</f>
        <v>#REF!</v>
      </c>
      <c r="AG47" s="38" t="e">
        <f>IF(AND('Mapa final'!#REF!="Muy Baja",'Mapa final'!#REF!="Mayor"),CONCATENATE("R2C",'Mapa final'!#REF!),"")</f>
        <v>#REF!</v>
      </c>
      <c r="AH47" s="39" t="str">
        <f>IF(AND('Mapa final'!$AA$12="Muy Baja",'Mapa final'!$AC$12="Catastrófico"),CONCATENATE("R2C",'Mapa final'!$Q$12),"")</f>
        <v/>
      </c>
      <c r="AI47" s="40" t="str">
        <f>IF(AND('Mapa final'!$AA$13="Muy Baja",'Mapa final'!$AC$13="Catastrófico"),CONCATENATE("R2C",'Mapa final'!$Q$13),"")</f>
        <v/>
      </c>
      <c r="AJ47" s="40" t="str">
        <f>IF(AND('Mapa final'!$AA$14="Muy Baja",'Mapa final'!$AC$14="Catastrófico"),CONCATENATE("R2C",'Mapa final'!$Q$14),"")</f>
        <v/>
      </c>
      <c r="AK47" s="40" t="e">
        <f>IF(AND('Mapa final'!#REF!="Muy Baja",'Mapa final'!#REF!="Catastrófico"),CONCATENATE("R2C",'Mapa final'!#REF!),"")</f>
        <v>#REF!</v>
      </c>
      <c r="AL47" s="40" t="e">
        <f>IF(AND('Mapa final'!#REF!="Muy Baja",'Mapa final'!#REF!="Catastrófico"),CONCATENATE("R2C",'Mapa final'!#REF!),"")</f>
        <v>#REF!</v>
      </c>
      <c r="AM47" s="41" t="e">
        <f>IF(AND('Mapa final'!#REF!="Muy Baja",'Mapa final'!#REF!="Catastrófico"),CONCATENATE("R2C",'Mapa final'!#REF!),"")</f>
        <v>#REF!</v>
      </c>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ht="15" customHeight="1" x14ac:dyDescent="0.25">
      <c r="A48" s="68"/>
      <c r="B48" s="348"/>
      <c r="C48" s="348"/>
      <c r="D48" s="349"/>
      <c r="E48" s="405"/>
      <c r="F48" s="406"/>
      <c r="G48" s="406"/>
      <c r="H48" s="406"/>
      <c r="I48" s="391"/>
      <c r="J48" s="61" t="str">
        <f>IF(AND('Mapa final'!$AA$15="Muy Baja",'Mapa final'!$AC$15="Leve"),CONCATENATE("R3C",'Mapa final'!$Q$15),"")</f>
        <v/>
      </c>
      <c r="K48" s="62" t="str">
        <f>IF(AND('Mapa final'!$AA$16="Muy Baja",'Mapa final'!$AC$16="Leve"),CONCATENATE("R3C",'Mapa final'!$Q$16),"")</f>
        <v/>
      </c>
      <c r="L48" s="62" t="str">
        <f>IF(AND('Mapa final'!$AA$17="Muy Baja",'Mapa final'!$AC$17="Leve"),CONCATENATE("R3C",'Mapa final'!$Q$17),"")</f>
        <v/>
      </c>
      <c r="M48" s="62" t="str">
        <f>IF(AND('Mapa final'!$AA$18="Muy Baja",'Mapa final'!$AC$18="Leve"),CONCATENATE("R3C",'Mapa final'!$Q$18),"")</f>
        <v/>
      </c>
      <c r="N48" s="62" t="str">
        <f>IF(AND('Mapa final'!$AA$19="Muy Baja",'Mapa final'!$AC$19="Leve"),CONCATENATE("R3C",'Mapa final'!$Q$19),"")</f>
        <v/>
      </c>
      <c r="O48" s="63" t="str">
        <f>IF(AND('Mapa final'!$AA$20="Muy Baja",'Mapa final'!$AC$20="Leve"),CONCATENATE("R3C",'Mapa final'!$Q$20),"")</f>
        <v/>
      </c>
      <c r="P48" s="61" t="str">
        <f>IF(AND('Mapa final'!$AA$15="Muy Baja",'Mapa final'!$AC$15="Menor"),CONCATENATE("R3C",'Mapa final'!$Q$15),"")</f>
        <v/>
      </c>
      <c r="Q48" s="62" t="str">
        <f>IF(AND('Mapa final'!$AA$16="Muy Baja",'Mapa final'!$AC$16="Menor"),CONCATENATE("R3C",'Mapa final'!$Q$16),"")</f>
        <v/>
      </c>
      <c r="R48" s="62" t="str">
        <f>IF(AND('Mapa final'!$AA$17="Muy Baja",'Mapa final'!$AC$17="Menor"),CONCATENATE("R3C",'Mapa final'!$Q$17),"")</f>
        <v/>
      </c>
      <c r="S48" s="62" t="str">
        <f>IF(AND('Mapa final'!$AA$18="Muy Baja",'Mapa final'!$AC$18="Menor"),CONCATENATE("R3C",'Mapa final'!$Q$18),"")</f>
        <v/>
      </c>
      <c r="T48" s="62" t="str">
        <f>IF(AND('Mapa final'!$AA$19="Muy Baja",'Mapa final'!$AC$19="Menor"),CONCATENATE("R3C",'Mapa final'!$Q$19),"")</f>
        <v/>
      </c>
      <c r="U48" s="63" t="str">
        <f>IF(AND('Mapa final'!$AA$20="Muy Baja",'Mapa final'!$AC$20="Menor"),CONCATENATE("R3C",'Mapa final'!$Q$20),"")</f>
        <v/>
      </c>
      <c r="V48" s="52" t="str">
        <f>IF(AND('Mapa final'!$AA$15="Muy Baja",'Mapa final'!$AC$15="Moderado"),CONCATENATE("R3C",'Mapa final'!$Q$15),"")</f>
        <v/>
      </c>
      <c r="W48" s="53" t="str">
        <f>IF(AND('Mapa final'!$AA$16="Muy Baja",'Mapa final'!$AC$16="Moderado"),CONCATENATE("R3C",'Mapa final'!$Q$16),"")</f>
        <v/>
      </c>
      <c r="X48" s="53" t="str">
        <f>IF(AND('Mapa final'!$AA$17="Muy Baja",'Mapa final'!$AC$17="Moderado"),CONCATENATE("R3C",'Mapa final'!$Q$17),"")</f>
        <v/>
      </c>
      <c r="Y48" s="53" t="str">
        <f>IF(AND('Mapa final'!$AA$18="Muy Baja",'Mapa final'!$AC$18="Moderado"),CONCATENATE("R3C",'Mapa final'!$Q$18),"")</f>
        <v/>
      </c>
      <c r="Z48" s="53" t="str">
        <f>IF(AND('Mapa final'!$AA$19="Muy Baja",'Mapa final'!$AC$19="Moderado"),CONCATENATE("R3C",'Mapa final'!$Q$19),"")</f>
        <v/>
      </c>
      <c r="AA48" s="54" t="str">
        <f>IF(AND('Mapa final'!$AA$20="Muy Baja",'Mapa final'!$AC$20="Moderado"),CONCATENATE("R3C",'Mapa final'!$Q$20),"")</f>
        <v/>
      </c>
      <c r="AB48" s="36" t="str">
        <f>IF(AND('Mapa final'!$AA$15="Muy Baja",'Mapa final'!$AC$15="Mayor"),CONCATENATE("R3C",'Mapa final'!$Q$15),"")</f>
        <v/>
      </c>
      <c r="AC48" s="37" t="str">
        <f>IF(AND('Mapa final'!$AA$16="Muy Baja",'Mapa final'!$AC$16="Mayor"),CONCATENATE("R3C",'Mapa final'!$Q$16),"")</f>
        <v/>
      </c>
      <c r="AD48" s="37" t="str">
        <f>IF(AND('Mapa final'!$AA$17="Muy Baja",'Mapa final'!$AC$17="Mayor"),CONCATENATE("R3C",'Mapa final'!$Q$17),"")</f>
        <v/>
      </c>
      <c r="AE48" s="37" t="str">
        <f>IF(AND('Mapa final'!$AA$18="Muy Baja",'Mapa final'!$AC$18="Mayor"),CONCATENATE("R3C",'Mapa final'!$Q$18),"")</f>
        <v/>
      </c>
      <c r="AF48" s="37" t="str">
        <f>IF(AND('Mapa final'!$AA$19="Muy Baja",'Mapa final'!$AC$19="Mayor"),CONCATENATE("R3C",'Mapa final'!$Q$19),"")</f>
        <v/>
      </c>
      <c r="AG48" s="38" t="str">
        <f>IF(AND('Mapa final'!$AA$20="Muy Baja",'Mapa final'!$AC$20="Mayor"),CONCATENATE("R3C",'Mapa final'!$Q$20),"")</f>
        <v/>
      </c>
      <c r="AH48" s="39" t="str">
        <f>IF(AND('Mapa final'!$AA$15="Muy Baja",'Mapa final'!$AC$15="Catastrófico"),CONCATENATE("R3C",'Mapa final'!$Q$15),"")</f>
        <v/>
      </c>
      <c r="AI48" s="40" t="str">
        <f>IF(AND('Mapa final'!$AA$16="Muy Baja",'Mapa final'!$AC$16="Catastrófico"),CONCATENATE("R3C",'Mapa final'!$Q$16),"")</f>
        <v/>
      </c>
      <c r="AJ48" s="40" t="str">
        <f>IF(AND('Mapa final'!$AA$17="Muy Baja",'Mapa final'!$AC$17="Catastrófico"),CONCATENATE("R3C",'Mapa final'!$Q$17),"")</f>
        <v/>
      </c>
      <c r="AK48" s="40" t="str">
        <f>IF(AND('Mapa final'!$AA$18="Muy Baja",'Mapa final'!$AC$18="Catastrófico"),CONCATENATE("R3C",'Mapa final'!$Q$18),"")</f>
        <v/>
      </c>
      <c r="AL48" s="40" t="str">
        <f>IF(AND('Mapa final'!$AA$19="Muy Baja",'Mapa final'!$AC$19="Catastrófico"),CONCATENATE("R3C",'Mapa final'!$Q$19),"")</f>
        <v/>
      </c>
      <c r="AM48" s="41" t="str">
        <f>IF(AND('Mapa final'!$AA$20="Muy Baja",'Mapa final'!$AC$20="Catastrófico"),CONCATENATE("R3C",'Mapa final'!$Q$20),"")</f>
        <v/>
      </c>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ht="15" customHeight="1" x14ac:dyDescent="0.25">
      <c r="A49" s="68"/>
      <c r="B49" s="348"/>
      <c r="C49" s="348"/>
      <c r="D49" s="349"/>
      <c r="E49" s="389"/>
      <c r="F49" s="390"/>
      <c r="G49" s="390"/>
      <c r="H49" s="390"/>
      <c r="I49" s="391"/>
      <c r="J49" s="61" t="str">
        <f>IF(AND('Mapa final'!$AA$21="Muy Baja",'Mapa final'!$AC$21="Leve"),CONCATENATE("R4C",'Mapa final'!$Q$21),"")</f>
        <v/>
      </c>
      <c r="K49" s="62" t="str">
        <f>IF(AND('Mapa final'!$AA$22="Muy Baja",'Mapa final'!$AC$22="Leve"),CONCATENATE("R4C",'Mapa final'!$Q$22),"")</f>
        <v/>
      </c>
      <c r="L49" s="62" t="str">
        <f>IF(AND('Mapa final'!$AA$23="Muy Baja",'Mapa final'!$AC$23="Leve"),CONCATENATE("R4C",'Mapa final'!$Q$23),"")</f>
        <v/>
      </c>
      <c r="M49" s="62" t="str">
        <f>IF(AND('Mapa final'!$AA$24="Muy Baja",'Mapa final'!$AC$24="Leve"),CONCATENATE("R4C",'Mapa final'!$Q$24),"")</f>
        <v/>
      </c>
      <c r="N49" s="62" t="str">
        <f>IF(AND('Mapa final'!$AA$25="Muy Baja",'Mapa final'!$AC$25="Leve"),CONCATENATE("R4C",'Mapa final'!$Q$25),"")</f>
        <v/>
      </c>
      <c r="O49" s="63" t="str">
        <f>IF(AND('Mapa final'!$AA$26="Muy Baja",'Mapa final'!$AC$26="Leve"),CONCATENATE("R4C",'Mapa final'!$Q$26),"")</f>
        <v/>
      </c>
      <c r="P49" s="61" t="str">
        <f>IF(AND('Mapa final'!$AA$21="Muy Baja",'Mapa final'!$AC$21="Menor"),CONCATENATE("R4C",'Mapa final'!$Q$21),"")</f>
        <v/>
      </c>
      <c r="Q49" s="62" t="str">
        <f>IF(AND('Mapa final'!$AA$22="Muy Baja",'Mapa final'!$AC$22="Menor"),CONCATENATE("R4C",'Mapa final'!$Q$22),"")</f>
        <v/>
      </c>
      <c r="R49" s="62" t="str">
        <f>IF(AND('Mapa final'!$AA$23="Muy Baja",'Mapa final'!$AC$23="Menor"),CONCATENATE("R4C",'Mapa final'!$Q$23),"")</f>
        <v/>
      </c>
      <c r="S49" s="62" t="str">
        <f>IF(AND('Mapa final'!$AA$24="Muy Baja",'Mapa final'!$AC$24="Menor"),CONCATENATE("R4C",'Mapa final'!$Q$24),"")</f>
        <v/>
      </c>
      <c r="T49" s="62" t="str">
        <f>IF(AND('Mapa final'!$AA$25="Muy Baja",'Mapa final'!$AC$25="Menor"),CONCATENATE("R4C",'Mapa final'!$Q$25),"")</f>
        <v/>
      </c>
      <c r="U49" s="63" t="str">
        <f>IF(AND('Mapa final'!$AA$26="Muy Baja",'Mapa final'!$AC$26="Menor"),CONCATENATE("R4C",'Mapa final'!$Q$26),"")</f>
        <v/>
      </c>
      <c r="V49" s="52" t="str">
        <f>IF(AND('Mapa final'!$AA$21="Muy Baja",'Mapa final'!$AC$21="Moderado"),CONCATENATE("R4C",'Mapa final'!$Q$21),"")</f>
        <v/>
      </c>
      <c r="W49" s="53" t="str">
        <f>IF(AND('Mapa final'!$AA$22="Muy Baja",'Mapa final'!$AC$22="Moderado"),CONCATENATE("R4C",'Mapa final'!$Q$22),"")</f>
        <v/>
      </c>
      <c r="X49" s="53" t="str">
        <f>IF(AND('Mapa final'!$AA$23="Muy Baja",'Mapa final'!$AC$23="Moderado"),CONCATENATE("R4C",'Mapa final'!$Q$23),"")</f>
        <v/>
      </c>
      <c r="Y49" s="53" t="str">
        <f>IF(AND('Mapa final'!$AA$24="Muy Baja",'Mapa final'!$AC$24="Moderado"),CONCATENATE("R4C",'Mapa final'!$Q$24),"")</f>
        <v/>
      </c>
      <c r="Z49" s="53" t="str">
        <f>IF(AND('Mapa final'!$AA$25="Muy Baja",'Mapa final'!$AC$25="Moderado"),CONCATENATE("R4C",'Mapa final'!$Q$25),"")</f>
        <v/>
      </c>
      <c r="AA49" s="54" t="str">
        <f>IF(AND('Mapa final'!$AA$26="Muy Baja",'Mapa final'!$AC$26="Moderado"),CONCATENATE("R4C",'Mapa final'!$Q$26),"")</f>
        <v/>
      </c>
      <c r="AB49" s="36" t="str">
        <f>IF(AND('Mapa final'!$AA$21="Muy Baja",'Mapa final'!$AC$21="Mayor"),CONCATENATE("R4C",'Mapa final'!$Q$21),"")</f>
        <v/>
      </c>
      <c r="AC49" s="37" t="str">
        <f>IF(AND('Mapa final'!$AA$22="Muy Baja",'Mapa final'!$AC$22="Mayor"),CONCATENATE("R4C",'Mapa final'!$Q$22),"")</f>
        <v/>
      </c>
      <c r="AD49" s="37" t="str">
        <f>IF(AND('Mapa final'!$AA$23="Muy Baja",'Mapa final'!$AC$23="Mayor"),CONCATENATE("R4C",'Mapa final'!$Q$23),"")</f>
        <v/>
      </c>
      <c r="AE49" s="37" t="str">
        <f>IF(AND('Mapa final'!$AA$24="Muy Baja",'Mapa final'!$AC$24="Mayor"),CONCATENATE("R4C",'Mapa final'!$Q$24),"")</f>
        <v/>
      </c>
      <c r="AF49" s="37" t="str">
        <f>IF(AND('Mapa final'!$AA$25="Muy Baja",'Mapa final'!$AC$25="Mayor"),CONCATENATE("R4C",'Mapa final'!$Q$25),"")</f>
        <v/>
      </c>
      <c r="AG49" s="38" t="str">
        <f>IF(AND('Mapa final'!$AA$26="Muy Baja",'Mapa final'!$AC$26="Mayor"),CONCATENATE("R4C",'Mapa final'!$Q$26),"")</f>
        <v/>
      </c>
      <c r="AH49" s="39" t="str">
        <f>IF(AND('Mapa final'!$AA$21="Muy Baja",'Mapa final'!$AC$21="Catastrófico"),CONCATENATE("R4C",'Mapa final'!$Q$21),"")</f>
        <v/>
      </c>
      <c r="AI49" s="40" t="str">
        <f>IF(AND('Mapa final'!$AA$22="Muy Baja",'Mapa final'!$AC$22="Catastrófico"),CONCATENATE("R4C",'Mapa final'!$Q$22),"")</f>
        <v/>
      </c>
      <c r="AJ49" s="40" t="str">
        <f>IF(AND('Mapa final'!$AA$23="Muy Baja",'Mapa final'!$AC$23="Catastrófico"),CONCATENATE("R4C",'Mapa final'!$Q$23),"")</f>
        <v/>
      </c>
      <c r="AK49" s="40" t="str">
        <f>IF(AND('Mapa final'!$AA$24="Muy Baja",'Mapa final'!$AC$24="Catastrófico"),CONCATENATE("R4C",'Mapa final'!$Q$24),"")</f>
        <v/>
      </c>
      <c r="AL49" s="40" t="str">
        <f>IF(AND('Mapa final'!$AA$25="Muy Baja",'Mapa final'!$AC$25="Catastrófico"),CONCATENATE("R4C",'Mapa final'!$Q$25),"")</f>
        <v/>
      </c>
      <c r="AM49" s="41" t="str">
        <f>IF(AND('Mapa final'!$AA$26="Muy Baja",'Mapa final'!$AC$26="Catastrófico"),CONCATENATE("R4C",'Mapa final'!$Q$26),"")</f>
        <v/>
      </c>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ht="15" customHeight="1" x14ac:dyDescent="0.25">
      <c r="A50" s="68"/>
      <c r="B50" s="348"/>
      <c r="C50" s="348"/>
      <c r="D50" s="349"/>
      <c r="E50" s="389"/>
      <c r="F50" s="390"/>
      <c r="G50" s="390"/>
      <c r="H50" s="390"/>
      <c r="I50" s="391"/>
      <c r="J50" s="61" t="str">
        <f>IF(AND('Mapa final'!$AA$27="Muy Baja",'Mapa final'!$AC$27="Leve"),CONCATENATE("R5C",'Mapa final'!$Q$27),"")</f>
        <v/>
      </c>
      <c r="K50" s="62" t="str">
        <f>IF(AND('Mapa final'!$AA$28="Muy Baja",'Mapa final'!$AC$28="Leve"),CONCATENATE("R5C",'Mapa final'!$Q$28),"")</f>
        <v/>
      </c>
      <c r="L50" s="62" t="str">
        <f>IF(AND('Mapa final'!$AA$29="Muy Baja",'Mapa final'!$AC$29="Leve"),CONCATENATE("R5C",'Mapa final'!$Q$29),"")</f>
        <v/>
      </c>
      <c r="M50" s="62" t="str">
        <f>IF(AND('Mapa final'!$AA$30="Muy Baja",'Mapa final'!$AC$30="Leve"),CONCATENATE("R5C",'Mapa final'!$Q$30),"")</f>
        <v/>
      </c>
      <c r="N50" s="62" t="str">
        <f>IF(AND('Mapa final'!$AA$31="Muy Baja",'Mapa final'!$AC$31="Leve"),CONCATENATE("R5C",'Mapa final'!$Q$31),"")</f>
        <v/>
      </c>
      <c r="O50" s="63" t="str">
        <f>IF(AND('Mapa final'!$AA$32="Muy Baja",'Mapa final'!$AC$32="Leve"),CONCATENATE("R5C",'Mapa final'!$Q$32),"")</f>
        <v/>
      </c>
      <c r="P50" s="61" t="str">
        <f>IF(AND('Mapa final'!$AA$27="Muy Baja",'Mapa final'!$AC$27="Menor"),CONCATENATE("R5C",'Mapa final'!$Q$27),"")</f>
        <v/>
      </c>
      <c r="Q50" s="62" t="str">
        <f>IF(AND('Mapa final'!$AA$28="Muy Baja",'Mapa final'!$AC$28="Menor"),CONCATENATE("R5C",'Mapa final'!$Q$28),"")</f>
        <v/>
      </c>
      <c r="R50" s="62" t="str">
        <f>IF(AND('Mapa final'!$AA$29="Muy Baja",'Mapa final'!$AC$29="Menor"),CONCATENATE("R5C",'Mapa final'!$Q$29),"")</f>
        <v/>
      </c>
      <c r="S50" s="62" t="str">
        <f>IF(AND('Mapa final'!$AA$30="Muy Baja",'Mapa final'!$AC$30="Menor"),CONCATENATE("R5C",'Mapa final'!$Q$30),"")</f>
        <v/>
      </c>
      <c r="T50" s="62" t="str">
        <f>IF(AND('Mapa final'!$AA$31="Muy Baja",'Mapa final'!$AC$31="Menor"),CONCATENATE("R5C",'Mapa final'!$Q$31),"")</f>
        <v/>
      </c>
      <c r="U50" s="63" t="str">
        <f>IF(AND('Mapa final'!$AA$32="Muy Baja",'Mapa final'!$AC$32="Menor"),CONCATENATE("R5C",'Mapa final'!$Q$32),"")</f>
        <v/>
      </c>
      <c r="V50" s="52" t="str">
        <f>IF(AND('Mapa final'!$AA$27="Muy Baja",'Mapa final'!$AC$27="Moderado"),CONCATENATE("R5C",'Mapa final'!$Q$27),"")</f>
        <v/>
      </c>
      <c r="W50" s="53" t="str">
        <f>IF(AND('Mapa final'!$AA$28="Muy Baja",'Mapa final'!$AC$28="Moderado"),CONCATENATE("R5C",'Mapa final'!$Q$28),"")</f>
        <v/>
      </c>
      <c r="X50" s="53" t="str">
        <f>IF(AND('Mapa final'!$AA$29="Muy Baja",'Mapa final'!$AC$29="Moderado"),CONCATENATE("R5C",'Mapa final'!$Q$29),"")</f>
        <v/>
      </c>
      <c r="Y50" s="53" t="str">
        <f>IF(AND('Mapa final'!$AA$30="Muy Baja",'Mapa final'!$AC$30="Moderado"),CONCATENATE("R5C",'Mapa final'!$Q$30),"")</f>
        <v/>
      </c>
      <c r="Z50" s="53" t="str">
        <f>IF(AND('Mapa final'!$AA$31="Muy Baja",'Mapa final'!$AC$31="Moderado"),CONCATENATE("R5C",'Mapa final'!$Q$31),"")</f>
        <v/>
      </c>
      <c r="AA50" s="54" t="str">
        <f>IF(AND('Mapa final'!$AA$32="Muy Baja",'Mapa final'!$AC$32="Moderado"),CONCATENATE("R5C",'Mapa final'!$Q$32),"")</f>
        <v/>
      </c>
      <c r="AB50" s="36" t="str">
        <f>IF(AND('Mapa final'!$AA$27="Muy Baja",'Mapa final'!$AC$27="Mayor"),CONCATENATE("R5C",'Mapa final'!$Q$27),"")</f>
        <v/>
      </c>
      <c r="AC50" s="37" t="str">
        <f>IF(AND('Mapa final'!$AA$28="Muy Baja",'Mapa final'!$AC$28="Mayor"),CONCATENATE("R5C",'Mapa final'!$Q$28),"")</f>
        <v/>
      </c>
      <c r="AD50" s="42" t="str">
        <f>IF(AND('Mapa final'!$AA$29="Muy Baja",'Mapa final'!$AC$29="Mayor"),CONCATENATE("R5C",'Mapa final'!$Q$29),"")</f>
        <v/>
      </c>
      <c r="AE50" s="42" t="str">
        <f>IF(AND('Mapa final'!$AA$30="Muy Baja",'Mapa final'!$AC$30="Mayor"),CONCATENATE("R5C",'Mapa final'!$Q$30),"")</f>
        <v/>
      </c>
      <c r="AF50" s="42" t="str">
        <f>IF(AND('Mapa final'!$AA$31="Muy Baja",'Mapa final'!$AC$31="Mayor"),CONCATENATE("R5C",'Mapa final'!$Q$31),"")</f>
        <v/>
      </c>
      <c r="AG50" s="38" t="str">
        <f>IF(AND('Mapa final'!$AA$32="Muy Baja",'Mapa final'!$AC$32="Mayor"),CONCATENATE("R5C",'Mapa final'!$Q$32),"")</f>
        <v/>
      </c>
      <c r="AH50" s="39" t="str">
        <f>IF(AND('Mapa final'!$AA$27="Muy Baja",'Mapa final'!$AC$27="Catastrófico"),CONCATENATE("R5C",'Mapa final'!$Q$27),"")</f>
        <v/>
      </c>
      <c r="AI50" s="40" t="str">
        <f>IF(AND('Mapa final'!$AA$28="Muy Baja",'Mapa final'!$AC$28="Catastrófico"),CONCATENATE("R5C",'Mapa final'!$Q$28),"")</f>
        <v/>
      </c>
      <c r="AJ50" s="40" t="str">
        <f>IF(AND('Mapa final'!$AA$29="Muy Baja",'Mapa final'!$AC$29="Catastrófico"),CONCATENATE("R5C",'Mapa final'!$Q$29),"")</f>
        <v/>
      </c>
      <c r="AK50" s="40" t="str">
        <f>IF(AND('Mapa final'!$AA$30="Muy Baja",'Mapa final'!$AC$30="Catastrófico"),CONCATENATE("R5C",'Mapa final'!$Q$30),"")</f>
        <v/>
      </c>
      <c r="AL50" s="40" t="str">
        <f>IF(AND('Mapa final'!$AA$31="Muy Baja",'Mapa final'!$AC$31="Catastrófico"),CONCATENATE("R5C",'Mapa final'!$Q$31),"")</f>
        <v/>
      </c>
      <c r="AM50" s="41" t="str">
        <f>IF(AND('Mapa final'!$AA$32="Muy Baja",'Mapa final'!$AC$32="Catastrófico"),CONCATENATE("R5C",'Mapa final'!$Q$32),"")</f>
        <v/>
      </c>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 customHeight="1" x14ac:dyDescent="0.25">
      <c r="A51" s="68"/>
      <c r="B51" s="348"/>
      <c r="C51" s="348"/>
      <c r="D51" s="349"/>
      <c r="E51" s="389"/>
      <c r="F51" s="390"/>
      <c r="G51" s="390"/>
      <c r="H51" s="390"/>
      <c r="I51" s="391"/>
      <c r="J51" s="61" t="str">
        <f>IF(AND('Mapa final'!$AA$33="Muy Baja",'Mapa final'!$AC$33="Leve"),CONCATENATE("R6C",'Mapa final'!$Q$33),"")</f>
        <v/>
      </c>
      <c r="K51" s="62" t="str">
        <f>IF(AND('Mapa final'!$AA$34="Muy Baja",'Mapa final'!$AC$34="Leve"),CONCATENATE("R6C",'Mapa final'!$Q$34),"")</f>
        <v/>
      </c>
      <c r="L51" s="62" t="str">
        <f>IF(AND('Mapa final'!$AA$35="Muy Baja",'Mapa final'!$AC$35="Leve"),CONCATENATE("R6C",'Mapa final'!$Q$35),"")</f>
        <v/>
      </c>
      <c r="M51" s="62" t="str">
        <f>IF(AND('Mapa final'!$AA$36="Muy Baja",'Mapa final'!$AC$36="Leve"),CONCATENATE("R6C",'Mapa final'!$Q$36),"")</f>
        <v/>
      </c>
      <c r="N51" s="62" t="str">
        <f>IF(AND('Mapa final'!$AA$37="Muy Baja",'Mapa final'!$AC$37="Leve"),CONCATENATE("R6C",'Mapa final'!$Q$37),"")</f>
        <v/>
      </c>
      <c r="O51" s="63" t="str">
        <f>IF(AND('Mapa final'!$AA$38="Muy Baja",'Mapa final'!$AC$38="Leve"),CONCATENATE("R6C",'Mapa final'!$Q$38),"")</f>
        <v/>
      </c>
      <c r="P51" s="61" t="str">
        <f>IF(AND('Mapa final'!$AA$33="Muy Baja",'Mapa final'!$AC$33="Menor"),CONCATENATE("R6C",'Mapa final'!$Q$33),"")</f>
        <v/>
      </c>
      <c r="Q51" s="62" t="str">
        <f>IF(AND('Mapa final'!$AA$34="Muy Baja",'Mapa final'!$AC$34="Menor"),CONCATENATE("R6C",'Mapa final'!$Q$34),"")</f>
        <v/>
      </c>
      <c r="R51" s="62" t="str">
        <f>IF(AND('Mapa final'!$AA$35="Muy Baja",'Mapa final'!$AC$35="Menor"),CONCATENATE("R6C",'Mapa final'!$Q$35),"")</f>
        <v/>
      </c>
      <c r="S51" s="62" t="str">
        <f>IF(AND('Mapa final'!$AA$36="Muy Baja",'Mapa final'!$AC$36="Menor"),CONCATENATE("R6C",'Mapa final'!$Q$36),"")</f>
        <v/>
      </c>
      <c r="T51" s="62" t="str">
        <f>IF(AND('Mapa final'!$AA$37="Muy Baja",'Mapa final'!$AC$37="Menor"),CONCATENATE("R6C",'Mapa final'!$Q$37),"")</f>
        <v/>
      </c>
      <c r="U51" s="63" t="str">
        <f>IF(AND('Mapa final'!$AA$38="Muy Baja",'Mapa final'!$AC$38="Menor"),CONCATENATE("R6C",'Mapa final'!$Q$38),"")</f>
        <v/>
      </c>
      <c r="V51" s="52" t="str">
        <f>IF(AND('Mapa final'!$AA$33="Muy Baja",'Mapa final'!$AC$33="Moderado"),CONCATENATE("R6C",'Mapa final'!$Q$33),"")</f>
        <v/>
      </c>
      <c r="W51" s="53" t="str">
        <f>IF(AND('Mapa final'!$AA$34="Muy Baja",'Mapa final'!$AC$34="Moderado"),CONCATENATE("R6C",'Mapa final'!$Q$34),"")</f>
        <v/>
      </c>
      <c r="X51" s="53" t="str">
        <f>IF(AND('Mapa final'!$AA$35="Muy Baja",'Mapa final'!$AC$35="Moderado"),CONCATENATE("R6C",'Mapa final'!$Q$35),"")</f>
        <v/>
      </c>
      <c r="Y51" s="53" t="str">
        <f>IF(AND('Mapa final'!$AA$36="Muy Baja",'Mapa final'!$AC$36="Moderado"),CONCATENATE("R6C",'Mapa final'!$Q$36),"")</f>
        <v/>
      </c>
      <c r="Z51" s="53" t="str">
        <f>IF(AND('Mapa final'!$AA$37="Muy Baja",'Mapa final'!$AC$37="Moderado"),CONCATENATE("R6C",'Mapa final'!$Q$37),"")</f>
        <v/>
      </c>
      <c r="AA51" s="54" t="str">
        <f>IF(AND('Mapa final'!$AA$38="Muy Baja",'Mapa final'!$AC$38="Moderado"),CONCATENATE("R6C",'Mapa final'!$Q$38),"")</f>
        <v/>
      </c>
      <c r="AB51" s="36" t="str">
        <f>IF(AND('Mapa final'!$AA$33="Muy Baja",'Mapa final'!$AC$33="Mayor"),CONCATENATE("R6C",'Mapa final'!$Q$33),"")</f>
        <v/>
      </c>
      <c r="AC51" s="37" t="str">
        <f>IF(AND('Mapa final'!$AA$34="Muy Baja",'Mapa final'!$AC$34="Mayor"),CONCATENATE("R6C",'Mapa final'!$Q$34),"")</f>
        <v/>
      </c>
      <c r="AD51" s="42" t="str">
        <f>IF(AND('Mapa final'!$AA$35="Muy Baja",'Mapa final'!$AC$35="Mayor"),CONCATENATE("R6C",'Mapa final'!$Q$35),"")</f>
        <v/>
      </c>
      <c r="AE51" s="42" t="str">
        <f>IF(AND('Mapa final'!$AA$36="Muy Baja",'Mapa final'!$AC$36="Mayor"),CONCATENATE("R6C",'Mapa final'!$Q$36),"")</f>
        <v/>
      </c>
      <c r="AF51" s="42" t="str">
        <f>IF(AND('Mapa final'!$AA$37="Muy Baja",'Mapa final'!$AC$37="Mayor"),CONCATENATE("R6C",'Mapa final'!$Q$37),"")</f>
        <v/>
      </c>
      <c r="AG51" s="38" t="str">
        <f>IF(AND('Mapa final'!$AA$38="Muy Baja",'Mapa final'!$AC$38="Mayor"),CONCATENATE("R6C",'Mapa final'!$Q$38),"")</f>
        <v/>
      </c>
      <c r="AH51" s="39" t="str">
        <f>IF(AND('Mapa final'!$AA$33="Muy Baja",'Mapa final'!$AC$33="Catastrófico"),CONCATENATE("R6C",'Mapa final'!$Q$33),"")</f>
        <v/>
      </c>
      <c r="AI51" s="40" t="str">
        <f>IF(AND('Mapa final'!$AA$34="Muy Baja",'Mapa final'!$AC$34="Catastrófico"),CONCATENATE("R6C",'Mapa final'!$Q$34),"")</f>
        <v/>
      </c>
      <c r="AJ51" s="40" t="str">
        <f>IF(AND('Mapa final'!$AA$35="Muy Baja",'Mapa final'!$AC$35="Catastrófico"),CONCATENATE("R6C",'Mapa final'!$Q$35),"")</f>
        <v/>
      </c>
      <c r="AK51" s="40" t="str">
        <f>IF(AND('Mapa final'!$AA$36="Muy Baja",'Mapa final'!$AC$36="Catastrófico"),CONCATENATE("R6C",'Mapa final'!$Q$36),"")</f>
        <v/>
      </c>
      <c r="AL51" s="40" t="str">
        <f>IF(AND('Mapa final'!$AA$37="Muy Baja",'Mapa final'!$AC$37="Catastrófico"),CONCATENATE("R6C",'Mapa final'!$Q$37),"")</f>
        <v/>
      </c>
      <c r="AM51" s="41" t="str">
        <f>IF(AND('Mapa final'!$AA$38="Muy Baja",'Mapa final'!$AC$38="Catastrófico"),CONCATENATE("R6C",'Mapa final'!$Q$38),"")</f>
        <v/>
      </c>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ht="15" customHeight="1" x14ac:dyDescent="0.25">
      <c r="A52" s="68"/>
      <c r="B52" s="348"/>
      <c r="C52" s="348"/>
      <c r="D52" s="349"/>
      <c r="E52" s="389"/>
      <c r="F52" s="390"/>
      <c r="G52" s="390"/>
      <c r="H52" s="390"/>
      <c r="I52" s="391"/>
      <c r="J52" s="61" t="str">
        <f>IF(AND('Mapa final'!$AA$39="Muy Baja",'Mapa final'!$AC$39="Leve"),CONCATENATE("R7C",'Mapa final'!$Q$39),"")</f>
        <v/>
      </c>
      <c r="K52" s="62" t="str">
        <f>IF(AND('Mapa final'!$AA$40="Muy Baja",'Mapa final'!$AC$40="Leve"),CONCATENATE("R7C",'Mapa final'!$Q$40),"")</f>
        <v/>
      </c>
      <c r="L52" s="62" t="str">
        <f>IF(AND('Mapa final'!$AA$41="Muy Baja",'Mapa final'!$AC$41="Leve"),CONCATENATE("R7C",'Mapa final'!$Q$41),"")</f>
        <v/>
      </c>
      <c r="M52" s="62" t="str">
        <f>IF(AND('Mapa final'!$AA$42="Muy Baja",'Mapa final'!$AC$42="Leve"),CONCATENATE("R7C",'Mapa final'!$Q$42),"")</f>
        <v/>
      </c>
      <c r="N52" s="62" t="str">
        <f>IF(AND('Mapa final'!$AA$43="Muy Baja",'Mapa final'!$AC$43="Leve"),CONCATENATE("R7C",'Mapa final'!$Q$43),"")</f>
        <v/>
      </c>
      <c r="O52" s="63" t="str">
        <f>IF(AND('Mapa final'!$AA$44="Muy Baja",'Mapa final'!$AC$44="Leve"),CONCATENATE("R7C",'Mapa final'!$Q$44),"")</f>
        <v/>
      </c>
      <c r="P52" s="61" t="str">
        <f>IF(AND('Mapa final'!$AA$39="Muy Baja",'Mapa final'!$AC$39="Menor"),CONCATENATE("R7C",'Mapa final'!$Q$39),"")</f>
        <v/>
      </c>
      <c r="Q52" s="62" t="str">
        <f>IF(AND('Mapa final'!$AA$40="Muy Baja",'Mapa final'!$AC$40="Menor"),CONCATENATE("R7C",'Mapa final'!$Q$40),"")</f>
        <v/>
      </c>
      <c r="R52" s="62" t="str">
        <f>IF(AND('Mapa final'!$AA$41="Muy Baja",'Mapa final'!$AC$41="Menor"),CONCATENATE("R7C",'Mapa final'!$Q$41),"")</f>
        <v/>
      </c>
      <c r="S52" s="62" t="str">
        <f>IF(AND('Mapa final'!$AA$42="Muy Baja",'Mapa final'!$AC$42="Menor"),CONCATENATE("R7C",'Mapa final'!$Q$42),"")</f>
        <v/>
      </c>
      <c r="T52" s="62" t="str">
        <f>IF(AND('Mapa final'!$AA$43="Muy Baja",'Mapa final'!$AC$43="Menor"),CONCATENATE("R7C",'Mapa final'!$Q$43),"")</f>
        <v/>
      </c>
      <c r="U52" s="63" t="str">
        <f>IF(AND('Mapa final'!$AA$44="Muy Baja",'Mapa final'!$AC$44="Menor"),CONCATENATE("R7C",'Mapa final'!$Q$44),"")</f>
        <v/>
      </c>
      <c r="V52" s="52" t="str">
        <f>IF(AND('Mapa final'!$AA$39="Muy Baja",'Mapa final'!$AC$39="Moderado"),CONCATENATE("R7C",'Mapa final'!$Q$39),"")</f>
        <v/>
      </c>
      <c r="W52" s="53" t="str">
        <f>IF(AND('Mapa final'!$AA$40="Muy Baja",'Mapa final'!$AC$40="Moderado"),CONCATENATE("R7C",'Mapa final'!$Q$40),"")</f>
        <v/>
      </c>
      <c r="X52" s="53" t="str">
        <f>IF(AND('Mapa final'!$AA$41="Muy Baja",'Mapa final'!$AC$41="Moderado"),CONCATENATE("R7C",'Mapa final'!$Q$41),"")</f>
        <v/>
      </c>
      <c r="Y52" s="53" t="str">
        <f>IF(AND('Mapa final'!$AA$42="Muy Baja",'Mapa final'!$AC$42="Moderado"),CONCATENATE("R7C",'Mapa final'!$Q$42),"")</f>
        <v/>
      </c>
      <c r="Z52" s="53" t="str">
        <f>IF(AND('Mapa final'!$AA$43="Muy Baja",'Mapa final'!$AC$43="Moderado"),CONCATENATE("R7C",'Mapa final'!$Q$43),"")</f>
        <v/>
      </c>
      <c r="AA52" s="54" t="str">
        <f>IF(AND('Mapa final'!$AA$44="Muy Baja",'Mapa final'!$AC$44="Moderado"),CONCATENATE("R7C",'Mapa final'!$Q$44),"")</f>
        <v/>
      </c>
      <c r="AB52" s="36" t="str">
        <f>IF(AND('Mapa final'!$AA$39="Muy Baja",'Mapa final'!$AC$39="Mayor"),CONCATENATE("R7C",'Mapa final'!$Q$39),"")</f>
        <v/>
      </c>
      <c r="AC52" s="37" t="str">
        <f>IF(AND('Mapa final'!$AA$40="Muy Baja",'Mapa final'!$AC$40="Mayor"),CONCATENATE("R7C",'Mapa final'!$Q$40),"")</f>
        <v/>
      </c>
      <c r="AD52" s="42" t="str">
        <f>IF(AND('Mapa final'!$AA$41="Muy Baja",'Mapa final'!$AC$41="Mayor"),CONCATENATE("R7C",'Mapa final'!$Q$41),"")</f>
        <v/>
      </c>
      <c r="AE52" s="42" t="str">
        <f>IF(AND('Mapa final'!$AA$42="Muy Baja",'Mapa final'!$AC$42="Mayor"),CONCATENATE("R7C",'Mapa final'!$Q$42),"")</f>
        <v/>
      </c>
      <c r="AF52" s="42" t="str">
        <f>IF(AND('Mapa final'!$AA$43="Muy Baja",'Mapa final'!$AC$43="Mayor"),CONCATENATE("R7C",'Mapa final'!$Q$43),"")</f>
        <v/>
      </c>
      <c r="AG52" s="38" t="str">
        <f>IF(AND('Mapa final'!$AA$44="Muy Baja",'Mapa final'!$AC$44="Mayor"),CONCATENATE("R7C",'Mapa final'!$Q$44),"")</f>
        <v/>
      </c>
      <c r="AH52" s="39" t="str">
        <f>IF(AND('Mapa final'!$AA$39="Muy Baja",'Mapa final'!$AC$39="Catastrófico"),CONCATENATE("R7C",'Mapa final'!$Q$39),"")</f>
        <v/>
      </c>
      <c r="AI52" s="40" t="str">
        <f>IF(AND('Mapa final'!$AA$40="Muy Baja",'Mapa final'!$AC$40="Catastrófico"),CONCATENATE("R7C",'Mapa final'!$Q$40),"")</f>
        <v/>
      </c>
      <c r="AJ52" s="40" t="str">
        <f>IF(AND('Mapa final'!$AA$41="Muy Baja",'Mapa final'!$AC$41="Catastrófico"),CONCATENATE("R7C",'Mapa final'!$Q$41),"")</f>
        <v/>
      </c>
      <c r="AK52" s="40" t="str">
        <f>IF(AND('Mapa final'!$AA$42="Muy Baja",'Mapa final'!$AC$42="Catastrófico"),CONCATENATE("R7C",'Mapa final'!$Q$42),"")</f>
        <v/>
      </c>
      <c r="AL52" s="40" t="str">
        <f>IF(AND('Mapa final'!$AA$43="Muy Baja",'Mapa final'!$AC$43="Catastrófico"),CONCATENATE("R7C",'Mapa final'!$Q$43),"")</f>
        <v/>
      </c>
      <c r="AM52" s="41" t="str">
        <f>IF(AND('Mapa final'!$AA$44="Muy Baja",'Mapa final'!$AC$44="Catastrófico"),CONCATENATE("R7C",'Mapa final'!$Q$44),"")</f>
        <v/>
      </c>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348"/>
      <c r="C53" s="348"/>
      <c r="D53" s="349"/>
      <c r="E53" s="389"/>
      <c r="F53" s="390"/>
      <c r="G53" s="390"/>
      <c r="H53" s="390"/>
      <c r="I53" s="391"/>
      <c r="J53" s="61" t="str">
        <f>IF(AND('Mapa final'!$AA$45="Muy Baja",'Mapa final'!$AC$45="Leve"),CONCATENATE("R8C",'Mapa final'!$Q$45),"")</f>
        <v/>
      </c>
      <c r="K53" s="62" t="str">
        <f>IF(AND('Mapa final'!$AA$46="Muy Baja",'Mapa final'!$AC$46="Leve"),CONCATENATE("R8C",'Mapa final'!$Q$46),"")</f>
        <v/>
      </c>
      <c r="L53" s="62" t="str">
        <f>IF(AND('Mapa final'!$AA$47="Muy Baja",'Mapa final'!$AC$47="Leve"),CONCATENATE("R8C",'Mapa final'!$Q$47),"")</f>
        <v/>
      </c>
      <c r="M53" s="62" t="str">
        <f>IF(AND('Mapa final'!$AA$48="Muy Baja",'Mapa final'!$AC$48="Leve"),CONCATENATE("R8C",'Mapa final'!$Q$48),"")</f>
        <v/>
      </c>
      <c r="N53" s="62" t="str">
        <f>IF(AND('Mapa final'!$AA$49="Muy Baja",'Mapa final'!$AC$49="Leve"),CONCATENATE("R8C",'Mapa final'!$Q$49),"")</f>
        <v/>
      </c>
      <c r="O53" s="63" t="str">
        <f>IF(AND('Mapa final'!$AA$50="Muy Baja",'Mapa final'!$AC$50="Leve"),CONCATENATE("R8C",'Mapa final'!$Q$50),"")</f>
        <v/>
      </c>
      <c r="P53" s="61" t="str">
        <f>IF(AND('Mapa final'!$AA$45="Muy Baja",'Mapa final'!$AC$45="Menor"),CONCATENATE("R8C",'Mapa final'!$Q$45),"")</f>
        <v/>
      </c>
      <c r="Q53" s="62" t="str">
        <f>IF(AND('Mapa final'!$AA$46="Muy Baja",'Mapa final'!$AC$46="Menor"),CONCATENATE("R8C",'Mapa final'!$Q$46),"")</f>
        <v/>
      </c>
      <c r="R53" s="62" t="str">
        <f>IF(AND('Mapa final'!$AA$47="Muy Baja",'Mapa final'!$AC$47="Menor"),CONCATENATE("R8C",'Mapa final'!$Q$47),"")</f>
        <v/>
      </c>
      <c r="S53" s="62" t="str">
        <f>IF(AND('Mapa final'!$AA$48="Muy Baja",'Mapa final'!$AC$48="Menor"),CONCATENATE("R8C",'Mapa final'!$Q$48),"")</f>
        <v/>
      </c>
      <c r="T53" s="62" t="str">
        <f>IF(AND('Mapa final'!$AA$49="Muy Baja",'Mapa final'!$AC$49="Menor"),CONCATENATE("R8C",'Mapa final'!$Q$49),"")</f>
        <v/>
      </c>
      <c r="U53" s="63" t="str">
        <f>IF(AND('Mapa final'!$AA$50="Muy Baja",'Mapa final'!$AC$50="Menor"),CONCATENATE("R8C",'Mapa final'!$Q$50),"")</f>
        <v/>
      </c>
      <c r="V53" s="52" t="str">
        <f>IF(AND('Mapa final'!$AA$45="Muy Baja",'Mapa final'!$AC$45="Moderado"),CONCATENATE("R8C",'Mapa final'!$Q$45),"")</f>
        <v/>
      </c>
      <c r="W53" s="53" t="str">
        <f>IF(AND('Mapa final'!$AA$46="Muy Baja",'Mapa final'!$AC$46="Moderado"),CONCATENATE("R8C",'Mapa final'!$Q$46),"")</f>
        <v/>
      </c>
      <c r="X53" s="53" t="str">
        <f>IF(AND('Mapa final'!$AA$47="Muy Baja",'Mapa final'!$AC$47="Moderado"),CONCATENATE("R8C",'Mapa final'!$Q$47),"")</f>
        <v/>
      </c>
      <c r="Y53" s="53" t="str">
        <f>IF(AND('Mapa final'!$AA$48="Muy Baja",'Mapa final'!$AC$48="Moderado"),CONCATENATE("R8C",'Mapa final'!$Q$48),"")</f>
        <v/>
      </c>
      <c r="Z53" s="53" t="str">
        <f>IF(AND('Mapa final'!$AA$49="Muy Baja",'Mapa final'!$AC$49="Moderado"),CONCATENATE("R8C",'Mapa final'!$Q$49),"")</f>
        <v/>
      </c>
      <c r="AA53" s="54" t="str">
        <f>IF(AND('Mapa final'!$AA$50="Muy Baja",'Mapa final'!$AC$50="Moderado"),CONCATENATE("R8C",'Mapa final'!$Q$50),"")</f>
        <v/>
      </c>
      <c r="AB53" s="36" t="str">
        <f>IF(AND('Mapa final'!$AA$45="Muy Baja",'Mapa final'!$AC$45="Mayor"),CONCATENATE("R8C",'Mapa final'!$Q$45),"")</f>
        <v/>
      </c>
      <c r="AC53" s="37" t="str">
        <f>IF(AND('Mapa final'!$AA$46="Muy Baja",'Mapa final'!$AC$46="Mayor"),CONCATENATE("R8C",'Mapa final'!$Q$46),"")</f>
        <v/>
      </c>
      <c r="AD53" s="42" t="str">
        <f>IF(AND('Mapa final'!$AA$47="Muy Baja",'Mapa final'!$AC$47="Mayor"),CONCATENATE("R8C",'Mapa final'!$Q$47),"")</f>
        <v/>
      </c>
      <c r="AE53" s="42" t="str">
        <f>IF(AND('Mapa final'!$AA$48="Muy Baja",'Mapa final'!$AC$48="Mayor"),CONCATENATE("R8C",'Mapa final'!$Q$48),"")</f>
        <v/>
      </c>
      <c r="AF53" s="42" t="str">
        <f>IF(AND('Mapa final'!$AA$49="Muy Baja",'Mapa final'!$AC$49="Mayor"),CONCATENATE("R8C",'Mapa final'!$Q$49),"")</f>
        <v/>
      </c>
      <c r="AG53" s="38" t="str">
        <f>IF(AND('Mapa final'!$AA$50="Muy Baja",'Mapa final'!$AC$50="Mayor"),CONCATENATE("R8C",'Mapa final'!$Q$50),"")</f>
        <v/>
      </c>
      <c r="AH53" s="39" t="str">
        <f>IF(AND('Mapa final'!$AA$45="Muy Baja",'Mapa final'!$AC$45="Catastrófico"),CONCATENATE("R8C",'Mapa final'!$Q$45),"")</f>
        <v/>
      </c>
      <c r="AI53" s="40" t="str">
        <f>IF(AND('Mapa final'!$AA$46="Muy Baja",'Mapa final'!$AC$46="Catastrófico"),CONCATENATE("R8C",'Mapa final'!$Q$46),"")</f>
        <v/>
      </c>
      <c r="AJ53" s="40" t="str">
        <f>IF(AND('Mapa final'!$AA$47="Muy Baja",'Mapa final'!$AC$47="Catastrófico"),CONCATENATE("R8C",'Mapa final'!$Q$47),"")</f>
        <v/>
      </c>
      <c r="AK53" s="40" t="str">
        <f>IF(AND('Mapa final'!$AA$48="Muy Baja",'Mapa final'!$AC$48="Catastrófico"),CONCATENATE("R8C",'Mapa final'!$Q$48),"")</f>
        <v/>
      </c>
      <c r="AL53" s="40" t="str">
        <f>IF(AND('Mapa final'!$AA$49="Muy Baja",'Mapa final'!$AC$49="Catastrófico"),CONCATENATE("R8C",'Mapa final'!$Q$49),"")</f>
        <v/>
      </c>
      <c r="AM53" s="41" t="str">
        <f>IF(AND('Mapa final'!$AA$50="Muy Baja",'Mapa final'!$AC$50="Catastrófico"),CONCATENATE("R8C",'Mapa final'!$Q$50),"")</f>
        <v/>
      </c>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348"/>
      <c r="C54" s="348"/>
      <c r="D54" s="349"/>
      <c r="E54" s="389"/>
      <c r="F54" s="390"/>
      <c r="G54" s="390"/>
      <c r="H54" s="390"/>
      <c r="I54" s="391"/>
      <c r="J54" s="61" t="str">
        <f>IF(AND('Mapa final'!$AA$51="Muy Baja",'Mapa final'!$AC$51="Leve"),CONCATENATE("R9C",'Mapa final'!$Q$51),"")</f>
        <v/>
      </c>
      <c r="K54" s="62" t="str">
        <f>IF(AND('Mapa final'!$AA$52="Muy Baja",'Mapa final'!$AC$52="Leve"),CONCATENATE("R9C",'Mapa final'!$Q$52),"")</f>
        <v/>
      </c>
      <c r="L54" s="62" t="str">
        <f>IF(AND('Mapa final'!$AA$53="Muy Baja",'Mapa final'!$AC$53="Leve"),CONCATENATE("R9C",'Mapa final'!$Q$53),"")</f>
        <v/>
      </c>
      <c r="M54" s="62" t="str">
        <f>IF(AND('Mapa final'!$AA$54="Muy Baja",'Mapa final'!$AC$54="Leve"),CONCATENATE("R9C",'Mapa final'!$Q$54),"")</f>
        <v/>
      </c>
      <c r="N54" s="62" t="str">
        <f>IF(AND('Mapa final'!$AA$55="Muy Baja",'Mapa final'!$AC$55="Leve"),CONCATENATE("R9C",'Mapa final'!$Q$55),"")</f>
        <v/>
      </c>
      <c r="O54" s="63" t="str">
        <f>IF(AND('Mapa final'!$AA$56="Muy Baja",'Mapa final'!$AC$56="Leve"),CONCATENATE("R9C",'Mapa final'!$Q$56),"")</f>
        <v/>
      </c>
      <c r="P54" s="61" t="str">
        <f>IF(AND('Mapa final'!$AA$51="Muy Baja",'Mapa final'!$AC$51="Menor"),CONCATENATE("R9C",'Mapa final'!$Q$51),"")</f>
        <v/>
      </c>
      <c r="Q54" s="62" t="str">
        <f>IF(AND('Mapa final'!$AA$52="Muy Baja",'Mapa final'!$AC$52="Menor"),CONCATENATE("R9C",'Mapa final'!$Q$52),"")</f>
        <v/>
      </c>
      <c r="R54" s="62" t="str">
        <f>IF(AND('Mapa final'!$AA$53="Muy Baja",'Mapa final'!$AC$53="Menor"),CONCATENATE("R9C",'Mapa final'!$Q$53),"")</f>
        <v/>
      </c>
      <c r="S54" s="62" t="str">
        <f>IF(AND('Mapa final'!$AA$54="Muy Baja",'Mapa final'!$AC$54="Menor"),CONCATENATE("R9C",'Mapa final'!$Q$54),"")</f>
        <v/>
      </c>
      <c r="T54" s="62" t="str">
        <f>IF(AND('Mapa final'!$AA$55="Muy Baja",'Mapa final'!$AC$55="Menor"),CONCATENATE("R9C",'Mapa final'!$Q$55),"")</f>
        <v/>
      </c>
      <c r="U54" s="63" t="str">
        <f>IF(AND('Mapa final'!$AA$56="Muy Baja",'Mapa final'!$AC$56="Menor"),CONCATENATE("R9C",'Mapa final'!$Q$56),"")</f>
        <v/>
      </c>
      <c r="V54" s="52" t="str">
        <f>IF(AND('Mapa final'!$AA$51="Muy Baja",'Mapa final'!$AC$51="Moderado"),CONCATENATE("R9C",'Mapa final'!$Q$51),"")</f>
        <v/>
      </c>
      <c r="W54" s="53" t="str">
        <f>IF(AND('Mapa final'!$AA$52="Muy Baja",'Mapa final'!$AC$52="Moderado"),CONCATENATE("R9C",'Mapa final'!$Q$52),"")</f>
        <v/>
      </c>
      <c r="X54" s="53" t="str">
        <f>IF(AND('Mapa final'!$AA$53="Muy Baja",'Mapa final'!$AC$53="Moderado"),CONCATENATE("R9C",'Mapa final'!$Q$53),"")</f>
        <v/>
      </c>
      <c r="Y54" s="53" t="str">
        <f>IF(AND('Mapa final'!$AA$54="Muy Baja",'Mapa final'!$AC$54="Moderado"),CONCATENATE("R9C",'Mapa final'!$Q$54),"")</f>
        <v/>
      </c>
      <c r="Z54" s="53" t="str">
        <f>IF(AND('Mapa final'!$AA$55="Muy Baja",'Mapa final'!$AC$55="Moderado"),CONCATENATE("R9C",'Mapa final'!$Q$55),"")</f>
        <v/>
      </c>
      <c r="AA54" s="54" t="str">
        <f>IF(AND('Mapa final'!$AA$56="Muy Baja",'Mapa final'!$AC$56="Moderado"),CONCATENATE("R9C",'Mapa final'!$Q$56),"")</f>
        <v/>
      </c>
      <c r="AB54" s="36" t="str">
        <f>IF(AND('Mapa final'!$AA$51="Muy Baja",'Mapa final'!$AC$51="Mayor"),CONCATENATE("R9C",'Mapa final'!$Q$51),"")</f>
        <v/>
      </c>
      <c r="AC54" s="37" t="str">
        <f>IF(AND('Mapa final'!$AA$52="Muy Baja",'Mapa final'!$AC$52="Mayor"),CONCATENATE("R9C",'Mapa final'!$Q$52),"")</f>
        <v/>
      </c>
      <c r="AD54" s="42" t="str">
        <f>IF(AND('Mapa final'!$AA$53="Muy Baja",'Mapa final'!$AC$53="Mayor"),CONCATENATE("R9C",'Mapa final'!$Q$53),"")</f>
        <v/>
      </c>
      <c r="AE54" s="42" t="str">
        <f>IF(AND('Mapa final'!$AA$54="Muy Baja",'Mapa final'!$AC$54="Mayor"),CONCATENATE("R9C",'Mapa final'!$Q$54),"")</f>
        <v/>
      </c>
      <c r="AF54" s="42" t="str">
        <f>IF(AND('Mapa final'!$AA$55="Muy Baja",'Mapa final'!$AC$55="Mayor"),CONCATENATE("R9C",'Mapa final'!$Q$55),"")</f>
        <v/>
      </c>
      <c r="AG54" s="38" t="str">
        <f>IF(AND('Mapa final'!$AA$56="Muy Baja",'Mapa final'!$AC$56="Mayor"),CONCATENATE("R9C",'Mapa final'!$Q$56),"")</f>
        <v/>
      </c>
      <c r="AH54" s="39" t="str">
        <f>IF(AND('Mapa final'!$AA$51="Muy Baja",'Mapa final'!$AC$51="Catastrófico"),CONCATENATE("R9C",'Mapa final'!$Q$51),"")</f>
        <v/>
      </c>
      <c r="AI54" s="40" t="str">
        <f>IF(AND('Mapa final'!$AA$52="Muy Baja",'Mapa final'!$AC$52="Catastrófico"),CONCATENATE("R9C",'Mapa final'!$Q$52),"")</f>
        <v/>
      </c>
      <c r="AJ54" s="40" t="str">
        <f>IF(AND('Mapa final'!$AA$53="Muy Baja",'Mapa final'!$AC$53="Catastrófico"),CONCATENATE("R9C",'Mapa final'!$Q$53),"")</f>
        <v/>
      </c>
      <c r="AK54" s="40" t="str">
        <f>IF(AND('Mapa final'!$AA$54="Muy Baja",'Mapa final'!$AC$54="Catastrófico"),CONCATENATE("R9C",'Mapa final'!$Q$54),"")</f>
        <v/>
      </c>
      <c r="AL54" s="40" t="str">
        <f>IF(AND('Mapa final'!$AA$55="Muy Baja",'Mapa final'!$AC$55="Catastrófico"),CONCATENATE("R9C",'Mapa final'!$Q$55),"")</f>
        <v/>
      </c>
      <c r="AM54" s="41" t="str">
        <f>IF(AND('Mapa final'!$AA$56="Muy Baja",'Mapa final'!$AC$56="Catastrófico"),CONCATENATE("R9C",'Mapa final'!$Q$56),"")</f>
        <v/>
      </c>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ht="15.75" customHeight="1" thickBot="1" x14ac:dyDescent="0.3">
      <c r="A55" s="68"/>
      <c r="B55" s="348"/>
      <c r="C55" s="348"/>
      <c r="D55" s="349"/>
      <c r="E55" s="392"/>
      <c r="F55" s="393"/>
      <c r="G55" s="393"/>
      <c r="H55" s="393"/>
      <c r="I55" s="394"/>
      <c r="J55" s="64" t="str">
        <f>IF(AND('Mapa final'!$AA$57="Muy Baja",'Mapa final'!$AC$57="Leve"),CONCATENATE("R10C",'Mapa final'!$Q$57),"")</f>
        <v/>
      </c>
      <c r="K55" s="65" t="str">
        <f>IF(AND('Mapa final'!$AA$58="Muy Baja",'Mapa final'!$AC$58="Leve"),CONCATENATE("R10C",'Mapa final'!$Q$58),"")</f>
        <v/>
      </c>
      <c r="L55" s="65" t="str">
        <f>IF(AND('Mapa final'!$AA$59="Muy Baja",'Mapa final'!$AC$59="Leve"),CONCATENATE("R10C",'Mapa final'!$Q$59),"")</f>
        <v/>
      </c>
      <c r="M55" s="65" t="str">
        <f>IF(AND('Mapa final'!$AA$60="Muy Baja",'Mapa final'!$AC$60="Leve"),CONCATENATE("R10C",'Mapa final'!$Q$60),"")</f>
        <v/>
      </c>
      <c r="N55" s="65" t="str">
        <f>IF(AND('Mapa final'!$AA$61="Muy Baja",'Mapa final'!$AC$61="Leve"),CONCATENATE("R10C",'Mapa final'!$Q$61),"")</f>
        <v/>
      </c>
      <c r="O55" s="66" t="str">
        <f>IF(AND('Mapa final'!$AA$62="Muy Baja",'Mapa final'!$AC$62="Leve"),CONCATENATE("R10C",'Mapa final'!$Q$62),"")</f>
        <v/>
      </c>
      <c r="P55" s="64" t="str">
        <f>IF(AND('Mapa final'!$AA$57="Muy Baja",'Mapa final'!$AC$57="Menor"),CONCATENATE("R10C",'Mapa final'!$Q$57),"")</f>
        <v/>
      </c>
      <c r="Q55" s="65" t="str">
        <f>IF(AND('Mapa final'!$AA$58="Muy Baja",'Mapa final'!$AC$58="Menor"),CONCATENATE("R10C",'Mapa final'!$Q$58),"")</f>
        <v/>
      </c>
      <c r="R55" s="65" t="str">
        <f>IF(AND('Mapa final'!$AA$59="Muy Baja",'Mapa final'!$AC$59="Menor"),CONCATENATE("R10C",'Mapa final'!$Q$59),"")</f>
        <v/>
      </c>
      <c r="S55" s="65" t="str">
        <f>IF(AND('Mapa final'!$AA$60="Muy Baja",'Mapa final'!$AC$60="Menor"),CONCATENATE("R10C",'Mapa final'!$Q$60),"")</f>
        <v/>
      </c>
      <c r="T55" s="65" t="str">
        <f>IF(AND('Mapa final'!$AA$61="Muy Baja",'Mapa final'!$AC$61="Menor"),CONCATENATE("R10C",'Mapa final'!$Q$61),"")</f>
        <v/>
      </c>
      <c r="U55" s="66" t="str">
        <f>IF(AND('Mapa final'!$AA$62="Muy Baja",'Mapa final'!$AC$62="Menor"),CONCATENATE("R10C",'Mapa final'!$Q$62),"")</f>
        <v/>
      </c>
      <c r="V55" s="55" t="str">
        <f>IF(AND('Mapa final'!$AA$57="Muy Baja",'Mapa final'!$AC$57="Moderado"),CONCATENATE("R10C",'Mapa final'!$Q$57),"")</f>
        <v/>
      </c>
      <c r="W55" s="56" t="str">
        <f>IF(AND('Mapa final'!$AA$58="Muy Baja",'Mapa final'!$AC$58="Moderado"),CONCATENATE("R10C",'Mapa final'!$Q$58),"")</f>
        <v/>
      </c>
      <c r="X55" s="56" t="str">
        <f>IF(AND('Mapa final'!$AA$59="Muy Baja",'Mapa final'!$AC$59="Moderado"),CONCATENATE("R10C",'Mapa final'!$Q$59),"")</f>
        <v/>
      </c>
      <c r="Y55" s="56" t="str">
        <f>IF(AND('Mapa final'!$AA$60="Muy Baja",'Mapa final'!$AC$60="Moderado"),CONCATENATE("R10C",'Mapa final'!$Q$60),"")</f>
        <v/>
      </c>
      <c r="Z55" s="56" t="str">
        <f>IF(AND('Mapa final'!$AA$61="Muy Baja",'Mapa final'!$AC$61="Moderado"),CONCATENATE("R10C",'Mapa final'!$Q$61),"")</f>
        <v/>
      </c>
      <c r="AA55" s="57" t="str">
        <f>IF(AND('Mapa final'!$AA$62="Muy Baja",'Mapa final'!$AC$62="Moderado"),CONCATENATE("R10C",'Mapa final'!$Q$62),"")</f>
        <v/>
      </c>
      <c r="AB55" s="43" t="str">
        <f>IF(AND('Mapa final'!$AA$57="Muy Baja",'Mapa final'!$AC$57="Mayor"),CONCATENATE("R10C",'Mapa final'!$Q$57),"")</f>
        <v/>
      </c>
      <c r="AC55" s="44" t="str">
        <f>IF(AND('Mapa final'!$AA$58="Muy Baja",'Mapa final'!$AC$58="Mayor"),CONCATENATE("R10C",'Mapa final'!$Q$58),"")</f>
        <v/>
      </c>
      <c r="AD55" s="44" t="str">
        <f>IF(AND('Mapa final'!$AA$59="Muy Baja",'Mapa final'!$AC$59="Mayor"),CONCATENATE("R10C",'Mapa final'!$Q$59),"")</f>
        <v/>
      </c>
      <c r="AE55" s="44" t="str">
        <f>IF(AND('Mapa final'!$AA$60="Muy Baja",'Mapa final'!$AC$60="Mayor"),CONCATENATE("R10C",'Mapa final'!$Q$60),"")</f>
        <v/>
      </c>
      <c r="AF55" s="44" t="str">
        <f>IF(AND('Mapa final'!$AA$61="Muy Baja",'Mapa final'!$AC$61="Mayor"),CONCATENATE("R10C",'Mapa final'!$Q$61),"")</f>
        <v/>
      </c>
      <c r="AG55" s="45" t="str">
        <f>IF(AND('Mapa final'!$AA$62="Muy Baja",'Mapa final'!$AC$62="Mayor"),CONCATENATE("R10C",'Mapa final'!$Q$62),"")</f>
        <v/>
      </c>
      <c r="AH55" s="46" t="str">
        <f>IF(AND('Mapa final'!$AA$57="Muy Baja",'Mapa final'!$AC$57="Catastrófico"),CONCATENATE("R10C",'Mapa final'!$Q$57),"")</f>
        <v/>
      </c>
      <c r="AI55" s="47" t="str">
        <f>IF(AND('Mapa final'!$AA$58="Muy Baja",'Mapa final'!$AC$58="Catastrófico"),CONCATENATE("R10C",'Mapa final'!$Q$58),"")</f>
        <v/>
      </c>
      <c r="AJ55" s="47" t="str">
        <f>IF(AND('Mapa final'!$AA$59="Muy Baja",'Mapa final'!$AC$59="Catastrófico"),CONCATENATE("R10C",'Mapa final'!$Q$59),"")</f>
        <v/>
      </c>
      <c r="AK55" s="47" t="str">
        <f>IF(AND('Mapa final'!$AA$60="Muy Baja",'Mapa final'!$AC$60="Catastrófico"),CONCATENATE("R10C",'Mapa final'!$Q$60),"")</f>
        <v/>
      </c>
      <c r="AL55" s="47" t="str">
        <f>IF(AND('Mapa final'!$AA$61="Muy Baja",'Mapa final'!$AC$61="Catastrófico"),CONCATENATE("R10C",'Mapa final'!$Q$61),"")</f>
        <v/>
      </c>
      <c r="AM55" s="48" t="str">
        <f>IF(AND('Mapa final'!$AA$62="Muy Baja",'Mapa final'!$AC$62="Catastrófico"),CONCATENATE("R10C",'Mapa final'!$Q$62),"")</f>
        <v/>
      </c>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386" t="s">
        <v>107</v>
      </c>
      <c r="K56" s="387"/>
      <c r="L56" s="387"/>
      <c r="M56" s="387"/>
      <c r="N56" s="387"/>
      <c r="O56" s="388"/>
      <c r="P56" s="386" t="s">
        <v>106</v>
      </c>
      <c r="Q56" s="387"/>
      <c r="R56" s="387"/>
      <c r="S56" s="387"/>
      <c r="T56" s="387"/>
      <c r="U56" s="388"/>
      <c r="V56" s="386" t="s">
        <v>105</v>
      </c>
      <c r="W56" s="387"/>
      <c r="X56" s="387"/>
      <c r="Y56" s="387"/>
      <c r="Z56" s="387"/>
      <c r="AA56" s="388"/>
      <c r="AB56" s="386" t="s">
        <v>104</v>
      </c>
      <c r="AC56" s="395"/>
      <c r="AD56" s="387"/>
      <c r="AE56" s="387"/>
      <c r="AF56" s="387"/>
      <c r="AG56" s="388"/>
      <c r="AH56" s="386" t="s">
        <v>103</v>
      </c>
      <c r="AI56" s="387"/>
      <c r="AJ56" s="387"/>
      <c r="AK56" s="387"/>
      <c r="AL56" s="387"/>
      <c r="AM56" s="38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389"/>
      <c r="K57" s="390"/>
      <c r="L57" s="390"/>
      <c r="M57" s="390"/>
      <c r="N57" s="390"/>
      <c r="O57" s="391"/>
      <c r="P57" s="389"/>
      <c r="Q57" s="390"/>
      <c r="R57" s="390"/>
      <c r="S57" s="390"/>
      <c r="T57" s="390"/>
      <c r="U57" s="391"/>
      <c r="V57" s="389"/>
      <c r="W57" s="390"/>
      <c r="X57" s="390"/>
      <c r="Y57" s="390"/>
      <c r="Z57" s="390"/>
      <c r="AA57" s="391"/>
      <c r="AB57" s="389"/>
      <c r="AC57" s="390"/>
      <c r="AD57" s="390"/>
      <c r="AE57" s="390"/>
      <c r="AF57" s="390"/>
      <c r="AG57" s="391"/>
      <c r="AH57" s="389"/>
      <c r="AI57" s="390"/>
      <c r="AJ57" s="390"/>
      <c r="AK57" s="390"/>
      <c r="AL57" s="390"/>
      <c r="AM57" s="391"/>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389"/>
      <c r="K58" s="390"/>
      <c r="L58" s="390"/>
      <c r="M58" s="390"/>
      <c r="N58" s="390"/>
      <c r="O58" s="391"/>
      <c r="P58" s="389"/>
      <c r="Q58" s="390"/>
      <c r="R58" s="390"/>
      <c r="S58" s="390"/>
      <c r="T58" s="390"/>
      <c r="U58" s="391"/>
      <c r="V58" s="389"/>
      <c r="W58" s="390"/>
      <c r="X58" s="390"/>
      <c r="Y58" s="390"/>
      <c r="Z58" s="390"/>
      <c r="AA58" s="391"/>
      <c r="AB58" s="389"/>
      <c r="AC58" s="390"/>
      <c r="AD58" s="390"/>
      <c r="AE58" s="390"/>
      <c r="AF58" s="390"/>
      <c r="AG58" s="391"/>
      <c r="AH58" s="389"/>
      <c r="AI58" s="390"/>
      <c r="AJ58" s="390"/>
      <c r="AK58" s="390"/>
      <c r="AL58" s="390"/>
      <c r="AM58" s="391"/>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389"/>
      <c r="K59" s="390"/>
      <c r="L59" s="390"/>
      <c r="M59" s="390"/>
      <c r="N59" s="390"/>
      <c r="O59" s="391"/>
      <c r="P59" s="389"/>
      <c r="Q59" s="390"/>
      <c r="R59" s="390"/>
      <c r="S59" s="390"/>
      <c r="T59" s="390"/>
      <c r="U59" s="391"/>
      <c r="V59" s="389"/>
      <c r="W59" s="390"/>
      <c r="X59" s="390"/>
      <c r="Y59" s="390"/>
      <c r="Z59" s="390"/>
      <c r="AA59" s="391"/>
      <c r="AB59" s="389"/>
      <c r="AC59" s="390"/>
      <c r="AD59" s="390"/>
      <c r="AE59" s="390"/>
      <c r="AF59" s="390"/>
      <c r="AG59" s="391"/>
      <c r="AH59" s="389"/>
      <c r="AI59" s="390"/>
      <c r="AJ59" s="390"/>
      <c r="AK59" s="390"/>
      <c r="AL59" s="390"/>
      <c r="AM59" s="391"/>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389"/>
      <c r="K60" s="390"/>
      <c r="L60" s="390"/>
      <c r="M60" s="390"/>
      <c r="N60" s="390"/>
      <c r="O60" s="391"/>
      <c r="P60" s="389"/>
      <c r="Q60" s="390"/>
      <c r="R60" s="390"/>
      <c r="S60" s="390"/>
      <c r="T60" s="390"/>
      <c r="U60" s="391"/>
      <c r="V60" s="389"/>
      <c r="W60" s="390"/>
      <c r="X60" s="390"/>
      <c r="Y60" s="390"/>
      <c r="Z60" s="390"/>
      <c r="AA60" s="391"/>
      <c r="AB60" s="389"/>
      <c r="AC60" s="390"/>
      <c r="AD60" s="390"/>
      <c r="AE60" s="390"/>
      <c r="AF60" s="390"/>
      <c r="AG60" s="391"/>
      <c r="AH60" s="389"/>
      <c r="AI60" s="390"/>
      <c r="AJ60" s="390"/>
      <c r="AK60" s="390"/>
      <c r="AL60" s="390"/>
      <c r="AM60" s="391"/>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ht="15.75" thickBot="1" x14ac:dyDescent="0.3">
      <c r="A61" s="68"/>
      <c r="B61" s="68"/>
      <c r="C61" s="68"/>
      <c r="D61" s="68"/>
      <c r="E61" s="68"/>
      <c r="F61" s="68"/>
      <c r="G61" s="68"/>
      <c r="H61" s="68"/>
      <c r="I61" s="68"/>
      <c r="J61" s="392"/>
      <c r="K61" s="393"/>
      <c r="L61" s="393"/>
      <c r="M61" s="393"/>
      <c r="N61" s="393"/>
      <c r="O61" s="394"/>
      <c r="P61" s="392"/>
      <c r="Q61" s="393"/>
      <c r="R61" s="393"/>
      <c r="S61" s="393"/>
      <c r="T61" s="393"/>
      <c r="U61" s="394"/>
      <c r="V61" s="392"/>
      <c r="W61" s="393"/>
      <c r="X61" s="393"/>
      <c r="Y61" s="393"/>
      <c r="Z61" s="393"/>
      <c r="AA61" s="394"/>
      <c r="AB61" s="392"/>
      <c r="AC61" s="393"/>
      <c r="AD61" s="393"/>
      <c r="AE61" s="393"/>
      <c r="AF61" s="393"/>
      <c r="AG61" s="394"/>
      <c r="AH61" s="392"/>
      <c r="AI61" s="393"/>
      <c r="AJ61" s="393"/>
      <c r="AK61" s="393"/>
      <c r="AL61" s="393"/>
      <c r="AM61" s="394"/>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row>
    <row r="63" spans="1:80" ht="15" customHeight="1" x14ac:dyDescent="0.25">
      <c r="A63" s="68"/>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68"/>
      <c r="AV63" s="68"/>
      <c r="AW63" s="68"/>
      <c r="AX63" s="68"/>
      <c r="AY63" s="68"/>
      <c r="AZ63" s="68"/>
      <c r="BA63" s="68"/>
      <c r="BB63" s="68"/>
      <c r="BC63" s="68"/>
      <c r="BD63" s="68"/>
      <c r="BE63" s="68"/>
      <c r="BF63" s="68"/>
      <c r="BG63" s="68"/>
      <c r="BH63" s="68"/>
    </row>
    <row r="64" spans="1:80" ht="15" customHeight="1" x14ac:dyDescent="0.25">
      <c r="A64" s="68"/>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68"/>
      <c r="AV64" s="68"/>
      <c r="AW64" s="68"/>
      <c r="AX64" s="68"/>
      <c r="AY64" s="68"/>
      <c r="AZ64" s="68"/>
      <c r="BA64" s="68"/>
      <c r="BB64" s="68"/>
      <c r="BC64" s="68"/>
      <c r="BD64" s="68"/>
      <c r="BE64" s="68"/>
      <c r="BF64" s="68"/>
      <c r="BG64" s="68"/>
      <c r="BH64" s="68"/>
    </row>
    <row r="65" spans="1:6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row>
    <row r="66" spans="1:6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row>
    <row r="67" spans="1:6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row>
    <row r="68" spans="1:6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row>
    <row r="69" spans="1:6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row>
    <row r="70" spans="1:6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row>
    <row r="71" spans="1:6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row>
    <row r="72" spans="1:6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row>
    <row r="73" spans="1:6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row>
    <row r="74" spans="1:6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row>
    <row r="75" spans="1:6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row>
    <row r="76" spans="1:6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row>
    <row r="77" spans="1:6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row>
    <row r="78" spans="1:6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row>
    <row r="79" spans="1:6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row>
    <row r="80" spans="1:6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row>
    <row r="81" spans="1:60"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row>
    <row r="82" spans="1:60"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row>
    <row r="83" spans="1:60"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row>
    <row r="84" spans="1:60"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row>
    <row r="85" spans="1:60"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row>
    <row r="86" spans="1:60"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row>
    <row r="87" spans="1:60"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row>
    <row r="88" spans="1:60"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row>
    <row r="89" spans="1:60"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row>
    <row r="90" spans="1:60"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row>
    <row r="91" spans="1:60"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row>
    <row r="92" spans="1:60"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row>
    <row r="93" spans="1:60"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row>
    <row r="94" spans="1:60"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row>
    <row r="95" spans="1:60"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row>
    <row r="96" spans="1:60"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row>
    <row r="97" spans="1:60"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row>
    <row r="98" spans="1:60"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row>
    <row r="99" spans="1:60"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row>
    <row r="100" spans="1:60"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row>
    <row r="101" spans="1:60"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row>
    <row r="102" spans="1:60"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row>
    <row r="103" spans="1:60"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row>
    <row r="104" spans="1:60"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row>
    <row r="105" spans="1:60"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row>
    <row r="106" spans="1:60"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row>
    <row r="107" spans="1:60"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row>
    <row r="108" spans="1:60"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row>
    <row r="109" spans="1:60"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row>
    <row r="110" spans="1:60"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row>
    <row r="111" spans="1:60"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row>
    <row r="112" spans="1:60"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row>
    <row r="113" spans="1:60"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row>
    <row r="114" spans="1:60"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row>
    <row r="115" spans="1:60"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row>
    <row r="116" spans="1:60"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row>
    <row r="117" spans="1:60"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row>
    <row r="118" spans="1:60"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row>
    <row r="119" spans="1:60"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row>
    <row r="120" spans="1:60"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row>
    <row r="121" spans="1:60"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row>
    <row r="122" spans="1:60" x14ac:dyDescent="0.2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row>
    <row r="123" spans="1:60" x14ac:dyDescent="0.2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row>
    <row r="124" spans="1:60" x14ac:dyDescent="0.2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row>
    <row r="125" spans="1:60" x14ac:dyDescent="0.2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row>
    <row r="126" spans="1:60" x14ac:dyDescent="0.2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row>
    <row r="127" spans="1:60" x14ac:dyDescent="0.2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row>
    <row r="128" spans="1:60" x14ac:dyDescent="0.2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row>
    <row r="129" spans="1:60" x14ac:dyDescent="0.2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row>
    <row r="130" spans="1:60" x14ac:dyDescent="0.2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row>
    <row r="131" spans="1:60" x14ac:dyDescent="0.2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row>
    <row r="132" spans="1:60" x14ac:dyDescent="0.2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row>
    <row r="133" spans="1:60" x14ac:dyDescent="0.2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row>
    <row r="134" spans="1:60" x14ac:dyDescent="0.2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row>
    <row r="135" spans="1:60" x14ac:dyDescent="0.2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row>
    <row r="136" spans="1:60" x14ac:dyDescent="0.2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row>
    <row r="137" spans="1:60" x14ac:dyDescent="0.2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row>
    <row r="138" spans="1:60" x14ac:dyDescent="0.2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row>
    <row r="139" spans="1:60" x14ac:dyDescent="0.2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row>
    <row r="140" spans="1:60" x14ac:dyDescent="0.2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row>
    <row r="141" spans="1:60" x14ac:dyDescent="0.2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row>
    <row r="142" spans="1:60" x14ac:dyDescent="0.2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row>
    <row r="143" spans="1:60" x14ac:dyDescent="0.2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row>
    <row r="144" spans="1:60" x14ac:dyDescent="0.2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row>
    <row r="145" spans="1:60" x14ac:dyDescent="0.2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row>
    <row r="146" spans="1:60" x14ac:dyDescent="0.2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row>
    <row r="147" spans="1:60" x14ac:dyDescent="0.25">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row>
    <row r="148" spans="1:60" x14ac:dyDescent="0.25">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row>
    <row r="149" spans="1:60" x14ac:dyDescent="0.25">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row>
    <row r="150" spans="1:60" x14ac:dyDescent="0.25">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row>
    <row r="151" spans="1:60" x14ac:dyDescent="0.2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row>
    <row r="152" spans="1:60" x14ac:dyDescent="0.25">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row>
    <row r="153" spans="1:60" x14ac:dyDescent="0.25">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row>
    <row r="154" spans="1:60" x14ac:dyDescent="0.25">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row>
    <row r="155" spans="1:60" x14ac:dyDescent="0.2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row>
    <row r="156" spans="1:60" x14ac:dyDescent="0.25">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row>
    <row r="157" spans="1:60" x14ac:dyDescent="0.25">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row>
    <row r="158" spans="1:60" x14ac:dyDescent="0.25">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row>
    <row r="159" spans="1:60" x14ac:dyDescent="0.25">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row>
    <row r="160" spans="1:60" x14ac:dyDescent="0.25">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row>
    <row r="161" spans="1:60" x14ac:dyDescent="0.25">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row>
    <row r="162" spans="1:60" x14ac:dyDescent="0.25">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row>
    <row r="163" spans="1:60" x14ac:dyDescent="0.25">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row>
    <row r="164" spans="1:60" x14ac:dyDescent="0.25">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row>
    <row r="165" spans="1:60" x14ac:dyDescent="0.2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row>
    <row r="166" spans="1:60" x14ac:dyDescent="0.25">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row>
    <row r="167" spans="1:60" x14ac:dyDescent="0.25">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row>
    <row r="168" spans="1:60" x14ac:dyDescent="0.25">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row>
    <row r="169" spans="1:60" x14ac:dyDescent="0.25">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row>
    <row r="170" spans="1:60" x14ac:dyDescent="0.2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row>
    <row r="171" spans="1:60" x14ac:dyDescent="0.25">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row>
    <row r="172" spans="1:60" x14ac:dyDescent="0.25">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row>
    <row r="173" spans="1:60" x14ac:dyDescent="0.25">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row>
    <row r="174" spans="1:60" x14ac:dyDescent="0.25">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row>
    <row r="175" spans="1:60" x14ac:dyDescent="0.2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row>
    <row r="176" spans="1:60" x14ac:dyDescent="0.25">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row>
    <row r="177" spans="1:60" x14ac:dyDescent="0.25">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row>
    <row r="178" spans="1:60" x14ac:dyDescent="0.25">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row>
    <row r="179" spans="1:60" x14ac:dyDescent="0.25">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row>
    <row r="180" spans="1:60" x14ac:dyDescent="0.25">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row>
    <row r="181" spans="1:60" x14ac:dyDescent="0.25">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row>
    <row r="182" spans="1:60" x14ac:dyDescent="0.25">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row>
    <row r="183" spans="1:60" x14ac:dyDescent="0.25">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row>
    <row r="184" spans="1:60" x14ac:dyDescent="0.25">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row>
    <row r="185" spans="1:60" x14ac:dyDescent="0.2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row>
    <row r="186" spans="1:60" x14ac:dyDescent="0.25">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row>
    <row r="187" spans="1:60" x14ac:dyDescent="0.25">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row>
    <row r="188" spans="1:60" x14ac:dyDescent="0.25">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row>
    <row r="189" spans="1:60" x14ac:dyDescent="0.2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row>
    <row r="190" spans="1:60" x14ac:dyDescent="0.2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row>
    <row r="191" spans="1:60" x14ac:dyDescent="0.25">
      <c r="A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row>
    <row r="192" spans="1:60" x14ac:dyDescent="0.25">
      <c r="A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row>
    <row r="193" spans="1:60" x14ac:dyDescent="0.25">
      <c r="A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row>
    <row r="194" spans="1:60" x14ac:dyDescent="0.25">
      <c r="A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row>
    <row r="195" spans="1:60" x14ac:dyDescent="0.25">
      <c r="A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row>
    <row r="196" spans="1:60" x14ac:dyDescent="0.25">
      <c r="A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row>
    <row r="197" spans="1:60" x14ac:dyDescent="0.25">
      <c r="A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row>
    <row r="198" spans="1:60" x14ac:dyDescent="0.25">
      <c r="A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row>
    <row r="199" spans="1:60" x14ac:dyDescent="0.25">
      <c r="A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row>
    <row r="200" spans="1:60" x14ac:dyDescent="0.25">
      <c r="A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row>
    <row r="201" spans="1:60" x14ac:dyDescent="0.25">
      <c r="A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row>
    <row r="202" spans="1:60" x14ac:dyDescent="0.25">
      <c r="A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row>
    <row r="203" spans="1:60" x14ac:dyDescent="0.25">
      <c r="A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row>
    <row r="204" spans="1:60" x14ac:dyDescent="0.25">
      <c r="A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row>
    <row r="205" spans="1:60" x14ac:dyDescent="0.25">
      <c r="A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row>
    <row r="206" spans="1:60" x14ac:dyDescent="0.25">
      <c r="A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row>
    <row r="207" spans="1:60" x14ac:dyDescent="0.25">
      <c r="A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row>
    <row r="208" spans="1:60" x14ac:dyDescent="0.25">
      <c r="A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row>
    <row r="209" spans="1:60" x14ac:dyDescent="0.25">
      <c r="A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row>
    <row r="210" spans="1:60" x14ac:dyDescent="0.25">
      <c r="A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row>
    <row r="211" spans="1:60" x14ac:dyDescent="0.25">
      <c r="A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row>
    <row r="212" spans="1:60" x14ac:dyDescent="0.25">
      <c r="A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row>
    <row r="213" spans="1:60" x14ac:dyDescent="0.25">
      <c r="A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row>
    <row r="214" spans="1:60" x14ac:dyDescent="0.25">
      <c r="A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row>
    <row r="215" spans="1:60" x14ac:dyDescent="0.25">
      <c r="A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row>
    <row r="216" spans="1:60" x14ac:dyDescent="0.25">
      <c r="A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row>
    <row r="217" spans="1:60" x14ac:dyDescent="0.25">
      <c r="A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row>
    <row r="218" spans="1:60" x14ac:dyDescent="0.25">
      <c r="A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row>
    <row r="219" spans="1:60" x14ac:dyDescent="0.25">
      <c r="A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row>
    <row r="220" spans="1:60" x14ac:dyDescent="0.25">
      <c r="A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row>
    <row r="221" spans="1:60" x14ac:dyDescent="0.25">
      <c r="A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row>
    <row r="222" spans="1:60" x14ac:dyDescent="0.25">
      <c r="A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row>
    <row r="223" spans="1:60" x14ac:dyDescent="0.25">
      <c r="A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row>
    <row r="224" spans="1:60" x14ac:dyDescent="0.25">
      <c r="A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row>
    <row r="225" spans="1:60" x14ac:dyDescent="0.25">
      <c r="A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row>
    <row r="226" spans="1:60" x14ac:dyDescent="0.25">
      <c r="A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row>
    <row r="227" spans="1:60" x14ac:dyDescent="0.25">
      <c r="A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row>
    <row r="228" spans="1:60" x14ac:dyDescent="0.25">
      <c r="A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row>
    <row r="229" spans="1:60" x14ac:dyDescent="0.25">
      <c r="A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row>
    <row r="230" spans="1:60" x14ac:dyDescent="0.25">
      <c r="A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row>
    <row r="231" spans="1:60" x14ac:dyDescent="0.25">
      <c r="A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row>
    <row r="232" spans="1:60" x14ac:dyDescent="0.25">
      <c r="A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row>
    <row r="233" spans="1:60" x14ac:dyDescent="0.25">
      <c r="A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row>
    <row r="234" spans="1:60" x14ac:dyDescent="0.25">
      <c r="A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row>
    <row r="235" spans="1:60" x14ac:dyDescent="0.25">
      <c r="A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row>
    <row r="236" spans="1:60" x14ac:dyDescent="0.25">
      <c r="A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row>
    <row r="237" spans="1:60" x14ac:dyDescent="0.25">
      <c r="A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row>
    <row r="238" spans="1:60" x14ac:dyDescent="0.25">
      <c r="A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row>
    <row r="239" spans="1:60" x14ac:dyDescent="0.25">
      <c r="A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row>
    <row r="240" spans="1:60" x14ac:dyDescent="0.25">
      <c r="A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8"/>
      <c r="BG240" s="68"/>
      <c r="BH240" s="68"/>
    </row>
    <row r="241" spans="1:60" x14ac:dyDescent="0.25">
      <c r="A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row>
    <row r="242" spans="1:60" x14ac:dyDescent="0.25">
      <c r="A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8"/>
      <c r="BG242" s="68"/>
      <c r="BH242" s="68"/>
    </row>
    <row r="243" spans="1:60" x14ac:dyDescent="0.25">
      <c r="A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row>
    <row r="244" spans="1:60" x14ac:dyDescent="0.25">
      <c r="A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8"/>
      <c r="BG244" s="68"/>
      <c r="BH244" s="68"/>
    </row>
    <row r="245" spans="1:60" x14ac:dyDescent="0.25">
      <c r="A245" s="68"/>
    </row>
    <row r="246" spans="1:60" x14ac:dyDescent="0.25">
      <c r="A246" s="68"/>
    </row>
    <row r="247" spans="1:60" x14ac:dyDescent="0.25">
      <c r="A247" s="68"/>
    </row>
    <row r="248" spans="1:60" x14ac:dyDescent="0.25">
      <c r="A248" s="68"/>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80" zoomScaleNormal="80"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8"/>
      <c r="B1" s="436" t="s">
        <v>55</v>
      </c>
      <c r="C1" s="436"/>
      <c r="D1" s="436"/>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7" x14ac:dyDescent="0.2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row>
    <row r="3" spans="1:37" ht="25.5" x14ac:dyDescent="0.25">
      <c r="A3" s="68"/>
      <c r="B3" s="11"/>
      <c r="C3" s="12" t="s">
        <v>52</v>
      </c>
      <c r="D3" s="12" t="s">
        <v>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37" ht="51" x14ac:dyDescent="0.25">
      <c r="A4" s="68"/>
      <c r="B4" s="13" t="s">
        <v>51</v>
      </c>
      <c r="C4" s="14" t="s">
        <v>97</v>
      </c>
      <c r="D4" s="15">
        <v>0.2</v>
      </c>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7" ht="51" x14ac:dyDescent="0.25">
      <c r="A5" s="68"/>
      <c r="B5" s="16" t="s">
        <v>53</v>
      </c>
      <c r="C5" s="17" t="s">
        <v>98</v>
      </c>
      <c r="D5" s="18">
        <v>0.4</v>
      </c>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ht="51" x14ac:dyDescent="0.25">
      <c r="A6" s="68"/>
      <c r="B6" s="19" t="s">
        <v>102</v>
      </c>
      <c r="C6" s="17" t="s">
        <v>99</v>
      </c>
      <c r="D6" s="18">
        <v>0.6</v>
      </c>
      <c r="E6" s="68"/>
      <c r="F6" s="68"/>
      <c r="G6" s="68"/>
      <c r="H6" s="68"/>
      <c r="I6" s="68"/>
      <c r="J6" s="68"/>
      <c r="K6" s="68"/>
      <c r="L6" s="68"/>
      <c r="M6" s="68"/>
      <c r="N6" s="68"/>
      <c r="O6" s="68"/>
      <c r="P6" s="68"/>
      <c r="Q6" s="68"/>
      <c r="R6" s="68"/>
      <c r="S6" s="68"/>
      <c r="T6" s="68"/>
      <c r="U6" s="68"/>
      <c r="V6" s="68"/>
      <c r="W6" s="68"/>
      <c r="X6" s="68"/>
      <c r="Y6" s="68"/>
      <c r="Z6" s="68"/>
      <c r="AA6" s="68"/>
      <c r="AB6" s="68"/>
      <c r="AC6" s="68"/>
      <c r="AD6" s="68"/>
      <c r="AE6" s="68"/>
    </row>
    <row r="7" spans="1:37" ht="76.5" x14ac:dyDescent="0.25">
      <c r="A7" s="68"/>
      <c r="B7" s="20" t="s">
        <v>6</v>
      </c>
      <c r="C7" s="17" t="s">
        <v>100</v>
      </c>
      <c r="D7" s="18">
        <v>0.8</v>
      </c>
      <c r="E7" s="68"/>
      <c r="F7" s="68"/>
      <c r="G7" s="68"/>
      <c r="H7" s="68"/>
      <c r="I7" s="68"/>
      <c r="J7" s="68"/>
      <c r="K7" s="68"/>
      <c r="L7" s="68"/>
      <c r="M7" s="68"/>
      <c r="N7" s="68"/>
      <c r="O7" s="68"/>
      <c r="P7" s="68"/>
      <c r="Q7" s="68"/>
      <c r="R7" s="68"/>
      <c r="S7" s="68"/>
      <c r="T7" s="68"/>
      <c r="U7" s="68"/>
      <c r="V7" s="68"/>
      <c r="W7" s="68"/>
      <c r="X7" s="68"/>
      <c r="Y7" s="68"/>
      <c r="Z7" s="68"/>
      <c r="AA7" s="68"/>
      <c r="AB7" s="68"/>
      <c r="AC7" s="68"/>
      <c r="AD7" s="68"/>
      <c r="AE7" s="68"/>
    </row>
    <row r="8" spans="1:37" ht="51" x14ac:dyDescent="0.25">
      <c r="A8" s="68"/>
      <c r="B8" s="21" t="s">
        <v>54</v>
      </c>
      <c r="C8" s="17" t="s">
        <v>101</v>
      </c>
      <c r="D8" s="18">
        <v>1</v>
      </c>
      <c r="E8" s="68"/>
      <c r="F8" s="68"/>
      <c r="G8" s="68"/>
      <c r="H8" s="68"/>
      <c r="I8" s="68"/>
      <c r="J8" s="68"/>
      <c r="K8" s="68"/>
      <c r="L8" s="68"/>
      <c r="M8" s="68"/>
      <c r="N8" s="68"/>
      <c r="O8" s="68"/>
      <c r="P8" s="68"/>
      <c r="Q8" s="68"/>
      <c r="R8" s="68"/>
      <c r="S8" s="68"/>
      <c r="T8" s="68"/>
      <c r="U8" s="68"/>
      <c r="V8" s="68"/>
      <c r="W8" s="68"/>
      <c r="X8" s="68"/>
      <c r="Y8" s="68"/>
      <c r="Z8" s="68"/>
      <c r="AA8" s="68"/>
      <c r="AB8" s="68"/>
      <c r="AC8" s="68"/>
      <c r="AD8" s="68"/>
      <c r="AE8" s="68"/>
    </row>
    <row r="9" spans="1:37" x14ac:dyDescent="0.25">
      <c r="A9" s="68"/>
      <c r="B9" s="90"/>
      <c r="C9" s="90"/>
      <c r="D9" s="90"/>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1:37" ht="16.5" x14ac:dyDescent="0.25">
      <c r="A10" s="68"/>
      <c r="B10" s="91"/>
      <c r="C10" s="90"/>
      <c r="D10" s="90"/>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row>
    <row r="11" spans="1:37" x14ac:dyDescent="0.25">
      <c r="A11" s="68"/>
      <c r="B11" s="90"/>
      <c r="C11" s="90"/>
      <c r="D11" s="90"/>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row>
    <row r="12" spans="1:37" x14ac:dyDescent="0.25">
      <c r="A12" s="68"/>
      <c r="B12" s="90"/>
      <c r="C12" s="90"/>
      <c r="D12" s="90"/>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row>
    <row r="13" spans="1:37" x14ac:dyDescent="0.25">
      <c r="A13" s="68"/>
      <c r="B13" s="90"/>
      <c r="C13" s="90"/>
      <c r="D13" s="90"/>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row>
    <row r="14" spans="1:37" x14ac:dyDescent="0.25">
      <c r="A14" s="68"/>
      <c r="B14" s="90"/>
      <c r="C14" s="90"/>
      <c r="D14" s="90"/>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row>
    <row r="15" spans="1:37" x14ac:dyDescent="0.25">
      <c r="A15" s="68"/>
      <c r="B15" s="90"/>
      <c r="C15" s="90"/>
      <c r="D15" s="90"/>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1:37" x14ac:dyDescent="0.25">
      <c r="A16" s="68"/>
      <c r="B16" s="90"/>
      <c r="C16" s="90"/>
      <c r="D16" s="90"/>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row>
    <row r="17" spans="1:37" x14ac:dyDescent="0.25">
      <c r="A17" s="68"/>
      <c r="B17" s="90"/>
      <c r="C17" s="90"/>
      <c r="D17" s="90"/>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row>
    <row r="18" spans="1:37" x14ac:dyDescent="0.25">
      <c r="A18" s="68"/>
      <c r="B18" s="90"/>
      <c r="C18" s="90"/>
      <c r="D18" s="90"/>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row>
    <row r="19" spans="1:37" x14ac:dyDescent="0.2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x14ac:dyDescent="0.2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x14ac:dyDescent="0.2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x14ac:dyDescent="0.25">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1:37" x14ac:dyDescent="0.25">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row>
    <row r="24" spans="1:37" x14ac:dyDescent="0.2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7" x14ac:dyDescent="0.2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37" x14ac:dyDescent="0.2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row>
    <row r="27" spans="1:37" x14ac:dyDescent="0.2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row>
    <row r="28" spans="1:37" x14ac:dyDescent="0.2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row>
    <row r="29" spans="1:37" x14ac:dyDescent="0.2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row>
    <row r="30" spans="1:37" x14ac:dyDescent="0.25">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row>
    <row r="31" spans="1:37" x14ac:dyDescent="0.2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row>
    <row r="32" spans="1:37" x14ac:dyDescent="0.2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row>
    <row r="33" spans="1:31" x14ac:dyDescent="0.25">
      <c r="A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1:31" x14ac:dyDescent="0.25">
      <c r="A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row>
    <row r="35" spans="1:31" x14ac:dyDescent="0.25">
      <c r="A35" s="68"/>
    </row>
    <row r="36" spans="1:31" x14ac:dyDescent="0.25">
      <c r="A36" s="68"/>
    </row>
    <row r="37" spans="1:31" x14ac:dyDescent="0.25">
      <c r="A37" s="68"/>
    </row>
    <row r="38" spans="1:31" x14ac:dyDescent="0.25">
      <c r="A38" s="68"/>
    </row>
    <row r="39" spans="1:31" x14ac:dyDescent="0.25">
      <c r="A39" s="68"/>
    </row>
    <row r="40" spans="1:31" x14ac:dyDescent="0.25">
      <c r="A40" s="68"/>
    </row>
    <row r="41" spans="1:31" x14ac:dyDescent="0.25">
      <c r="A41" s="68"/>
    </row>
    <row r="42" spans="1:31" x14ac:dyDescent="0.25">
      <c r="A42" s="68"/>
    </row>
    <row r="43" spans="1:31" x14ac:dyDescent="0.25">
      <c r="A43" s="68"/>
    </row>
    <row r="44" spans="1:31" x14ac:dyDescent="0.25">
      <c r="A44" s="68"/>
    </row>
    <row r="45" spans="1:31" x14ac:dyDescent="0.25">
      <c r="A45" s="68"/>
    </row>
    <row r="46" spans="1:31" x14ac:dyDescent="0.25">
      <c r="A46" s="68"/>
    </row>
    <row r="47" spans="1:31" x14ac:dyDescent="0.25">
      <c r="A47" s="68"/>
    </row>
    <row r="48" spans="1:31" x14ac:dyDescent="0.25">
      <c r="A48" s="68"/>
    </row>
    <row r="49" spans="1:1" x14ac:dyDescent="0.25">
      <c r="A49" s="68"/>
    </row>
    <row r="50" spans="1:1" x14ac:dyDescent="0.25">
      <c r="A50" s="68"/>
    </row>
    <row r="51" spans="1:1" x14ac:dyDescent="0.25">
      <c r="A51" s="68"/>
    </row>
    <row r="52" spans="1:1" x14ac:dyDescent="0.25">
      <c r="A52" s="68"/>
    </row>
    <row r="53" spans="1:1" x14ac:dyDescent="0.25">
      <c r="A53" s="68"/>
    </row>
    <row r="54" spans="1:1" x14ac:dyDescent="0.25">
      <c r="A54" s="68"/>
    </row>
    <row r="55" spans="1:1" x14ac:dyDescent="0.25">
      <c r="A55" s="6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topLeftCell="B1" zoomScale="60" zoomScaleNormal="60" workbookViewId="0">
      <selection activeCell="D18" sqref="D17:D18"/>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90"/>
      <c r="B1" s="437" t="s">
        <v>62</v>
      </c>
      <c r="C1" s="437"/>
      <c r="D1" s="437"/>
      <c r="E1" s="90"/>
      <c r="F1" s="90"/>
      <c r="G1" s="90"/>
      <c r="H1" s="90"/>
      <c r="I1" s="90"/>
      <c r="J1" s="90"/>
      <c r="K1" s="90"/>
      <c r="L1" s="90"/>
      <c r="M1" s="90"/>
      <c r="N1" s="90"/>
      <c r="O1" s="90"/>
      <c r="P1" s="90"/>
      <c r="Q1" s="90"/>
      <c r="R1" s="90"/>
      <c r="S1" s="90"/>
      <c r="T1" s="90"/>
      <c r="U1" s="90"/>
    </row>
    <row r="2" spans="1:21" x14ac:dyDescent="0.25">
      <c r="A2" s="90"/>
      <c r="B2" s="90"/>
      <c r="C2" s="90"/>
      <c r="D2" s="90"/>
      <c r="E2" s="90"/>
      <c r="F2" s="90"/>
      <c r="G2" s="90"/>
      <c r="H2" s="90"/>
      <c r="I2" s="90"/>
      <c r="J2" s="90"/>
      <c r="K2" s="90"/>
      <c r="L2" s="90"/>
      <c r="M2" s="90"/>
      <c r="N2" s="90"/>
      <c r="O2" s="90"/>
      <c r="P2" s="90"/>
      <c r="Q2" s="90"/>
      <c r="R2" s="90"/>
      <c r="S2" s="90"/>
      <c r="T2" s="90"/>
      <c r="U2" s="90"/>
    </row>
    <row r="3" spans="1:21" ht="30" x14ac:dyDescent="0.25">
      <c r="A3" s="90"/>
      <c r="B3" s="89"/>
      <c r="C3" s="132" t="s">
        <v>56</v>
      </c>
      <c r="D3" s="132" t="s">
        <v>57</v>
      </c>
      <c r="E3" s="90"/>
      <c r="F3" s="90"/>
      <c r="G3" s="90"/>
      <c r="H3" s="90"/>
      <c r="I3" s="90"/>
      <c r="J3" s="90"/>
      <c r="K3" s="90"/>
      <c r="L3" s="90"/>
      <c r="M3" s="90"/>
      <c r="N3" s="90"/>
      <c r="O3" s="90"/>
      <c r="P3" s="90"/>
      <c r="Q3" s="90"/>
      <c r="R3" s="90"/>
      <c r="S3" s="90"/>
      <c r="T3" s="90"/>
      <c r="U3" s="90"/>
    </row>
    <row r="4" spans="1:21" ht="33.75" x14ac:dyDescent="0.25">
      <c r="A4" s="90" t="s">
        <v>82</v>
      </c>
      <c r="B4" s="133" t="s">
        <v>96</v>
      </c>
      <c r="C4" s="134" t="s">
        <v>205</v>
      </c>
      <c r="D4" s="135" t="s">
        <v>92</v>
      </c>
      <c r="E4" s="90"/>
      <c r="F4" s="90"/>
      <c r="G4" s="90"/>
      <c r="H4" s="90"/>
      <c r="I4" s="90"/>
      <c r="J4" s="90"/>
      <c r="K4" s="90"/>
      <c r="L4" s="90"/>
      <c r="M4" s="90"/>
      <c r="N4" s="90"/>
      <c r="O4" s="90"/>
      <c r="P4" s="90"/>
      <c r="Q4" s="90"/>
      <c r="R4" s="90"/>
      <c r="S4" s="90"/>
      <c r="T4" s="90"/>
      <c r="U4" s="90"/>
    </row>
    <row r="5" spans="1:21" ht="67.5" x14ac:dyDescent="0.25">
      <c r="A5" s="90" t="s">
        <v>83</v>
      </c>
      <c r="B5" s="136" t="s">
        <v>58</v>
      </c>
      <c r="C5" s="137" t="s">
        <v>206</v>
      </c>
      <c r="D5" s="138" t="s">
        <v>93</v>
      </c>
      <c r="E5" s="90"/>
      <c r="F5" s="90"/>
      <c r="G5" s="90"/>
      <c r="H5" s="90"/>
      <c r="I5" s="90"/>
      <c r="J5" s="90"/>
      <c r="K5" s="90"/>
      <c r="L5" s="90"/>
      <c r="M5" s="90"/>
      <c r="N5" s="90"/>
      <c r="O5" s="90"/>
      <c r="P5" s="90"/>
      <c r="Q5" s="90"/>
      <c r="R5" s="90"/>
      <c r="S5" s="90"/>
      <c r="T5" s="90"/>
      <c r="U5" s="90"/>
    </row>
    <row r="6" spans="1:21" ht="67.5" x14ac:dyDescent="0.25">
      <c r="A6" s="90" t="s">
        <v>80</v>
      </c>
      <c r="B6" s="139" t="s">
        <v>59</v>
      </c>
      <c r="C6" s="137" t="s">
        <v>210</v>
      </c>
      <c r="D6" s="138" t="s">
        <v>95</v>
      </c>
      <c r="E6" s="90"/>
      <c r="F6" s="90"/>
      <c r="G6" s="90"/>
      <c r="H6" s="90"/>
      <c r="I6" s="90"/>
      <c r="J6" s="90"/>
      <c r="K6" s="90"/>
      <c r="L6" s="90"/>
      <c r="M6" s="90"/>
      <c r="N6" s="90"/>
      <c r="O6" s="90"/>
      <c r="P6" s="90"/>
      <c r="Q6" s="90"/>
      <c r="R6" s="90"/>
      <c r="S6" s="90"/>
      <c r="T6" s="90"/>
      <c r="U6" s="90"/>
    </row>
    <row r="7" spans="1:21" ht="101.25" x14ac:dyDescent="0.25">
      <c r="A7" s="90" t="s">
        <v>7</v>
      </c>
      <c r="B7" s="140" t="s">
        <v>60</v>
      </c>
      <c r="C7" s="137" t="s">
        <v>211</v>
      </c>
      <c r="D7" s="138" t="s">
        <v>94</v>
      </c>
      <c r="E7" s="90"/>
      <c r="F7" s="90"/>
      <c r="G7" s="90"/>
      <c r="H7" s="90"/>
      <c r="I7" s="90"/>
      <c r="J7" s="90"/>
      <c r="K7" s="90"/>
      <c r="L7" s="90"/>
      <c r="M7" s="90"/>
      <c r="N7" s="90"/>
      <c r="O7" s="90"/>
      <c r="P7" s="90"/>
      <c r="Q7" s="90"/>
      <c r="R7" s="90"/>
      <c r="S7" s="90"/>
      <c r="T7" s="90"/>
      <c r="U7" s="90"/>
    </row>
    <row r="8" spans="1:21" ht="67.5" x14ac:dyDescent="0.25">
      <c r="A8" s="90" t="s">
        <v>84</v>
      </c>
      <c r="B8" s="141" t="s">
        <v>61</v>
      </c>
      <c r="C8" s="137" t="s">
        <v>207</v>
      </c>
      <c r="D8" s="138" t="s">
        <v>113</v>
      </c>
      <c r="E8" s="90"/>
      <c r="F8" s="90"/>
      <c r="G8" s="90"/>
      <c r="H8" s="90"/>
      <c r="I8" s="90"/>
      <c r="J8" s="90"/>
      <c r="K8" s="90"/>
      <c r="L8" s="90"/>
      <c r="M8" s="90"/>
      <c r="N8" s="90"/>
      <c r="O8" s="90"/>
      <c r="P8" s="90"/>
      <c r="Q8" s="90"/>
      <c r="R8" s="90"/>
      <c r="S8" s="90"/>
      <c r="T8" s="90"/>
      <c r="U8" s="90"/>
    </row>
    <row r="9" spans="1:21" s="23" customFormat="1" ht="20.25" x14ac:dyDescent="0.25">
      <c r="A9" s="88"/>
      <c r="B9" s="88"/>
      <c r="C9" s="145"/>
      <c r="D9" s="145"/>
      <c r="E9" s="88"/>
      <c r="F9" s="88"/>
      <c r="G9" s="88"/>
      <c r="H9" s="88"/>
      <c r="I9" s="88"/>
      <c r="J9" s="88"/>
      <c r="K9" s="88"/>
      <c r="L9" s="88"/>
      <c r="M9" s="88"/>
      <c r="N9" s="88"/>
      <c r="O9" s="88"/>
      <c r="P9" s="88"/>
      <c r="Q9" s="88"/>
      <c r="R9" s="88"/>
      <c r="S9" s="88"/>
      <c r="T9" s="88"/>
      <c r="U9" s="88"/>
    </row>
    <row r="10" spans="1:21" s="23" customFormat="1" ht="16.5" x14ac:dyDescent="0.25">
      <c r="A10" s="88"/>
      <c r="B10" s="146"/>
      <c r="C10" s="146"/>
      <c r="D10" s="146"/>
      <c r="E10" s="88"/>
      <c r="F10" s="88"/>
      <c r="G10" s="88"/>
      <c r="H10" s="88"/>
      <c r="I10" s="88"/>
      <c r="J10" s="88"/>
      <c r="K10" s="88"/>
      <c r="L10" s="88"/>
      <c r="M10" s="88"/>
      <c r="N10" s="88"/>
      <c r="O10" s="88"/>
      <c r="P10" s="88"/>
      <c r="Q10" s="88"/>
      <c r="R10" s="88"/>
      <c r="S10" s="88"/>
      <c r="T10" s="88"/>
      <c r="U10" s="88"/>
    </row>
    <row r="11" spans="1:21" s="23" customFormat="1" x14ac:dyDescent="0.25">
      <c r="A11" s="88"/>
      <c r="B11" s="88" t="s">
        <v>90</v>
      </c>
      <c r="C11" s="88" t="s">
        <v>209</v>
      </c>
      <c r="D11" s="88" t="s">
        <v>143</v>
      </c>
      <c r="E11" s="88"/>
      <c r="F11" s="88"/>
      <c r="G11" s="88"/>
      <c r="H11" s="88"/>
      <c r="I11" s="88"/>
      <c r="J11" s="88"/>
      <c r="K11" s="88"/>
      <c r="L11" s="88"/>
      <c r="M11" s="88"/>
      <c r="N11" s="88"/>
      <c r="O11" s="88"/>
      <c r="P11" s="88"/>
      <c r="Q11" s="88"/>
      <c r="R11" s="88"/>
      <c r="S11" s="88"/>
      <c r="T11" s="88"/>
      <c r="U11" s="88"/>
    </row>
    <row r="12" spans="1:21" s="23" customFormat="1" x14ac:dyDescent="0.25">
      <c r="A12" s="88"/>
      <c r="B12" s="88" t="s">
        <v>88</v>
      </c>
      <c r="C12" s="88" t="s">
        <v>208</v>
      </c>
      <c r="D12" s="88" t="s">
        <v>144</v>
      </c>
      <c r="E12" s="88"/>
      <c r="F12" s="88"/>
      <c r="G12" s="88"/>
      <c r="H12" s="88"/>
      <c r="I12" s="88"/>
      <c r="J12" s="88"/>
      <c r="K12" s="88"/>
      <c r="L12" s="88"/>
      <c r="M12" s="88"/>
      <c r="N12" s="88"/>
      <c r="O12" s="88"/>
      <c r="P12" s="88"/>
      <c r="Q12" s="88"/>
      <c r="R12" s="88"/>
      <c r="S12" s="88"/>
      <c r="T12" s="88"/>
      <c r="U12" s="88"/>
    </row>
    <row r="13" spans="1:21" s="23" customFormat="1" x14ac:dyDescent="0.25">
      <c r="A13" s="88"/>
      <c r="B13" s="88"/>
      <c r="C13" s="88" t="s">
        <v>212</v>
      </c>
      <c r="D13" s="88" t="s">
        <v>145</v>
      </c>
      <c r="E13" s="88"/>
      <c r="F13" s="88"/>
      <c r="G13" s="88"/>
      <c r="H13" s="88"/>
      <c r="I13" s="88"/>
      <c r="J13" s="88"/>
      <c r="K13" s="88"/>
      <c r="L13" s="88"/>
      <c r="M13" s="88"/>
      <c r="N13" s="88"/>
      <c r="O13" s="88"/>
      <c r="P13" s="88"/>
      <c r="Q13" s="88"/>
      <c r="R13" s="88"/>
      <c r="S13" s="88"/>
      <c r="T13" s="88"/>
      <c r="U13" s="88"/>
    </row>
    <row r="14" spans="1:21" s="23" customFormat="1" x14ac:dyDescent="0.25">
      <c r="A14" s="88"/>
      <c r="B14" s="88"/>
      <c r="C14" s="88" t="s">
        <v>214</v>
      </c>
      <c r="D14" s="88" t="s">
        <v>146</v>
      </c>
      <c r="E14" s="88"/>
      <c r="F14" s="88"/>
      <c r="G14" s="88"/>
      <c r="H14" s="88"/>
      <c r="I14" s="88"/>
      <c r="J14" s="88"/>
      <c r="K14" s="88"/>
      <c r="L14" s="88"/>
      <c r="M14" s="88"/>
      <c r="N14" s="88"/>
      <c r="O14" s="88"/>
      <c r="P14" s="88"/>
      <c r="Q14" s="88"/>
      <c r="R14" s="88"/>
      <c r="S14" s="88"/>
      <c r="T14" s="88"/>
      <c r="U14" s="88"/>
    </row>
    <row r="15" spans="1:21" s="23" customFormat="1" x14ac:dyDescent="0.25">
      <c r="A15" s="88"/>
      <c r="B15" s="88"/>
      <c r="C15" s="88" t="s">
        <v>213</v>
      </c>
      <c r="D15" s="88" t="s">
        <v>147</v>
      </c>
      <c r="E15" s="88"/>
      <c r="F15" s="88"/>
      <c r="G15" s="88"/>
      <c r="H15" s="88"/>
      <c r="I15" s="88"/>
      <c r="J15" s="88"/>
      <c r="K15" s="88"/>
      <c r="L15" s="88"/>
      <c r="M15" s="88"/>
      <c r="N15" s="88"/>
      <c r="O15" s="88"/>
      <c r="P15" s="88"/>
      <c r="Q15" s="88"/>
      <c r="R15" s="88"/>
      <c r="S15" s="88"/>
      <c r="T15" s="88"/>
      <c r="U15" s="88"/>
    </row>
    <row r="16" spans="1:21" s="23" customFormat="1" x14ac:dyDescent="0.25">
      <c r="A16" s="88"/>
      <c r="B16" s="88"/>
      <c r="C16" s="88"/>
      <c r="D16" s="88"/>
      <c r="E16" s="88"/>
      <c r="F16" s="88"/>
      <c r="G16" s="88"/>
      <c r="H16" s="88"/>
      <c r="I16" s="88"/>
      <c r="J16" s="88"/>
      <c r="K16" s="88"/>
      <c r="L16" s="88"/>
      <c r="M16" s="88"/>
      <c r="N16" s="88"/>
      <c r="O16" s="88"/>
    </row>
    <row r="17" spans="1:15" s="23" customFormat="1" x14ac:dyDescent="0.25">
      <c r="A17" s="88"/>
      <c r="B17" s="88"/>
      <c r="C17" s="88"/>
      <c r="D17" s="88"/>
      <c r="E17" s="88"/>
      <c r="F17" s="88"/>
      <c r="G17" s="88"/>
      <c r="H17" s="88"/>
      <c r="I17" s="88"/>
      <c r="J17" s="88"/>
      <c r="K17" s="88"/>
      <c r="L17" s="88"/>
      <c r="M17" s="88"/>
      <c r="N17" s="88"/>
      <c r="O17" s="88"/>
    </row>
    <row r="18" spans="1:15" s="23" customFormat="1" x14ac:dyDescent="0.25">
      <c r="A18" s="88"/>
      <c r="B18" s="88"/>
      <c r="C18" s="88"/>
      <c r="D18" s="88"/>
      <c r="E18" s="88"/>
      <c r="F18" s="88"/>
      <c r="G18" s="88"/>
      <c r="H18" s="88"/>
      <c r="I18" s="88"/>
      <c r="J18" s="88"/>
      <c r="K18" s="88"/>
      <c r="L18" s="88"/>
      <c r="M18" s="88"/>
      <c r="N18" s="88"/>
      <c r="O18" s="88"/>
    </row>
    <row r="19" spans="1:15" s="23" customFormat="1" x14ac:dyDescent="0.25">
      <c r="A19" s="88"/>
      <c r="B19" s="88"/>
      <c r="C19" s="88"/>
      <c r="D19" s="88"/>
      <c r="E19" s="88"/>
      <c r="F19" s="88"/>
      <c r="G19" s="88"/>
      <c r="H19" s="88"/>
      <c r="I19" s="88"/>
      <c r="J19" s="88"/>
      <c r="K19" s="88"/>
      <c r="L19" s="88"/>
      <c r="M19" s="88"/>
      <c r="N19" s="88"/>
      <c r="O19" s="88"/>
    </row>
    <row r="20" spans="1:15" s="23" customFormat="1" x14ac:dyDescent="0.25">
      <c r="A20" s="88"/>
      <c r="B20" s="88"/>
      <c r="C20" s="88"/>
      <c r="D20" s="88"/>
      <c r="E20" s="88"/>
      <c r="F20" s="88"/>
      <c r="G20" s="88"/>
      <c r="H20" s="88"/>
      <c r="I20" s="88"/>
      <c r="J20" s="88"/>
      <c r="K20" s="88"/>
      <c r="L20" s="88"/>
      <c r="M20" s="88"/>
      <c r="N20" s="88"/>
      <c r="O20" s="88"/>
    </row>
    <row r="21" spans="1:15" s="23" customFormat="1" x14ac:dyDescent="0.25">
      <c r="A21" s="88"/>
      <c r="B21" s="88"/>
      <c r="C21" s="88"/>
      <c r="D21" s="88"/>
      <c r="E21" s="88"/>
      <c r="F21" s="88"/>
      <c r="G21" s="88"/>
      <c r="H21" s="88"/>
      <c r="I21" s="88"/>
      <c r="J21" s="88"/>
      <c r="K21" s="88"/>
      <c r="L21" s="88"/>
      <c r="M21" s="88"/>
      <c r="N21" s="88"/>
      <c r="O21" s="88"/>
    </row>
    <row r="22" spans="1:15" s="23" customFormat="1" ht="20.25" x14ac:dyDescent="0.25">
      <c r="A22" s="88"/>
      <c r="B22" s="88"/>
      <c r="C22" s="145"/>
      <c r="D22" s="145"/>
      <c r="E22" s="88"/>
      <c r="F22" s="88"/>
      <c r="G22" s="88"/>
      <c r="H22" s="88"/>
      <c r="I22" s="88"/>
      <c r="J22" s="88"/>
      <c r="K22" s="88"/>
      <c r="L22" s="88"/>
      <c r="M22" s="88"/>
      <c r="N22" s="88"/>
      <c r="O22" s="88"/>
    </row>
    <row r="23" spans="1:15" s="23" customFormat="1" ht="20.25" x14ac:dyDescent="0.25">
      <c r="A23" s="88"/>
      <c r="B23" s="88"/>
      <c r="C23" s="145"/>
      <c r="D23" s="145"/>
      <c r="E23" s="88"/>
      <c r="F23" s="88"/>
      <c r="G23" s="88"/>
      <c r="H23" s="88"/>
      <c r="I23" s="88"/>
      <c r="J23" s="88"/>
      <c r="K23" s="88"/>
      <c r="L23" s="88"/>
      <c r="M23" s="88"/>
      <c r="N23" s="88"/>
      <c r="O23" s="88"/>
    </row>
    <row r="24" spans="1:15" s="23" customFormat="1" ht="20.25" x14ac:dyDescent="0.25">
      <c r="A24" s="88"/>
      <c r="B24" s="88"/>
      <c r="C24" s="145"/>
      <c r="D24" s="145"/>
      <c r="E24" s="88"/>
      <c r="F24" s="88"/>
      <c r="G24" s="88"/>
      <c r="H24" s="88"/>
      <c r="I24" s="88"/>
      <c r="J24" s="88"/>
      <c r="K24" s="88"/>
      <c r="L24" s="88"/>
      <c r="M24" s="88"/>
      <c r="N24" s="88"/>
      <c r="O24" s="88"/>
    </row>
    <row r="25" spans="1:15" s="23" customFormat="1" ht="20.25" x14ac:dyDescent="0.25">
      <c r="A25" s="88"/>
      <c r="B25" s="88"/>
      <c r="C25" s="145"/>
      <c r="D25" s="145"/>
      <c r="E25" s="88"/>
      <c r="F25" s="88"/>
      <c r="G25" s="88"/>
      <c r="H25" s="88"/>
      <c r="I25" s="88"/>
      <c r="J25" s="88"/>
      <c r="K25" s="88"/>
      <c r="L25" s="88"/>
      <c r="M25" s="88"/>
      <c r="N25" s="88"/>
      <c r="O25" s="88"/>
    </row>
    <row r="26" spans="1:15" s="23" customFormat="1" ht="20.25" x14ac:dyDescent="0.25">
      <c r="A26" s="88"/>
      <c r="B26" s="88"/>
      <c r="C26" s="145"/>
      <c r="D26" s="145"/>
      <c r="E26" s="88"/>
      <c r="F26" s="88"/>
      <c r="G26" s="88"/>
      <c r="H26" s="88"/>
      <c r="I26" s="88"/>
      <c r="J26" s="88"/>
      <c r="K26" s="88"/>
      <c r="L26" s="88"/>
      <c r="M26" s="88"/>
      <c r="N26" s="88"/>
      <c r="O26" s="88"/>
    </row>
    <row r="27" spans="1:15" s="23" customFormat="1" ht="20.25" x14ac:dyDescent="0.25">
      <c r="A27" s="88"/>
      <c r="B27" s="88"/>
      <c r="C27" s="145"/>
      <c r="D27" s="145"/>
      <c r="E27" s="88"/>
      <c r="F27" s="88"/>
      <c r="G27" s="88"/>
      <c r="H27" s="88"/>
      <c r="I27" s="88"/>
      <c r="J27" s="88"/>
      <c r="K27" s="88"/>
      <c r="L27" s="88"/>
      <c r="M27" s="88"/>
      <c r="N27" s="88"/>
      <c r="O27" s="88"/>
    </row>
    <row r="28" spans="1:15" s="23" customFormat="1" ht="20.25" x14ac:dyDescent="0.25">
      <c r="A28" s="88"/>
      <c r="B28" s="88"/>
      <c r="C28" s="145"/>
      <c r="D28" s="145"/>
      <c r="E28" s="88"/>
      <c r="F28" s="88"/>
      <c r="G28" s="88"/>
      <c r="H28" s="88"/>
      <c r="I28" s="88"/>
      <c r="J28" s="88"/>
      <c r="K28" s="88"/>
      <c r="L28" s="88"/>
      <c r="M28" s="88"/>
      <c r="N28" s="88"/>
      <c r="O28" s="88"/>
    </row>
    <row r="29" spans="1:15" s="23" customFormat="1" ht="20.25" x14ac:dyDescent="0.25">
      <c r="A29" s="88"/>
      <c r="B29" s="88"/>
      <c r="C29" s="145"/>
      <c r="D29" s="145"/>
      <c r="E29" s="88"/>
      <c r="F29" s="88"/>
      <c r="G29" s="88"/>
      <c r="H29" s="88"/>
      <c r="I29" s="88"/>
      <c r="J29" s="88"/>
      <c r="K29" s="88"/>
      <c r="L29" s="88"/>
      <c r="M29" s="88"/>
      <c r="N29" s="88"/>
      <c r="O29" s="88"/>
    </row>
    <row r="30" spans="1:15" s="23" customFormat="1" ht="20.25" x14ac:dyDescent="0.25">
      <c r="A30" s="88"/>
      <c r="B30" s="88"/>
      <c r="C30" s="145"/>
      <c r="D30" s="145"/>
      <c r="E30" s="88"/>
      <c r="F30" s="88"/>
      <c r="G30" s="88"/>
      <c r="H30" s="88"/>
      <c r="I30" s="88"/>
      <c r="J30" s="88"/>
      <c r="K30" s="88"/>
      <c r="L30" s="88"/>
      <c r="M30" s="88"/>
      <c r="N30" s="88"/>
      <c r="O30" s="88"/>
    </row>
    <row r="31" spans="1:15" s="23" customFormat="1" ht="20.25" x14ac:dyDescent="0.25">
      <c r="A31" s="88"/>
      <c r="B31" s="88"/>
      <c r="C31" s="145"/>
      <c r="D31" s="145"/>
      <c r="E31" s="88"/>
      <c r="F31" s="88"/>
      <c r="G31" s="88"/>
      <c r="H31" s="88"/>
      <c r="I31" s="88"/>
      <c r="J31" s="88"/>
      <c r="K31" s="88"/>
      <c r="L31" s="88"/>
      <c r="M31" s="88"/>
      <c r="N31" s="88"/>
      <c r="O31" s="88"/>
    </row>
    <row r="32" spans="1:15" s="23" customFormat="1" ht="20.25" x14ac:dyDescent="0.25">
      <c r="A32" s="88"/>
      <c r="B32" s="88"/>
      <c r="C32" s="145"/>
      <c r="D32" s="145"/>
      <c r="E32" s="88"/>
      <c r="F32" s="88"/>
      <c r="G32" s="88"/>
      <c r="H32" s="88"/>
      <c r="I32" s="88"/>
      <c r="J32" s="88"/>
      <c r="K32" s="88"/>
      <c r="L32" s="88"/>
      <c r="M32" s="88"/>
      <c r="N32" s="88"/>
      <c r="O32" s="88"/>
    </row>
    <row r="33" spans="1:15" s="23" customFormat="1" ht="20.25" x14ac:dyDescent="0.25">
      <c r="A33" s="88"/>
      <c r="B33" s="88"/>
      <c r="C33" s="145"/>
      <c r="D33" s="145"/>
      <c r="E33" s="88"/>
      <c r="F33" s="88"/>
      <c r="G33" s="88"/>
      <c r="H33" s="88"/>
      <c r="I33" s="88"/>
      <c r="J33" s="88"/>
      <c r="K33" s="88"/>
      <c r="L33" s="88"/>
      <c r="M33" s="88"/>
      <c r="N33" s="88"/>
      <c r="O33" s="88"/>
    </row>
    <row r="34" spans="1:15" s="23" customFormat="1" ht="20.25" x14ac:dyDescent="0.25">
      <c r="A34" s="88"/>
      <c r="B34" s="88"/>
      <c r="C34" s="145"/>
      <c r="D34" s="145"/>
      <c r="E34" s="88"/>
      <c r="F34" s="88"/>
      <c r="G34" s="88"/>
      <c r="H34" s="88"/>
      <c r="I34" s="88"/>
      <c r="J34" s="88"/>
      <c r="K34" s="88"/>
      <c r="L34" s="88"/>
      <c r="M34" s="88"/>
      <c r="N34" s="88"/>
      <c r="O34" s="88"/>
    </row>
    <row r="35" spans="1:15" s="23" customFormat="1" ht="20.25" x14ac:dyDescent="0.25">
      <c r="A35" s="88"/>
      <c r="B35" s="88"/>
      <c r="C35" s="145"/>
      <c r="D35" s="145"/>
      <c r="E35" s="88"/>
      <c r="F35" s="88"/>
      <c r="G35" s="88"/>
      <c r="H35" s="88"/>
      <c r="I35" s="88"/>
      <c r="J35" s="88"/>
      <c r="K35" s="88"/>
      <c r="L35" s="88"/>
      <c r="M35" s="88"/>
      <c r="N35" s="88"/>
      <c r="O35" s="88"/>
    </row>
    <row r="36" spans="1:15" s="23" customFormat="1" ht="20.25" x14ac:dyDescent="0.25">
      <c r="A36" s="88"/>
      <c r="B36" s="88"/>
      <c r="C36" s="145"/>
      <c r="D36" s="145"/>
      <c r="E36" s="88"/>
      <c r="F36" s="88"/>
      <c r="G36" s="88"/>
      <c r="H36" s="88"/>
      <c r="I36" s="88"/>
      <c r="J36" s="88"/>
      <c r="K36" s="88"/>
      <c r="L36" s="88"/>
      <c r="M36" s="88"/>
      <c r="N36" s="88"/>
      <c r="O36" s="88"/>
    </row>
    <row r="37" spans="1:15" s="23" customFormat="1" ht="20.25" x14ac:dyDescent="0.25">
      <c r="A37" s="88"/>
      <c r="B37" s="88"/>
      <c r="C37" s="145"/>
      <c r="D37" s="145"/>
      <c r="E37" s="88"/>
      <c r="F37" s="88"/>
      <c r="G37" s="88"/>
      <c r="H37" s="88"/>
      <c r="I37" s="88"/>
      <c r="J37" s="88"/>
      <c r="K37" s="88"/>
      <c r="L37" s="88"/>
      <c r="M37" s="88"/>
      <c r="N37" s="88"/>
      <c r="O37" s="88"/>
    </row>
    <row r="38" spans="1:15" s="23" customFormat="1" ht="20.25" x14ac:dyDescent="0.25">
      <c r="A38" s="88"/>
      <c r="B38" s="88"/>
      <c r="C38" s="145"/>
      <c r="D38" s="145"/>
      <c r="E38" s="88"/>
      <c r="F38" s="88"/>
      <c r="G38" s="88"/>
      <c r="H38" s="88"/>
      <c r="I38" s="88"/>
      <c r="J38" s="88"/>
      <c r="K38" s="88"/>
      <c r="L38" s="88"/>
      <c r="M38" s="88"/>
      <c r="N38" s="88"/>
      <c r="O38" s="88"/>
    </row>
    <row r="39" spans="1:15" s="23" customFormat="1" ht="20.25" x14ac:dyDescent="0.25">
      <c r="A39" s="88"/>
      <c r="B39" s="88"/>
      <c r="C39" s="145"/>
      <c r="D39" s="145"/>
      <c r="E39" s="88"/>
      <c r="F39" s="88"/>
      <c r="G39" s="88"/>
      <c r="H39" s="88"/>
      <c r="I39" s="88"/>
      <c r="J39" s="88"/>
      <c r="K39" s="88"/>
      <c r="L39" s="88"/>
      <c r="M39" s="88"/>
      <c r="N39" s="88"/>
      <c r="O39" s="88"/>
    </row>
    <row r="40" spans="1:15" s="23" customFormat="1" ht="20.25" x14ac:dyDescent="0.25">
      <c r="A40" s="88"/>
      <c r="B40" s="88"/>
      <c r="C40" s="145"/>
      <c r="D40" s="145"/>
      <c r="E40" s="88"/>
      <c r="F40" s="88"/>
      <c r="G40" s="88"/>
      <c r="H40" s="88"/>
      <c r="I40" s="88"/>
      <c r="J40" s="88"/>
      <c r="K40" s="88"/>
      <c r="L40" s="88"/>
      <c r="M40" s="88"/>
      <c r="N40" s="88"/>
      <c r="O40" s="88"/>
    </row>
    <row r="41" spans="1:15" s="23" customFormat="1" ht="20.25" x14ac:dyDescent="0.25">
      <c r="A41" s="88"/>
      <c r="B41" s="88"/>
      <c r="C41" s="145"/>
      <c r="D41" s="145"/>
      <c r="E41" s="88"/>
      <c r="F41" s="88"/>
      <c r="G41" s="88"/>
      <c r="H41" s="88"/>
      <c r="I41" s="88"/>
      <c r="J41" s="88"/>
      <c r="K41" s="88"/>
      <c r="L41" s="88"/>
      <c r="M41" s="88"/>
      <c r="N41" s="88"/>
      <c r="O41" s="88"/>
    </row>
    <row r="42" spans="1:15" s="23" customFormat="1" ht="20.25" x14ac:dyDescent="0.25">
      <c r="A42" s="88"/>
      <c r="B42" s="88"/>
      <c r="C42" s="145"/>
      <c r="D42" s="145"/>
      <c r="E42" s="88"/>
      <c r="F42" s="88"/>
      <c r="G42" s="88"/>
      <c r="H42" s="88"/>
      <c r="I42" s="88"/>
      <c r="J42" s="88"/>
      <c r="K42" s="88"/>
      <c r="L42" s="88"/>
      <c r="M42" s="88"/>
      <c r="N42" s="88"/>
      <c r="O42" s="88"/>
    </row>
    <row r="43" spans="1:15" s="23" customFormat="1" ht="20.25" x14ac:dyDescent="0.25">
      <c r="A43" s="88"/>
      <c r="B43" s="88"/>
      <c r="C43" s="145"/>
      <c r="D43" s="145"/>
      <c r="E43" s="88"/>
      <c r="F43" s="88"/>
      <c r="G43" s="88"/>
      <c r="H43" s="88"/>
      <c r="I43" s="88"/>
      <c r="J43" s="88"/>
      <c r="K43" s="88"/>
      <c r="L43" s="88"/>
      <c r="M43" s="88"/>
      <c r="N43" s="88"/>
      <c r="O43" s="88"/>
    </row>
    <row r="44" spans="1:15" s="23" customFormat="1" ht="20.25" x14ac:dyDescent="0.25">
      <c r="A44" s="88"/>
      <c r="B44" s="88"/>
      <c r="C44" s="145"/>
      <c r="D44" s="145"/>
      <c r="E44" s="88"/>
      <c r="F44" s="88"/>
      <c r="G44" s="88"/>
      <c r="H44" s="88"/>
      <c r="I44" s="88"/>
      <c r="J44" s="88"/>
      <c r="K44" s="88"/>
      <c r="L44" s="88"/>
      <c r="M44" s="88"/>
      <c r="N44" s="88"/>
      <c r="O44" s="88"/>
    </row>
    <row r="45" spans="1:15" s="23" customFormat="1" ht="20.25" x14ac:dyDescent="0.25">
      <c r="A45" s="88"/>
      <c r="B45" s="88"/>
      <c r="C45" s="145"/>
      <c r="D45" s="145"/>
      <c r="E45" s="88"/>
      <c r="F45" s="88"/>
      <c r="G45" s="88"/>
      <c r="H45" s="88"/>
      <c r="I45" s="88"/>
      <c r="J45" s="88"/>
      <c r="K45" s="88"/>
      <c r="L45" s="88"/>
      <c r="M45" s="88"/>
      <c r="N45" s="88"/>
      <c r="O45" s="88"/>
    </row>
    <row r="46" spans="1:15" s="23" customFormat="1" ht="20.25" x14ac:dyDescent="0.25">
      <c r="A46" s="88"/>
      <c r="B46" s="88"/>
      <c r="C46" s="145"/>
      <c r="D46" s="145"/>
      <c r="E46" s="88"/>
      <c r="F46" s="88"/>
      <c r="G46" s="88"/>
      <c r="H46" s="88"/>
      <c r="I46" s="88"/>
      <c r="J46" s="88"/>
      <c r="K46" s="88"/>
      <c r="L46" s="88"/>
      <c r="M46" s="88"/>
      <c r="N46" s="88"/>
      <c r="O46" s="88"/>
    </row>
    <row r="47" spans="1:15" s="23" customFormat="1" ht="20.25" x14ac:dyDescent="0.25">
      <c r="A47" s="88"/>
      <c r="B47" s="88"/>
      <c r="C47" s="145"/>
      <c r="D47" s="145"/>
      <c r="E47" s="88"/>
      <c r="F47" s="88"/>
      <c r="G47" s="88"/>
      <c r="H47" s="88"/>
      <c r="I47" s="88"/>
      <c r="J47" s="88"/>
      <c r="K47" s="88"/>
      <c r="L47" s="88"/>
      <c r="M47" s="88"/>
      <c r="N47" s="88"/>
      <c r="O47" s="88"/>
    </row>
    <row r="48" spans="1:15" s="23" customFormat="1" ht="20.25" x14ac:dyDescent="0.25">
      <c r="A48" s="88"/>
      <c r="B48" s="88"/>
      <c r="C48" s="145"/>
      <c r="D48" s="145"/>
      <c r="E48" s="88"/>
      <c r="F48" s="88"/>
      <c r="G48" s="88"/>
      <c r="H48" s="88"/>
      <c r="I48" s="88"/>
      <c r="J48" s="88"/>
      <c r="K48" s="88"/>
      <c r="L48" s="88"/>
      <c r="M48" s="88"/>
      <c r="N48" s="88"/>
      <c r="O48" s="88"/>
    </row>
    <row r="49" spans="1:15" s="23" customFormat="1" ht="20.25" x14ac:dyDescent="0.25">
      <c r="A49" s="88"/>
      <c r="B49" s="88"/>
      <c r="C49" s="145"/>
      <c r="D49" s="145"/>
      <c r="E49" s="88"/>
      <c r="F49" s="88"/>
      <c r="G49" s="88"/>
      <c r="H49" s="88"/>
      <c r="I49" s="88"/>
      <c r="J49" s="88"/>
      <c r="K49" s="88"/>
      <c r="L49" s="88"/>
      <c r="M49" s="88"/>
      <c r="N49" s="88"/>
      <c r="O49" s="88"/>
    </row>
    <row r="50" spans="1:15" s="23" customFormat="1" ht="20.25" x14ac:dyDescent="0.25">
      <c r="A50" s="88"/>
      <c r="B50" s="88"/>
      <c r="C50" s="145"/>
      <c r="D50" s="145"/>
      <c r="E50" s="88"/>
      <c r="F50" s="88"/>
      <c r="G50" s="88"/>
      <c r="H50" s="88"/>
      <c r="I50" s="88"/>
      <c r="J50" s="88"/>
      <c r="K50" s="88"/>
      <c r="L50" s="88"/>
      <c r="M50" s="88"/>
      <c r="N50" s="88"/>
      <c r="O50" s="88"/>
    </row>
    <row r="51" spans="1:15" s="23" customFormat="1" ht="20.25" x14ac:dyDescent="0.25">
      <c r="A51" s="88"/>
      <c r="B51" s="88"/>
      <c r="C51" s="145"/>
      <c r="D51" s="145"/>
      <c r="E51" s="88"/>
      <c r="F51" s="88"/>
      <c r="G51" s="88"/>
      <c r="H51" s="88"/>
      <c r="I51" s="88"/>
      <c r="J51" s="88"/>
      <c r="K51" s="88"/>
      <c r="L51" s="88"/>
      <c r="M51" s="88"/>
      <c r="N51" s="88"/>
      <c r="O51" s="88"/>
    </row>
    <row r="52" spans="1:15" s="23" customFormat="1" ht="20.25" x14ac:dyDescent="0.25">
      <c r="A52" s="88"/>
      <c r="C52" s="147"/>
      <c r="D52" s="147"/>
    </row>
    <row r="53" spans="1:15" s="23" customFormat="1" ht="20.25" x14ac:dyDescent="0.25">
      <c r="A53" s="88"/>
      <c r="C53" s="147"/>
      <c r="D53" s="147"/>
    </row>
    <row r="54" spans="1:15" s="23" customFormat="1" ht="20.25" x14ac:dyDescent="0.25">
      <c r="A54" s="88"/>
      <c r="C54" s="147"/>
      <c r="D54" s="147"/>
    </row>
    <row r="55" spans="1:15" s="23" customFormat="1" ht="20.25" x14ac:dyDescent="0.25">
      <c r="A55" s="88"/>
      <c r="C55" s="147"/>
      <c r="D55" s="147"/>
    </row>
    <row r="56" spans="1:15" s="23" customFormat="1" ht="20.25" x14ac:dyDescent="0.25">
      <c r="A56" s="88"/>
      <c r="C56" s="147"/>
      <c r="D56" s="147"/>
    </row>
    <row r="57" spans="1:15" s="23" customFormat="1" ht="20.25" x14ac:dyDescent="0.25">
      <c r="A57" s="88"/>
      <c r="C57" s="147"/>
      <c r="D57" s="147"/>
    </row>
    <row r="58" spans="1:15" s="23" customFormat="1" ht="20.25" x14ac:dyDescent="0.25">
      <c r="A58" s="88"/>
      <c r="C58" s="147"/>
      <c r="D58" s="147"/>
    </row>
    <row r="59" spans="1:15" s="23" customFormat="1" ht="20.25" x14ac:dyDescent="0.25">
      <c r="A59" s="88"/>
      <c r="C59" s="147"/>
      <c r="D59" s="147"/>
    </row>
    <row r="60" spans="1:15" s="23" customFormat="1" ht="20.25" x14ac:dyDescent="0.25">
      <c r="A60" s="88"/>
      <c r="C60" s="147"/>
      <c r="D60" s="147"/>
    </row>
    <row r="61" spans="1:15" s="23" customFormat="1" ht="20.25" x14ac:dyDescent="0.25">
      <c r="A61" s="88"/>
      <c r="C61" s="147"/>
      <c r="D61" s="147"/>
    </row>
    <row r="62" spans="1:15" s="23" customFormat="1" ht="20.25" x14ac:dyDescent="0.25">
      <c r="A62" s="88"/>
      <c r="C62" s="147"/>
      <c r="D62" s="147"/>
    </row>
    <row r="63" spans="1:15" s="23" customFormat="1" ht="20.25" x14ac:dyDescent="0.25">
      <c r="A63" s="88"/>
      <c r="C63" s="147"/>
      <c r="D63" s="147"/>
    </row>
    <row r="64" spans="1:15" s="23" customFormat="1" ht="20.25" x14ac:dyDescent="0.25">
      <c r="A64" s="88"/>
      <c r="C64" s="147"/>
      <c r="D64" s="147"/>
    </row>
    <row r="65" spans="1:4" s="23" customFormat="1" ht="20.25" x14ac:dyDescent="0.25">
      <c r="A65" s="88"/>
      <c r="C65" s="147"/>
      <c r="D65" s="147"/>
    </row>
    <row r="66" spans="1:4" s="23" customFormat="1" ht="20.25" x14ac:dyDescent="0.25">
      <c r="A66" s="88"/>
      <c r="C66" s="147"/>
      <c r="D66" s="147"/>
    </row>
    <row r="67" spans="1:4" s="23" customFormat="1" ht="20.25" x14ac:dyDescent="0.25">
      <c r="A67" s="88"/>
      <c r="C67" s="147"/>
      <c r="D67" s="147"/>
    </row>
    <row r="68" spans="1:4" s="23" customFormat="1" ht="20.25" x14ac:dyDescent="0.25">
      <c r="A68" s="88"/>
      <c r="C68" s="147"/>
      <c r="D68" s="147"/>
    </row>
    <row r="69" spans="1:4" s="23" customFormat="1" ht="20.25" x14ac:dyDescent="0.25">
      <c r="A69" s="88"/>
      <c r="C69" s="147"/>
      <c r="D69" s="147"/>
    </row>
    <row r="70" spans="1:4" s="23" customFormat="1" ht="20.25" x14ac:dyDescent="0.25">
      <c r="A70" s="88"/>
      <c r="C70" s="147"/>
      <c r="D70" s="147"/>
    </row>
    <row r="71" spans="1:4" s="23" customFormat="1" ht="20.25" x14ac:dyDescent="0.25">
      <c r="A71" s="88"/>
      <c r="C71" s="147"/>
      <c r="D71" s="147"/>
    </row>
    <row r="72" spans="1:4" s="23" customFormat="1" ht="20.25" x14ac:dyDescent="0.25">
      <c r="A72" s="88"/>
      <c r="C72" s="147"/>
      <c r="D72" s="147"/>
    </row>
    <row r="73" spans="1:4" s="23" customFormat="1" ht="20.25" x14ac:dyDescent="0.25">
      <c r="A73" s="88"/>
      <c r="C73" s="147"/>
      <c r="D73" s="147"/>
    </row>
    <row r="74" spans="1:4" s="23" customFormat="1" ht="20.25" x14ac:dyDescent="0.25">
      <c r="A74" s="88"/>
      <c r="C74" s="147"/>
      <c r="D74" s="147"/>
    </row>
    <row r="75" spans="1:4" s="23" customFormat="1" ht="20.25" x14ac:dyDescent="0.25">
      <c r="A75" s="88"/>
      <c r="C75" s="147"/>
      <c r="D75" s="147"/>
    </row>
    <row r="76" spans="1:4" s="23" customFormat="1" ht="20.25" x14ac:dyDescent="0.25">
      <c r="A76" s="88"/>
      <c r="C76" s="147"/>
      <c r="D76" s="147"/>
    </row>
    <row r="77" spans="1:4" s="23" customFormat="1" ht="20.25" x14ac:dyDescent="0.25">
      <c r="A77" s="88"/>
      <c r="C77" s="147"/>
      <c r="D77" s="147"/>
    </row>
    <row r="78" spans="1:4" s="23" customFormat="1" ht="20.25" x14ac:dyDescent="0.25">
      <c r="A78" s="88"/>
      <c r="C78" s="147"/>
      <c r="D78" s="147"/>
    </row>
    <row r="79" spans="1:4" s="23" customFormat="1" ht="20.25" x14ac:dyDescent="0.25">
      <c r="A79" s="88"/>
      <c r="C79" s="147"/>
      <c r="D79" s="147"/>
    </row>
    <row r="80" spans="1:4" s="23" customFormat="1" ht="20.25" x14ac:dyDescent="0.25">
      <c r="A80" s="88"/>
      <c r="C80" s="147"/>
      <c r="D80" s="147"/>
    </row>
    <row r="81" spans="1:4" s="23" customFormat="1" ht="20.25" x14ac:dyDescent="0.25">
      <c r="A81" s="88"/>
      <c r="C81" s="147"/>
      <c r="D81" s="147"/>
    </row>
    <row r="82" spans="1:4" s="23" customFormat="1" ht="20.25" x14ac:dyDescent="0.25">
      <c r="A82" s="88"/>
      <c r="C82" s="147"/>
      <c r="D82" s="147"/>
    </row>
    <row r="83" spans="1:4" s="23" customFormat="1" ht="20.25" x14ac:dyDescent="0.25">
      <c r="A83" s="88"/>
      <c r="C83" s="147"/>
      <c r="D83" s="147"/>
    </row>
    <row r="84" spans="1:4" s="23" customFormat="1" ht="20.25" x14ac:dyDescent="0.25">
      <c r="A84" s="88"/>
      <c r="C84" s="147"/>
      <c r="D84" s="147"/>
    </row>
    <row r="85" spans="1:4" s="23" customFormat="1" ht="20.25" x14ac:dyDescent="0.25">
      <c r="A85" s="88"/>
      <c r="C85" s="147"/>
      <c r="D85" s="147"/>
    </row>
    <row r="86" spans="1:4" s="23" customFormat="1" ht="20.25" x14ac:dyDescent="0.25">
      <c r="A86" s="88"/>
      <c r="C86" s="147"/>
      <c r="D86" s="147"/>
    </row>
    <row r="87" spans="1:4" s="23" customFormat="1" ht="20.25" x14ac:dyDescent="0.25">
      <c r="A87" s="88"/>
      <c r="C87" s="147"/>
      <c r="D87" s="147"/>
    </row>
    <row r="88" spans="1:4" s="23" customFormat="1" ht="20.25" x14ac:dyDescent="0.25">
      <c r="A88" s="88"/>
      <c r="C88" s="147"/>
      <c r="D88" s="147"/>
    </row>
    <row r="89" spans="1:4" s="23" customFormat="1" ht="20.25" x14ac:dyDescent="0.25">
      <c r="A89" s="88"/>
      <c r="C89" s="147"/>
      <c r="D89" s="147"/>
    </row>
    <row r="90" spans="1:4" s="23" customFormat="1" ht="20.25" x14ac:dyDescent="0.25">
      <c r="A90" s="88"/>
      <c r="C90" s="147"/>
      <c r="D90" s="147"/>
    </row>
    <row r="91" spans="1:4" s="23" customFormat="1" ht="20.25" x14ac:dyDescent="0.25">
      <c r="A91" s="88"/>
      <c r="C91" s="147"/>
      <c r="D91" s="147"/>
    </row>
    <row r="92" spans="1:4" s="23" customFormat="1" ht="20.25" x14ac:dyDescent="0.25">
      <c r="A92" s="88"/>
      <c r="C92" s="147"/>
      <c r="D92" s="147"/>
    </row>
    <row r="93" spans="1:4" s="23" customFormat="1" ht="20.25" x14ac:dyDescent="0.25">
      <c r="A93" s="88"/>
      <c r="C93" s="147"/>
      <c r="D93" s="147"/>
    </row>
    <row r="94" spans="1:4" s="23" customFormat="1" ht="20.25" x14ac:dyDescent="0.25">
      <c r="A94" s="88"/>
      <c r="C94" s="147"/>
      <c r="D94" s="147"/>
    </row>
    <row r="95" spans="1:4" s="23" customFormat="1" ht="20.25" x14ac:dyDescent="0.25">
      <c r="A95" s="88"/>
      <c r="C95" s="147"/>
      <c r="D95" s="147"/>
    </row>
    <row r="96" spans="1:4" s="23" customFormat="1" ht="20.25" x14ac:dyDescent="0.25">
      <c r="A96" s="88"/>
      <c r="C96" s="147"/>
      <c r="D96" s="147"/>
    </row>
    <row r="97" spans="1:4" s="23" customFormat="1" ht="20.25" x14ac:dyDescent="0.25">
      <c r="A97" s="88"/>
      <c r="C97" s="147"/>
      <c r="D97" s="147"/>
    </row>
    <row r="98" spans="1:4" s="23" customFormat="1" ht="20.25" x14ac:dyDescent="0.25">
      <c r="A98" s="88"/>
      <c r="C98" s="147"/>
      <c r="D98" s="147"/>
    </row>
    <row r="99" spans="1:4" s="23" customFormat="1" ht="20.25" x14ac:dyDescent="0.25">
      <c r="A99" s="88"/>
      <c r="C99" s="147"/>
      <c r="D99" s="147"/>
    </row>
    <row r="100" spans="1:4" s="23" customFormat="1" ht="20.25" x14ac:dyDescent="0.25">
      <c r="A100" s="88"/>
      <c r="C100" s="147"/>
      <c r="D100" s="147"/>
    </row>
    <row r="101" spans="1:4" s="23" customFormat="1" ht="20.25" x14ac:dyDescent="0.25">
      <c r="A101" s="88"/>
      <c r="C101" s="147"/>
      <c r="D101" s="147"/>
    </row>
    <row r="102" spans="1:4" s="23" customFormat="1" ht="20.25" x14ac:dyDescent="0.25">
      <c r="A102" s="88"/>
      <c r="C102" s="147"/>
      <c r="D102" s="147"/>
    </row>
    <row r="103" spans="1:4" s="23" customFormat="1" ht="20.25" x14ac:dyDescent="0.25">
      <c r="A103" s="88"/>
      <c r="C103" s="147"/>
      <c r="D103" s="147"/>
    </row>
    <row r="104" spans="1:4" s="23" customFormat="1" ht="20.25" x14ac:dyDescent="0.25">
      <c r="A104" s="88"/>
      <c r="C104" s="147"/>
      <c r="D104" s="147"/>
    </row>
    <row r="105" spans="1:4" s="23" customFormat="1" ht="20.25" x14ac:dyDescent="0.25">
      <c r="A105" s="88"/>
      <c r="C105" s="147"/>
      <c r="D105" s="147"/>
    </row>
    <row r="106" spans="1:4" s="23" customFormat="1" ht="20.25" x14ac:dyDescent="0.25">
      <c r="A106" s="88"/>
      <c r="C106" s="147"/>
      <c r="D106" s="147"/>
    </row>
    <row r="107" spans="1:4" s="23" customFormat="1" ht="20.25" x14ac:dyDescent="0.25">
      <c r="A107" s="88"/>
      <c r="C107" s="147"/>
      <c r="D107" s="147"/>
    </row>
    <row r="108" spans="1:4" s="23" customFormat="1" ht="20.25" x14ac:dyDescent="0.25">
      <c r="A108" s="88"/>
      <c r="C108" s="147"/>
      <c r="D108" s="147"/>
    </row>
    <row r="109" spans="1:4" s="23" customFormat="1" ht="20.25" x14ac:dyDescent="0.25">
      <c r="A109" s="88"/>
      <c r="C109" s="147"/>
      <c r="D109" s="147"/>
    </row>
    <row r="110" spans="1:4" s="23" customFormat="1" ht="20.25" x14ac:dyDescent="0.25">
      <c r="A110" s="88"/>
      <c r="C110" s="147"/>
      <c r="D110" s="147"/>
    </row>
    <row r="111" spans="1:4" s="23" customFormat="1" ht="20.25" x14ac:dyDescent="0.25">
      <c r="A111" s="88"/>
      <c r="C111" s="147"/>
      <c r="D111" s="147"/>
    </row>
    <row r="112" spans="1:4" s="23" customFormat="1" ht="20.25" x14ac:dyDescent="0.25">
      <c r="A112" s="88"/>
      <c r="C112" s="147"/>
      <c r="D112" s="147"/>
    </row>
    <row r="113" spans="1:4" s="23" customFormat="1" ht="20.25" x14ac:dyDescent="0.25">
      <c r="A113" s="88"/>
      <c r="C113" s="147"/>
      <c r="D113" s="147"/>
    </row>
    <row r="114" spans="1:4" s="23" customFormat="1" ht="20.25" x14ac:dyDescent="0.25">
      <c r="A114" s="88"/>
      <c r="C114" s="147"/>
      <c r="D114" s="147"/>
    </row>
    <row r="115" spans="1:4" s="23" customFormat="1" ht="20.25" x14ac:dyDescent="0.25">
      <c r="A115" s="88"/>
      <c r="C115" s="147"/>
      <c r="D115" s="147"/>
    </row>
    <row r="116" spans="1:4" s="23" customFormat="1" ht="20.25" x14ac:dyDescent="0.25">
      <c r="A116" s="88"/>
      <c r="C116" s="147"/>
      <c r="D116" s="147"/>
    </row>
    <row r="117" spans="1:4" s="23" customFormat="1" ht="20.25" x14ac:dyDescent="0.25">
      <c r="A117" s="88"/>
      <c r="C117" s="147"/>
      <c r="D117" s="147"/>
    </row>
    <row r="118" spans="1:4" s="23" customFormat="1" ht="20.25" x14ac:dyDescent="0.25">
      <c r="A118" s="88"/>
      <c r="C118" s="147"/>
      <c r="D118" s="147"/>
    </row>
    <row r="119" spans="1:4" s="23" customFormat="1" ht="20.25" x14ac:dyDescent="0.25">
      <c r="A119" s="88"/>
      <c r="C119" s="147"/>
      <c r="D119" s="147"/>
    </row>
    <row r="120" spans="1:4" s="23" customFormat="1" ht="20.25" x14ac:dyDescent="0.25">
      <c r="A120" s="88"/>
      <c r="C120" s="147"/>
      <c r="D120" s="147"/>
    </row>
    <row r="121" spans="1:4" s="23" customFormat="1" ht="20.25" x14ac:dyDescent="0.25">
      <c r="A121" s="88"/>
      <c r="C121" s="147"/>
      <c r="D121" s="147"/>
    </row>
    <row r="122" spans="1:4" s="23" customFormat="1" ht="20.25" x14ac:dyDescent="0.25">
      <c r="A122" s="88"/>
      <c r="C122" s="147"/>
      <c r="D122" s="147"/>
    </row>
    <row r="123" spans="1:4" s="23" customFormat="1" ht="20.25" x14ac:dyDescent="0.25">
      <c r="A123" s="88"/>
      <c r="C123" s="147"/>
      <c r="D123" s="147"/>
    </row>
    <row r="124" spans="1:4" s="23" customFormat="1" ht="20.25" x14ac:dyDescent="0.25">
      <c r="A124" s="88"/>
      <c r="C124" s="147"/>
      <c r="D124" s="147"/>
    </row>
    <row r="125" spans="1:4" s="23" customFormat="1" ht="20.25" x14ac:dyDescent="0.25">
      <c r="A125" s="88"/>
      <c r="C125" s="147"/>
      <c r="D125" s="147"/>
    </row>
    <row r="126" spans="1:4" s="23" customFormat="1" ht="20.25" x14ac:dyDescent="0.25">
      <c r="A126" s="88"/>
      <c r="C126" s="147"/>
      <c r="D126" s="147"/>
    </row>
    <row r="127" spans="1:4" s="23" customFormat="1" ht="20.25" x14ac:dyDescent="0.25">
      <c r="A127" s="88"/>
      <c r="C127" s="147"/>
      <c r="D127" s="147"/>
    </row>
    <row r="128" spans="1:4" s="23" customFormat="1" ht="20.25" x14ac:dyDescent="0.25">
      <c r="A128" s="88"/>
      <c r="C128" s="147"/>
      <c r="D128" s="147"/>
    </row>
    <row r="129" spans="1:4" s="23" customFormat="1" ht="20.25" x14ac:dyDescent="0.25">
      <c r="A129" s="88"/>
      <c r="C129" s="147"/>
      <c r="D129" s="147"/>
    </row>
    <row r="130" spans="1:4" s="23" customFormat="1" ht="20.25" x14ac:dyDescent="0.25">
      <c r="A130" s="88"/>
      <c r="C130" s="147"/>
      <c r="D130" s="147"/>
    </row>
    <row r="131" spans="1:4" s="23" customFormat="1" ht="20.25" x14ac:dyDescent="0.25">
      <c r="A131" s="88"/>
      <c r="C131" s="147"/>
      <c r="D131" s="147"/>
    </row>
    <row r="132" spans="1:4" s="23" customFormat="1" ht="20.25" x14ac:dyDescent="0.25">
      <c r="A132" s="88"/>
      <c r="C132" s="147"/>
      <c r="D132" s="147"/>
    </row>
    <row r="133" spans="1:4" s="23" customFormat="1" ht="20.25" x14ac:dyDescent="0.25">
      <c r="A133" s="88"/>
      <c r="C133" s="147"/>
      <c r="D133" s="147"/>
    </row>
    <row r="134" spans="1:4" s="23" customFormat="1" ht="20.25" x14ac:dyDescent="0.25">
      <c r="A134" s="88"/>
      <c r="C134" s="147"/>
      <c r="D134" s="147"/>
    </row>
    <row r="135" spans="1:4" s="23" customFormat="1" ht="20.25" x14ac:dyDescent="0.25">
      <c r="A135" s="88"/>
      <c r="C135" s="147"/>
      <c r="D135" s="147"/>
    </row>
    <row r="136" spans="1:4" s="23" customFormat="1" ht="20.25" x14ac:dyDescent="0.25">
      <c r="A136" s="88"/>
      <c r="C136" s="147"/>
      <c r="D136" s="147"/>
    </row>
    <row r="137" spans="1:4" s="23" customFormat="1" ht="20.25" x14ac:dyDescent="0.25">
      <c r="A137" s="88"/>
      <c r="C137" s="147"/>
      <c r="D137" s="147"/>
    </row>
    <row r="138" spans="1:4" s="23" customFormat="1" ht="20.25" x14ac:dyDescent="0.25">
      <c r="A138" s="88"/>
      <c r="C138" s="147"/>
      <c r="D138" s="147"/>
    </row>
    <row r="139" spans="1:4" s="23" customFormat="1" ht="20.25" x14ac:dyDescent="0.25">
      <c r="A139" s="88"/>
      <c r="C139" s="147"/>
      <c r="D139" s="147"/>
    </row>
    <row r="140" spans="1:4" s="23" customFormat="1" ht="20.25" x14ac:dyDescent="0.25">
      <c r="A140" s="88"/>
      <c r="C140" s="147"/>
      <c r="D140" s="147"/>
    </row>
    <row r="141" spans="1:4" s="23" customFormat="1" ht="20.25" x14ac:dyDescent="0.25">
      <c r="A141" s="88"/>
      <c r="C141" s="147"/>
      <c r="D141" s="147"/>
    </row>
    <row r="142" spans="1:4" s="23" customFormat="1" ht="20.25" x14ac:dyDescent="0.25">
      <c r="A142" s="88"/>
      <c r="C142" s="147"/>
      <c r="D142" s="147"/>
    </row>
    <row r="143" spans="1:4" s="23" customFormat="1" ht="20.25" x14ac:dyDescent="0.25">
      <c r="A143" s="88"/>
      <c r="C143" s="147"/>
      <c r="D143" s="147"/>
    </row>
    <row r="144" spans="1:4" s="23" customFormat="1" ht="20.25" x14ac:dyDescent="0.25">
      <c r="A144" s="88"/>
      <c r="C144" s="147"/>
      <c r="D144" s="147"/>
    </row>
    <row r="145" spans="1:4" s="23" customFormat="1" ht="20.25" x14ac:dyDescent="0.25">
      <c r="A145" s="88"/>
      <c r="C145" s="147"/>
      <c r="D145" s="147"/>
    </row>
    <row r="146" spans="1:4" s="23" customFormat="1" ht="20.25" x14ac:dyDescent="0.25">
      <c r="A146" s="88"/>
      <c r="C146" s="147"/>
      <c r="D146" s="147"/>
    </row>
    <row r="147" spans="1:4" s="23" customFormat="1" ht="20.25" x14ac:dyDescent="0.25">
      <c r="A147" s="88"/>
      <c r="C147" s="147"/>
      <c r="D147" s="147"/>
    </row>
    <row r="148" spans="1:4" s="23" customFormat="1" ht="20.25" x14ac:dyDescent="0.25">
      <c r="A148" s="88"/>
      <c r="C148" s="147"/>
      <c r="D148" s="147"/>
    </row>
    <row r="149" spans="1:4" s="23" customFormat="1" ht="20.25" x14ac:dyDescent="0.25">
      <c r="A149" s="88"/>
      <c r="C149" s="147"/>
      <c r="D149" s="147"/>
    </row>
    <row r="150" spans="1:4" s="23" customFormat="1" ht="20.25" x14ac:dyDescent="0.25">
      <c r="A150" s="88"/>
      <c r="C150" s="147"/>
      <c r="D150" s="147"/>
    </row>
    <row r="151" spans="1:4" s="23" customFormat="1" ht="20.25" x14ac:dyDescent="0.25">
      <c r="A151" s="88"/>
      <c r="C151" s="147"/>
      <c r="D151" s="147"/>
    </row>
    <row r="152" spans="1:4" s="23" customFormat="1" ht="20.25" x14ac:dyDescent="0.25">
      <c r="A152" s="88"/>
      <c r="C152" s="147"/>
      <c r="D152" s="147"/>
    </row>
    <row r="153" spans="1:4" s="23" customFormat="1" ht="20.25" x14ac:dyDescent="0.25">
      <c r="A153" s="88"/>
      <c r="C153" s="147"/>
      <c r="D153" s="147"/>
    </row>
    <row r="154" spans="1:4" s="23" customFormat="1" ht="20.25" x14ac:dyDescent="0.25">
      <c r="A154" s="88"/>
      <c r="C154" s="147"/>
      <c r="D154" s="147"/>
    </row>
    <row r="155" spans="1:4" s="23" customFormat="1" ht="20.25" x14ac:dyDescent="0.25">
      <c r="A155" s="88"/>
      <c r="C155" s="147"/>
      <c r="D155" s="147"/>
    </row>
    <row r="156" spans="1:4" s="23" customFormat="1" ht="20.25" x14ac:dyDescent="0.25">
      <c r="A156" s="88"/>
      <c r="C156" s="147"/>
      <c r="D156" s="147"/>
    </row>
    <row r="157" spans="1:4" s="23" customFormat="1" ht="20.25" x14ac:dyDescent="0.25">
      <c r="A157" s="88"/>
      <c r="C157" s="147"/>
      <c r="D157" s="147"/>
    </row>
    <row r="158" spans="1:4" s="23" customFormat="1" ht="20.25" x14ac:dyDescent="0.25">
      <c r="A158" s="88"/>
      <c r="C158" s="147"/>
      <c r="D158" s="147"/>
    </row>
    <row r="159" spans="1:4" s="23" customFormat="1" ht="20.25" x14ac:dyDescent="0.25">
      <c r="A159" s="88"/>
      <c r="C159" s="147"/>
      <c r="D159" s="147"/>
    </row>
    <row r="160" spans="1:4" s="23" customFormat="1" ht="20.25" x14ac:dyDescent="0.25">
      <c r="A160" s="88"/>
      <c r="C160" s="147"/>
      <c r="D160" s="147"/>
    </row>
    <row r="161" spans="1:4" s="23" customFormat="1" ht="20.25" x14ac:dyDescent="0.25">
      <c r="A161" s="88"/>
      <c r="C161" s="147"/>
      <c r="D161" s="147"/>
    </row>
    <row r="162" spans="1:4" s="23" customFormat="1" ht="20.25" x14ac:dyDescent="0.25">
      <c r="A162" s="88"/>
      <c r="C162" s="147"/>
      <c r="D162" s="147"/>
    </row>
    <row r="163" spans="1:4" s="23" customFormat="1" ht="20.25" x14ac:dyDescent="0.25">
      <c r="A163" s="88"/>
      <c r="C163" s="147"/>
      <c r="D163" s="147"/>
    </row>
    <row r="164" spans="1:4" s="23" customFormat="1" ht="20.25" x14ac:dyDescent="0.25">
      <c r="A164" s="88"/>
      <c r="C164" s="147"/>
      <c r="D164" s="147"/>
    </row>
    <row r="165" spans="1:4" s="23" customFormat="1" ht="20.25" x14ac:dyDescent="0.25">
      <c r="A165" s="88"/>
      <c r="C165" s="147"/>
      <c r="D165" s="147"/>
    </row>
    <row r="166" spans="1:4" s="23" customFormat="1" ht="20.25" x14ac:dyDescent="0.25">
      <c r="A166" s="88"/>
      <c r="C166" s="147"/>
      <c r="D166" s="147"/>
    </row>
    <row r="167" spans="1:4" s="23" customFormat="1" ht="20.25" x14ac:dyDescent="0.25">
      <c r="A167" s="88"/>
      <c r="C167" s="147"/>
      <c r="D167" s="147"/>
    </row>
    <row r="168" spans="1:4" s="23" customFormat="1" ht="20.25" x14ac:dyDescent="0.25">
      <c r="A168" s="88"/>
      <c r="C168" s="147"/>
      <c r="D168" s="147"/>
    </row>
    <row r="169" spans="1:4" s="23" customFormat="1" ht="20.25" x14ac:dyDescent="0.25">
      <c r="A169" s="88"/>
      <c r="C169" s="147"/>
      <c r="D169" s="147"/>
    </row>
    <row r="170" spans="1:4" s="23" customFormat="1" ht="20.25" x14ac:dyDescent="0.25">
      <c r="A170" s="88"/>
      <c r="C170" s="147"/>
      <c r="D170" s="147"/>
    </row>
    <row r="171" spans="1:4" s="23" customFormat="1" ht="20.25" x14ac:dyDescent="0.25">
      <c r="A171" s="88"/>
      <c r="C171" s="147"/>
      <c r="D171" s="147"/>
    </row>
    <row r="172" spans="1:4" s="23" customFormat="1" ht="20.25" x14ac:dyDescent="0.25">
      <c r="A172" s="88"/>
      <c r="C172" s="147"/>
      <c r="D172" s="147"/>
    </row>
    <row r="173" spans="1:4" s="23" customFormat="1" ht="20.25" x14ac:dyDescent="0.25">
      <c r="A173" s="88"/>
      <c r="C173" s="147"/>
      <c r="D173" s="147"/>
    </row>
    <row r="174" spans="1:4" s="23" customFormat="1" ht="20.25" x14ac:dyDescent="0.25">
      <c r="A174" s="88"/>
      <c r="C174" s="147"/>
      <c r="D174" s="147"/>
    </row>
    <row r="175" spans="1:4" s="23" customFormat="1" ht="20.25" x14ac:dyDescent="0.25">
      <c r="A175" s="88"/>
      <c r="C175" s="147"/>
      <c r="D175" s="147"/>
    </row>
    <row r="176" spans="1:4" s="23" customFormat="1" ht="20.25" x14ac:dyDescent="0.25">
      <c r="A176" s="88"/>
      <c r="C176" s="147"/>
      <c r="D176" s="147"/>
    </row>
    <row r="177" spans="1:4" s="23" customFormat="1" ht="20.25" x14ac:dyDescent="0.25">
      <c r="A177" s="88"/>
      <c r="C177" s="147"/>
      <c r="D177" s="147"/>
    </row>
    <row r="178" spans="1:4" s="23" customFormat="1" ht="20.25" x14ac:dyDescent="0.25">
      <c r="A178" s="88"/>
      <c r="C178" s="147"/>
      <c r="D178" s="147"/>
    </row>
    <row r="179" spans="1:4" s="23" customFormat="1" ht="20.25" x14ac:dyDescent="0.25">
      <c r="A179" s="88"/>
      <c r="C179" s="147"/>
      <c r="D179" s="147"/>
    </row>
    <row r="180" spans="1:4" s="23" customFormat="1" ht="20.25" x14ac:dyDescent="0.25">
      <c r="A180" s="88"/>
      <c r="C180" s="147"/>
      <c r="D180" s="147"/>
    </row>
    <row r="181" spans="1:4" s="23" customFormat="1" ht="20.25" x14ac:dyDescent="0.25">
      <c r="A181" s="88"/>
      <c r="C181" s="147"/>
      <c r="D181" s="147"/>
    </row>
    <row r="182" spans="1:4" s="23" customFormat="1" ht="20.25" x14ac:dyDescent="0.25">
      <c r="A182" s="88"/>
      <c r="C182" s="147"/>
      <c r="D182" s="147"/>
    </row>
    <row r="183" spans="1:4" s="23" customFormat="1" ht="20.25" x14ac:dyDescent="0.25">
      <c r="A183" s="88"/>
      <c r="C183" s="147"/>
      <c r="D183" s="147"/>
    </row>
    <row r="184" spans="1:4" s="23" customFormat="1" ht="20.25" x14ac:dyDescent="0.25">
      <c r="A184" s="88"/>
      <c r="C184" s="147"/>
      <c r="D184" s="147"/>
    </row>
    <row r="185" spans="1:4" s="23" customFormat="1" ht="20.25" x14ac:dyDescent="0.25">
      <c r="A185" s="88"/>
      <c r="C185" s="147"/>
      <c r="D185" s="147"/>
    </row>
    <row r="186" spans="1:4" s="23" customFormat="1" ht="20.25" x14ac:dyDescent="0.25">
      <c r="A186" s="88"/>
      <c r="C186" s="147"/>
      <c r="D186" s="147"/>
    </row>
    <row r="187" spans="1:4" s="23" customFormat="1" ht="20.25" x14ac:dyDescent="0.25">
      <c r="A187" s="88"/>
      <c r="C187" s="147"/>
      <c r="D187" s="147"/>
    </row>
    <row r="188" spans="1:4" s="23" customFormat="1" ht="20.25" x14ac:dyDescent="0.25">
      <c r="A188" s="88"/>
      <c r="C188" s="147"/>
      <c r="D188" s="147"/>
    </row>
    <row r="189" spans="1:4" s="23" customFormat="1" ht="20.25" x14ac:dyDescent="0.25">
      <c r="A189" s="88"/>
      <c r="C189" s="147"/>
      <c r="D189" s="147"/>
    </row>
    <row r="190" spans="1:4" s="23" customFormat="1" ht="20.25" x14ac:dyDescent="0.25">
      <c r="A190" s="88"/>
      <c r="C190" s="147"/>
      <c r="D190" s="147"/>
    </row>
    <row r="191" spans="1:4" s="23" customFormat="1" ht="20.25" x14ac:dyDescent="0.25">
      <c r="A191" s="88"/>
      <c r="C191" s="147"/>
      <c r="D191" s="147"/>
    </row>
    <row r="192" spans="1:4" s="23" customFormat="1" ht="20.25" x14ac:dyDescent="0.25">
      <c r="A192" s="88"/>
      <c r="C192" s="147"/>
      <c r="D192" s="147"/>
    </row>
    <row r="193" spans="1:4" s="23" customFormat="1" ht="20.25" x14ac:dyDescent="0.25">
      <c r="A193" s="88"/>
      <c r="C193" s="147"/>
      <c r="D193" s="147"/>
    </row>
    <row r="194" spans="1:4" s="23" customFormat="1" ht="20.25" x14ac:dyDescent="0.25">
      <c r="A194" s="88"/>
      <c r="C194" s="147"/>
      <c r="D194" s="147"/>
    </row>
    <row r="195" spans="1:4" s="23" customFormat="1" ht="20.25" x14ac:dyDescent="0.25">
      <c r="A195" s="88"/>
      <c r="C195" s="147"/>
      <c r="D195" s="147"/>
    </row>
    <row r="196" spans="1:4" s="23" customFormat="1" ht="20.25" x14ac:dyDescent="0.25">
      <c r="A196" s="88"/>
      <c r="C196" s="147"/>
      <c r="D196" s="147"/>
    </row>
    <row r="197" spans="1:4" s="23" customFormat="1" ht="20.25" x14ac:dyDescent="0.25">
      <c r="A197" s="88"/>
      <c r="C197" s="147"/>
      <c r="D197" s="147"/>
    </row>
    <row r="198" spans="1:4" s="23" customFormat="1" ht="20.25" x14ac:dyDescent="0.25">
      <c r="A198" s="88"/>
      <c r="C198" s="147"/>
      <c r="D198" s="147"/>
    </row>
    <row r="199" spans="1:4" s="23" customFormat="1" ht="20.25" x14ac:dyDescent="0.25">
      <c r="A199" s="88"/>
      <c r="C199" s="147"/>
      <c r="D199" s="147"/>
    </row>
    <row r="200" spans="1:4" s="23" customFormat="1" ht="20.25" x14ac:dyDescent="0.25">
      <c r="A200" s="88"/>
      <c r="C200" s="147"/>
      <c r="D200" s="147"/>
    </row>
    <row r="201" spans="1:4" s="23" customFormat="1" ht="20.25" x14ac:dyDescent="0.25">
      <c r="A201" s="88"/>
      <c r="C201" s="147"/>
      <c r="D201" s="147"/>
    </row>
    <row r="202" spans="1:4" s="23" customFormat="1" ht="20.25" x14ac:dyDescent="0.25">
      <c r="A202" s="88"/>
      <c r="C202" s="147"/>
      <c r="D202" s="147"/>
    </row>
    <row r="203" spans="1:4" s="23" customFormat="1" ht="20.25" x14ac:dyDescent="0.25">
      <c r="A203" s="88"/>
      <c r="C203" s="147"/>
      <c r="D203" s="147"/>
    </row>
    <row r="204" spans="1:4" s="23" customFormat="1" ht="20.25" x14ac:dyDescent="0.25">
      <c r="A204" s="88"/>
      <c r="C204" s="147"/>
      <c r="D204" s="147"/>
    </row>
    <row r="205" spans="1:4" s="23" customFormat="1" ht="20.25" x14ac:dyDescent="0.25">
      <c r="A205" s="88"/>
      <c r="C205" s="147"/>
      <c r="D205" s="147"/>
    </row>
    <row r="206" spans="1:4" s="23" customFormat="1" ht="20.25" x14ac:dyDescent="0.25">
      <c r="A206" s="88"/>
      <c r="C206" s="147"/>
      <c r="D206" s="147"/>
    </row>
    <row r="207" spans="1:4" s="23" customFormat="1" ht="20.25" x14ac:dyDescent="0.25">
      <c r="A207" s="88"/>
      <c r="C207" s="147"/>
      <c r="D207" s="147"/>
    </row>
    <row r="208" spans="1:4" s="23" customFormat="1" x14ac:dyDescent="0.25">
      <c r="A208" s="88"/>
    </row>
    <row r="209" spans="1:8" s="23" customFormat="1" ht="20.25" x14ac:dyDescent="0.25">
      <c r="A209" s="88"/>
      <c r="B209" s="148" t="s">
        <v>87</v>
      </c>
      <c r="C209" s="148" t="s">
        <v>140</v>
      </c>
      <c r="D209" s="149" t="s">
        <v>87</v>
      </c>
      <c r="E209" s="149" t="s">
        <v>140</v>
      </c>
    </row>
    <row r="210" spans="1:8" s="23" customFormat="1" ht="42" x14ac:dyDescent="0.35">
      <c r="A210" s="88"/>
      <c r="B210" s="150" t="s">
        <v>89</v>
      </c>
      <c r="C210" s="150"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35">
      <c r="A211" s="88"/>
      <c r="B211" s="150" t="s">
        <v>89</v>
      </c>
      <c r="C211" s="150" t="s">
        <v>206</v>
      </c>
      <c r="E211" s="23" t="s">
        <v>205</v>
      </c>
      <c r="F211" s="23" t="str">
        <f t="shared" ref="F211:F221" si="0">IF(NOT(ISBLANK(D211)),D211,IF(NOT(ISBLANK(E211)),"     "&amp;E211,FALSE))</f>
        <v xml:space="preserve">     Afectación menor a 200 SMLMV</v>
      </c>
    </row>
    <row r="212" spans="1:8" s="23" customFormat="1" ht="42" x14ac:dyDescent="0.35">
      <c r="A212" s="88"/>
      <c r="B212" s="150" t="s">
        <v>89</v>
      </c>
      <c r="C212" s="150" t="s">
        <v>210</v>
      </c>
      <c r="E212" s="23" t="s">
        <v>206</v>
      </c>
      <c r="F212" s="23" t="str">
        <f t="shared" si="0"/>
        <v xml:space="preserve">     Entre 200 y 1000 SMLMV</v>
      </c>
    </row>
    <row r="213" spans="1:8" s="23" customFormat="1" ht="42" x14ac:dyDescent="0.35">
      <c r="A213" s="88"/>
      <c r="B213" s="150" t="s">
        <v>89</v>
      </c>
      <c r="C213" s="150" t="s">
        <v>211</v>
      </c>
      <c r="E213" s="23" t="s">
        <v>210</v>
      </c>
      <c r="F213" s="23" t="str">
        <f t="shared" si="0"/>
        <v xml:space="preserve">     Entre 1000 y 5000 SMLMV </v>
      </c>
    </row>
    <row r="214" spans="1:8" s="23" customFormat="1" ht="42" x14ac:dyDescent="0.35">
      <c r="A214" s="88"/>
      <c r="B214" s="150" t="s">
        <v>89</v>
      </c>
      <c r="C214" s="150" t="s">
        <v>207</v>
      </c>
      <c r="E214" s="23" t="s">
        <v>211</v>
      </c>
      <c r="F214" s="23" t="str">
        <f t="shared" si="0"/>
        <v xml:space="preserve">     Entre 5000 y 10000 SMLMV</v>
      </c>
    </row>
    <row r="215" spans="1:8" s="23" customFormat="1" ht="42" x14ac:dyDescent="0.35">
      <c r="A215" s="88"/>
      <c r="B215" s="150" t="s">
        <v>57</v>
      </c>
      <c r="C215" s="150" t="s">
        <v>92</v>
      </c>
      <c r="E215" s="23" t="s">
        <v>207</v>
      </c>
      <c r="F215" s="23" t="str">
        <f t="shared" si="0"/>
        <v xml:space="preserve">     Mayor a 10000 SMLMV</v>
      </c>
    </row>
    <row r="216" spans="1:8" s="23" customFormat="1" ht="63" x14ac:dyDescent="0.35">
      <c r="A216" s="88"/>
      <c r="B216" s="150" t="s">
        <v>57</v>
      </c>
      <c r="C216" s="150" t="s">
        <v>93</v>
      </c>
      <c r="D216" s="23" t="s">
        <v>57</v>
      </c>
      <c r="F216" s="23" t="str">
        <f t="shared" si="0"/>
        <v>Pérdida Reputacional</v>
      </c>
    </row>
    <row r="217" spans="1:8" s="23" customFormat="1" ht="42" x14ac:dyDescent="0.35">
      <c r="A217" s="88"/>
      <c r="B217" s="150" t="s">
        <v>57</v>
      </c>
      <c r="C217" s="150" t="s">
        <v>95</v>
      </c>
      <c r="E217" s="23" t="s">
        <v>92</v>
      </c>
      <c r="F217" s="23" t="str">
        <f>IF(NOT(ISBLANK(D217)),D217,IF(NOT(ISBLANK(E217)),"     "&amp;E217,FALSE))</f>
        <v xml:space="preserve">     El riesgo afecta la imagen de alguna área de la organización</v>
      </c>
    </row>
    <row r="218" spans="1:8" s="23" customFormat="1" ht="63" x14ac:dyDescent="0.35">
      <c r="A218" s="88"/>
      <c r="B218" s="150" t="s">
        <v>57</v>
      </c>
      <c r="C218" s="150"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8"/>
      <c r="B219" s="150" t="s">
        <v>57</v>
      </c>
      <c r="C219" s="150" t="s">
        <v>113</v>
      </c>
      <c r="E219" s="23" t="s">
        <v>95</v>
      </c>
      <c r="F219" s="23" t="str">
        <f t="shared" si="0"/>
        <v xml:space="preserve">     El riesgo afecta la imagen de la entidad con algunos usuarios de relevancia frente al logro de los objetivos</v>
      </c>
    </row>
    <row r="220" spans="1:8" s="23" customFormat="1" x14ac:dyDescent="0.25">
      <c r="A220" s="88"/>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8"/>
      <c r="B221" s="23" t="e" c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25">
      <c r="A222" s="88"/>
      <c r="B222" s="23" t="e">
        <f ca="1"/>
        <v>#NAME?</v>
      </c>
    </row>
    <row r="223" spans="1:8" s="23" customFormat="1" x14ac:dyDescent="0.25">
      <c r="B223" s="23" t="e">
        <f ca="1"/>
        <v>#NAME?</v>
      </c>
      <c r="F223" s="151" t="s">
        <v>141</v>
      </c>
    </row>
    <row r="224" spans="1:8" s="23" customFormat="1" x14ac:dyDescent="0.25">
      <c r="F224" s="151" t="s">
        <v>142</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3"/>
    <col min="3" max="3" width="17" style="73" customWidth="1"/>
    <col min="4" max="4" width="14.28515625" style="73"/>
    <col min="5" max="5" width="46" style="73" customWidth="1"/>
    <col min="6" max="16384" width="14.28515625" style="73"/>
  </cols>
  <sheetData>
    <row r="1" spans="2:6" ht="24" customHeight="1" thickBot="1" x14ac:dyDescent="0.25">
      <c r="B1" s="438" t="s">
        <v>77</v>
      </c>
      <c r="C1" s="439"/>
      <c r="D1" s="439"/>
      <c r="E1" s="439"/>
      <c r="F1" s="440"/>
    </row>
    <row r="2" spans="2:6" ht="16.5" thickBot="1" x14ac:dyDescent="0.3">
      <c r="B2" s="74"/>
      <c r="C2" s="74"/>
      <c r="D2" s="74"/>
      <c r="E2" s="74"/>
      <c r="F2" s="74"/>
    </row>
    <row r="3" spans="2:6" ht="16.5" thickBot="1" x14ac:dyDescent="0.25">
      <c r="B3" s="442" t="s">
        <v>63</v>
      </c>
      <c r="C3" s="443"/>
      <c r="D3" s="443"/>
      <c r="E3" s="86" t="s">
        <v>64</v>
      </c>
      <c r="F3" s="87" t="s">
        <v>65</v>
      </c>
    </row>
    <row r="4" spans="2:6" ht="31.5" x14ac:dyDescent="0.2">
      <c r="B4" s="444" t="s">
        <v>66</v>
      </c>
      <c r="C4" s="446" t="s">
        <v>13</v>
      </c>
      <c r="D4" s="75" t="s">
        <v>14</v>
      </c>
      <c r="E4" s="76" t="s">
        <v>67</v>
      </c>
      <c r="F4" s="77">
        <v>0.25</v>
      </c>
    </row>
    <row r="5" spans="2:6" ht="47.25" x14ac:dyDescent="0.2">
      <c r="B5" s="445"/>
      <c r="C5" s="447"/>
      <c r="D5" s="78" t="s">
        <v>15</v>
      </c>
      <c r="E5" s="79" t="s">
        <v>68</v>
      </c>
      <c r="F5" s="80">
        <v>0.15</v>
      </c>
    </row>
    <row r="6" spans="2:6" ht="47.25" x14ac:dyDescent="0.2">
      <c r="B6" s="445"/>
      <c r="C6" s="447"/>
      <c r="D6" s="78" t="s">
        <v>16</v>
      </c>
      <c r="E6" s="79" t="s">
        <v>69</v>
      </c>
      <c r="F6" s="80">
        <v>0.1</v>
      </c>
    </row>
    <row r="7" spans="2:6" ht="63" x14ac:dyDescent="0.2">
      <c r="B7" s="445"/>
      <c r="C7" s="447" t="s">
        <v>17</v>
      </c>
      <c r="D7" s="78" t="s">
        <v>10</v>
      </c>
      <c r="E7" s="79" t="s">
        <v>70</v>
      </c>
      <c r="F7" s="80">
        <v>0.25</v>
      </c>
    </row>
    <row r="8" spans="2:6" ht="31.5" x14ac:dyDescent="0.2">
      <c r="B8" s="445"/>
      <c r="C8" s="447"/>
      <c r="D8" s="78" t="s">
        <v>9</v>
      </c>
      <c r="E8" s="79" t="s">
        <v>71</v>
      </c>
      <c r="F8" s="80">
        <v>0.15</v>
      </c>
    </row>
    <row r="9" spans="2:6" ht="47.25" x14ac:dyDescent="0.2">
      <c r="B9" s="445" t="s">
        <v>151</v>
      </c>
      <c r="C9" s="447" t="s">
        <v>18</v>
      </c>
      <c r="D9" s="78" t="s">
        <v>19</v>
      </c>
      <c r="E9" s="79" t="s">
        <v>72</v>
      </c>
      <c r="F9" s="81" t="s">
        <v>73</v>
      </c>
    </row>
    <row r="10" spans="2:6" ht="63" x14ac:dyDescent="0.2">
      <c r="B10" s="445"/>
      <c r="C10" s="447"/>
      <c r="D10" s="78" t="s">
        <v>20</v>
      </c>
      <c r="E10" s="79" t="s">
        <v>74</v>
      </c>
      <c r="F10" s="81" t="s">
        <v>73</v>
      </c>
    </row>
    <row r="11" spans="2:6" ht="47.25" x14ac:dyDescent="0.2">
      <c r="B11" s="445"/>
      <c r="C11" s="447" t="s">
        <v>21</v>
      </c>
      <c r="D11" s="78" t="s">
        <v>22</v>
      </c>
      <c r="E11" s="79" t="s">
        <v>75</v>
      </c>
      <c r="F11" s="81" t="s">
        <v>73</v>
      </c>
    </row>
    <row r="12" spans="2:6" ht="47.25" x14ac:dyDescent="0.2">
      <c r="B12" s="445"/>
      <c r="C12" s="447"/>
      <c r="D12" s="78" t="s">
        <v>23</v>
      </c>
      <c r="E12" s="79" t="s">
        <v>76</v>
      </c>
      <c r="F12" s="81" t="s">
        <v>73</v>
      </c>
    </row>
    <row r="13" spans="2:6" ht="31.5" x14ac:dyDescent="0.2">
      <c r="B13" s="445"/>
      <c r="C13" s="447" t="s">
        <v>24</v>
      </c>
      <c r="D13" s="78" t="s">
        <v>114</v>
      </c>
      <c r="E13" s="79" t="s">
        <v>117</v>
      </c>
      <c r="F13" s="81" t="s">
        <v>73</v>
      </c>
    </row>
    <row r="14" spans="2:6" ht="32.25" thickBot="1" x14ac:dyDescent="0.25">
      <c r="B14" s="448"/>
      <c r="C14" s="449"/>
      <c r="D14" s="82" t="s">
        <v>115</v>
      </c>
      <c r="E14" s="83" t="s">
        <v>116</v>
      </c>
      <c r="F14" s="84" t="s">
        <v>73</v>
      </c>
    </row>
    <row r="15" spans="2:6" ht="49.5" customHeight="1" x14ac:dyDescent="0.2">
      <c r="B15" s="441" t="s">
        <v>148</v>
      </c>
      <c r="C15" s="441"/>
      <c r="D15" s="441"/>
      <c r="E15" s="441"/>
      <c r="F15" s="441"/>
    </row>
    <row r="16" spans="2:6" ht="27" customHeight="1" x14ac:dyDescent="0.25">
      <c r="B16" s="8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Intructivo!Área_de_impresión</vt:lpstr>
      <vt:lpstr>'Mapa final'!Área_de_impresión</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EQUIPO</cp:lastModifiedBy>
  <cp:lastPrinted>2022-05-02T19:11:15Z</cp:lastPrinted>
  <dcterms:created xsi:type="dcterms:W3CDTF">2020-03-24T23:12:47Z</dcterms:created>
  <dcterms:modified xsi:type="dcterms:W3CDTF">2022-07-29T19:40:51Z</dcterms:modified>
</cp:coreProperties>
</file>