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NORMA\Desktop\"/>
    </mc:Choice>
  </mc:AlternateContent>
  <bookViews>
    <workbookView xWindow="0" yWindow="0" windowWidth="9165" windowHeight="427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1" hidden="1">'Mapa final'!$A$9:$BR$9</definedName>
  </definedNames>
  <calcPr calcId="162913"/>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2" i="1" l="1"/>
  <c r="J12" i="1"/>
  <c r="J11" i="1"/>
  <c r="K11" i="1" s="1"/>
  <c r="V10" i="1" l="1"/>
  <c r="S10" i="1"/>
  <c r="J10" i="1"/>
  <c r="K10" i="1" s="1"/>
  <c r="M39" i="1"/>
  <c r="M30" i="1"/>
  <c r="M45" i="1"/>
  <c r="M41" i="1"/>
  <c r="M24" i="1"/>
  <c r="M27" i="1"/>
  <c r="M48" i="1"/>
  <c r="M60" i="1"/>
  <c r="M28" i="1"/>
  <c r="M47" i="1"/>
  <c r="M63" i="1"/>
  <c r="M29" i="1"/>
  <c r="M21" i="1"/>
  <c r="M33" i="1"/>
  <c r="M36" i="1"/>
  <c r="M50" i="1"/>
  <c r="M32" i="1"/>
  <c r="M34" i="1"/>
  <c r="M57" i="1"/>
  <c r="M59" i="1"/>
  <c r="M20" i="1"/>
  <c r="M44" i="1"/>
  <c r="M38" i="1"/>
  <c r="M23" i="1"/>
  <c r="M26" i="1"/>
  <c r="M66" i="1"/>
  <c r="M40" i="1"/>
  <c r="M22" i="1"/>
  <c r="M54" i="1"/>
  <c r="M51" i="1"/>
  <c r="M62" i="1"/>
  <c r="M35" i="1"/>
  <c r="M58" i="1"/>
  <c r="M65" i="1"/>
  <c r="M42" i="1"/>
  <c r="M64" i="1"/>
  <c r="M52" i="1"/>
  <c r="M56" i="1"/>
  <c r="M53" i="1"/>
  <c r="F221" i="13" l="1"/>
  <c r="F211" i="13"/>
  <c r="F212" i="13"/>
  <c r="F213" i="13"/>
  <c r="F214" i="13"/>
  <c r="F215" i="13"/>
  <c r="F216" i="13"/>
  <c r="F217" i="13"/>
  <c r="F218" i="13"/>
  <c r="F219" i="13"/>
  <c r="F220" i="13"/>
  <c r="F210" i="13"/>
  <c r="M46" i="1"/>
  <c r="B221" i="13" a="1"/>
  <c r="M11" i="1"/>
  <c r="M12" i="1"/>
  <c r="N12" i="1" l="1"/>
  <c r="N11" i="1"/>
  <c r="B221" i="13"/>
  <c r="S49" i="1"/>
  <c r="S44" i="1"/>
  <c r="S38" i="1"/>
  <c r="O12" i="1" l="1"/>
  <c r="P12" i="1"/>
  <c r="O11" i="1"/>
  <c r="P11"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6" i="1" l="1"/>
  <c r="S66" i="1"/>
  <c r="V65" i="1"/>
  <c r="S65" i="1"/>
  <c r="V64" i="1"/>
  <c r="S64" i="1"/>
  <c r="V63" i="1"/>
  <c r="S63" i="1"/>
  <c r="V62" i="1"/>
  <c r="S62" i="1"/>
  <c r="V61" i="1"/>
  <c r="S61" i="1"/>
  <c r="J61" i="1"/>
  <c r="K61" i="1" s="1"/>
  <c r="V60" i="1"/>
  <c r="S60" i="1"/>
  <c r="V59" i="1"/>
  <c r="S59" i="1"/>
  <c r="V58" i="1"/>
  <c r="S58" i="1"/>
  <c r="V57" i="1"/>
  <c r="S57" i="1"/>
  <c r="V56" i="1"/>
  <c r="S56" i="1"/>
  <c r="V55" i="1"/>
  <c r="S55" i="1"/>
  <c r="J55" i="1"/>
  <c r="K55" i="1" s="1"/>
  <c r="V54" i="1"/>
  <c r="S54" i="1"/>
  <c r="V53" i="1"/>
  <c r="S53" i="1"/>
  <c r="V52" i="1"/>
  <c r="S52" i="1"/>
  <c r="V51" i="1"/>
  <c r="S51" i="1"/>
  <c r="V50" i="1"/>
  <c r="S50" i="1"/>
  <c r="V49" i="1"/>
  <c r="J49" i="1"/>
  <c r="K49" i="1" s="1"/>
  <c r="V48" i="1"/>
  <c r="S48" i="1"/>
  <c r="V47" i="1"/>
  <c r="S47" i="1"/>
  <c r="V46" i="1"/>
  <c r="S46" i="1"/>
  <c r="V45" i="1"/>
  <c r="S45" i="1"/>
  <c r="V44" i="1"/>
  <c r="V43" i="1"/>
  <c r="S43" i="1"/>
  <c r="J43" i="1"/>
  <c r="K43" i="1" s="1"/>
  <c r="V42" i="1"/>
  <c r="S42" i="1"/>
  <c r="V41" i="1"/>
  <c r="S41" i="1"/>
  <c r="V40" i="1"/>
  <c r="S40" i="1"/>
  <c r="V39" i="1"/>
  <c r="S39" i="1"/>
  <c r="V38" i="1"/>
  <c r="V37" i="1"/>
  <c r="S37" i="1"/>
  <c r="J37" i="1"/>
  <c r="K37" i="1" s="1"/>
  <c r="V36" i="1"/>
  <c r="S36" i="1"/>
  <c r="V35" i="1"/>
  <c r="S35" i="1"/>
  <c r="V34" i="1"/>
  <c r="S34" i="1"/>
  <c r="V33" i="1"/>
  <c r="S33" i="1"/>
  <c r="V32" i="1"/>
  <c r="S32" i="1"/>
  <c r="V31" i="1"/>
  <c r="S31" i="1"/>
  <c r="J31" i="1"/>
  <c r="K31" i="1" s="1"/>
  <c r="V30" i="1"/>
  <c r="S30" i="1"/>
  <c r="V29" i="1"/>
  <c r="S29" i="1"/>
  <c r="V28" i="1"/>
  <c r="S28" i="1"/>
  <c r="V27" i="1"/>
  <c r="S27" i="1"/>
  <c r="V26" i="1"/>
  <c r="S26" i="1"/>
  <c r="V25" i="1"/>
  <c r="S25" i="1"/>
  <c r="J25" i="1"/>
  <c r="K25" i="1" s="1"/>
  <c r="V24" i="1"/>
  <c r="S24" i="1"/>
  <c r="V23" i="1"/>
  <c r="S23" i="1"/>
  <c r="V22" i="1"/>
  <c r="S22" i="1"/>
  <c r="V21" i="1"/>
  <c r="S21" i="1"/>
  <c r="V20" i="1"/>
  <c r="S20" i="1"/>
  <c r="V19" i="1"/>
  <c r="S19" i="1"/>
  <c r="J19" i="1"/>
  <c r="K19" i="1" s="1"/>
  <c r="AD47" i="1" l="1"/>
  <c r="AC47" i="1" s="1"/>
  <c r="AD48" i="1"/>
  <c r="AC48" i="1" s="1"/>
  <c r="Z61" i="1"/>
  <c r="Z55" i="1"/>
  <c r="Z49" i="1"/>
  <c r="Z43" i="1"/>
  <c r="Z47" i="1"/>
  <c r="Z48" i="1"/>
  <c r="Z37" i="1"/>
  <c r="Z31" i="1"/>
  <c r="Z25" i="1"/>
  <c r="Z19" i="1"/>
  <c r="AA61" i="1" l="1"/>
  <c r="AB61" i="1"/>
  <c r="Z62" i="1" s="1"/>
  <c r="AA62" i="1" s="1"/>
  <c r="AA55" i="1"/>
  <c r="AB55" i="1"/>
  <c r="Z56" i="1" s="1"/>
  <c r="AB56" i="1" s="1"/>
  <c r="Z57" i="1" s="1"/>
  <c r="AA49" i="1"/>
  <c r="AB49" i="1"/>
  <c r="Z50" i="1" s="1"/>
  <c r="AB50" i="1" s="1"/>
  <c r="Z51" i="1" s="1"/>
  <c r="AA48" i="1"/>
  <c r="AB48" i="1"/>
  <c r="AA47" i="1"/>
  <c r="AB47" i="1"/>
  <c r="AA43" i="1"/>
  <c r="AB43" i="1"/>
  <c r="AA37" i="1"/>
  <c r="AB37" i="1"/>
  <c r="Z38" i="1" s="1"/>
  <c r="AB38" i="1" s="1"/>
  <c r="Z39" i="1" s="1"/>
  <c r="AA31" i="1"/>
  <c r="AB31" i="1"/>
  <c r="AA25" i="1"/>
  <c r="AB25" i="1"/>
  <c r="Z26" i="1" s="1"/>
  <c r="AB26" i="1" s="1"/>
  <c r="Z27" i="1" s="1"/>
  <c r="AA27" i="1" s="1"/>
  <c r="AA19" i="1"/>
  <c r="AB19" i="1"/>
  <c r="Z20" i="1" s="1"/>
  <c r="AA20" i="1" s="1"/>
  <c r="AA56" i="1" l="1"/>
  <c r="AA50" i="1"/>
  <c r="AB20" i="1"/>
  <c r="Z21" i="1" s="1"/>
  <c r="AA21" i="1" s="1"/>
  <c r="AA38" i="1"/>
  <c r="AA26" i="1"/>
  <c r="AA39" i="1"/>
  <c r="AB39" i="1"/>
  <c r="AB57" i="1"/>
  <c r="Z58" i="1" s="1"/>
  <c r="AA57" i="1"/>
  <c r="AB51" i="1"/>
  <c r="Z52" i="1" s="1"/>
  <c r="AA51" i="1"/>
  <c r="AB62" i="1"/>
  <c r="Z63" i="1" s="1"/>
  <c r="Z32" i="1"/>
  <c r="Z44" i="1"/>
  <c r="Z45" i="1"/>
  <c r="AB27"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E47" i="1"/>
  <c r="AE48" i="1"/>
  <c r="V11" i="1"/>
  <c r="V12" i="1"/>
  <c r="AA58" i="1" l="1"/>
  <c r="AB58" i="1"/>
  <c r="AA52" i="1"/>
  <c r="AB52" i="1"/>
  <c r="Z53" i="1" s="1"/>
  <c r="AB21" i="1"/>
  <c r="Z22" i="1" s="1"/>
  <c r="AB22" i="1" s="1"/>
  <c r="AA45" i="1"/>
  <c r="AB45" i="1"/>
  <c r="Z46" i="1" s="1"/>
  <c r="AA63" i="1"/>
  <c r="AB63" i="1"/>
  <c r="Z64" i="1" s="1"/>
  <c r="AA44" i="1"/>
  <c r="AB44" i="1"/>
  <c r="Z40" i="1"/>
  <c r="AA32" i="1"/>
  <c r="AB32" i="1"/>
  <c r="Z33" i="1" s="1"/>
  <c r="AA33" i="1" s="1"/>
  <c r="Z29" i="1"/>
  <c r="AA29" i="1" s="1"/>
  <c r="Z28" i="1"/>
  <c r="AB33" i="1" l="1"/>
  <c r="Z34" i="1" s="1"/>
  <c r="AB34" i="1" s="1"/>
  <c r="Z35" i="1" s="1"/>
  <c r="AA53" i="1"/>
  <c r="AB53" i="1"/>
  <c r="Z54" i="1" s="1"/>
  <c r="Z59" i="1"/>
  <c r="Z60" i="1"/>
  <c r="AA22" i="1"/>
  <c r="AA40" i="1"/>
  <c r="AB40" i="1"/>
  <c r="Z41" i="1" s="1"/>
  <c r="AA41" i="1" s="1"/>
  <c r="AA46" i="1"/>
  <c r="AB46" i="1"/>
  <c r="Z23" i="1"/>
  <c r="AB64" i="1"/>
  <c r="AA64" i="1"/>
  <c r="AA28" i="1"/>
  <c r="AB28" i="1"/>
  <c r="AB29" i="1"/>
  <c r="Z30" i="1" s="1"/>
  <c r="AA34" i="1" l="1"/>
  <c r="AA60" i="1"/>
  <c r="AB60" i="1"/>
  <c r="AA59" i="1"/>
  <c r="AB59" i="1"/>
  <c r="AA54" i="1"/>
  <c r="AB54" i="1"/>
  <c r="Z65" i="1"/>
  <c r="Z66" i="1"/>
  <c r="AB41" i="1"/>
  <c r="Z42" i="1" s="1"/>
  <c r="AA42" i="1" s="1"/>
  <c r="AB35" i="1"/>
  <c r="Z36" i="1" s="1"/>
  <c r="AA35" i="1"/>
  <c r="AA23" i="1"/>
  <c r="AB23" i="1"/>
  <c r="Z24" i="1" s="1"/>
  <c r="AA24" i="1" s="1"/>
  <c r="AA30" i="1"/>
  <c r="AB30" i="1"/>
  <c r="Z10" i="1"/>
  <c r="AA10" i="1" s="1"/>
  <c r="AA66" i="1" l="1"/>
  <c r="AB66" i="1"/>
  <c r="AA65" i="1"/>
  <c r="AB65" i="1"/>
  <c r="AA36" i="1"/>
  <c r="AB36" i="1"/>
  <c r="AB42" i="1"/>
  <c r="AB24" i="1"/>
  <c r="S11" i="1"/>
  <c r="AB10" i="1" l="1"/>
  <c r="Z11" i="1" s="1"/>
  <c r="AA11" i="1" l="1"/>
  <c r="AB11" i="1" l="1"/>
  <c r="Z12" i="1" s="1"/>
  <c r="AA12" i="1" s="1"/>
  <c r="AB12" i="1" l="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AD26" i="1" l="1"/>
  <c r="AD25" i="1"/>
  <c r="AC25" i="1" s="1"/>
  <c r="AD63" i="1"/>
  <c r="AD56" i="1"/>
  <c r="AD55" i="1"/>
  <c r="AD38" i="1"/>
  <c r="AD37" i="1"/>
  <c r="AC37" i="1" s="1"/>
  <c r="AD50" i="1"/>
  <c r="AD49" i="1"/>
  <c r="AC49" i="1" s="1"/>
  <c r="AD20" i="1"/>
  <c r="AD19" i="1"/>
  <c r="AC19" i="1" s="1"/>
  <c r="AD44" i="1"/>
  <c r="AD43" i="1"/>
  <c r="AC43" i="1" s="1"/>
  <c r="AD32" i="1"/>
  <c r="AD31" i="1"/>
  <c r="AC31" i="1" s="1"/>
  <c r="J40" i="19" l="1"/>
  <c r="V30" i="19"/>
  <c r="AH20" i="19"/>
  <c r="J30" i="19"/>
  <c r="V20" i="19"/>
  <c r="AH10" i="19"/>
  <c r="P10" i="19"/>
  <c r="AB50" i="19"/>
  <c r="J50" i="19"/>
  <c r="AB40" i="19"/>
  <c r="P30" i="19"/>
  <c r="V50" i="19"/>
  <c r="P50" i="19"/>
  <c r="AB10" i="19"/>
  <c r="AH30" i="19"/>
  <c r="AH40" i="19"/>
  <c r="J10" i="19"/>
  <c r="AB20" i="19"/>
  <c r="AH50" i="19"/>
  <c r="AE31" i="1"/>
  <c r="V10" i="19"/>
  <c r="P20" i="19"/>
  <c r="J20" i="19"/>
  <c r="P40" i="19"/>
  <c r="V40" i="19"/>
  <c r="AB30" i="19"/>
  <c r="J11" i="19"/>
  <c r="V11" i="19"/>
  <c r="AB21" i="19"/>
  <c r="P31" i="19"/>
  <c r="J31" i="19"/>
  <c r="AB41" i="19"/>
  <c r="AE37" i="1"/>
  <c r="AH41" i="19"/>
  <c r="P41" i="19"/>
  <c r="J21" i="19"/>
  <c r="AB31" i="19"/>
  <c r="AB51" i="19"/>
  <c r="P21" i="19"/>
  <c r="V41" i="19"/>
  <c r="V31" i="19"/>
  <c r="AH21" i="19"/>
  <c r="AB11" i="19"/>
  <c r="P51" i="19"/>
  <c r="V21" i="19"/>
  <c r="AH31" i="19"/>
  <c r="V51" i="19"/>
  <c r="J51" i="19"/>
  <c r="AH51" i="19"/>
  <c r="AH11" i="19"/>
  <c r="J41" i="19"/>
  <c r="P11" i="19"/>
  <c r="AC20" i="1"/>
  <c r="AD21" i="1"/>
  <c r="AE49"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5" i="1"/>
  <c r="AD62" i="1"/>
  <c r="AC62" i="1" s="1"/>
  <c r="AE25"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E19"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3" i="1"/>
  <c r="AD64" i="1"/>
  <c r="AD33" i="1"/>
  <c r="AC32" i="1"/>
  <c r="AC38" i="1"/>
  <c r="AD39" i="1"/>
  <c r="AC39" i="1" s="1"/>
  <c r="AD40" i="1"/>
  <c r="V32" i="19"/>
  <c r="P42" i="19"/>
  <c r="J12" i="19"/>
  <c r="J32" i="19"/>
  <c r="AB52" i="19"/>
  <c r="AE43" i="1"/>
  <c r="J22" i="19"/>
  <c r="V22" i="19"/>
  <c r="J52" i="19"/>
  <c r="AH12" i="19"/>
  <c r="J42" i="19"/>
  <c r="AH42" i="19"/>
  <c r="P32" i="19"/>
  <c r="AB12" i="19"/>
  <c r="AH32" i="19"/>
  <c r="AB32" i="19"/>
  <c r="AB42" i="19"/>
  <c r="V42" i="19"/>
  <c r="V12" i="19"/>
  <c r="V52" i="19"/>
  <c r="AB22" i="19"/>
  <c r="AH52" i="19"/>
  <c r="AH22" i="19"/>
  <c r="P22" i="19"/>
  <c r="P12" i="19"/>
  <c r="P52" i="19"/>
  <c r="AD45" i="1"/>
  <c r="AC45" i="1" s="1"/>
  <c r="AD46" i="1"/>
  <c r="AC46" i="1" s="1"/>
  <c r="AC44" i="1"/>
  <c r="AC50" i="1"/>
  <c r="AD51" i="1"/>
  <c r="AC56" i="1"/>
  <c r="AD57" i="1"/>
  <c r="AC26" i="1"/>
  <c r="AD27" i="1"/>
  <c r="AC64" i="1" l="1"/>
  <c r="AD65" i="1"/>
  <c r="K35" i="19"/>
  <c r="AC25" i="19"/>
  <c r="K45" i="19"/>
  <c r="AI45" i="19"/>
  <c r="W45" i="19"/>
  <c r="Q35" i="19"/>
  <c r="K55" i="19"/>
  <c r="AC15" i="19"/>
  <c r="Q15" i="19"/>
  <c r="AC35" i="19"/>
  <c r="AI35" i="19"/>
  <c r="Q55" i="19"/>
  <c r="AI25" i="19"/>
  <c r="AE62"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6"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E38" i="1"/>
  <c r="AD55" i="19"/>
  <c r="R15" i="19"/>
  <c r="AJ35" i="19"/>
  <c r="AE63"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5"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E45" i="1"/>
  <c r="AD12" i="19"/>
  <c r="AD32" i="19"/>
  <c r="AD22" i="19"/>
  <c r="X52" i="19"/>
  <c r="AD52" i="19"/>
  <c r="L42" i="19"/>
  <c r="R42" i="19"/>
  <c r="AJ21" i="19"/>
  <c r="AD31" i="19"/>
  <c r="R21" i="19"/>
  <c r="AD41" i="19"/>
  <c r="AJ11" i="19"/>
  <c r="AJ51" i="19"/>
  <c r="AE39" i="1"/>
  <c r="L41" i="19"/>
  <c r="AD11" i="19"/>
  <c r="L21" i="19"/>
  <c r="L11" i="19"/>
  <c r="X51" i="19"/>
  <c r="X21" i="19"/>
  <c r="R11" i="19"/>
  <c r="R31" i="19"/>
  <c r="AJ41" i="19"/>
  <c r="L31" i="19"/>
  <c r="R51" i="19"/>
  <c r="X31" i="19"/>
  <c r="X11" i="19"/>
  <c r="X41" i="19"/>
  <c r="AJ31" i="19"/>
  <c r="AD51" i="19"/>
  <c r="R41" i="19"/>
  <c r="AD21" i="19"/>
  <c r="L51" i="19"/>
  <c r="AC27" i="1"/>
  <c r="AD28" i="1"/>
  <c r="AC51" i="1"/>
  <c r="AD52" i="1"/>
  <c r="K42" i="19"/>
  <c r="AC32" i="19"/>
  <c r="W42" i="19"/>
  <c r="AI52" i="19"/>
  <c r="K22" i="19"/>
  <c r="Q32" i="19"/>
  <c r="AI12" i="19"/>
  <c r="AC52" i="19"/>
  <c r="Q42" i="19"/>
  <c r="AC42" i="19"/>
  <c r="K12" i="19"/>
  <c r="Q22" i="19"/>
  <c r="W52" i="19"/>
  <c r="AI42" i="19"/>
  <c r="W32" i="19"/>
  <c r="AI22" i="19"/>
  <c r="W12" i="19"/>
  <c r="AI32" i="19"/>
  <c r="AC12" i="19"/>
  <c r="Q12" i="19"/>
  <c r="Q52" i="19"/>
  <c r="AE44" i="1"/>
  <c r="K32" i="19"/>
  <c r="W22" i="19"/>
  <c r="K52" i="19"/>
  <c r="AC22" i="19"/>
  <c r="AC40" i="19"/>
  <c r="W10" i="19"/>
  <c r="AC50" i="19"/>
  <c r="Q10" i="19"/>
  <c r="Q30" i="19"/>
  <c r="W50" i="19"/>
  <c r="K40" i="19"/>
  <c r="Q50" i="19"/>
  <c r="W20" i="19"/>
  <c r="AE32" i="1"/>
  <c r="K10" i="19"/>
  <c r="Q40" i="19"/>
  <c r="K30" i="19"/>
  <c r="AI50" i="19"/>
  <c r="AI20" i="19"/>
  <c r="K50" i="19"/>
  <c r="AI40" i="19"/>
  <c r="W40" i="19"/>
  <c r="K20" i="19"/>
  <c r="AC10" i="19"/>
  <c r="AI10" i="19"/>
  <c r="AC20" i="19"/>
  <c r="AI30" i="19"/>
  <c r="AC30" i="19"/>
  <c r="W30" i="19"/>
  <c r="Q20" i="19"/>
  <c r="AD22" i="1"/>
  <c r="AC21" i="1"/>
  <c r="AC57" i="1"/>
  <c r="AD58" i="1"/>
  <c r="K39" i="19"/>
  <c r="AC39" i="19"/>
  <c r="W29" i="19"/>
  <c r="AI49" i="19"/>
  <c r="W9" i="19"/>
  <c r="AC19" i="19"/>
  <c r="Q49" i="19"/>
  <c r="W49" i="19"/>
  <c r="AC9" i="19"/>
  <c r="AI9" i="19"/>
  <c r="Q29" i="19"/>
  <c r="W39" i="19"/>
  <c r="Q39" i="19"/>
  <c r="AE26"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0" i="1"/>
  <c r="Q33" i="19"/>
  <c r="AI23" i="19"/>
  <c r="K53" i="19"/>
  <c r="AC23" i="19"/>
  <c r="AC13" i="19"/>
  <c r="W23" i="19"/>
  <c r="W33" i="19"/>
  <c r="Q13" i="19"/>
  <c r="W13" i="19"/>
  <c r="AI13" i="19"/>
  <c r="Q43" i="19"/>
  <c r="Q23" i="19"/>
  <c r="W53" i="19"/>
  <c r="M12" i="19"/>
  <c r="AK42" i="19"/>
  <c r="AE32" i="19"/>
  <c r="AE46" i="1"/>
  <c r="M52" i="19"/>
  <c r="S12" i="19"/>
  <c r="M32" i="19"/>
  <c r="S52" i="19"/>
  <c r="Y52" i="19"/>
  <c r="Y42" i="19"/>
  <c r="AK12" i="19"/>
  <c r="S22" i="19"/>
  <c r="AE12" i="19"/>
  <c r="Y22" i="19"/>
  <c r="S32" i="19"/>
  <c r="AK52" i="19"/>
  <c r="M22" i="19"/>
  <c r="AK32" i="19"/>
  <c r="AE22" i="19"/>
  <c r="AE42" i="19"/>
  <c r="Y32" i="19"/>
  <c r="M42" i="19"/>
  <c r="Y12" i="19"/>
  <c r="AE52" i="19"/>
  <c r="AK22" i="19"/>
  <c r="S42" i="19"/>
  <c r="AC40" i="1"/>
  <c r="AD42" i="1"/>
  <c r="AC42" i="1" s="1"/>
  <c r="AD41" i="1"/>
  <c r="AC41" i="1" s="1"/>
  <c r="AC33" i="1"/>
  <c r="AD3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E20" i="1"/>
  <c r="R40" i="19" l="1"/>
  <c r="AD10" i="19"/>
  <c r="X40" i="19"/>
  <c r="AJ10" i="19"/>
  <c r="R50" i="19"/>
  <c r="X10" i="19"/>
  <c r="R30" i="19"/>
  <c r="AE33" i="1"/>
  <c r="L10" i="19"/>
  <c r="L50" i="19"/>
  <c r="AJ20" i="19"/>
  <c r="AJ40" i="19"/>
  <c r="AD30" i="19"/>
  <c r="R20" i="19"/>
  <c r="AD50" i="19"/>
  <c r="AJ30" i="19"/>
  <c r="AJ50" i="19"/>
  <c r="X30" i="19"/>
  <c r="AD20" i="19"/>
  <c r="L40" i="19"/>
  <c r="X50" i="19"/>
  <c r="X20" i="19"/>
  <c r="AD40" i="19"/>
  <c r="R10" i="19"/>
  <c r="L30" i="19"/>
  <c r="L20" i="19"/>
  <c r="AC52" i="1"/>
  <c r="AD53" i="1"/>
  <c r="AC65" i="1"/>
  <c r="AD66" i="1"/>
  <c r="AC66"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D23" i="1"/>
  <c r="AC23" i="1" s="1"/>
  <c r="AC22" i="1"/>
  <c r="AD24" i="1"/>
  <c r="AC24" i="1" s="1"/>
  <c r="AJ43" i="19"/>
  <c r="AD33" i="19"/>
  <c r="X33" i="19"/>
  <c r="X13" i="19"/>
  <c r="AD43" i="19"/>
  <c r="L43" i="19"/>
  <c r="AE51" i="1"/>
  <c r="X23" i="19"/>
  <c r="R33" i="19"/>
  <c r="R43" i="19"/>
  <c r="AD53" i="19"/>
  <c r="AJ13" i="19"/>
  <c r="R23" i="19"/>
  <c r="R13" i="19"/>
  <c r="AJ53" i="19"/>
  <c r="L33" i="19"/>
  <c r="L23" i="19"/>
  <c r="X43" i="19"/>
  <c r="X53" i="19"/>
  <c r="AD13" i="19"/>
  <c r="L53" i="19"/>
  <c r="L13" i="19"/>
  <c r="AD23" i="19"/>
  <c r="AJ33" i="19"/>
  <c r="AJ23" i="19"/>
  <c r="R53" i="19"/>
  <c r="M55" i="19"/>
  <c r="AK15" i="19"/>
  <c r="AE25" i="19"/>
  <c r="AE64"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E21"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E41"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E42" i="1"/>
  <c r="AG11" i="19"/>
  <c r="AM41" i="19"/>
  <c r="AA21" i="19"/>
  <c r="AA51" i="19"/>
  <c r="U51" i="19"/>
  <c r="U31" i="19"/>
  <c r="AA11" i="19"/>
  <c r="AG21" i="19"/>
  <c r="O31" i="19"/>
  <c r="AC58" i="1"/>
  <c r="AD59" i="1"/>
  <c r="AC28" i="1"/>
  <c r="AD29" i="1"/>
  <c r="AC29" i="1" s="1"/>
  <c r="AD30" i="1"/>
  <c r="AC30" i="1" s="1"/>
  <c r="AC34" i="1"/>
  <c r="AD35" i="1"/>
  <c r="AE11" i="19"/>
  <c r="Y41" i="19"/>
  <c r="M41" i="19"/>
  <c r="Y21" i="19"/>
  <c r="AK41" i="19"/>
  <c r="S31" i="19"/>
  <c r="M31" i="19"/>
  <c r="M51" i="19"/>
  <c r="Y51" i="19"/>
  <c r="AK21" i="19"/>
  <c r="AK31" i="19"/>
  <c r="Y11" i="19"/>
  <c r="AE41" i="19"/>
  <c r="AE21" i="19"/>
  <c r="S51" i="19"/>
  <c r="AE51" i="19"/>
  <c r="AK51" i="19"/>
  <c r="M21" i="19"/>
  <c r="AE31" i="19"/>
  <c r="AE40" i="1"/>
  <c r="S41" i="19"/>
  <c r="AK11" i="19"/>
  <c r="S11" i="19"/>
  <c r="Y31" i="19"/>
  <c r="S21" i="19"/>
  <c r="M11" i="19"/>
  <c r="L54" i="19"/>
  <c r="AJ14" i="19"/>
  <c r="AD44" i="19"/>
  <c r="X54" i="19"/>
  <c r="R14" i="19"/>
  <c r="AD24" i="19"/>
  <c r="AD34" i="19"/>
  <c r="R54" i="19"/>
  <c r="L34" i="19"/>
  <c r="AJ34" i="19"/>
  <c r="X24" i="19"/>
  <c r="AJ24" i="19"/>
  <c r="X44" i="19"/>
  <c r="R24" i="19"/>
  <c r="AE57" i="1"/>
  <c r="X34" i="19"/>
  <c r="L14" i="19"/>
  <c r="AD14" i="19"/>
  <c r="L44" i="19"/>
  <c r="R44" i="19"/>
  <c r="AD54" i="19"/>
  <c r="X14" i="19"/>
  <c r="AJ44" i="19"/>
  <c r="R34" i="19"/>
  <c r="AJ54" i="19"/>
  <c r="L24" i="19"/>
  <c r="AD29" i="19"/>
  <c r="AD19" i="19"/>
  <c r="R39" i="19"/>
  <c r="R9" i="19"/>
  <c r="X49" i="19"/>
  <c r="X9" i="19"/>
  <c r="AD39" i="19"/>
  <c r="R29" i="19"/>
  <c r="L49" i="19"/>
  <c r="X19" i="19"/>
  <c r="X29" i="19"/>
  <c r="X39" i="19"/>
  <c r="L9" i="19"/>
  <c r="AE27" i="1"/>
  <c r="AD9" i="19"/>
  <c r="AJ49" i="19"/>
  <c r="L39" i="19"/>
  <c r="R19" i="19"/>
  <c r="AJ39" i="19"/>
  <c r="AJ29" i="19"/>
  <c r="AJ19" i="19"/>
  <c r="AJ9" i="19"/>
  <c r="AD49" i="19"/>
  <c r="L19" i="19"/>
  <c r="L29" i="19"/>
  <c r="R49" i="19"/>
  <c r="AC35" i="1" l="1"/>
  <c r="AD36" i="1"/>
  <c r="AC36" i="1" s="1"/>
  <c r="AG39" i="19"/>
  <c r="AG29" i="19"/>
  <c r="AM19" i="19"/>
  <c r="O39" i="19"/>
  <c r="AE30"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8"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2" i="1"/>
  <c r="AE28" i="19"/>
  <c r="AA55" i="19"/>
  <c r="O45" i="19"/>
  <c r="AA15" i="19"/>
  <c r="AM55" i="19"/>
  <c r="O55" i="19"/>
  <c r="AG35" i="19"/>
  <c r="AM25" i="19"/>
  <c r="AM35" i="19"/>
  <c r="AA25" i="19"/>
  <c r="AM45" i="19"/>
  <c r="AG25" i="19"/>
  <c r="AA35" i="19"/>
  <c r="O25" i="19"/>
  <c r="U25" i="19"/>
  <c r="AG45" i="19"/>
  <c r="U35" i="19"/>
  <c r="AA45" i="19"/>
  <c r="AM15" i="19"/>
  <c r="U45" i="19"/>
  <c r="O35" i="19"/>
  <c r="O15" i="19"/>
  <c r="AE66" i="1"/>
  <c r="AG15" i="19"/>
  <c r="U15" i="19"/>
  <c r="AG55" i="19"/>
  <c r="U55" i="19"/>
  <c r="AE40" i="19"/>
  <c r="Y30" i="19"/>
  <c r="M20" i="19"/>
  <c r="AE34"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E29" i="1"/>
  <c r="T19" i="19"/>
  <c r="AL49" i="19"/>
  <c r="T29" i="19"/>
  <c r="AF29" i="19"/>
  <c r="T18" i="19"/>
  <c r="N48" i="19"/>
  <c r="N8" i="19"/>
  <c r="T28" i="19"/>
  <c r="AF38" i="19"/>
  <c r="Z28" i="19"/>
  <c r="Z18" i="19"/>
  <c r="AF8" i="19"/>
  <c r="AE23"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5"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E28" i="1"/>
  <c r="M9" i="19"/>
  <c r="Y29" i="19"/>
  <c r="AC53" i="1"/>
  <c r="AD54" i="1"/>
  <c r="AC54"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9" i="1"/>
  <c r="AD60" i="1"/>
  <c r="AC60" i="1" s="1"/>
  <c r="O8" i="19"/>
  <c r="AA48" i="19"/>
  <c r="AM38" i="19"/>
  <c r="U48" i="19"/>
  <c r="AA18" i="19"/>
  <c r="AG18" i="19"/>
  <c r="AG48" i="19"/>
  <c r="AM18" i="19"/>
  <c r="AA28" i="19"/>
  <c r="AG28" i="19"/>
  <c r="AA8" i="19"/>
  <c r="U18" i="19"/>
  <c r="AG38" i="19"/>
  <c r="U38" i="19"/>
  <c r="AM8" i="19"/>
  <c r="AA38" i="19"/>
  <c r="AM48" i="19"/>
  <c r="U28" i="19"/>
  <c r="O38" i="19"/>
  <c r="U8" i="19"/>
  <c r="AG8" i="19"/>
  <c r="AE24"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2"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60" i="1"/>
  <c r="AA14" i="19"/>
  <c r="O54" i="19"/>
  <c r="U44" i="19"/>
  <c r="U43" i="19"/>
  <c r="U13" i="19"/>
  <c r="AM53" i="19"/>
  <c r="AA53" i="19"/>
  <c r="AA43" i="19"/>
  <c r="O53" i="19"/>
  <c r="O23" i="19"/>
  <c r="O13" i="19"/>
  <c r="AG43" i="19"/>
  <c r="U33" i="19"/>
  <c r="U23" i="19"/>
  <c r="AM13" i="19"/>
  <c r="AM23" i="19"/>
  <c r="AG13" i="19"/>
  <c r="AA23" i="19"/>
  <c r="AG33" i="19"/>
  <c r="AA33" i="19"/>
  <c r="AM33" i="19"/>
  <c r="AA13" i="19"/>
  <c r="AE54"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9" i="1"/>
  <c r="AF53" i="19"/>
  <c r="T43" i="19"/>
  <c r="Z53" i="19"/>
  <c r="N43" i="19"/>
  <c r="T23" i="19"/>
  <c r="AF43" i="19"/>
  <c r="Z13" i="19"/>
  <c r="Z43" i="19"/>
  <c r="AF23" i="19"/>
  <c r="AL13" i="19"/>
  <c r="Z23" i="19"/>
  <c r="AL43" i="19"/>
  <c r="AF13" i="19"/>
  <c r="AL23" i="19"/>
  <c r="N13" i="19"/>
  <c r="T33" i="19"/>
  <c r="AL53" i="19"/>
  <c r="N23" i="19"/>
  <c r="N53" i="19"/>
  <c r="AF33" i="19"/>
  <c r="N33" i="19"/>
  <c r="AE53"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E36"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E35"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55" i="1" l="1"/>
  <c r="N55" i="1" s="1"/>
  <c r="M61" i="1"/>
  <c r="N61" i="1" s="1"/>
  <c r="M37" i="1"/>
  <c r="N37" i="1" s="1"/>
  <c r="M31" i="1"/>
  <c r="N31" i="1" s="1"/>
  <c r="M43" i="1"/>
  <c r="N43" i="1" s="1"/>
  <c r="M25" i="1"/>
  <c r="N25" i="1" s="1"/>
  <c r="M49" i="1"/>
  <c r="N49" i="1" s="1"/>
  <c r="M10" i="1"/>
  <c r="N10" i="1" s="1"/>
  <c r="M19" i="1"/>
  <c r="N19" i="1" s="1"/>
  <c r="AB36" i="18" l="1"/>
  <c r="J12" i="18"/>
  <c r="AH36" i="18"/>
  <c r="J36" i="18"/>
  <c r="J44" i="18"/>
  <c r="O61" i="1"/>
  <c r="AD61" i="1" s="1"/>
  <c r="AC61" i="1" s="1"/>
  <c r="AB20" i="18"/>
  <c r="J28" i="18"/>
  <c r="P20" i="18"/>
  <c r="P61" i="1"/>
  <c r="AH12" i="18"/>
  <c r="AB28" i="18"/>
  <c r="AH28" i="18"/>
  <c r="V36" i="18"/>
  <c r="V20" i="18"/>
  <c r="V12" i="18"/>
  <c r="V28" i="18"/>
  <c r="AH44" i="18"/>
  <c r="J20" i="18"/>
  <c r="P36" i="18"/>
  <c r="AB44" i="18"/>
  <c r="V44" i="18"/>
  <c r="AH20" i="18"/>
  <c r="P44" i="18"/>
  <c r="AB12" i="18"/>
  <c r="P28" i="18"/>
  <c r="P12" i="18"/>
  <c r="Z40" i="18"/>
  <c r="AL8" i="18"/>
  <c r="AF8" i="18"/>
  <c r="N16" i="18"/>
  <c r="Z16" i="18"/>
  <c r="AL24" i="18"/>
  <c r="AF24" i="18"/>
  <c r="AF32" i="18"/>
  <c r="T40" i="18"/>
  <c r="P37" i="1"/>
  <c r="Z32" i="18"/>
  <c r="Z8" i="18"/>
  <c r="N8" i="18"/>
  <c r="O37" i="1"/>
  <c r="N32" i="18"/>
  <c r="AL40" i="18"/>
  <c r="T8" i="18"/>
  <c r="AF16" i="18"/>
  <c r="T24" i="18"/>
  <c r="AL32" i="18"/>
  <c r="N40" i="18"/>
  <c r="Z24" i="18"/>
  <c r="AL16" i="18"/>
  <c r="N24" i="18"/>
  <c r="T32" i="18"/>
  <c r="T16" i="18"/>
  <c r="AF40" i="18"/>
  <c r="T34" i="18"/>
  <c r="T42" i="18"/>
  <c r="Z34" i="18"/>
  <c r="AL26" i="18"/>
  <c r="AF34" i="18"/>
  <c r="N34" i="18"/>
  <c r="O55" i="1"/>
  <c r="AF10" i="18"/>
  <c r="Z42" i="18"/>
  <c r="T10" i="18"/>
  <c r="P55" i="1"/>
  <c r="AL42" i="18"/>
  <c r="T18" i="18"/>
  <c r="AF18" i="18"/>
  <c r="Z26" i="18"/>
  <c r="AL34" i="18"/>
  <c r="Z18" i="18"/>
  <c r="AF42" i="18"/>
  <c r="N26" i="18"/>
  <c r="AL18" i="18"/>
  <c r="N10" i="18"/>
  <c r="AL10" i="18"/>
  <c r="AF26" i="18"/>
  <c r="Z10" i="18"/>
  <c r="N18" i="18"/>
  <c r="T26" i="18"/>
  <c r="N42" i="18"/>
  <c r="AJ8" i="18"/>
  <c r="AJ24" i="18"/>
  <c r="AD16" i="18"/>
  <c r="L16" i="18"/>
  <c r="AD32" i="18"/>
  <c r="AD24" i="18"/>
  <c r="L24" i="18"/>
  <c r="X24" i="18"/>
  <c r="R8" i="18"/>
  <c r="X32" i="18"/>
  <c r="AJ40" i="18"/>
  <c r="R16" i="18"/>
  <c r="AD40" i="18"/>
  <c r="L8" i="18"/>
  <c r="O31" i="1"/>
  <c r="R40" i="18"/>
  <c r="L40" i="18"/>
  <c r="X16" i="18"/>
  <c r="AJ16" i="18"/>
  <c r="P31" i="1"/>
  <c r="L32" i="18"/>
  <c r="X8" i="18"/>
  <c r="R32" i="18"/>
  <c r="R24" i="18"/>
  <c r="AJ32" i="18"/>
  <c r="AD8" i="18"/>
  <c r="X40" i="18"/>
  <c r="AH34" i="18"/>
  <c r="P10" i="18"/>
  <c r="V34" i="18"/>
  <c r="P42" i="18"/>
  <c r="AH18" i="18"/>
  <c r="AH42" i="18"/>
  <c r="AH26" i="18"/>
  <c r="O43" i="1"/>
  <c r="J42" i="18"/>
  <c r="P34" i="18"/>
  <c r="AB18" i="18"/>
  <c r="J10" i="18"/>
  <c r="V42" i="18"/>
  <c r="P26" i="18"/>
  <c r="V10" i="18"/>
  <c r="J34" i="18"/>
  <c r="V18" i="18"/>
  <c r="AB34" i="18"/>
  <c r="AB42" i="18"/>
  <c r="AB26" i="18"/>
  <c r="V26" i="18"/>
  <c r="J26" i="18"/>
  <c r="AH10" i="18"/>
  <c r="P18" i="18"/>
  <c r="AB10" i="18"/>
  <c r="J18" i="18"/>
  <c r="P43" i="1"/>
  <c r="P19" i="1"/>
  <c r="Z30" i="18"/>
  <c r="N30" i="18"/>
  <c r="AL14" i="18"/>
  <c r="Z6" i="18"/>
  <c r="O19" i="1"/>
  <c r="AF14" i="18"/>
  <c r="T22" i="18"/>
  <c r="AL38" i="18"/>
  <c r="AL6" i="18"/>
  <c r="Z14" i="18"/>
  <c r="Z38" i="18"/>
  <c r="T38" i="18"/>
  <c r="T14" i="18"/>
  <c r="AF30" i="18"/>
  <c r="Z22" i="18"/>
  <c r="T30" i="18"/>
  <c r="N14" i="18"/>
  <c r="N38" i="18"/>
  <c r="AL30" i="18"/>
  <c r="AL22" i="18"/>
  <c r="T6" i="18"/>
  <c r="AF22" i="18"/>
  <c r="N6" i="18"/>
  <c r="AF6" i="18"/>
  <c r="AF38" i="18"/>
  <c r="N22" i="18"/>
  <c r="O25" i="1"/>
  <c r="AB16" i="18"/>
  <c r="V40" i="18"/>
  <c r="AH40" i="18"/>
  <c r="P24" i="18"/>
  <c r="AH32" i="18"/>
  <c r="AH16" i="18"/>
  <c r="V16" i="18"/>
  <c r="P25" i="1"/>
  <c r="V24" i="18"/>
  <c r="J40" i="18"/>
  <c r="AB24" i="18"/>
  <c r="J24" i="18"/>
  <c r="J32" i="18"/>
  <c r="P8" i="18"/>
  <c r="J16" i="18"/>
  <c r="J8" i="18"/>
  <c r="AB32" i="18"/>
  <c r="AB8" i="18"/>
  <c r="AB40" i="18"/>
  <c r="V8" i="18"/>
  <c r="AH24" i="18"/>
  <c r="AH8" i="18"/>
  <c r="P16" i="18"/>
  <c r="P40" i="18"/>
  <c r="V32" i="18"/>
  <c r="P32" i="18"/>
  <c r="AH14" i="18"/>
  <c r="AH38" i="18"/>
  <c r="J14" i="18"/>
  <c r="V30" i="18"/>
  <c r="P14" i="18"/>
  <c r="V22" i="18"/>
  <c r="V14" i="18"/>
  <c r="P38" i="18"/>
  <c r="AB6" i="18"/>
  <c r="AH30" i="18"/>
  <c r="J22" i="18"/>
  <c r="V38" i="18"/>
  <c r="P10" i="1"/>
  <c r="J30" i="18"/>
  <c r="AB38" i="18"/>
  <c r="P22" i="18"/>
  <c r="AB30" i="18"/>
  <c r="O10" i="1"/>
  <c r="AD10" i="1" s="1"/>
  <c r="AB22" i="18"/>
  <c r="AB14" i="18"/>
  <c r="J6" i="18"/>
  <c r="P30" i="18"/>
  <c r="AH22" i="18"/>
  <c r="P6" i="18"/>
  <c r="J38" i="18"/>
  <c r="AH6" i="18"/>
  <c r="V6" i="18"/>
  <c r="X10" i="18"/>
  <c r="AD18" i="18"/>
  <c r="L10" i="18"/>
  <c r="AJ26" i="18"/>
  <c r="X34" i="18"/>
  <c r="AD26" i="18"/>
  <c r="L42" i="18"/>
  <c r="X18" i="18"/>
  <c r="AD34" i="18"/>
  <c r="R42" i="18"/>
  <c r="X26" i="18"/>
  <c r="AJ18" i="18"/>
  <c r="P49" i="1"/>
  <c r="L26" i="18"/>
  <c r="AD10" i="18"/>
  <c r="R34" i="18"/>
  <c r="L34" i="18"/>
  <c r="AJ42" i="18"/>
  <c r="R10" i="18"/>
  <c r="AJ34" i="18"/>
  <c r="R26" i="18"/>
  <c r="O49" i="1"/>
  <c r="L18" i="18"/>
  <c r="X42" i="18"/>
  <c r="R18" i="18"/>
  <c r="AJ10" i="18"/>
  <c r="AD42" i="18"/>
  <c r="J17" i="19" l="1"/>
  <c r="P27" i="19"/>
  <c r="V37" i="19"/>
  <c r="AH17" i="19"/>
  <c r="AB27" i="19"/>
  <c r="AH37" i="19"/>
  <c r="J7" i="19"/>
  <c r="J37" i="19"/>
  <c r="P47" i="19"/>
  <c r="V7" i="19"/>
  <c r="AB17" i="19"/>
  <c r="P17" i="19"/>
  <c r="V47" i="19"/>
  <c r="AH7" i="19"/>
  <c r="J27" i="19"/>
  <c r="P37" i="19"/>
  <c r="P7" i="19"/>
  <c r="AB7" i="19"/>
  <c r="V27" i="19"/>
  <c r="AB37" i="19"/>
  <c r="AH47" i="19"/>
  <c r="AB47" i="19"/>
  <c r="J47" i="19"/>
  <c r="V17" i="19"/>
  <c r="AH27" i="19"/>
  <c r="AD11" i="1"/>
  <c r="AC10" i="1"/>
  <c r="AH35" i="19"/>
  <c r="V55" i="19"/>
  <c r="P55" i="19"/>
  <c r="J45" i="19"/>
  <c r="P25" i="19"/>
  <c r="P35" i="19"/>
  <c r="AH25" i="19"/>
  <c r="AB55" i="19"/>
  <c r="AE61" i="1"/>
  <c r="AB25" i="19"/>
  <c r="AH55" i="19"/>
  <c r="AH15" i="19"/>
  <c r="V35" i="19"/>
  <c r="J55" i="19"/>
  <c r="AB15" i="19"/>
  <c r="V25" i="19"/>
  <c r="J15" i="19"/>
  <c r="AH45" i="19"/>
  <c r="J25" i="19"/>
  <c r="AB35" i="19"/>
  <c r="P15" i="19"/>
  <c r="V45" i="19"/>
  <c r="AB45" i="19"/>
  <c r="P45" i="19"/>
  <c r="V15" i="19"/>
  <c r="J35" i="19"/>
  <c r="AC11" i="1" l="1"/>
  <c r="AD12" i="1"/>
  <c r="AC12" i="1" s="1"/>
  <c r="AH16" i="19"/>
  <c r="J26" i="19"/>
  <c r="V6" i="19"/>
  <c r="J46" i="19"/>
  <c r="AB36" i="19"/>
  <c r="AB6" i="19"/>
  <c r="P36" i="19"/>
  <c r="J36" i="19"/>
  <c r="V46" i="19"/>
  <c r="AH46" i="19"/>
  <c r="AB46" i="19"/>
  <c r="V16" i="19"/>
  <c r="V36" i="19"/>
  <c r="AE10" i="1"/>
  <c r="AH6" i="19"/>
  <c r="V26" i="19"/>
  <c r="AH36" i="19"/>
  <c r="P26" i="19"/>
  <c r="P16" i="19"/>
  <c r="AB16" i="19"/>
  <c r="AH26" i="19"/>
  <c r="J16" i="19"/>
  <c r="P6" i="19"/>
  <c r="J6" i="19"/>
  <c r="P46" i="19"/>
  <c r="AB26" i="19"/>
  <c r="K47" i="19"/>
  <c r="AC17" i="19"/>
  <c r="K17" i="19"/>
  <c r="K7" i="19"/>
  <c r="AI17" i="19"/>
  <c r="K27" i="19"/>
  <c r="W7" i="19"/>
  <c r="AI37" i="19"/>
  <c r="Q7" i="19"/>
  <c r="W37" i="19"/>
  <c r="Q47" i="19"/>
  <c r="AC37" i="19"/>
  <c r="AI27" i="19"/>
  <c r="W27" i="19"/>
  <c r="AC47" i="19"/>
  <c r="Q37" i="19"/>
  <c r="AI47" i="19"/>
  <c r="W17" i="19"/>
  <c r="AC27" i="19"/>
  <c r="W47" i="19"/>
  <c r="AI7" i="19"/>
  <c r="Q27" i="19"/>
  <c r="AC7" i="19"/>
  <c r="Q17" i="19"/>
  <c r="K37" i="19"/>
  <c r="L36" i="19" l="1"/>
  <c r="AJ6" i="19"/>
  <c r="X26" i="19"/>
  <c r="AD46" i="19"/>
  <c r="R6" i="19"/>
  <c r="X46" i="19"/>
  <c r="AJ16" i="19"/>
  <c r="AJ26" i="19"/>
  <c r="AJ46" i="19"/>
  <c r="X36" i="19"/>
  <c r="AE12" i="1"/>
  <c r="R16" i="19"/>
  <c r="R26" i="19"/>
  <c r="R36" i="19"/>
  <c r="AD16" i="19"/>
  <c r="L26" i="19"/>
  <c r="AJ36" i="19"/>
  <c r="X6" i="19"/>
  <c r="L16" i="19"/>
  <c r="L6" i="19"/>
  <c r="AD6" i="19"/>
  <c r="R46" i="19"/>
  <c r="L46" i="19"/>
  <c r="AD26" i="19"/>
  <c r="AD36" i="19"/>
  <c r="X16" i="19"/>
  <c r="AI36" i="19"/>
  <c r="AI26" i="19"/>
  <c r="AC6" i="19"/>
  <c r="Q36" i="19"/>
  <c r="AC46" i="19"/>
  <c r="W36" i="19"/>
  <c r="K16" i="19"/>
  <c r="W26" i="19"/>
  <c r="K26" i="19"/>
  <c r="W46" i="19"/>
  <c r="AI6" i="19"/>
  <c r="AI16" i="19"/>
  <c r="W6" i="19"/>
  <c r="AI46" i="19"/>
  <c r="AE11" i="1"/>
  <c r="Q6" i="19"/>
  <c r="K6" i="19"/>
  <c r="Q16" i="19"/>
  <c r="AC36" i="19"/>
  <c r="W16" i="19"/>
  <c r="K36" i="19"/>
  <c r="Q26" i="19"/>
  <c r="Q46" i="19"/>
  <c r="AC26" i="19"/>
  <c r="AC16" i="19"/>
  <c r="K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<sst xmlns="http://schemas.openxmlformats.org/spreadsheetml/2006/main" count="344" uniqueCount="229">
  <si>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</si>
  <si>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</si>
  <si>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</si>
  <si>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</si>
  <si>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</si>
  <si>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</si>
  <si>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</si>
  <si>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</si>
  <si>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</si>
  <si>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</si>
  <si>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</si>
  <si>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</si>
  <si>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</si>
  <si>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</si>
  <si>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</si>
  <si>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</si>
  <si>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</si>
  <si>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</si>
  <si>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</si>
  <si>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</si>
  <si>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</si>
  <si>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</si>
  <si>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</si>
  <si>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</si>
  <si>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</si>
  <si>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</si>
  <si>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</si>
  <si>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</si>
  <si>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</si>
  <si>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</si>
  <si>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</si>
  <si>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</si>
  <si>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</si>
  <si>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</si>
  <si>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</si>
  <si>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</si>
  <si>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</si>
  <si>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</si>
  <si>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</si>
  <si>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</si>
  <si>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</si>
  <si>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</si>
  <si>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</si>
  <si>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</si>
  <si>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</si>
  <si>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</si>
  <si>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</si>
  <si>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</si>
  <si>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</si>
  <si>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</si>
  <si>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</si>
  <si>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</si>
  <si>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</si>
  <si>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</si>
  <si>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</si>
  <si>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</si>
  <si>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</si>
  <si>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</si>
  <si>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</si>
  <si>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</si>
  <si>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</si>
  <si>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</si>
  <si>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</si>
  <si>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</si>
  <si>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</si>
  <si>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</si>
  <si>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</si>
  <si>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</si>
  <si>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</si>
  <si>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</si>
  <si>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</si>
  <si>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</si>
  <si>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</si>
  <si>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</si>
  <si>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</si>
  <si>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</si>
  <si>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</si>
  <si>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</si>
  <si>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</si>
  <si>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</si>
  <si>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</si>
  <si>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</si>
  <si>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</si>
  <si>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</si>
  <si>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</si>
  <si>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</si>
  <si>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</si>
  <si>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</si>
  <si>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</si>
  <si>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</si>
  <si>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</si>
  <si>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</si>
  <si>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</si>
  <si>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</si>
  <si>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</si>
  <si>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</si>
  <si>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</si>
  <si>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</si>
  <si>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</si>
  <si>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</si>
  <si>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</si>
  <si>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</si>
  <si>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</si>
  <si>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</si>
  <si>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</si>
  <si>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</si>
  <si>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</si>
  <si>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</si>
  <si>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</si>
  <si>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</si>
  <si>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</si>
  <si>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</si>
  <si>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</si>
  <si>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</si>
  <si>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</si>
  <si>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</si>
  <si>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</si>
  <si>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</si>
  <si>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</si>
  <si>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</si>
  <si>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</si>
  <si>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</si>
  <si>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</si>
  <si>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</si>
  <si>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</si>
  <si>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</si>
  <si>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</si>
  <si>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</si>
  <si>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</si>
  <si>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</si>
  <si>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</si>
  <si>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</si>
  <si>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</si>
  <si>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</si>
  <si>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</si>
  <si>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</si>
  <si>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</si>
  <si>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</si>
  <si>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</si>
  <si>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</si>
  <si>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</si>
  <si>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</si>
  <si>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</si>
  <si>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</si>
  <si>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</si>
  <si>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</si>
  <si>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</si>
  <si>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</si>
  <si>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</si>
  <si>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</si>
  <si>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</si>
  <si>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</si>
  <si>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</si>
  <si>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</si>
  <si>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</si>
  <si>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</si>
  <si>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</si>
  <si>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</si>
  <si>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</si>
  <si>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</si>
  <si>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</si>
  <si>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</si>
  <si>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</si>
  <si>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</si>
  <si>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</si>
  <si>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</si>
  <si>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</si>
  <si>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</si>
  <si>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</si>
  <si>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</si>
  <si>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</si>
  <si>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</si>
  <si>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</si>
  <si>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</si>
  <si>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</si>
  <si>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</si>
  <si>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</si>
  <si>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</si>
  <si>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</si>
  <si>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</si>
  <si>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</si>
  <si>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</si>
  <si>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</si>
  <si>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</si>
  <si>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</si>
  <si>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</si>
  <si>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</si>
  <si>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</si>
  <si>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</si>
  <si>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</si>
  <si>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</si>
  <si>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</si>
  <si>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</si>
  <si>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</si>
  <si>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</si>
  <si>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</si>
  <si>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</si>
  <si>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</si>
  <si>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</si>
  <si>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</si>
  <si>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</si>
  <si>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</si>
  <si>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</si>
  <si>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</si>
  <si>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</si>
  <si>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</si>
  <si>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</si>
  <si>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</si>
  <si>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</si>
  <si>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</si>
  <si>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</si>
  <si>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</si>
  <si>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</si>
  <si>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</si>
  <si>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por castigos prespuestales y perdida de legitimidad ante la comunidad y partes interesadas</t>
  </si>
  <si>
    <t>Deficiencias en la planeación del proceso</t>
  </si>
  <si>
    <t>Subcausas</t>
  </si>
  <si>
    <t>Actividad  Riesgos</t>
  </si>
  <si>
    <t>Dificultad en la comunicación interna de los actores del proceso</t>
  </si>
  <si>
    <t>El secretario y los directores en comites técnicos verifican y validan  los lineamientos para el desarrollo y ejeución de las actividades del proceso, dejando como evidencia las actas</t>
  </si>
  <si>
    <t>Planeación y seguimiento a las actividades de monitoreo presentadas a planeación, 6 veces al año.</t>
  </si>
  <si>
    <t>mesas de trabajo para la actualizacion de conocimiento del talento humano de manera semestral</t>
  </si>
  <si>
    <t xml:space="preserve">El secretario, directores y referentes se reunen de forma bimestral con el fin de validar la planeación y el seguimiento del Monitoreo de las actividades presentadas a planeación, quedando como evidencia las Actas de Auto Control de las visitas realizadas a cada dependencia. </t>
  </si>
  <si>
    <t>Seguimiento a las actividades del proceso a través de los Comites Técnicos de cada depencia de la Secretaria de Gobierno.</t>
  </si>
  <si>
    <t>El secretario, los directores y referentes concertan mesas de trabajo para actualizar aspectos relacionados con la normatividad y otros aspectos especificos del proceso al Talento Humano, 1 vez por semestre,  quedando como evidencia el Acta de Reunión.</t>
  </si>
  <si>
    <t xml:space="preserve">Actividades encaminadas a realizar el analisis de la materialización </t>
  </si>
  <si>
    <t>incumplimiento de las metas del Plan de Desarrollo por las deficiencias en la formulación, implementación y seguimiento a las políticas, planes y proyectos de participación ciudadana y convicencia pacífica, protección del consumidor y protección animal.</t>
  </si>
  <si>
    <t>Posiblidad de afectación economica y reputacional  por castigos presupuestales y pérdida de legitimidad ante la comunidad y partes interesadas, debido al incumplimiento de las metas del Plan de Desarrollo por las deficiencias en la formulación, implementación y seguimiento a las políticas, planes y proyectos de particiapación ciudadana, seguridad y convicencia pacífica, protección del consumidor y protección animal.</t>
  </si>
  <si>
    <t xml:space="preserve">Deficiencia en la actualización al Talento Humano de conocimientos de los procesos de cada Dirección.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</si>
</sst>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dashed">
        <color theme="9" tint="-0.24994659260841701"/>
      </right>
      <top/>
      <bottom/>
      <diagonal/>
    </border>
    <border>
      <left style="dashed">
        <color theme="9" tint="-0.24994659260841701"/>
      </left>
      <right style="thin">
        <color indexed="64"/>
      </right>
      <top style="dashed">
        <color theme="9" tint="-0.24994659260841701"/>
      </top>
      <bottom/>
      <diagonal/>
    </border>
    <border>
      <left style="thin">
        <color indexed="64"/>
      </left>
      <right style="dashed">
        <color theme="9" tint="-0.24994659260841701"/>
      </right>
      <top style="dashed">
        <color theme="9" tint="-0.24994659260841701"/>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1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Fill="1" applyAlignment="1">
      <alignment vertical="center"/>
    </xf>
    <xf numFmtId="0" fontId="30" fillId="0" borderId="0" xfId="0" applyFont="1" applyFill="1"/>
    <xf numFmtId="0" fontId="28" fillId="0" borderId="0" xfId="0" applyFont="1"/>
    <xf numFmtId="0" fontId="0" fillId="0" borderId="0" xfId="0" pivotButton="1"/>
    <xf numFmtId="0" fontId="13" fillId="0" borderId="0" xfId="0" applyFont="1" applyBorder="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applyProtection="1"/>
    <xf numFmtId="0" fontId="50" fillId="3" borderId="52" xfId="2" applyFont="1" applyFill="1" applyBorder="1" applyProtection="1"/>
    <xf numFmtId="0" fontId="50" fillId="3" borderId="53" xfId="2" applyFont="1" applyFill="1" applyBorder="1" applyProtection="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Border="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applyProtection="1"/>
    <xf numFmtId="0" fontId="55" fillId="3" borderId="0" xfId="0" applyFont="1" applyFill="1" applyBorder="1" applyAlignment="1" applyProtection="1">
      <alignment horizontal="left" vertical="center" wrapText="1"/>
    </xf>
    <xf numFmtId="0" fontId="56" fillId="3" borderId="0" xfId="0" applyFont="1" applyFill="1" applyBorder="1" applyAlignment="1" applyProtection="1">
      <alignment horizontal="left" vertical="top" wrapText="1"/>
    </xf>
    <xf numFmtId="0" fontId="50" fillId="3" borderId="0" xfId="2" applyFont="1" applyFill="1" applyBorder="1" applyProtection="1"/>
    <xf numFmtId="0" fontId="50" fillId="3" borderId="15" xfId="2" applyFont="1" applyFill="1" applyBorder="1" applyProtection="1"/>
    <xf numFmtId="0" fontId="50" fillId="3" borderId="16" xfId="2" applyFont="1" applyFill="1" applyBorder="1" applyProtection="1"/>
    <xf numFmtId="0" fontId="50" fillId="3" borderId="18" xfId="2" applyFont="1" applyFill="1" applyBorder="1" applyProtection="1"/>
    <xf numFmtId="0" fontId="50" fillId="3" borderId="17" xfId="2" applyFont="1" applyFill="1" applyBorder="1" applyProtection="1"/>
    <xf numFmtId="0" fontId="54" fillId="3" borderId="0" xfId="2" applyFont="1" applyFill="1" applyBorder="1" applyAlignment="1" applyProtection="1">
      <alignment horizontal="left" vertical="center" wrapText="1"/>
    </xf>
    <xf numFmtId="0" fontId="50" fillId="3" borderId="0" xfId="2" applyFont="1" applyFill="1" applyBorder="1" applyAlignment="1" applyProtection="1">
      <alignment horizontal="left" vertical="center" wrapText="1"/>
    </xf>
    <xf numFmtId="0" fontId="50" fillId="3" borderId="0" xfId="2" quotePrefix="1" applyFont="1" applyFill="1" applyBorder="1" applyAlignment="1" applyProtection="1">
      <alignment horizontal="left" vertical="center" wrapText="1"/>
    </xf>
    <xf numFmtId="0" fontId="50" fillId="3" borderId="15" xfId="2" applyFont="1" applyFill="1" applyBorder="1" applyAlignment="1" applyProtection="1"/>
    <xf numFmtId="0" fontId="52" fillId="3" borderId="14" xfId="2" quotePrefix="1" applyFont="1" applyFill="1" applyBorder="1" applyAlignment="1" applyProtection="1">
      <alignment horizontal="left" vertical="top" wrapText="1"/>
    </xf>
    <xf numFmtId="0" fontId="53" fillId="3" borderId="0" xfId="2" quotePrefix="1" applyFont="1" applyFill="1" applyBorder="1" applyAlignment="1" applyProtection="1">
      <alignment horizontal="left" vertical="top" wrapText="1"/>
    </xf>
    <xf numFmtId="0" fontId="53"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8" xfId="0" applyFont="1" applyBorder="1" applyAlignment="1" applyProtection="1">
      <alignment horizontal="left" vertical="top" wrapText="1"/>
      <protection locked="0"/>
    </xf>
    <xf numFmtId="0" fontId="4" fillId="0" borderId="4" xfId="0" applyFont="1" applyFill="1" applyBorder="1" applyAlignment="1" applyProtection="1">
      <alignment vertical="top" wrapText="1"/>
      <protection hidden="1"/>
    </xf>
    <xf numFmtId="9" fontId="1" fillId="0" borderId="4" xfId="0" applyNumberFormat="1" applyFont="1" applyBorder="1" applyAlignment="1" applyProtection="1">
      <alignment vertical="top" wrapText="1"/>
      <protection hidden="1"/>
    </xf>
    <xf numFmtId="0" fontId="1" fillId="0" borderId="9" xfId="0" applyFont="1" applyBorder="1" applyAlignment="1" applyProtection="1">
      <alignment vertical="top" wrapText="1"/>
      <protection locked="0"/>
    </xf>
    <xf numFmtId="0" fontId="1" fillId="0" borderId="75" xfId="0" applyFont="1" applyBorder="1" applyAlignment="1" applyProtection="1">
      <alignment horizontal="center" vertical="top" wrapText="1"/>
      <protection locked="0"/>
    </xf>
    <xf numFmtId="9" fontId="1" fillId="0" borderId="33" xfId="0" applyNumberFormat="1" applyFont="1" applyBorder="1" applyAlignment="1" applyProtection="1">
      <alignment vertical="top" wrapText="1"/>
      <protection hidden="1"/>
    </xf>
    <xf numFmtId="0" fontId="4" fillId="0" borderId="76" xfId="0" applyFont="1" applyFill="1" applyBorder="1" applyAlignment="1" applyProtection="1">
      <alignment vertical="top" wrapText="1"/>
      <protection hidden="1"/>
    </xf>
    <xf numFmtId="0" fontId="4" fillId="0" borderId="77" xfId="0" applyFont="1" applyBorder="1" applyAlignment="1" applyProtection="1">
      <alignment vertical="top"/>
      <protection hidden="1"/>
    </xf>
    <xf numFmtId="9" fontId="1" fillId="0" borderId="4" xfId="0" applyNumberFormat="1" applyFont="1" applyBorder="1" applyAlignment="1" applyProtection="1">
      <alignment vertical="top" wrapText="1"/>
      <protection locked="0"/>
    </xf>
    <xf numFmtId="9" fontId="1" fillId="0" borderId="8" xfId="0" applyNumberFormat="1" applyFont="1" applyBorder="1" applyAlignment="1" applyProtection="1">
      <alignment vertical="top" wrapText="1"/>
      <protection locked="0"/>
    </xf>
    <xf numFmtId="9" fontId="1" fillId="0" borderId="5" xfId="0" applyNumberFormat="1" applyFont="1" applyBorder="1" applyAlignment="1" applyProtection="1">
      <alignment vertical="top" wrapText="1"/>
      <protection locked="0"/>
    </xf>
    <xf numFmtId="0" fontId="1" fillId="0" borderId="4" xfId="0" applyFont="1" applyBorder="1" applyAlignment="1" applyProtection="1">
      <alignment horizontal="center" vertical="top" wrapText="1"/>
      <protection locked="0"/>
    </xf>
    <xf numFmtId="0" fontId="56" fillId="3" borderId="64" xfId="2" applyFont="1" applyFill="1" applyBorder="1" applyAlignment="1" applyProtection="1">
      <alignment horizontal="justify" vertical="center" wrapText="1"/>
    </xf>
    <xf numFmtId="0" fontId="56" fillId="3" borderId="65" xfId="2" applyFont="1" applyFill="1" applyBorder="1" applyAlignment="1" applyProtection="1">
      <alignment horizontal="justify" vertical="center" wrapText="1"/>
    </xf>
    <xf numFmtId="0" fontId="55" fillId="3" borderId="71" xfId="0" applyFont="1" applyFill="1" applyBorder="1" applyAlignment="1" applyProtection="1">
      <alignment horizontal="left" vertical="center" wrapText="1"/>
    </xf>
    <xf numFmtId="0" fontId="55" fillId="3" borderId="72" xfId="0" applyFont="1" applyFill="1" applyBorder="1" applyAlignment="1" applyProtection="1">
      <alignment horizontal="left" vertical="center" wrapText="1"/>
    </xf>
    <xf numFmtId="0" fontId="55" fillId="3" borderId="58" xfId="3" applyFont="1" applyFill="1" applyBorder="1" applyAlignment="1" applyProtection="1">
      <alignment horizontal="left" vertical="top" wrapText="1" readingOrder="1"/>
    </xf>
    <xf numFmtId="0" fontId="55" fillId="3" borderId="59" xfId="3" applyFont="1" applyFill="1" applyBorder="1" applyAlignment="1" applyProtection="1">
      <alignment horizontal="left" vertical="top" wrapText="1" readingOrder="1"/>
    </xf>
    <xf numFmtId="0" fontId="56" fillId="3" borderId="60" xfId="2" applyFont="1" applyFill="1" applyBorder="1" applyAlignment="1" applyProtection="1">
      <alignment horizontal="justify" vertical="center" wrapText="1"/>
    </xf>
    <xf numFmtId="0" fontId="56" fillId="3" borderId="61" xfId="2" applyFont="1" applyFill="1" applyBorder="1" applyAlignment="1" applyProtection="1">
      <alignment horizontal="justify" vertical="center" wrapText="1"/>
    </xf>
    <xf numFmtId="0" fontId="55" fillId="3" borderId="62" xfId="0" applyFont="1" applyFill="1" applyBorder="1" applyAlignment="1" applyProtection="1">
      <alignment horizontal="left" vertical="center" wrapText="1"/>
    </xf>
    <xf numFmtId="0" fontId="55" fillId="3" borderId="63" xfId="0" applyFont="1" applyFill="1" applyBorder="1" applyAlignment="1" applyProtection="1">
      <alignment horizontal="left" vertical="center" wrapText="1"/>
    </xf>
    <xf numFmtId="0" fontId="50" fillId="3" borderId="14" xfId="2" applyFont="1" applyFill="1" applyBorder="1" applyAlignment="1" applyProtection="1">
      <alignment horizontal="left" vertical="top" wrapText="1"/>
    </xf>
    <xf numFmtId="0" fontId="50" fillId="3" borderId="0" xfId="2" applyFont="1" applyFill="1" applyBorder="1" applyAlignment="1" applyProtection="1">
      <alignment horizontal="left" vertical="top" wrapText="1"/>
    </xf>
    <xf numFmtId="0" fontId="50" fillId="3" borderId="15" xfId="2" applyFont="1" applyFill="1" applyBorder="1" applyAlignment="1" applyProtection="1">
      <alignment horizontal="left" vertical="top" wrapText="1"/>
    </xf>
    <xf numFmtId="0" fontId="55" fillId="3" borderId="73" xfId="0" applyFont="1" applyFill="1" applyBorder="1" applyAlignment="1" applyProtection="1">
      <alignment horizontal="left" vertical="center" wrapText="1"/>
    </xf>
    <xf numFmtId="0" fontId="55" fillId="3" borderId="74" xfId="0" applyFont="1" applyFill="1" applyBorder="1" applyAlignment="1" applyProtection="1">
      <alignment horizontal="left" vertical="center" wrapText="1"/>
    </xf>
    <xf numFmtId="0" fontId="56" fillId="3" borderId="66" xfId="0" applyFont="1" applyFill="1" applyBorder="1" applyAlignment="1" applyProtection="1">
      <alignment horizontal="justify" vertical="center" wrapText="1"/>
    </xf>
    <xf numFmtId="0" fontId="56" fillId="3" borderId="67" xfId="0" applyFont="1" applyFill="1" applyBorder="1" applyAlignment="1" applyProtection="1">
      <alignment horizontal="justify" vertical="center" wrapText="1"/>
    </xf>
    <xf numFmtId="0" fontId="51" fillId="14" borderId="48" xfId="2" applyFont="1" applyFill="1" applyBorder="1" applyAlignment="1" applyProtection="1">
      <alignment horizontal="center" vertical="center" wrapText="1"/>
    </xf>
    <xf numFmtId="0" fontId="51" fillId="14" borderId="49" xfId="2" applyFont="1" applyFill="1" applyBorder="1" applyAlignment="1" applyProtection="1">
      <alignment horizontal="center" vertical="center" wrapText="1"/>
    </xf>
    <xf numFmtId="0" fontId="51" fillId="14" borderId="50" xfId="2" applyFont="1" applyFill="1" applyBorder="1" applyAlignment="1" applyProtection="1">
      <alignment horizontal="center" vertical="center" wrapText="1"/>
    </xf>
    <xf numFmtId="0" fontId="50" fillId="0" borderId="14" xfId="2" quotePrefix="1" applyFont="1" applyBorder="1" applyAlignment="1" applyProtection="1">
      <alignment horizontal="left" vertical="center" wrapText="1"/>
    </xf>
    <xf numFmtId="0" fontId="50" fillId="0" borderId="0" xfId="2" quotePrefix="1" applyFont="1" applyBorder="1" applyAlignment="1" applyProtection="1">
      <alignment horizontal="left" vertical="center" wrapText="1"/>
    </xf>
    <xf numFmtId="0" fontId="50" fillId="0" borderId="15" xfId="2" quotePrefix="1" applyFont="1" applyBorder="1" applyAlignment="1" applyProtection="1">
      <alignment horizontal="left" vertical="center" wrapText="1"/>
    </xf>
    <xf numFmtId="0" fontId="50" fillId="0" borderId="68" xfId="2" quotePrefix="1" applyFont="1" applyBorder="1" applyAlignment="1" applyProtection="1">
      <alignment horizontal="left" vertical="center" wrapText="1"/>
    </xf>
    <xf numFmtId="0" fontId="50" fillId="0" borderId="69" xfId="2" quotePrefix="1" applyFont="1" applyBorder="1" applyAlignment="1" applyProtection="1">
      <alignment horizontal="left" vertical="center" wrapText="1"/>
    </xf>
    <xf numFmtId="0" fontId="50" fillId="0" borderId="70" xfId="2" quotePrefix="1" applyFont="1" applyBorder="1" applyAlignment="1" applyProtection="1">
      <alignment horizontal="left" vertical="center" wrapText="1"/>
    </xf>
    <xf numFmtId="0" fontId="52" fillId="3" borderId="51" xfId="2" quotePrefix="1" applyFont="1" applyFill="1" applyBorder="1" applyAlignment="1" applyProtection="1">
      <alignment horizontal="left" vertical="top" wrapText="1"/>
    </xf>
    <xf numFmtId="0" fontId="53" fillId="3" borderId="52" xfId="2" quotePrefix="1" applyFont="1" applyFill="1" applyBorder="1" applyAlignment="1" applyProtection="1">
      <alignment horizontal="left" vertical="top" wrapText="1"/>
    </xf>
    <xf numFmtId="0" fontId="53" fillId="3" borderId="53" xfId="2" quotePrefix="1" applyFont="1" applyFill="1" applyBorder="1" applyAlignment="1" applyProtection="1">
      <alignment horizontal="left" vertical="top" wrapText="1"/>
    </xf>
    <xf numFmtId="0" fontId="50" fillId="0" borderId="14" xfId="2" quotePrefix="1" applyFont="1" applyBorder="1" applyAlignment="1" applyProtection="1">
      <alignment horizontal="left" vertical="top" wrapText="1"/>
    </xf>
    <xf numFmtId="0" fontId="50" fillId="0" borderId="0" xfId="2" quotePrefix="1" applyFont="1" applyBorder="1" applyAlignment="1" applyProtection="1">
      <alignment horizontal="left" vertical="top" wrapText="1"/>
    </xf>
    <xf numFmtId="0" fontId="50" fillId="0" borderId="15" xfId="2" quotePrefix="1" applyFont="1" applyBorder="1" applyAlignment="1" applyProtection="1">
      <alignment horizontal="left" vertical="top" wrapText="1"/>
    </xf>
    <xf numFmtId="0" fontId="55" fillId="14" borderId="54" xfId="3" applyFont="1" applyFill="1" applyBorder="1" applyAlignment="1" applyProtection="1">
      <alignment horizontal="center" vertical="center" wrapText="1"/>
    </xf>
    <xf numFmtId="0" fontId="55" fillId="14" borderId="55" xfId="3" applyFont="1" applyFill="1" applyBorder="1" applyAlignment="1" applyProtection="1">
      <alignment horizontal="center" vertical="center" wrapText="1"/>
    </xf>
    <xf numFmtId="0" fontId="55" fillId="14" borderId="56" xfId="2" applyFont="1" applyFill="1" applyBorder="1" applyAlignment="1" applyProtection="1">
      <alignment horizontal="center" vertical="center"/>
    </xf>
    <xf numFmtId="0" fontId="55"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1" fillId="3" borderId="0" xfId="0" applyFont="1" applyFill="1" applyBorder="1" applyAlignment="1">
      <alignment horizontal="left" vertical="center"/>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Border="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Border="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Border="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Border="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0"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0" xfId="0" applyFont="1" applyBorder="1" applyAlignment="1">
      <alignment horizontal="center" vertical="center"/>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Border="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Border="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Border="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Border="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Border="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17">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IESGO%20DE%20CORRUPCI&#211;N%20formato%20de%20gest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G2" t="str">
            <v>Media</v>
          </cell>
          <cell r="N2">
            <v>1</v>
          </cell>
          <cell r="X2" t="str">
            <v>Baja</v>
          </cell>
          <cell r="Z2" t="str">
            <v>Mayor</v>
          </cell>
          <cell r="AA2">
            <v>0.8</v>
          </cell>
        </row>
        <row r="3">
          <cell r="K3" t="str">
            <v>Mayor</v>
          </cell>
          <cell r="N3">
            <v>2</v>
          </cell>
          <cell r="X3" t="str">
            <v>Baja</v>
          </cell>
          <cell r="Z3" t="str">
            <v>Mayor</v>
          </cell>
        </row>
        <row r="4">
          <cell r="X4" t="str">
            <v/>
          </cell>
          <cell r="Z4" t="str">
            <v/>
          </cell>
        </row>
        <row r="5">
          <cell r="X5" t="str">
            <v/>
          </cell>
          <cell r="Z5" t="str">
            <v/>
          </cell>
        </row>
        <row r="6">
          <cell r="X6" t="str">
            <v/>
          </cell>
          <cell r="Z6" t="str">
            <v/>
          </cell>
        </row>
        <row r="7">
          <cell r="X7" t="str">
            <v/>
          </cell>
          <cell r="Z7" t="str">
            <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216" dataDxfId="215">
  <autoFilter ref="B209:C219"/>
  <tableColumns count="2">
    <tableColumn id="1" name="Criterios" dataDxfId="214"/>
    <tableColumn id="2" name="Subcriterios" dataDxfId="213"/>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42578125" defaultRowHeight="15" x14ac:dyDescent="0.2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x14ac:dyDescent="0.3"/>
    <row r="2" spans="2:8" ht="18" x14ac:dyDescent="0.25">
      <c r="B2" s="179" t="s">
        <v>166</v>
      </c>
      <c r="C2" s="180"/>
      <c r="D2" s="180"/>
      <c r="E2" s="180"/>
      <c r="F2" s="180"/>
      <c r="G2" s="180"/>
      <c r="H2" s="181"/>
    </row>
    <row r="3" spans="2:8" x14ac:dyDescent="0.25">
      <c r="B3" s="85"/>
      <c r="C3" s="86"/>
      <c r="D3" s="86"/>
      <c r="E3" s="86"/>
      <c r="F3" s="86"/>
      <c r="G3" s="86"/>
      <c r="H3" s="87"/>
    </row>
    <row r="4" spans="2:8" ht="63" customHeight="1" x14ac:dyDescent="0.25">
      <c r="B4" s="182" t="s">
        <v>209</v>
      </c>
      <c r="C4" s="183"/>
      <c r="D4" s="183"/>
      <c r="E4" s="183"/>
      <c r="F4" s="183"/>
      <c r="G4" s="183"/>
      <c r="H4" s="184"/>
    </row>
    <row r="5" spans="2:8" ht="63" customHeight="1" x14ac:dyDescent="0.25">
      <c r="B5" s="185"/>
      <c r="C5" s="186"/>
      <c r="D5" s="186"/>
      <c r="E5" s="186"/>
      <c r="F5" s="186"/>
      <c r="G5" s="186"/>
      <c r="H5" s="187"/>
    </row>
    <row r="6" spans="2:8" ht="16.5" x14ac:dyDescent="0.25">
      <c r="B6" s="188" t="s">
        <v>164</v>
      </c>
      <c r="C6" s="189"/>
      <c r="D6" s="189"/>
      <c r="E6" s="189"/>
      <c r="F6" s="189"/>
      <c r="G6" s="189"/>
      <c r="H6" s="190"/>
    </row>
    <row r="7" spans="2:8" ht="95.25" customHeight="1" x14ac:dyDescent="0.25">
      <c r="B7" s="198" t="s">
        <v>169</v>
      </c>
      <c r="C7" s="199"/>
      <c r="D7" s="199"/>
      <c r="E7" s="199"/>
      <c r="F7" s="199"/>
      <c r="G7" s="199"/>
      <c r="H7" s="200"/>
    </row>
    <row r="8" spans="2:8" ht="16.5" x14ac:dyDescent="0.25">
      <c r="B8" s="122"/>
      <c r="C8" s="123"/>
      <c r="D8" s="123"/>
      <c r="E8" s="123"/>
      <c r="F8" s="123"/>
      <c r="G8" s="123"/>
      <c r="H8" s="124"/>
    </row>
    <row r="9" spans="2:8" ht="16.5" customHeight="1" x14ac:dyDescent="0.25">
      <c r="B9" s="191" t="s">
        <v>202</v>
      </c>
      <c r="C9" s="192"/>
      <c r="D9" s="192"/>
      <c r="E9" s="192"/>
      <c r="F9" s="192"/>
      <c r="G9" s="192"/>
      <c r="H9" s="193"/>
    </row>
    <row r="10" spans="2:8" ht="44.25" customHeight="1" x14ac:dyDescent="0.25">
      <c r="B10" s="191"/>
      <c r="C10" s="192"/>
      <c r="D10" s="192"/>
      <c r="E10" s="192"/>
      <c r="F10" s="192"/>
      <c r="G10" s="192"/>
      <c r="H10" s="193"/>
    </row>
    <row r="11" spans="2:8" ht="15.75" thickBot="1" x14ac:dyDescent="0.3">
      <c r="B11" s="110"/>
      <c r="C11" s="113"/>
      <c r="D11" s="118"/>
      <c r="E11" s="119"/>
      <c r="F11" s="119"/>
      <c r="G11" s="120"/>
      <c r="H11" s="121"/>
    </row>
    <row r="12" spans="2:8" ht="15.75" thickTop="1" x14ac:dyDescent="0.25">
      <c r="B12" s="110"/>
      <c r="C12" s="194" t="s">
        <v>165</v>
      </c>
      <c r="D12" s="195"/>
      <c r="E12" s="196" t="s">
        <v>203</v>
      </c>
      <c r="F12" s="197"/>
      <c r="G12" s="113"/>
      <c r="H12" s="114"/>
    </row>
    <row r="13" spans="2:8" ht="35.25" customHeight="1" x14ac:dyDescent="0.25">
      <c r="B13" s="110"/>
      <c r="C13" s="166" t="s">
        <v>196</v>
      </c>
      <c r="D13" s="167"/>
      <c r="E13" s="168" t="s">
        <v>201</v>
      </c>
      <c r="F13" s="169"/>
      <c r="G13" s="113"/>
      <c r="H13" s="114"/>
    </row>
    <row r="14" spans="2:8" ht="17.25" customHeight="1" x14ac:dyDescent="0.25">
      <c r="B14" s="110"/>
      <c r="C14" s="166" t="s">
        <v>197</v>
      </c>
      <c r="D14" s="167"/>
      <c r="E14" s="168" t="s">
        <v>199</v>
      </c>
      <c r="F14" s="169"/>
      <c r="G14" s="113"/>
      <c r="H14" s="114"/>
    </row>
    <row r="15" spans="2:8" ht="19.5" customHeight="1" x14ac:dyDescent="0.25">
      <c r="B15" s="110"/>
      <c r="C15" s="166" t="s">
        <v>198</v>
      </c>
      <c r="D15" s="167"/>
      <c r="E15" s="168" t="s">
        <v>200</v>
      </c>
      <c r="F15" s="169"/>
      <c r="G15" s="113"/>
      <c r="H15" s="114"/>
    </row>
    <row r="16" spans="2:8" ht="69.75" customHeight="1" x14ac:dyDescent="0.25">
      <c r="B16" s="110"/>
      <c r="C16" s="166" t="s">
        <v>167</v>
      </c>
      <c r="D16" s="167"/>
      <c r="E16" s="168" t="s">
        <v>168</v>
      </c>
      <c r="F16" s="169"/>
      <c r="G16" s="113"/>
      <c r="H16" s="114"/>
    </row>
    <row r="17" spans="2:8" ht="34.5" customHeight="1" x14ac:dyDescent="0.25">
      <c r="B17" s="110"/>
      <c r="C17" s="170" t="s">
        <v>2</v>
      </c>
      <c r="D17" s="171"/>
      <c r="E17" s="162" t="s">
        <v>210</v>
      </c>
      <c r="F17" s="163"/>
      <c r="G17" s="113"/>
      <c r="H17" s="114"/>
    </row>
    <row r="18" spans="2:8" ht="27.75" customHeight="1" x14ac:dyDescent="0.25">
      <c r="B18" s="110"/>
      <c r="C18" s="170" t="s">
        <v>3</v>
      </c>
      <c r="D18" s="171"/>
      <c r="E18" s="162" t="s">
        <v>211</v>
      </c>
      <c r="F18" s="163"/>
      <c r="G18" s="113"/>
      <c r="H18" s="114"/>
    </row>
    <row r="19" spans="2:8" ht="28.5" customHeight="1" x14ac:dyDescent="0.25">
      <c r="B19" s="110"/>
      <c r="C19" s="170" t="s">
        <v>42</v>
      </c>
      <c r="D19" s="171"/>
      <c r="E19" s="162" t="s">
        <v>212</v>
      </c>
      <c r="F19" s="163"/>
      <c r="G19" s="113"/>
      <c r="H19" s="114"/>
    </row>
    <row r="20" spans="2:8" ht="72.75" customHeight="1" x14ac:dyDescent="0.25">
      <c r="B20" s="110"/>
      <c r="C20" s="170" t="s">
        <v>1</v>
      </c>
      <c r="D20" s="171"/>
      <c r="E20" s="162" t="s">
        <v>213</v>
      </c>
      <c r="F20" s="163"/>
      <c r="G20" s="113"/>
      <c r="H20" s="114"/>
    </row>
    <row r="21" spans="2:8" ht="64.5" customHeight="1" x14ac:dyDescent="0.25">
      <c r="B21" s="110"/>
      <c r="C21" s="170" t="s">
        <v>50</v>
      </c>
      <c r="D21" s="171"/>
      <c r="E21" s="162" t="s">
        <v>171</v>
      </c>
      <c r="F21" s="163"/>
      <c r="G21" s="113"/>
      <c r="H21" s="114"/>
    </row>
    <row r="22" spans="2:8" ht="71.25" customHeight="1" x14ac:dyDescent="0.25">
      <c r="B22" s="110"/>
      <c r="C22" s="170" t="s">
        <v>170</v>
      </c>
      <c r="D22" s="171"/>
      <c r="E22" s="162" t="s">
        <v>172</v>
      </c>
      <c r="F22" s="163"/>
      <c r="G22" s="113"/>
      <c r="H22" s="114"/>
    </row>
    <row r="23" spans="2:8" ht="55.5" customHeight="1" x14ac:dyDescent="0.25">
      <c r="B23" s="110"/>
      <c r="C23" s="164" t="s">
        <v>173</v>
      </c>
      <c r="D23" s="165"/>
      <c r="E23" s="162" t="s">
        <v>174</v>
      </c>
      <c r="F23" s="163"/>
      <c r="G23" s="113"/>
      <c r="H23" s="114"/>
    </row>
    <row r="24" spans="2:8" ht="42" customHeight="1" x14ac:dyDescent="0.25">
      <c r="B24" s="110"/>
      <c r="C24" s="164" t="s">
        <v>48</v>
      </c>
      <c r="D24" s="165"/>
      <c r="E24" s="162" t="s">
        <v>175</v>
      </c>
      <c r="F24" s="163"/>
      <c r="G24" s="113"/>
      <c r="H24" s="114"/>
    </row>
    <row r="25" spans="2:8" ht="59.25" customHeight="1" x14ac:dyDescent="0.25">
      <c r="B25" s="110"/>
      <c r="C25" s="164" t="s">
        <v>163</v>
      </c>
      <c r="D25" s="165"/>
      <c r="E25" s="162" t="s">
        <v>176</v>
      </c>
      <c r="F25" s="163"/>
      <c r="G25" s="113"/>
      <c r="H25" s="114"/>
    </row>
    <row r="26" spans="2:8" ht="23.25" customHeight="1" x14ac:dyDescent="0.25">
      <c r="B26" s="110"/>
      <c r="C26" s="164" t="s">
        <v>12</v>
      </c>
      <c r="D26" s="165"/>
      <c r="E26" s="162" t="s">
        <v>177</v>
      </c>
      <c r="F26" s="163"/>
      <c r="G26" s="113"/>
      <c r="H26" s="114"/>
    </row>
    <row r="27" spans="2:8" ht="30.75" customHeight="1" x14ac:dyDescent="0.25">
      <c r="B27" s="110"/>
      <c r="C27" s="164" t="s">
        <v>181</v>
      </c>
      <c r="D27" s="165"/>
      <c r="E27" s="162" t="s">
        <v>178</v>
      </c>
      <c r="F27" s="163"/>
      <c r="G27" s="113"/>
      <c r="H27" s="114"/>
    </row>
    <row r="28" spans="2:8" ht="35.25" customHeight="1" x14ac:dyDescent="0.25">
      <c r="B28" s="110"/>
      <c r="C28" s="164" t="s">
        <v>182</v>
      </c>
      <c r="D28" s="165"/>
      <c r="E28" s="162" t="s">
        <v>179</v>
      </c>
      <c r="F28" s="163"/>
      <c r="G28" s="113"/>
      <c r="H28" s="114"/>
    </row>
    <row r="29" spans="2:8" ht="33" customHeight="1" x14ac:dyDescent="0.25">
      <c r="B29" s="110"/>
      <c r="C29" s="164" t="s">
        <v>182</v>
      </c>
      <c r="D29" s="165"/>
      <c r="E29" s="162" t="s">
        <v>179</v>
      </c>
      <c r="F29" s="163"/>
      <c r="G29" s="113"/>
      <c r="H29" s="114"/>
    </row>
    <row r="30" spans="2:8" ht="30" customHeight="1" x14ac:dyDescent="0.25">
      <c r="B30" s="110"/>
      <c r="C30" s="164" t="s">
        <v>183</v>
      </c>
      <c r="D30" s="165"/>
      <c r="E30" s="162" t="s">
        <v>180</v>
      </c>
      <c r="F30" s="163"/>
      <c r="G30" s="113"/>
      <c r="H30" s="114"/>
    </row>
    <row r="31" spans="2:8" ht="35.25" customHeight="1" x14ac:dyDescent="0.25">
      <c r="B31" s="110"/>
      <c r="C31" s="164" t="s">
        <v>184</v>
      </c>
      <c r="D31" s="165"/>
      <c r="E31" s="162" t="s">
        <v>185</v>
      </c>
      <c r="F31" s="163"/>
      <c r="G31" s="113"/>
      <c r="H31" s="114"/>
    </row>
    <row r="32" spans="2:8" ht="31.5" customHeight="1" x14ac:dyDescent="0.25">
      <c r="B32" s="110"/>
      <c r="C32" s="164" t="s">
        <v>186</v>
      </c>
      <c r="D32" s="165"/>
      <c r="E32" s="162" t="s">
        <v>187</v>
      </c>
      <c r="F32" s="163"/>
      <c r="G32" s="113"/>
      <c r="H32" s="114"/>
    </row>
    <row r="33" spans="2:8" ht="35.25" customHeight="1" x14ac:dyDescent="0.25">
      <c r="B33" s="110"/>
      <c r="C33" s="164" t="s">
        <v>188</v>
      </c>
      <c r="D33" s="165"/>
      <c r="E33" s="162" t="s">
        <v>189</v>
      </c>
      <c r="F33" s="163"/>
      <c r="G33" s="113"/>
      <c r="H33" s="114"/>
    </row>
    <row r="34" spans="2:8" ht="59.25" customHeight="1" x14ac:dyDescent="0.25">
      <c r="B34" s="110"/>
      <c r="C34" s="164" t="s">
        <v>190</v>
      </c>
      <c r="D34" s="165"/>
      <c r="E34" s="162" t="s">
        <v>191</v>
      </c>
      <c r="F34" s="163"/>
      <c r="G34" s="113"/>
      <c r="H34" s="114"/>
    </row>
    <row r="35" spans="2:8" ht="29.25" customHeight="1" x14ac:dyDescent="0.25">
      <c r="B35" s="110"/>
      <c r="C35" s="164" t="s">
        <v>29</v>
      </c>
      <c r="D35" s="165"/>
      <c r="E35" s="162" t="s">
        <v>192</v>
      </c>
      <c r="F35" s="163"/>
      <c r="G35" s="113"/>
      <c r="H35" s="114"/>
    </row>
    <row r="36" spans="2:8" ht="82.5" customHeight="1" x14ac:dyDescent="0.25">
      <c r="B36" s="110"/>
      <c r="C36" s="164" t="s">
        <v>194</v>
      </c>
      <c r="D36" s="165"/>
      <c r="E36" s="162" t="s">
        <v>193</v>
      </c>
      <c r="F36" s="163"/>
      <c r="G36" s="113"/>
      <c r="H36" s="114"/>
    </row>
    <row r="37" spans="2:8" ht="46.5" customHeight="1" x14ac:dyDescent="0.25">
      <c r="B37" s="110"/>
      <c r="C37" s="164" t="s">
        <v>39</v>
      </c>
      <c r="D37" s="165"/>
      <c r="E37" s="162" t="s">
        <v>195</v>
      </c>
      <c r="F37" s="163"/>
      <c r="G37" s="113"/>
      <c r="H37" s="114"/>
    </row>
    <row r="38" spans="2:8" ht="6.75" customHeight="1" thickBot="1" x14ac:dyDescent="0.3">
      <c r="B38" s="110"/>
      <c r="C38" s="175"/>
      <c r="D38" s="176"/>
      <c r="E38" s="177"/>
      <c r="F38" s="178"/>
      <c r="G38" s="113"/>
      <c r="H38" s="114"/>
    </row>
    <row r="39" spans="2:8" ht="15.75" thickTop="1" x14ac:dyDescent="0.25">
      <c r="B39" s="110"/>
      <c r="C39" s="111"/>
      <c r="D39" s="111"/>
      <c r="E39" s="112"/>
      <c r="F39" s="112"/>
      <c r="G39" s="113"/>
      <c r="H39" s="114"/>
    </row>
    <row r="40" spans="2:8" ht="21" customHeight="1" x14ac:dyDescent="0.25">
      <c r="B40" s="172" t="s">
        <v>204</v>
      </c>
      <c r="C40" s="173"/>
      <c r="D40" s="173"/>
      <c r="E40" s="173"/>
      <c r="F40" s="173"/>
      <c r="G40" s="173"/>
      <c r="H40" s="174"/>
    </row>
    <row r="41" spans="2:8" ht="20.25" customHeight="1" x14ac:dyDescent="0.25">
      <c r="B41" s="172" t="s">
        <v>205</v>
      </c>
      <c r="C41" s="173"/>
      <c r="D41" s="173"/>
      <c r="E41" s="173"/>
      <c r="F41" s="173"/>
      <c r="G41" s="173"/>
      <c r="H41" s="174"/>
    </row>
    <row r="42" spans="2:8" ht="20.25" customHeight="1" x14ac:dyDescent="0.25">
      <c r="B42" s="172" t="s">
        <v>206</v>
      </c>
      <c r="C42" s="173"/>
      <c r="D42" s="173"/>
      <c r="E42" s="173"/>
      <c r="F42" s="173"/>
      <c r="G42" s="173"/>
      <c r="H42" s="174"/>
    </row>
    <row r="43" spans="2:8" ht="20.25" customHeight="1" x14ac:dyDescent="0.25">
      <c r="B43" s="172" t="s">
        <v>207</v>
      </c>
      <c r="C43" s="173"/>
      <c r="D43" s="173"/>
      <c r="E43" s="173"/>
      <c r="F43" s="173"/>
      <c r="G43" s="173"/>
      <c r="H43" s="174"/>
    </row>
    <row r="44" spans="2:8" x14ac:dyDescent="0.25">
      <c r="B44" s="172" t="s">
        <v>208</v>
      </c>
      <c r="C44" s="173"/>
      <c r="D44" s="173"/>
      <c r="E44" s="173"/>
      <c r="F44" s="173"/>
      <c r="G44" s="173"/>
      <c r="H44" s="174"/>
    </row>
    <row r="45" spans="2:8" ht="15.75" thickBot="1" x14ac:dyDescent="0.3">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R69"/>
  <sheetViews>
    <sheetView tabSelected="1" topLeftCell="D8" zoomScale="80" zoomScaleNormal="80" workbookViewId="0">
      <pane xSplit="2" ySplit="2" topLeftCell="F10" activePane="bottomRight" state="frozen"/>
      <selection activeCell="D8" sqref="D8"/>
      <selection pane="topRight" activeCell="F8" sqref="F8"/>
      <selection pane="bottomLeft" activeCell="D10" sqref="D10"/>
      <selection pane="bottomRight" activeCell="A10" sqref="A10:A12"/>
    </sheetView>
  </sheetViews>
  <sheetFormatPr baseColWidth="10" defaultColWidth="11.42578125" defaultRowHeight="16.5" x14ac:dyDescent="0.3"/>
  <cols>
    <col min="1" max="1" width="4" style="2" bestFit="1" customWidth="1"/>
    <col min="2" max="2" width="14.140625" style="2" customWidth="1"/>
    <col min="3" max="3" width="13.140625" style="2" customWidth="1"/>
    <col min="4" max="5" width="16.140625" style="2" customWidth="1"/>
    <col min="6" max="6" width="32.42578125" style="1" customWidth="1"/>
    <col min="7" max="8" width="19" style="5" customWidth="1"/>
    <col min="9" max="9" width="17.85546875" style="1" customWidth="1"/>
    <col min="10" max="10" width="16.5703125" style="1" customWidth="1"/>
    <col min="11" max="11" width="6.28515625" style="1" bestFit="1" customWidth="1"/>
    <col min="12" max="12" width="27.28515625" style="1" bestFit="1" customWidth="1"/>
    <col min="13" max="13" width="30.5703125" style="1" hidden="1" customWidth="1"/>
    <col min="14" max="14" width="17.5703125" style="1" customWidth="1"/>
    <col min="15" max="15" width="6.28515625" style="1" bestFit="1" customWidth="1"/>
    <col min="16" max="16" width="16" style="1" customWidth="1"/>
    <col min="17" max="17" width="5.85546875" style="1" customWidth="1"/>
    <col min="18" max="18" width="31"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7.5703125" style="1" customWidth="1"/>
    <col min="26" max="26" width="38.28515625" style="1" hidden="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4.85546875" style="1" customWidth="1"/>
    <col min="37" max="37" width="18.5703125" style="1" customWidth="1"/>
    <col min="38" max="38" width="21" style="1" customWidth="1"/>
    <col min="39" max="16384" width="11.42578125" style="1"/>
  </cols>
  <sheetData>
    <row r="1" spans="1:70" ht="16.5" customHeight="1" x14ac:dyDescent="0.3">
      <c r="A1" s="201" t="s">
        <v>144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c r="AJ1" s="202"/>
      <c r="AK1" s="202"/>
      <c r="AL1" s="203"/>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04"/>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6"/>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27"/>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46" t="s">
        <v>43</v>
      </c>
      <c r="B4" s="247"/>
      <c r="C4" s="253"/>
      <c r="D4" s="254"/>
      <c r="E4" s="254"/>
      <c r="F4" s="254"/>
      <c r="G4" s="254"/>
      <c r="H4" s="254"/>
      <c r="I4" s="254"/>
      <c r="J4" s="254"/>
      <c r="K4" s="254"/>
      <c r="L4" s="254"/>
      <c r="M4" s="254"/>
      <c r="N4" s="254"/>
      <c r="O4" s="254"/>
      <c r="P4" s="255"/>
      <c r="Q4" s="259"/>
      <c r="R4" s="259"/>
      <c r="S4" s="259"/>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30" customHeight="1" x14ac:dyDescent="0.3">
      <c r="A5" s="246" t="s">
        <v>130</v>
      </c>
      <c r="B5" s="247"/>
      <c r="C5" s="253"/>
      <c r="D5" s="254"/>
      <c r="E5" s="254"/>
      <c r="F5" s="254"/>
      <c r="G5" s="254"/>
      <c r="H5" s="254"/>
      <c r="I5" s="254"/>
      <c r="J5" s="254"/>
      <c r="K5" s="254"/>
      <c r="L5" s="254"/>
      <c r="M5" s="254"/>
      <c r="N5" s="254"/>
      <c r="O5" s="254"/>
      <c r="P5" s="255"/>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x14ac:dyDescent="0.3">
      <c r="A6" s="246" t="s">
        <v>44</v>
      </c>
      <c r="B6" s="247"/>
      <c r="C6" s="256"/>
      <c r="D6" s="257"/>
      <c r="E6" s="257"/>
      <c r="F6" s="257"/>
      <c r="G6" s="257"/>
      <c r="H6" s="257"/>
      <c r="I6" s="257"/>
      <c r="J6" s="257"/>
      <c r="K6" s="257"/>
      <c r="L6" s="257"/>
      <c r="M6" s="257"/>
      <c r="N6" s="257"/>
      <c r="O6" s="257"/>
      <c r="P6" s="25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07" t="s">
        <v>139</v>
      </c>
      <c r="B7" s="208"/>
      <c r="C7" s="208"/>
      <c r="D7" s="208"/>
      <c r="E7" s="208"/>
      <c r="F7" s="208"/>
      <c r="G7" s="208"/>
      <c r="H7" s="208"/>
      <c r="I7" s="209"/>
      <c r="J7" s="207" t="s">
        <v>140</v>
      </c>
      <c r="K7" s="208"/>
      <c r="L7" s="208"/>
      <c r="M7" s="208"/>
      <c r="N7" s="208"/>
      <c r="O7" s="208"/>
      <c r="P7" s="209"/>
      <c r="Q7" s="207" t="s">
        <v>141</v>
      </c>
      <c r="R7" s="208"/>
      <c r="S7" s="208"/>
      <c r="T7" s="208"/>
      <c r="U7" s="208"/>
      <c r="V7" s="208"/>
      <c r="W7" s="208"/>
      <c r="X7" s="208"/>
      <c r="Y7" s="209"/>
      <c r="Z7" s="207" t="s">
        <v>142</v>
      </c>
      <c r="AA7" s="208"/>
      <c r="AB7" s="208"/>
      <c r="AC7" s="208"/>
      <c r="AD7" s="208"/>
      <c r="AE7" s="208"/>
      <c r="AF7" s="209"/>
      <c r="AG7" s="207" t="s">
        <v>34</v>
      </c>
      <c r="AH7" s="208"/>
      <c r="AI7" s="208"/>
      <c r="AJ7" s="208"/>
      <c r="AK7" s="208"/>
      <c r="AL7" s="209"/>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48" t="s">
        <v>0</v>
      </c>
      <c r="B8" s="217" t="s">
        <v>2</v>
      </c>
      <c r="C8" s="211" t="s">
        <v>3</v>
      </c>
      <c r="D8" s="211" t="s">
        <v>42</v>
      </c>
      <c r="E8" s="144"/>
      <c r="F8" s="250" t="s">
        <v>1</v>
      </c>
      <c r="G8" s="218" t="s">
        <v>50</v>
      </c>
      <c r="H8" s="145"/>
      <c r="I8" s="211" t="s">
        <v>135</v>
      </c>
      <c r="J8" s="213" t="s">
        <v>33</v>
      </c>
      <c r="K8" s="214" t="s">
        <v>5</v>
      </c>
      <c r="L8" s="218" t="s">
        <v>87</v>
      </c>
      <c r="M8" s="218" t="s">
        <v>92</v>
      </c>
      <c r="N8" s="216" t="s">
        <v>45</v>
      </c>
      <c r="O8" s="214" t="s">
        <v>5</v>
      </c>
      <c r="P8" s="211" t="s">
        <v>48</v>
      </c>
      <c r="Q8" s="251" t="s">
        <v>11</v>
      </c>
      <c r="R8" s="212" t="s">
        <v>163</v>
      </c>
      <c r="S8" s="218" t="s">
        <v>12</v>
      </c>
      <c r="T8" s="212" t="s">
        <v>8</v>
      </c>
      <c r="U8" s="212"/>
      <c r="V8" s="212"/>
      <c r="W8" s="212"/>
      <c r="X8" s="212"/>
      <c r="Y8" s="212"/>
      <c r="Z8" s="210" t="s">
        <v>138</v>
      </c>
      <c r="AA8" s="210" t="s">
        <v>46</v>
      </c>
      <c r="AB8" s="210" t="s">
        <v>5</v>
      </c>
      <c r="AC8" s="210" t="s">
        <v>47</v>
      </c>
      <c r="AD8" s="210" t="s">
        <v>5</v>
      </c>
      <c r="AE8" s="210" t="s">
        <v>49</v>
      </c>
      <c r="AF8" s="251" t="s">
        <v>29</v>
      </c>
      <c r="AG8" s="212" t="s">
        <v>34</v>
      </c>
      <c r="AH8" s="212" t="s">
        <v>35</v>
      </c>
      <c r="AI8" s="212" t="s">
        <v>36</v>
      </c>
      <c r="AJ8" s="212" t="s">
        <v>38</v>
      </c>
      <c r="AK8" s="212" t="s">
        <v>37</v>
      </c>
      <c r="AL8" s="212"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25">
      <c r="A9" s="249"/>
      <c r="B9" s="217"/>
      <c r="C9" s="212"/>
      <c r="D9" s="212"/>
      <c r="E9" s="143" t="s">
        <v>216</v>
      </c>
      <c r="F9" s="217"/>
      <c r="G9" s="211"/>
      <c r="H9" s="144" t="s">
        <v>217</v>
      </c>
      <c r="I9" s="212"/>
      <c r="J9" s="211"/>
      <c r="K9" s="215"/>
      <c r="L9" s="211"/>
      <c r="M9" s="211"/>
      <c r="N9" s="215"/>
      <c r="O9" s="214"/>
      <c r="P9" s="212"/>
      <c r="Q9" s="252"/>
      <c r="R9" s="212"/>
      <c r="S9" s="211"/>
      <c r="T9" s="7" t="s">
        <v>13</v>
      </c>
      <c r="U9" s="7" t="s">
        <v>17</v>
      </c>
      <c r="V9" s="7" t="s">
        <v>28</v>
      </c>
      <c r="W9" s="7" t="s">
        <v>18</v>
      </c>
      <c r="X9" s="7" t="s">
        <v>21</v>
      </c>
      <c r="Y9" s="7" t="s">
        <v>24</v>
      </c>
      <c r="Z9" s="210"/>
      <c r="AA9" s="210"/>
      <c r="AB9" s="210"/>
      <c r="AC9" s="210"/>
      <c r="AD9" s="210"/>
      <c r="AE9" s="210"/>
      <c r="AF9" s="252"/>
      <c r="AG9" s="212"/>
      <c r="AH9" s="212"/>
      <c r="AI9" s="212"/>
      <c r="AJ9" s="212"/>
      <c r="AK9" s="212"/>
      <c r="AL9" s="212"/>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28.44999999999999" customHeight="1" x14ac:dyDescent="0.25">
      <c r="A10" s="228">
        <v>1</v>
      </c>
      <c r="B10" s="231" t="s">
        <v>134</v>
      </c>
      <c r="C10" s="231" t="s">
        <v>214</v>
      </c>
      <c r="D10" s="231" t="s">
        <v>226</v>
      </c>
      <c r="E10" s="148" t="s">
        <v>215</v>
      </c>
      <c r="F10" s="234" t="s">
        <v>227</v>
      </c>
      <c r="G10" s="231" t="s">
        <v>123</v>
      </c>
      <c r="H10" s="161" t="s">
        <v>220</v>
      </c>
      <c r="I10" s="146">
        <v>6</v>
      </c>
      <c r="J10" s="151" t="str">
        <f>IF(I10&lt;=0,"",IF(I10&lt;=2,"Muy Baja",IF(I10&lt;=24,"Baja",IF(I10&lt;=500,"Media",IF(I10&lt;=5000,"Alta","Muy Alta")))))</f>
        <v>Baja</v>
      </c>
      <c r="K10" s="152">
        <f>IF(J10="","",IF(J10="Muy Baja",0.2,IF(J10="Baja",0.4,IF(J10="Media",0.6,IF(J10="Alta",0.8,IF(J10="Muy Alta",1,))))))</f>
        <v>0.4</v>
      </c>
      <c r="L10" s="158" t="s">
        <v>156</v>
      </c>
      <c r="M10" s="222"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156" t="str">
        <f ca="1">IF(OR(M10='Tabla Impacto'!$C$11,M10='Tabla Impacto'!$D$11),"Leve",IF(OR(M10='Tabla Impacto'!$C$12,M10='Tabla Impacto'!$D$12),"Menor",IF(OR(M10='Tabla Impacto'!$C$13,M10='Tabla Impacto'!$D$13),"Moderado",IF(OR(M10='Tabla Impacto'!$C$14,M10='Tabla Impacto'!$D$14),"Mayor",IF(OR(M10='Tabla Impacto'!$C$15,M10='Tabla Impacto'!$D$15),"Catastrófico","")))))</f>
        <v>Mayor</v>
      </c>
      <c r="O10" s="155">
        <f ca="1">IF(N10="","",IF(N10="Leve",0.2,IF(N10="Menor",0.4,IF(N10="Moderado",0.6,IF(N10="Mayor",0.8,IF(N10="Catastrófico",1,))))))</f>
        <v>0.8</v>
      </c>
      <c r="P10" s="157"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25">
        <v>1</v>
      </c>
      <c r="R10" s="126" t="s">
        <v>222</v>
      </c>
      <c r="S10" s="127" t="str">
        <f>IF(OR(T10="Preventivo",T10="Detectivo"),"Probabilidad",IF(T10="Correctivo","Impacto",""))</f>
        <v>Probabilidad</v>
      </c>
      <c r="T10" s="128" t="s">
        <v>14</v>
      </c>
      <c r="U10" s="128" t="s">
        <v>9</v>
      </c>
      <c r="V10" s="129" t="str">
        <f>IF(AND(T10="Preventivo",U10="Automático"),"50%",IF(AND(T10="Preventivo",U10="Manual"),"40%",IF(AND(T10="Detectivo",U10="Automático"),"40%",IF(AND(T10="Detectivo",U10="Manual"),"30%",IF(AND(T10="Correctivo",U10="Automático"),"35%",IF(AND(T10="Correctivo",U10="Manual"),"25%",""))))))</f>
        <v>40%</v>
      </c>
      <c r="W10" s="128" t="s">
        <v>19</v>
      </c>
      <c r="X10" s="128" t="s">
        <v>22</v>
      </c>
      <c r="Y10" s="128" t="s">
        <v>119</v>
      </c>
      <c r="Z10" s="130">
        <f>IFERROR(IF(S10="Probabilidad",(K10-(+K10*V10)),IF(S10="Impacto",K10,"")),"")</f>
        <v>0.24</v>
      </c>
      <c r="AA10" s="131" t="str">
        <f>IFERROR(IF(Z10="","",IF(Z10&lt;=0.2,"Muy Baja",IF(Z10&lt;=0.4,"Baja",IF(Z10&lt;=0.6,"Media",IF(Z10&lt;=0.8,"Alta","Muy Alta"))))),"")</f>
        <v>Baja</v>
      </c>
      <c r="AB10" s="132">
        <f>+Z10</f>
        <v>0.24</v>
      </c>
      <c r="AC10" s="131" t="str">
        <f ca="1">IFERROR(IF(AD10="","",IF(AD10&lt;=0.2,"Leve",IF(AD10&lt;=0.4,"Menor",IF(AD10&lt;=0.6,"Moderado",IF(AD10&lt;=0.8,"Mayor","Catastrófico"))))),"")</f>
        <v>Mayor</v>
      </c>
      <c r="AD10" s="132">
        <f ca="1">IFERROR(IF(S10="Impacto",(O10-(+O10*V10)),IF(S10="Probabilidad",O10,"")),"")</f>
        <v>0.8</v>
      </c>
      <c r="AE10" s="133"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134" t="s">
        <v>136</v>
      </c>
      <c r="AG10" s="231" t="s">
        <v>225</v>
      </c>
      <c r="AH10" s="136"/>
      <c r="AI10" s="137"/>
      <c r="AJ10" s="137"/>
      <c r="AK10" s="135"/>
      <c r="AL10" s="13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151.5" customHeight="1" x14ac:dyDescent="0.3">
      <c r="A11" s="229"/>
      <c r="B11" s="232"/>
      <c r="C11" s="232"/>
      <c r="D11" s="232"/>
      <c r="E11" s="149" t="s">
        <v>218</v>
      </c>
      <c r="F11" s="235"/>
      <c r="G11" s="232"/>
      <c r="H11" s="141" t="s">
        <v>223</v>
      </c>
      <c r="I11" s="147">
        <v>12</v>
      </c>
      <c r="J11" s="151" t="str">
        <f>IF(I11&lt;=0,"",IF(I11&lt;=2,"Muy Baja",IF(I11&lt;=24,"Baja",IF(I11&lt;=500,"Media",IF(I11&lt;=5000,"Alta","Muy Alta")))))</f>
        <v>Baja</v>
      </c>
      <c r="K11" s="152">
        <f>IF(J11="","",IF(J11="Muy Baja",0.2,IF(J11="Baja",0.4,IF(J11="Media",0.6,IF(J11="Alta",0.8,IF(J11="Muy Alta",1,))))))</f>
        <v>0.4</v>
      </c>
      <c r="L11" s="159" t="s">
        <v>154</v>
      </c>
      <c r="M11" s="223" t="str">
        <f ca="1">IF(NOT(ISERROR(MATCH(L11,_xlfn.ANCHORARRAY(F19),0))),K21&amp;"Por favor no seleccionar los criterios de impacto",L11)</f>
        <v xml:space="preserve">     El riesgo afecta la imagen de la entidad internamente, de conocimiento general, nivel interno, de junta dircetiva y accionistas y/o de provedores</v>
      </c>
      <c r="N11" s="156" t="str">
        <f ca="1">IF(OR(M11='Tabla Impacto'!$C$11,M11='Tabla Impacto'!$D$11),"Leve",IF(OR(M11='Tabla Impacto'!$C$12,M11='Tabla Impacto'!$D$12),"Menor",IF(OR(M11='Tabla Impacto'!$C$13,M11='Tabla Impacto'!$D$13),"Moderado",IF(OR(M11='Tabla Impacto'!$C$14,M11='Tabla Impacto'!$D$14),"Mayor",IF(OR(M11='Tabla Impacto'!$C$15,M11='Tabla Impacto'!$D$15),"Catastrófico","")))))</f>
        <v>Menor</v>
      </c>
      <c r="O11" s="155">
        <f ca="1">IF(N11="","",IF(N11="Leve",0.2,IF(N11="Menor",0.4,IF(N11="Moderado",0.6,IF(N11="Mayor",0.8,IF(N11="Catastrófico",1,))))))</f>
        <v>0.4</v>
      </c>
      <c r="P11" s="157" t="str">
        <f ca="1">IF(OR(AND(J11="Muy Baja",N11="Leve"),AND(J11="Muy Baja",N11="Menor"),AND(J11="Baja",N11="Leve")),"Bajo",IF(OR(AND(J11="Muy baja",N11="Moderado"),AND(J11="Baja",N11="Menor"),AND(J11="Baja",N11="Moderado"),AND(J11="Media",N11="Leve"),AND(J11="Media",N11="Menor"),AND(J11="Media",N11="Moderado"),AND(J11="Alta",N11="Leve"),AND(J11="Alta",N11="Menor")),"Moderado",IF(OR(AND(J11="Muy Baja",N11="Mayor"),AND(J11="Baja",N11="Mayor"),AND(J11="Media",N11="Mayor"),AND(J11="Alta",N11="Moderado"),AND(J11="Alta",N11="Mayor"),AND(J11="Muy Alta",N11="Leve"),AND(J11="Muy Alta",N11="Menor"),AND(J11="Muy Alta",N11="Moderado"),AND(J11="Muy Alta",N11="Mayor")),"Alto",IF(OR(AND(J11="Muy Baja",N11="Catastrófico"),AND(J11="Baja",N11="Catastrófico"),AND(J11="Media",N11="Catastrófico"),AND(J11="Alta",N11="Catastrófico"),AND(J11="Muy Alta",N11="Catastrófico")),"Extremo",""))))</f>
        <v>Moderado</v>
      </c>
      <c r="Q11" s="125">
        <v>2</v>
      </c>
      <c r="R11" s="126" t="s">
        <v>219</v>
      </c>
      <c r="S11" s="127" t="str">
        <f>IF(OR(T11="Preventivo",T11="Detectivo"),"Probabilidad",IF(T11="Correctivo","Impacto",""))</f>
        <v>Probabilidad</v>
      </c>
      <c r="T11" s="128" t="s">
        <v>14</v>
      </c>
      <c r="U11" s="128" t="s">
        <v>9</v>
      </c>
      <c r="V11" s="129" t="str">
        <f t="shared" ref="V11:V12" si="0">IF(AND(T11="Preventivo",U11="Automático"),"50%",IF(AND(T11="Preventivo",U11="Manual"),"40%",IF(AND(T11="Detectivo",U11="Automático"),"40%",IF(AND(T11="Detectivo",U11="Manual"),"30%",IF(AND(T11="Correctivo",U11="Automático"),"35%",IF(AND(T11="Correctivo",U11="Manual"),"25%",""))))))</f>
        <v>40%</v>
      </c>
      <c r="W11" s="128" t="s">
        <v>19</v>
      </c>
      <c r="X11" s="128" t="s">
        <v>23</v>
      </c>
      <c r="Y11" s="128" t="s">
        <v>119</v>
      </c>
      <c r="Z11" s="130">
        <f>IFERROR(IF(AND(S10="Probabilidad",S11="Probabilidad"),(AB10-(+AB10*V11)),IF(S11="Probabilidad",(K10-(+K10*V11)),IF(S11="Impacto",AB10,""))),"")</f>
        <v>0.14399999999999999</v>
      </c>
      <c r="AA11" s="131" t="str">
        <f>IFERROR(IF(Z11="","",IF(Z11&lt;=0.2,"Muy Baja",IF(Z11&lt;=0.4,"Baja",IF(Z11&lt;=0.6,"Media",IF(Z11&lt;=0.8,"Alta","Muy Alta"))))),"")</f>
        <v>Muy Baja</v>
      </c>
      <c r="AB11" s="132">
        <f t="shared" ref="AB11:AB12" si="1">+Z11</f>
        <v>0.14399999999999999</v>
      </c>
      <c r="AC11" s="131" t="str">
        <f ca="1">IFERROR(IF(AD11="","",IF(AD11&lt;=0.2,"Leve",IF(AD11&lt;=0.4,"Menor",IF(AD11&lt;=0.6,"Moderado",IF(AD11&lt;=0.8,"Mayor","Catastrófico"))))),"")</f>
        <v>Mayor</v>
      </c>
      <c r="AD11" s="132">
        <f ca="1">IFERROR(IF(AND(S10="Impacto",S11="Impacto"),(AD10-(+AD10*V11)),IF(S11="Impacto",($O$10-(+$O$10*V11)),IF(S11="Probabilidad",AD10,""))),"")</f>
        <v>0.8</v>
      </c>
      <c r="AE11" s="133" t="str">
        <f ca="1">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134" t="s">
        <v>136</v>
      </c>
      <c r="AG11" s="232"/>
      <c r="AH11" s="136"/>
      <c r="AI11" s="137"/>
      <c r="AJ11" s="137"/>
      <c r="AK11" s="135"/>
      <c r="AL11" s="136"/>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105" customHeight="1" x14ac:dyDescent="0.3">
      <c r="A12" s="229"/>
      <c r="B12" s="232"/>
      <c r="C12" s="232"/>
      <c r="D12" s="232"/>
      <c r="E12" s="150" t="s">
        <v>228</v>
      </c>
      <c r="F12" s="235"/>
      <c r="G12" s="232"/>
      <c r="H12" s="153" t="s">
        <v>221</v>
      </c>
      <c r="I12" s="154">
        <v>2</v>
      </c>
      <c r="J12" s="151" t="str">
        <f>IF(I12&lt;=0,"",IF(I12&lt;=2,"Muy Baja",IF(I12&lt;=24,"Baja",IF(I12&lt;=500,"Media",IF(I12&lt;=5000,"Alta","Muy Alta")))))</f>
        <v>Muy Baja</v>
      </c>
      <c r="K12" s="152">
        <f>IF(J12="","",IF(J12="Muy Baja",0.2,IF(J12="Baja",0.4,IF(J12="Media",0.6,IF(J12="Alta",0.8,IF(J12="Muy Alta",1,))))))</f>
        <v>0.2</v>
      </c>
      <c r="L12" s="160" t="s">
        <v>153</v>
      </c>
      <c r="M12" s="223" t="str">
        <f ca="1">IF(NOT(ISERROR(MATCH(L12,_xlfn.ANCHORARRAY(F20),0))),K22&amp;"Por favor no seleccionar los criterios de impacto",L12)</f>
        <v xml:space="preserve">     El riesgo afecta la imagen de alguna área de la organización</v>
      </c>
      <c r="N12" s="156" t="str">
        <f ca="1">IF(OR(M12='Tabla Impacto'!$C$11,M12='Tabla Impacto'!$D$11),"Leve",IF(OR(M12='Tabla Impacto'!$C$12,M12='Tabla Impacto'!$D$12),"Menor",IF(OR(M12='Tabla Impacto'!$C$13,M12='Tabla Impacto'!$D$13),"Moderado",IF(OR(M12='Tabla Impacto'!$C$14,M12='Tabla Impacto'!$D$14),"Mayor",IF(OR(M12='Tabla Impacto'!$C$15,M12='Tabla Impacto'!$D$15),"Catastrófico","")))))</f>
        <v>Leve</v>
      </c>
      <c r="O12" s="155">
        <f ca="1">IF(N12="","",IF(N12="Leve",0.2,IF(N12="Menor",0.4,IF(N12="Moderado",0.6,IF(N12="Mayor",0.8,IF(N12="Catastrófico",1,))))))</f>
        <v>0.2</v>
      </c>
      <c r="P12" s="157" t="str">
        <f ca="1">IF(OR(AND(J12="Muy Baja",N12="Leve"),AND(J12="Muy Baja",N12="Menor"),AND(J12="Baja",N12="Leve")),"Bajo",IF(OR(AND(J12="Muy baja",N12="Moderado"),AND(J12="Baja",N12="Menor"),AND(J12="Baja",N12="Moderado"),AND(J12="Media",N12="Leve"),AND(J12="Media",N12="Menor"),AND(J12="Media",N12="Moderado"),AND(J12="Alta",N12="Leve"),AND(J12="Alta",N12="Menor")),"Moderado",IF(OR(AND(J12="Muy Baja",N12="Mayor"),AND(J12="Baja",N12="Mayor"),AND(J12="Media",N12="Mayor"),AND(J12="Alta",N12="Moderado"),AND(J12="Alta",N12="Mayor"),AND(J12="Muy Alta",N12="Leve"),AND(J12="Muy Alta",N12="Menor"),AND(J12="Muy Alta",N12="Moderado"),AND(J12="Muy Alta",N12="Mayor")),"Alto",IF(OR(AND(J12="Muy Baja",N12="Catastrófico"),AND(J12="Baja",N12="Catastrófico"),AND(J12="Media",N12="Catastrófico"),AND(J12="Alta",N12="Catastrófico"),AND(J12="Muy Alta",N12="Catastrófico")),"Extremo",""))))</f>
        <v>Bajo</v>
      </c>
      <c r="Q12" s="125">
        <v>3</v>
      </c>
      <c r="R12" s="126" t="s">
        <v>224</v>
      </c>
      <c r="S12" s="127" t="s">
        <v>4</v>
      </c>
      <c r="T12" s="128" t="s">
        <v>14</v>
      </c>
      <c r="U12" s="128" t="s">
        <v>9</v>
      </c>
      <c r="V12" s="129" t="str">
        <f t="shared" si="0"/>
        <v>40%</v>
      </c>
      <c r="W12" s="128" t="s">
        <v>19</v>
      </c>
      <c r="X12" s="128" t="s">
        <v>23</v>
      </c>
      <c r="Y12" s="128" t="s">
        <v>119</v>
      </c>
      <c r="Z12" s="130">
        <f>IFERROR(IF(AND(S11="Probabilidad",S12="Probabilidad"),(AB11-(+AB11*V12)),IF(AND(S11="Impacto",S12="Probabilidad"),(AB10-(+AB10*V12)),IF(S12="Impacto",AB11,""))),"")</f>
        <v>8.6399999999999991E-2</v>
      </c>
      <c r="AA12" s="131" t="str">
        <f>IFERROR(IF(Z12="","",IF(Z12&lt;=0.2,"Muy Baja",IF(Z12&lt;=0.4,"Baja",IF(Z12&lt;=0.6,"Media",IF(Z12&lt;=0.8,"Alta","Muy Alta"))))),"")</f>
        <v>Muy Baja</v>
      </c>
      <c r="AB12" s="132">
        <f t="shared" si="1"/>
        <v>8.6399999999999991E-2</v>
      </c>
      <c r="AC12" s="131" t="str">
        <f ca="1">IFERROR(IF(AD12="","",IF(AD12&lt;=0.2,"Leve",IF(AD12&lt;=0.4,"Menor",IF(AD12&lt;=0.6,"Moderado",IF(AD12&lt;=0.8,"Mayor","Catastrófico"))))),"")</f>
        <v>Mayor</v>
      </c>
      <c r="AD12" s="132">
        <f ca="1">IFERROR(IF(AND(S11="Impacto",S12="Impacto"),(AD11-(+AD11*V12)),IF(AND(S11="Probabilidad",S12="Impacto"),(AD10-(+AD10*V12)),IF(S12="Probabilidad",AD11,""))),"")</f>
        <v>0.8</v>
      </c>
      <c r="AE12" s="133" t="str">
        <f ca="1">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Alto</v>
      </c>
      <c r="AF12" s="134" t="s">
        <v>136</v>
      </c>
      <c r="AG12" s="232"/>
      <c r="AH12" s="136"/>
      <c r="AI12" s="137"/>
      <c r="AJ12" s="137"/>
      <c r="AK12" s="135"/>
      <c r="AL12" s="136"/>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151.5" customHeight="1" x14ac:dyDescent="0.3">
      <c r="A13" s="228">
        <v>2</v>
      </c>
      <c r="B13" s="231"/>
      <c r="C13" s="231"/>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151.5" customHeight="1" x14ac:dyDescent="0.3">
      <c r="A14" s="229"/>
      <c r="B14" s="232"/>
      <c r="C14" s="232"/>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151.5" customHeight="1" x14ac:dyDescent="0.3">
      <c r="A15" s="229"/>
      <c r="B15" s="232"/>
      <c r="C15" s="232"/>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151.5" customHeight="1" x14ac:dyDescent="0.3">
      <c r="A16" s="229"/>
      <c r="B16" s="232"/>
      <c r="C16" s="232"/>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51.5" customHeight="1" x14ac:dyDescent="0.3">
      <c r="A17" s="229"/>
      <c r="B17" s="232"/>
      <c r="C17" s="232"/>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151.5" customHeight="1" x14ac:dyDescent="0.3">
      <c r="A18" s="230"/>
      <c r="B18" s="233"/>
      <c r="C18" s="233"/>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151.5" customHeight="1" x14ac:dyDescent="0.3">
      <c r="A19" s="228">
        <v>3</v>
      </c>
      <c r="B19" s="231"/>
      <c r="C19" s="231"/>
      <c r="D19" s="231"/>
      <c r="E19" s="140"/>
      <c r="F19" s="234"/>
      <c r="G19" s="231"/>
      <c r="H19" s="140"/>
      <c r="I19" s="237"/>
      <c r="J19" s="240" t="str">
        <f>IF(I19&lt;=0,"",IF(I19&lt;=2,"Muy Baja",IF(I19&lt;=24,"Baja",IF(I19&lt;=500,"Media",IF(I19&lt;=5000,"Alta","Muy Alta")))))</f>
        <v/>
      </c>
      <c r="K19" s="222" t="str">
        <f>IF(J19="","",IF(J19="Muy Baja",0.2,IF(J19="Baja",0.4,IF(J19="Media",0.6,IF(J19="Alta",0.8,IF(J19="Muy Alta",1,))))))</f>
        <v/>
      </c>
      <c r="L19" s="243"/>
      <c r="M19" s="222">
        <f ca="1">IF(NOT(ISERROR(MATCH(L19,'Tabla Impacto'!$B$221:$B$223,0))),'Tabla Impacto'!$F$223&amp;"Por favor no seleccionar los criterios de impacto(Afectación Económica o presupuestal y Pérdida Reputacional)",L19)</f>
        <v>0</v>
      </c>
      <c r="N19" s="240" t="str">
        <f ca="1">IF(OR(M19='Tabla Impacto'!$C$11,M19='Tabla Impacto'!$D$11),"Leve",IF(OR(M19='Tabla Impacto'!$C$12,M19='Tabla Impacto'!$D$12),"Menor",IF(OR(M19='Tabla Impacto'!$C$13,M19='Tabla Impacto'!$D$13),"Moderado",IF(OR(M19='Tabla Impacto'!$C$14,M19='Tabla Impacto'!$D$14),"Mayor",IF(OR(M19='Tabla Impacto'!$C$15,M19='Tabla Impacto'!$D$15),"Catastrófico","")))))</f>
        <v/>
      </c>
      <c r="O19" s="222" t="str">
        <f ca="1">IF(N19="","",IF(N19="Leve",0.2,IF(N19="Menor",0.4,IF(N19="Moderado",0.6,IF(N19="Mayor",0.8,IF(N19="Catastrófico",1,))))))</f>
        <v/>
      </c>
      <c r="P19" s="225" t="str">
        <f ca="1">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
      </c>
      <c r="Q19" s="125">
        <v>1</v>
      </c>
      <c r="R19" s="126"/>
      <c r="S19" s="127" t="str">
        <f>IF(OR(T19="Preventivo",T19="Detectivo"),"Probabilidad",IF(T19="Correctivo","Impacto",""))</f>
        <v/>
      </c>
      <c r="T19" s="128"/>
      <c r="U19" s="128"/>
      <c r="V19" s="129" t="str">
        <f>IF(AND(T19="Preventivo",U19="Automático"),"50%",IF(AND(T19="Preventivo",U19="Manual"),"40%",IF(AND(T19="Detectivo",U19="Automático"),"40%",IF(AND(T19="Detectivo",U19="Manual"),"30%",IF(AND(T19="Correctivo",U19="Automático"),"35%",IF(AND(T19="Correctivo",U19="Manual"),"25%",""))))))</f>
        <v/>
      </c>
      <c r="W19" s="128"/>
      <c r="X19" s="128"/>
      <c r="Y19" s="128"/>
      <c r="Z19" s="130" t="str">
        <f>IFERROR(IF(S19="Probabilidad",(K19-(+K19*V19)),IF(S19="Impacto",K19,"")),"")</f>
        <v/>
      </c>
      <c r="AA19" s="131" t="str">
        <f>IFERROR(IF(Z19="","",IF(Z19&lt;=0.2,"Muy Baja",IF(Z19&lt;=0.4,"Baja",IF(Z19&lt;=0.6,"Media",IF(Z19&lt;=0.8,"Alta","Muy Alta"))))),"")</f>
        <v/>
      </c>
      <c r="AB19" s="132" t="str">
        <f>+Z19</f>
        <v/>
      </c>
      <c r="AC19" s="131" t="str">
        <f>IFERROR(IF(AD19="","",IF(AD19&lt;=0.2,"Leve",IF(AD19&lt;=0.4,"Menor",IF(AD19&lt;=0.6,"Moderado",IF(AD19&lt;=0.8,"Mayor","Catastrófico"))))),"")</f>
        <v/>
      </c>
      <c r="AD19" s="132" t="str">
        <f>IFERROR(IF(S19="Impacto",(O19-(+O19*V19)),IF(S19="Probabilidad",O19,"")),"")</f>
        <v/>
      </c>
      <c r="AE19" s="133" t="str">
        <f>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34"/>
      <c r="AG19" s="135"/>
      <c r="AH19" s="136"/>
      <c r="AI19" s="137"/>
      <c r="AJ19" s="137"/>
      <c r="AK19" s="135"/>
      <c r="AL19" s="13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151.5" customHeight="1" x14ac:dyDescent="0.3">
      <c r="A20" s="229"/>
      <c r="B20" s="232"/>
      <c r="C20" s="232"/>
      <c r="D20" s="232"/>
      <c r="E20" s="141"/>
      <c r="F20" s="235"/>
      <c r="G20" s="232"/>
      <c r="H20" s="141"/>
      <c r="I20" s="238"/>
      <c r="J20" s="241"/>
      <c r="K20" s="223"/>
      <c r="L20" s="244"/>
      <c r="M20" s="223">
        <f ca="1">IF(NOT(ISERROR(MATCH(L20,_xlfn.ANCHORARRAY(F31),0))),K33&amp;"Por favor no seleccionar los criterios de impacto",L20)</f>
        <v>0</v>
      </c>
      <c r="N20" s="241"/>
      <c r="O20" s="223"/>
      <c r="P20" s="226"/>
      <c r="Q20" s="125">
        <v>2</v>
      </c>
      <c r="R20" s="126"/>
      <c r="S20" s="127" t="str">
        <f>IF(OR(T20="Preventivo",T20="Detectivo"),"Probabilidad",IF(T20="Correctivo","Impacto",""))</f>
        <v/>
      </c>
      <c r="T20" s="128"/>
      <c r="U20" s="128"/>
      <c r="V20" s="129" t="str">
        <f t="shared" ref="V20:V24" si="2">IF(AND(T20="Preventivo",U20="Automático"),"50%",IF(AND(T20="Preventivo",U20="Manual"),"40%",IF(AND(T20="Detectivo",U20="Automático"),"40%",IF(AND(T20="Detectivo",U20="Manual"),"30%",IF(AND(T20="Correctivo",U20="Automático"),"35%",IF(AND(T20="Correctivo",U20="Manual"),"25%",""))))))</f>
        <v/>
      </c>
      <c r="W20" s="128"/>
      <c r="X20" s="128"/>
      <c r="Y20" s="128"/>
      <c r="Z20" s="139" t="str">
        <f>IFERROR(IF(AND(S19="Probabilidad",S20="Probabilidad"),(AB19-(+AB19*V20)),IF(S20="Probabilidad",(K19-(+K19*V20)),IF(S20="Impacto",AB19,""))),"")</f>
        <v/>
      </c>
      <c r="AA20" s="131" t="str">
        <f>IFERROR(IF(Z20="","",IF(Z20&lt;=0.2,"Muy Baja",IF(Z20&lt;=0.4,"Baja",IF(Z20&lt;=0.6,"Media",IF(Z20&lt;=0.8,"Alta","Muy Alta"))))),"")</f>
        <v/>
      </c>
      <c r="AB20" s="132" t="str">
        <f t="shared" ref="AB20:AB24" si="3">+Z20</f>
        <v/>
      </c>
      <c r="AC20" s="131" t="str">
        <f>IFERROR(IF(AD20="","",IF(AD20&lt;=0.2,"Leve",IF(AD20&lt;=0.4,"Menor",IF(AD20&lt;=0.6,"Moderado",IF(AD20&lt;=0.8,"Mayor","Catastrófico"))))),"")</f>
        <v/>
      </c>
      <c r="AD20" s="132" t="str">
        <f>IFERROR(IF(AND(S19="Impacto",S20="Impacto"),([1]Hoja1!AA2-(+[1]Hoja1!AA2*V20)),IF(S20="Impacto",($O$19-(+$O$19*V20)),IF(S20="Probabilidad",[1]Hoja1!AA2,""))),"")</f>
        <v/>
      </c>
      <c r="AE20" s="133" t="str">
        <f t="shared" ref="AE20:AE21" si="4">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34"/>
      <c r="AG20" s="135"/>
      <c r="AH20" s="136"/>
      <c r="AI20" s="137"/>
      <c r="AJ20" s="137"/>
      <c r="AK20" s="135"/>
      <c r="AL20" s="13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151.5" customHeight="1" x14ac:dyDescent="0.3">
      <c r="A21" s="229"/>
      <c r="B21" s="232"/>
      <c r="C21" s="232"/>
      <c r="D21" s="232"/>
      <c r="E21" s="141"/>
      <c r="F21" s="235"/>
      <c r="G21" s="232"/>
      <c r="H21" s="141"/>
      <c r="I21" s="238"/>
      <c r="J21" s="241"/>
      <c r="K21" s="223"/>
      <c r="L21" s="244"/>
      <c r="M21" s="223">
        <f ca="1">IF(NOT(ISERROR(MATCH(L21,_xlfn.ANCHORARRAY(F32),0))),K34&amp;"Por favor no seleccionar los criterios de impacto",L21)</f>
        <v>0</v>
      </c>
      <c r="N21" s="241"/>
      <c r="O21" s="223"/>
      <c r="P21" s="226"/>
      <c r="Q21" s="125">
        <v>3</v>
      </c>
      <c r="R21" s="138"/>
      <c r="S21" s="127" t="str">
        <f>IF(OR(T21="Preventivo",T21="Detectivo"),"Probabilidad",IF(T21="Correctivo","Impacto",""))</f>
        <v/>
      </c>
      <c r="T21" s="128"/>
      <c r="U21" s="128"/>
      <c r="V21" s="129" t="str">
        <f t="shared" si="2"/>
        <v/>
      </c>
      <c r="W21" s="128"/>
      <c r="X21" s="128"/>
      <c r="Y21" s="128"/>
      <c r="Z21" s="130" t="str">
        <f>IFERROR(IF(AND(S20="Probabilidad",S21="Probabilidad"),(AB20-(+AB20*V21)),IF(AND(S20="Impacto",S21="Probabilidad"),(AB19-(+AB19*V21)),IF(S21="Impacto",AB20,""))),"")</f>
        <v/>
      </c>
      <c r="AA21" s="131" t="str">
        <f>IFERROR(IF(Z21="","",IF(Z21&lt;=0.2,"Muy Baja",IF(Z21&lt;=0.4,"Baja",IF(Z21&lt;=0.6,"Media",IF(Z21&lt;=0.8,"Alta","Muy Alta"))))),"")</f>
        <v/>
      </c>
      <c r="AB21" s="132" t="str">
        <f t="shared" si="3"/>
        <v/>
      </c>
      <c r="AC21" s="131" t="str">
        <f>IFERROR(IF(AD21="","",IF(AD21&lt;=0.2,"Leve",IF(AD21&lt;=0.4,"Menor",IF(AD21&lt;=0.6,"Moderado",IF(AD21&lt;=0.8,"Mayor","Catastrófico"))))),"")</f>
        <v/>
      </c>
      <c r="AD21" s="132" t="str">
        <f>IFERROR(IF(AND(S20="Impacto",S21="Impacto"),(AD20-(+AD20*V21)),IF(AND(S20="Probabilidad",S21="Impacto"),(AD19-(+AD19*V21)),IF(S21="Probabilidad",AD20,""))),"")</f>
        <v/>
      </c>
      <c r="AE21" s="133" t="str">
        <f t="shared" si="4"/>
        <v/>
      </c>
      <c r="AF21" s="134"/>
      <c r="AG21" s="135"/>
      <c r="AH21" s="136"/>
      <c r="AI21" s="137"/>
      <c r="AJ21" s="137"/>
      <c r="AK21" s="135"/>
      <c r="AL21" s="13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51.5" customHeight="1" x14ac:dyDescent="0.3">
      <c r="A22" s="229"/>
      <c r="B22" s="232"/>
      <c r="C22" s="232"/>
      <c r="D22" s="232"/>
      <c r="E22" s="141"/>
      <c r="F22" s="235"/>
      <c r="G22" s="232"/>
      <c r="H22" s="141"/>
      <c r="I22" s="238"/>
      <c r="J22" s="241"/>
      <c r="K22" s="223"/>
      <c r="L22" s="244"/>
      <c r="M22" s="223">
        <f ca="1">IF(NOT(ISERROR(MATCH(L22,_xlfn.ANCHORARRAY(F33),0))),K35&amp;"Por favor no seleccionar los criterios de impacto",L22)</f>
        <v>0</v>
      </c>
      <c r="N22" s="241"/>
      <c r="O22" s="223"/>
      <c r="P22" s="226"/>
      <c r="Q22" s="125">
        <v>4</v>
      </c>
      <c r="R22" s="126"/>
      <c r="S22" s="127" t="str">
        <f t="shared" ref="S22:S24" si="5">IF(OR(T22="Preventivo",T22="Detectivo"),"Probabilidad",IF(T22="Correctivo","Impacto",""))</f>
        <v/>
      </c>
      <c r="T22" s="128"/>
      <c r="U22" s="128"/>
      <c r="V22" s="129" t="str">
        <f t="shared" si="2"/>
        <v/>
      </c>
      <c r="W22" s="128"/>
      <c r="X22" s="128"/>
      <c r="Y22" s="128"/>
      <c r="Z22" s="130" t="str">
        <f t="shared" ref="Z22:Z24" si="6">IFERROR(IF(AND(S21="Probabilidad",S22="Probabilidad"),(AB21-(+AB21*V22)),IF(AND(S21="Impacto",S22="Probabilidad"),(AB20-(+AB20*V22)),IF(S22="Impacto",AB21,""))),"")</f>
        <v/>
      </c>
      <c r="AA22" s="131" t="str">
        <f>IFERROR(IF(Z22="","",IF(Z22&lt;=0.2,"Muy Baja",IF(Z22&lt;=0.4,"Baja",IF(Z22&lt;=0.6,"Media",IF(Z22&lt;=0.8,"Alta","Muy Alta"))))),"")</f>
        <v/>
      </c>
      <c r="AB22" s="132" t="str">
        <f t="shared" si="3"/>
        <v/>
      </c>
      <c r="AC22" s="131" t="str">
        <f>IFERROR(IF(AD22="","",IF(AD22&lt;=0.2,"Leve",IF(AD22&lt;=0.4,"Menor",IF(AD22&lt;=0.6,"Moderado",IF(AD22&lt;=0.8,"Mayor","Catastrófico"))))),"")</f>
        <v/>
      </c>
      <c r="AD22" s="132" t="str">
        <f t="shared" ref="AD22:AD24" si="7">IFERROR(IF(AND(S21="Impacto",S22="Impacto"),(AD21-(+AD21*V22)),IF(AND(S21="Probabilidad",S22="Impacto"),(AD20-(+AD20*V22)),IF(S22="Probabilidad",AD21,""))),"")</f>
        <v/>
      </c>
      <c r="AE22" s="133"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34"/>
      <c r="AG22" s="135"/>
      <c r="AH22" s="136"/>
      <c r="AI22" s="137"/>
      <c r="AJ22" s="137"/>
      <c r="AK22" s="135"/>
      <c r="AL22" s="13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151.5" customHeight="1" x14ac:dyDescent="0.3">
      <c r="A23" s="229"/>
      <c r="B23" s="232"/>
      <c r="C23" s="232"/>
      <c r="D23" s="232"/>
      <c r="E23" s="141"/>
      <c r="F23" s="235"/>
      <c r="G23" s="232"/>
      <c r="H23" s="141"/>
      <c r="I23" s="238"/>
      <c r="J23" s="241"/>
      <c r="K23" s="223"/>
      <c r="L23" s="244"/>
      <c r="M23" s="223">
        <f ca="1">IF(NOT(ISERROR(MATCH(L23,_xlfn.ANCHORARRAY(F34),0))),K36&amp;"Por favor no seleccionar los criterios de impacto",L23)</f>
        <v>0</v>
      </c>
      <c r="N23" s="241"/>
      <c r="O23" s="223"/>
      <c r="P23" s="226"/>
      <c r="Q23" s="125">
        <v>5</v>
      </c>
      <c r="R23" s="126"/>
      <c r="S23" s="127" t="str">
        <f t="shared" si="5"/>
        <v/>
      </c>
      <c r="T23" s="128"/>
      <c r="U23" s="128"/>
      <c r="V23" s="129" t="str">
        <f t="shared" si="2"/>
        <v/>
      </c>
      <c r="W23" s="128"/>
      <c r="X23" s="128"/>
      <c r="Y23" s="128"/>
      <c r="Z23" s="130" t="str">
        <f t="shared" si="6"/>
        <v/>
      </c>
      <c r="AA23" s="131" t="str">
        <f>IFERROR(IF(Z23="","",IF(Z23&lt;=0.2,"Muy Baja",IF(Z23&lt;=0.4,"Baja",IF(Z23&lt;=0.6,"Media",IF(Z23&lt;=0.8,"Alta","Muy Alta"))))),"")</f>
        <v/>
      </c>
      <c r="AB23" s="132" t="str">
        <f t="shared" si="3"/>
        <v/>
      </c>
      <c r="AC23" s="131" t="str">
        <f>IFERROR(IF(AD23="","",IF(AD23&lt;=0.2,"Leve",IF(AD23&lt;=0.4,"Menor",IF(AD23&lt;=0.6,"Moderado",IF(AD23&lt;=0.8,"Mayor","Catastrófico"))))),"")</f>
        <v/>
      </c>
      <c r="AD23" s="132" t="str">
        <f t="shared" si="7"/>
        <v/>
      </c>
      <c r="AE23" s="133" t="str">
        <f t="shared" ref="AE23:AE24" si="8">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34"/>
      <c r="AG23" s="135"/>
      <c r="AH23" s="136"/>
      <c r="AI23" s="137"/>
      <c r="AJ23" s="137"/>
      <c r="AK23" s="135"/>
      <c r="AL23" s="13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151.5" customHeight="1" x14ac:dyDescent="0.3">
      <c r="A24" s="230"/>
      <c r="B24" s="233"/>
      <c r="C24" s="233"/>
      <c r="D24" s="233"/>
      <c r="E24" s="142"/>
      <c r="F24" s="236"/>
      <c r="G24" s="233"/>
      <c r="H24" s="142"/>
      <c r="I24" s="239"/>
      <c r="J24" s="242"/>
      <c r="K24" s="224"/>
      <c r="L24" s="245"/>
      <c r="M24" s="224">
        <f ca="1">IF(NOT(ISERROR(MATCH(L24,_xlfn.ANCHORARRAY(F35),0))),K37&amp;"Por favor no seleccionar los criterios de impacto",L24)</f>
        <v>0</v>
      </c>
      <c r="N24" s="242"/>
      <c r="O24" s="224"/>
      <c r="P24" s="227"/>
      <c r="Q24" s="125">
        <v>6</v>
      </c>
      <c r="R24" s="126"/>
      <c r="S24" s="127" t="str">
        <f t="shared" si="5"/>
        <v/>
      </c>
      <c r="T24" s="128"/>
      <c r="U24" s="128"/>
      <c r="V24" s="129" t="str">
        <f t="shared" si="2"/>
        <v/>
      </c>
      <c r="W24" s="128"/>
      <c r="X24" s="128"/>
      <c r="Y24" s="128"/>
      <c r="Z24" s="130" t="str">
        <f t="shared" si="6"/>
        <v/>
      </c>
      <c r="AA24" s="131" t="str">
        <f>IFERROR(IF(Z24="","",IF(Z24&lt;=0.2,"Muy Baja",IF(Z24&lt;=0.4,"Baja",IF(Z24&lt;=0.6,"Media",IF(Z24&lt;=0.8,"Alta","Muy Alta"))))),"")</f>
        <v/>
      </c>
      <c r="AB24" s="132" t="str">
        <f t="shared" si="3"/>
        <v/>
      </c>
      <c r="AC24" s="131" t="str">
        <f>IFERROR(IF(AD24="","",IF(AD24&lt;=0.2,"Leve",IF(AD24&lt;=0.4,"Menor",IF(AD24&lt;=0.6,"Moderado",IF(AD24&lt;=0.8,"Mayor","Catastrófico"))))),"")</f>
        <v/>
      </c>
      <c r="AD24" s="132" t="str">
        <f t="shared" si="7"/>
        <v/>
      </c>
      <c r="AE24" s="133" t="str">
        <f t="shared" si="8"/>
        <v/>
      </c>
      <c r="AF24" s="134"/>
      <c r="AG24" s="135"/>
      <c r="AH24" s="136"/>
      <c r="AI24" s="137"/>
      <c r="AJ24" s="137"/>
      <c r="AK24" s="135"/>
      <c r="AL24" s="13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151.5" customHeight="1" x14ac:dyDescent="0.3">
      <c r="A25" s="228">
        <v>4</v>
      </c>
      <c r="B25" s="231"/>
      <c r="C25" s="231"/>
      <c r="D25" s="231"/>
      <c r="E25" s="140"/>
      <c r="F25" s="234"/>
      <c r="G25" s="231"/>
      <c r="H25" s="140"/>
      <c r="I25" s="237"/>
      <c r="J25" s="240" t="str">
        <f>IF(I25&lt;=0,"",IF(I25&lt;=2,"Muy Baja",IF(I25&lt;=24,"Baja",IF(I25&lt;=500,"Media",IF(I25&lt;=5000,"Alta","Muy Alta")))))</f>
        <v/>
      </c>
      <c r="K25" s="222" t="str">
        <f>IF(J25="","",IF(J25="Muy Baja",0.2,IF(J25="Baja",0.4,IF(J25="Media",0.6,IF(J25="Alta",0.8,IF(J25="Muy Alta",1,))))))</f>
        <v/>
      </c>
      <c r="L25" s="243"/>
      <c r="M25" s="222">
        <f ca="1">IF(NOT(ISERROR(MATCH(L25,'Tabla Impacto'!$B$221:$B$223,0))),'Tabla Impacto'!$F$223&amp;"Por favor no seleccionar los criterios de impacto(Afectación Económica o presupuestal y Pérdida Reputacional)",L25)</f>
        <v>0</v>
      </c>
      <c r="N25" s="240" t="str">
        <f ca="1">IF(OR(M25='Tabla Impacto'!$C$11,M25='Tabla Impacto'!$D$11),"Leve",IF(OR(M25='Tabla Impacto'!$C$12,M25='Tabla Impacto'!$D$12),"Menor",IF(OR(M25='Tabla Impacto'!$C$13,M25='Tabla Impacto'!$D$13),"Moderado",IF(OR(M25='Tabla Impacto'!$C$14,M25='Tabla Impacto'!$D$14),"Mayor",IF(OR(M25='Tabla Impacto'!$C$15,M25='Tabla Impacto'!$D$15),"Catastrófico","")))))</f>
        <v/>
      </c>
      <c r="O25" s="222" t="str">
        <f ca="1">IF(N25="","",IF(N25="Leve",0.2,IF(N25="Menor",0.4,IF(N25="Moderado",0.6,IF(N25="Mayor",0.8,IF(N25="Catastrófico",1,))))))</f>
        <v/>
      </c>
      <c r="P25" s="225" t="str">
        <f ca="1">IF(OR(AND(J25="Muy Baja",N25="Leve"),AND(J25="Muy Baja",N25="Menor"),AND(J25="Baja",N25="Leve")),"Bajo",IF(OR(AND(J25="Muy baja",N25="Moderado"),AND(J25="Baja",N25="Menor"),AND(J25="Baja",N25="Moderado"),AND(J25="Media",N25="Leve"),AND(J25="Media",N25="Menor"),AND(J25="Media",N25="Moderado"),AND(J25="Alta",N25="Leve"),AND(J25="Alta",N25="Menor")),"Moderado",IF(OR(AND(J25="Muy Baja",N25="Mayor"),AND(J25="Baja",N25="Mayor"),AND(J25="Media",N25="Mayor"),AND(J25="Alta",N25="Moderado"),AND(J25="Alta",N25="Mayor"),AND(J25="Muy Alta",N25="Leve"),AND(J25="Muy Alta",N25="Menor"),AND(J25="Muy Alta",N25="Moderado"),AND(J25="Muy Alta",N25="Mayor")),"Alto",IF(OR(AND(J25="Muy Baja",N25="Catastrófico"),AND(J25="Baja",N25="Catastrófico"),AND(J25="Media",N25="Catastrófico"),AND(J25="Alta",N25="Catastrófico"),AND(J25="Muy Alta",N25="Catastrófico")),"Extremo",""))))</f>
        <v/>
      </c>
      <c r="Q25" s="125">
        <v>1</v>
      </c>
      <c r="R25" s="126"/>
      <c r="S25" s="127" t="str">
        <f>IF(OR(T25="Preventivo",T25="Detectivo"),"Probabilidad",IF(T25="Correctivo","Impacto",""))</f>
        <v/>
      </c>
      <c r="T25" s="128"/>
      <c r="U25" s="128"/>
      <c r="V25" s="129" t="str">
        <f>IF(AND(T25="Preventivo",U25="Automático"),"50%",IF(AND(T25="Preventivo",U25="Manual"),"40%",IF(AND(T25="Detectivo",U25="Automático"),"40%",IF(AND(T25="Detectivo",U25="Manual"),"30%",IF(AND(T25="Correctivo",U25="Automático"),"35%",IF(AND(T25="Correctivo",U25="Manual"),"25%",""))))))</f>
        <v/>
      </c>
      <c r="W25" s="128"/>
      <c r="X25" s="128"/>
      <c r="Y25" s="128"/>
      <c r="Z25" s="130" t="str">
        <f>IFERROR(IF(S25="Probabilidad",(K25-(+K25*V25)),IF(S25="Impacto",K25,"")),"")</f>
        <v/>
      </c>
      <c r="AA25" s="131" t="str">
        <f>IFERROR(IF(Z25="","",IF(Z25&lt;=0.2,"Muy Baja",IF(Z25&lt;=0.4,"Baja",IF(Z25&lt;=0.6,"Media",IF(Z25&lt;=0.8,"Alta","Muy Alta"))))),"")</f>
        <v/>
      </c>
      <c r="AB25" s="132" t="str">
        <f>+Z25</f>
        <v/>
      </c>
      <c r="AC25" s="131" t="str">
        <f>IFERROR(IF(AD25="","",IF(AD25&lt;=0.2,"Leve",IF(AD25&lt;=0.4,"Menor",IF(AD25&lt;=0.6,"Moderado",IF(AD25&lt;=0.8,"Mayor","Catastrófico"))))),"")</f>
        <v/>
      </c>
      <c r="AD25" s="132" t="str">
        <f>IFERROR(IF(S25="Impacto",(O25-(+O25*V25)),IF(S25="Probabilidad",O25,"")),"")</f>
        <v/>
      </c>
      <c r="AE25" s="133" t="str">
        <f>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34"/>
      <c r="AG25" s="135"/>
      <c r="AH25" s="136"/>
      <c r="AI25" s="137"/>
      <c r="AJ25" s="137"/>
      <c r="AK25" s="135"/>
      <c r="AL25" s="13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151.5" customHeight="1" x14ac:dyDescent="0.3">
      <c r="A26" s="229"/>
      <c r="B26" s="232"/>
      <c r="C26" s="232"/>
      <c r="D26" s="232"/>
      <c r="E26" s="141"/>
      <c r="F26" s="235"/>
      <c r="G26" s="232"/>
      <c r="H26" s="141"/>
      <c r="I26" s="238"/>
      <c r="J26" s="241"/>
      <c r="K26" s="223"/>
      <c r="L26" s="244"/>
      <c r="M26" s="223">
        <f ca="1">IF(NOT(ISERROR(MATCH(L26,_xlfn.ANCHORARRAY(F37),0))),K39&amp;"Por favor no seleccionar los criterios de impacto",L26)</f>
        <v>0</v>
      </c>
      <c r="N26" s="241"/>
      <c r="O26" s="223"/>
      <c r="P26" s="226"/>
      <c r="Q26" s="125">
        <v>2</v>
      </c>
      <c r="R26" s="126"/>
      <c r="S26" s="127" t="str">
        <f>IF(OR(T26="Preventivo",T26="Detectivo"),"Probabilidad",IF(T26="Correctivo","Impacto",""))</f>
        <v/>
      </c>
      <c r="T26" s="128"/>
      <c r="U26" s="128"/>
      <c r="V26" s="129" t="str">
        <f t="shared" ref="V26:V30" si="9">IF(AND(T26="Preventivo",U26="Automático"),"50%",IF(AND(T26="Preventivo",U26="Manual"),"40%",IF(AND(T26="Detectivo",U26="Automático"),"40%",IF(AND(T26="Detectivo",U26="Manual"),"30%",IF(AND(T26="Correctivo",U26="Automático"),"35%",IF(AND(T26="Correctivo",U26="Manual"),"25%",""))))))</f>
        <v/>
      </c>
      <c r="W26" s="128"/>
      <c r="X26" s="128"/>
      <c r="Y26" s="128"/>
      <c r="Z26" s="130" t="str">
        <f>IFERROR(IF(AND(S25="Probabilidad",S26="Probabilidad"),(AB25-(+AB25*V26)),IF(S26="Probabilidad",(K25-(+K25*V26)),IF(S26="Impacto",AB25,""))),"")</f>
        <v/>
      </c>
      <c r="AA26" s="131" t="str">
        <f>IFERROR(IF(Z26="","",IF(Z26&lt;=0.2,"Muy Baja",IF(Z26&lt;=0.4,"Baja",IF(Z26&lt;=0.6,"Media",IF(Z26&lt;=0.8,"Alta","Muy Alta"))))),"")</f>
        <v/>
      </c>
      <c r="AB26" s="132" t="str">
        <f t="shared" ref="AB26:AB30" si="10">+Z26</f>
        <v/>
      </c>
      <c r="AC26" s="131" t="str">
        <f>IFERROR(IF(AD26="","",IF(AD26&lt;=0.2,"Leve",IF(AD26&lt;=0.4,"Menor",IF(AD26&lt;=0.6,"Moderado",IF(AD26&lt;=0.8,"Mayor","Catastrófico"))))),"")</f>
        <v/>
      </c>
      <c r="AD26" s="132" t="str">
        <f>IFERROR(IF(AND(S25="Impacto",S26="Impacto"),(AD19-(+AD19*V26)),IF(S26="Impacto",($O$25-(+$O$25*V26)),IF(S26="Probabilidad",AD19,""))),"")</f>
        <v/>
      </c>
      <c r="AE26" s="133" t="str">
        <f t="shared" ref="AE26:AE27" si="11">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134"/>
      <c r="AG26" s="135"/>
      <c r="AH26" s="136"/>
      <c r="AI26" s="137"/>
      <c r="AJ26" s="137"/>
      <c r="AK26" s="135"/>
      <c r="AL26" s="13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151.5" customHeight="1" x14ac:dyDescent="0.3">
      <c r="A27" s="229"/>
      <c r="B27" s="232"/>
      <c r="C27" s="232"/>
      <c r="D27" s="232"/>
      <c r="E27" s="141"/>
      <c r="F27" s="235"/>
      <c r="G27" s="232"/>
      <c r="H27" s="141"/>
      <c r="I27" s="238"/>
      <c r="J27" s="241"/>
      <c r="K27" s="223"/>
      <c r="L27" s="244"/>
      <c r="M27" s="223">
        <f ca="1">IF(NOT(ISERROR(MATCH(L27,_xlfn.ANCHORARRAY(F38),0))),K40&amp;"Por favor no seleccionar los criterios de impacto",L27)</f>
        <v>0</v>
      </c>
      <c r="N27" s="241"/>
      <c r="O27" s="223"/>
      <c r="P27" s="226"/>
      <c r="Q27" s="125">
        <v>3</v>
      </c>
      <c r="R27" s="138"/>
      <c r="S27" s="127" t="str">
        <f>IF(OR(T27="Preventivo",T27="Detectivo"),"Probabilidad",IF(T27="Correctivo","Impacto",""))</f>
        <v/>
      </c>
      <c r="T27" s="128"/>
      <c r="U27" s="128"/>
      <c r="V27" s="129" t="str">
        <f t="shared" si="9"/>
        <v/>
      </c>
      <c r="W27" s="128"/>
      <c r="X27" s="128"/>
      <c r="Y27" s="128"/>
      <c r="Z27" s="130" t="str">
        <f>IFERROR(IF(AND(S26="Probabilidad",S27="Probabilidad"),(AB26-(+AB26*V27)),IF(AND(S26="Impacto",S27="Probabilidad"),(AB25-(+AB25*V27)),IF(S27="Impacto",AB26,""))),"")</f>
        <v/>
      </c>
      <c r="AA27" s="131" t="str">
        <f>IFERROR(IF(Z27="","",IF(Z27&lt;=0.2,"Muy Baja",IF(Z27&lt;=0.4,"Baja",IF(Z27&lt;=0.6,"Media",IF(Z27&lt;=0.8,"Alta","Muy Alta"))))),"")</f>
        <v/>
      </c>
      <c r="AB27" s="132" t="str">
        <f t="shared" si="10"/>
        <v/>
      </c>
      <c r="AC27" s="131" t="str">
        <f>IFERROR(IF(AD27="","",IF(AD27&lt;=0.2,"Leve",IF(AD27&lt;=0.4,"Menor",IF(AD27&lt;=0.6,"Moderado",IF(AD27&lt;=0.8,"Mayor","Catastrófico"))))),"")</f>
        <v/>
      </c>
      <c r="AD27" s="132" t="str">
        <f>IFERROR(IF(AND(S26="Impacto",S27="Impacto"),(AD26-(+AD26*V27)),IF(AND(S26="Probabilidad",S27="Impacto"),(AD25-(+AD25*V27)),IF(S27="Probabilidad",AD26,""))),"")</f>
        <v/>
      </c>
      <c r="AE27" s="133" t="str">
        <f t="shared" si="11"/>
        <v/>
      </c>
      <c r="AF27" s="134"/>
      <c r="AG27" s="135"/>
      <c r="AH27" s="136"/>
      <c r="AI27" s="137"/>
      <c r="AJ27" s="137"/>
      <c r="AK27" s="135"/>
      <c r="AL27" s="13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151.5" customHeight="1" x14ac:dyDescent="0.3">
      <c r="A28" s="229"/>
      <c r="B28" s="232"/>
      <c r="C28" s="232"/>
      <c r="D28" s="232"/>
      <c r="E28" s="141"/>
      <c r="F28" s="235"/>
      <c r="G28" s="232"/>
      <c r="H28" s="141"/>
      <c r="I28" s="238"/>
      <c r="J28" s="241"/>
      <c r="K28" s="223"/>
      <c r="L28" s="244"/>
      <c r="M28" s="223">
        <f ca="1">IF(NOT(ISERROR(MATCH(L28,_xlfn.ANCHORARRAY(F39),0))),K41&amp;"Por favor no seleccionar los criterios de impacto",L28)</f>
        <v>0</v>
      </c>
      <c r="N28" s="241"/>
      <c r="O28" s="223"/>
      <c r="P28" s="226"/>
      <c r="Q28" s="125">
        <v>4</v>
      </c>
      <c r="R28" s="126"/>
      <c r="S28" s="127" t="str">
        <f t="shared" ref="S28:S30" si="12">IF(OR(T28="Preventivo",T28="Detectivo"),"Probabilidad",IF(T28="Correctivo","Impacto",""))</f>
        <v/>
      </c>
      <c r="T28" s="128"/>
      <c r="U28" s="128"/>
      <c r="V28" s="129" t="str">
        <f t="shared" si="9"/>
        <v/>
      </c>
      <c r="W28" s="128"/>
      <c r="X28" s="128"/>
      <c r="Y28" s="128"/>
      <c r="Z28" s="130" t="str">
        <f t="shared" ref="Z28:Z30" si="13">IFERROR(IF(AND(S27="Probabilidad",S28="Probabilidad"),(AB27-(+AB27*V28)),IF(AND(S27="Impacto",S28="Probabilidad"),(AB26-(+AB26*V28)),IF(S28="Impacto",AB27,""))),"")</f>
        <v/>
      </c>
      <c r="AA28" s="131" t="str">
        <f>IFERROR(IF(Z28="","",IF(Z28&lt;=0.2,"Muy Baja",IF(Z28&lt;=0.4,"Baja",IF(Z28&lt;=0.6,"Media",IF(Z28&lt;=0.8,"Alta","Muy Alta"))))),"")</f>
        <v/>
      </c>
      <c r="AB28" s="132" t="str">
        <f t="shared" si="10"/>
        <v/>
      </c>
      <c r="AC28" s="131" t="str">
        <f>IFERROR(IF(AD28="","",IF(AD28&lt;=0.2,"Leve",IF(AD28&lt;=0.4,"Menor",IF(AD28&lt;=0.6,"Moderado",IF(AD28&lt;=0.8,"Mayor","Catastrófico"))))),"")</f>
        <v/>
      </c>
      <c r="AD28" s="132" t="str">
        <f t="shared" ref="AD28:AD30" si="14">IFERROR(IF(AND(S27="Impacto",S28="Impacto"),(AD27-(+AD27*V28)),IF(AND(S27="Probabilidad",S28="Impacto"),(AD26-(+AD26*V28)),IF(S28="Probabilidad",AD27,""))),"")</f>
        <v/>
      </c>
      <c r="AE28" s="133"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34"/>
      <c r="AG28" s="135"/>
      <c r="AH28" s="136"/>
      <c r="AI28" s="137"/>
      <c r="AJ28" s="137"/>
      <c r="AK28" s="135"/>
      <c r="AL28" s="13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151.5" customHeight="1" x14ac:dyDescent="0.3">
      <c r="A29" s="229"/>
      <c r="B29" s="232"/>
      <c r="C29" s="232"/>
      <c r="D29" s="232"/>
      <c r="E29" s="141"/>
      <c r="F29" s="235"/>
      <c r="G29" s="232"/>
      <c r="H29" s="141"/>
      <c r="I29" s="238"/>
      <c r="J29" s="241"/>
      <c r="K29" s="223"/>
      <c r="L29" s="244"/>
      <c r="M29" s="223">
        <f ca="1">IF(NOT(ISERROR(MATCH(L29,_xlfn.ANCHORARRAY(F40),0))),K42&amp;"Por favor no seleccionar los criterios de impacto",L29)</f>
        <v>0</v>
      </c>
      <c r="N29" s="241"/>
      <c r="O29" s="223"/>
      <c r="P29" s="226"/>
      <c r="Q29" s="125">
        <v>5</v>
      </c>
      <c r="R29" s="126"/>
      <c r="S29" s="127" t="str">
        <f t="shared" si="12"/>
        <v/>
      </c>
      <c r="T29" s="128"/>
      <c r="U29" s="128"/>
      <c r="V29" s="129" t="str">
        <f t="shared" si="9"/>
        <v/>
      </c>
      <c r="W29" s="128"/>
      <c r="X29" s="128"/>
      <c r="Y29" s="128"/>
      <c r="Z29" s="139" t="str">
        <f t="shared" si="13"/>
        <v/>
      </c>
      <c r="AA29" s="131" t="str">
        <f>IFERROR(IF(Z29="","",IF(Z29&lt;=0.2,"Muy Baja",IF(Z29&lt;=0.4,"Baja",IF(Z29&lt;=0.6,"Media",IF(Z29&lt;=0.8,"Alta","Muy Alta"))))),"")</f>
        <v/>
      </c>
      <c r="AB29" s="132" t="str">
        <f t="shared" si="10"/>
        <v/>
      </c>
      <c r="AC29" s="131" t="str">
        <f>IFERROR(IF(AD29="","",IF(AD29&lt;=0.2,"Leve",IF(AD29&lt;=0.4,"Menor",IF(AD29&lt;=0.6,"Moderado",IF(AD29&lt;=0.8,"Mayor","Catastrófico"))))),"")</f>
        <v/>
      </c>
      <c r="AD29" s="132" t="str">
        <f t="shared" si="14"/>
        <v/>
      </c>
      <c r="AE29" s="133" t="str">
        <f t="shared" ref="AE29:AE30" si="15">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34"/>
      <c r="AG29" s="135"/>
      <c r="AH29" s="136"/>
      <c r="AI29" s="137"/>
      <c r="AJ29" s="137"/>
      <c r="AK29" s="135"/>
      <c r="AL29" s="13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151.5" customHeight="1" x14ac:dyDescent="0.3">
      <c r="A30" s="230"/>
      <c r="B30" s="233"/>
      <c r="C30" s="233"/>
      <c r="D30" s="233"/>
      <c r="E30" s="142"/>
      <c r="F30" s="236"/>
      <c r="G30" s="233"/>
      <c r="H30" s="142"/>
      <c r="I30" s="239"/>
      <c r="J30" s="242"/>
      <c r="K30" s="224"/>
      <c r="L30" s="245"/>
      <c r="M30" s="224">
        <f ca="1">IF(NOT(ISERROR(MATCH(L30,_xlfn.ANCHORARRAY(F41),0))),K43&amp;"Por favor no seleccionar los criterios de impacto",L30)</f>
        <v>0</v>
      </c>
      <c r="N30" s="242"/>
      <c r="O30" s="224"/>
      <c r="P30" s="227"/>
      <c r="Q30" s="125">
        <v>6</v>
      </c>
      <c r="R30" s="126"/>
      <c r="S30" s="127" t="str">
        <f t="shared" si="12"/>
        <v/>
      </c>
      <c r="T30" s="128"/>
      <c r="U30" s="128"/>
      <c r="V30" s="129" t="str">
        <f t="shared" si="9"/>
        <v/>
      </c>
      <c r="W30" s="128"/>
      <c r="X30" s="128"/>
      <c r="Y30" s="128"/>
      <c r="Z30" s="130" t="str">
        <f t="shared" si="13"/>
        <v/>
      </c>
      <c r="AA30" s="131" t="str">
        <f>IFERROR(IF(Z30="","",IF(Z30&lt;=0.2,"Muy Baja",IF(Z30&lt;=0.4,"Baja",IF(Z30&lt;=0.6,"Media",IF(Z30&lt;=0.8,"Alta","Muy Alta"))))),"")</f>
        <v/>
      </c>
      <c r="AB30" s="132" t="str">
        <f t="shared" si="10"/>
        <v/>
      </c>
      <c r="AC30" s="131" t="str">
        <f>IFERROR(IF(AD30="","",IF(AD30&lt;=0.2,"Leve",IF(AD30&lt;=0.4,"Menor",IF(AD30&lt;=0.6,"Moderado",IF(AD30&lt;=0.8,"Mayor","Catastrófico"))))),"")</f>
        <v/>
      </c>
      <c r="AD30" s="132" t="str">
        <f t="shared" si="14"/>
        <v/>
      </c>
      <c r="AE30" s="133" t="str">
        <f t="shared" si="15"/>
        <v/>
      </c>
      <c r="AF30" s="134"/>
      <c r="AG30" s="135"/>
      <c r="AH30" s="136"/>
      <c r="AI30" s="137"/>
      <c r="AJ30" s="137"/>
      <c r="AK30" s="135"/>
      <c r="AL30" s="13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151.5" customHeight="1" x14ac:dyDescent="0.3">
      <c r="A31" s="228">
        <v>5</v>
      </c>
      <c r="B31" s="231"/>
      <c r="C31" s="231"/>
      <c r="D31" s="231"/>
      <c r="E31" s="140"/>
      <c r="F31" s="234"/>
      <c r="G31" s="231"/>
      <c r="H31" s="140"/>
      <c r="I31" s="237"/>
      <c r="J31" s="240" t="str">
        <f>IF(I31&lt;=0,"",IF(I31&lt;=2,"Muy Baja",IF(I31&lt;=24,"Baja",IF(I31&lt;=500,"Media",IF(I31&lt;=5000,"Alta","Muy Alta")))))</f>
        <v/>
      </c>
      <c r="K31" s="222" t="str">
        <f>IF(J31="","",IF(J31="Muy Baja",0.2,IF(J31="Baja",0.4,IF(J31="Media",0.6,IF(J31="Alta",0.8,IF(J31="Muy Alta",1,))))))</f>
        <v/>
      </c>
      <c r="L31" s="243"/>
      <c r="M31" s="222">
        <f ca="1">IF(NOT(ISERROR(MATCH(L31,'Tabla Impacto'!$B$221:$B$223,0))),'Tabla Impacto'!$F$223&amp;"Por favor no seleccionar los criterios de impacto(Afectación Económica o presupuestal y Pérdida Reputacional)",L31)</f>
        <v>0</v>
      </c>
      <c r="N31" s="240" t="str">
        <f ca="1">IF(OR(M31='Tabla Impacto'!$C$11,M31='Tabla Impacto'!$D$11),"Leve",IF(OR(M31='Tabla Impacto'!$C$12,M31='Tabla Impacto'!$D$12),"Menor",IF(OR(M31='Tabla Impacto'!$C$13,M31='Tabla Impacto'!$D$13),"Moderado",IF(OR(M31='Tabla Impacto'!$C$14,M31='Tabla Impacto'!$D$14),"Mayor",IF(OR(M31='Tabla Impacto'!$C$15,M31='Tabla Impacto'!$D$15),"Catastrófico","")))))</f>
        <v/>
      </c>
      <c r="O31" s="222" t="str">
        <f ca="1">IF(N31="","",IF(N31="Leve",0.2,IF(N31="Menor",0.4,IF(N31="Moderado",0.6,IF(N31="Mayor",0.8,IF(N31="Catastrófico",1,))))))</f>
        <v/>
      </c>
      <c r="P31" s="225" t="str">
        <f ca="1">IF(OR(AND(J31="Muy Baja",N31="Leve"),AND(J31="Muy Baja",N31="Menor"),AND(J31="Baja",N31="Leve")),"Bajo",IF(OR(AND(J31="Muy baja",N31="Moderado"),AND(J31="Baja",N31="Menor"),AND(J31="Baja",N31="Moderado"),AND(J31="Media",N31="Leve"),AND(J31="Media",N31="Menor"),AND(J31="Media",N31="Moderado"),AND(J31="Alta",N31="Leve"),AND(J31="Alta",N31="Menor")),"Moderado",IF(OR(AND(J31="Muy Baja",N31="Mayor"),AND(J31="Baja",N31="Mayor"),AND(J31="Media",N31="Mayor"),AND(J31="Alta",N31="Moderado"),AND(J31="Alta",N31="Mayor"),AND(J31="Muy Alta",N31="Leve"),AND(J31="Muy Alta",N31="Menor"),AND(J31="Muy Alta",N31="Moderado"),AND(J31="Muy Alta",N31="Mayor")),"Alto",IF(OR(AND(J31="Muy Baja",N31="Catastrófico"),AND(J31="Baja",N31="Catastrófico"),AND(J31="Media",N31="Catastrófico"),AND(J31="Alta",N31="Catastrófico"),AND(J31="Muy Alta",N31="Catastrófico")),"Extremo",""))))</f>
        <v/>
      </c>
      <c r="Q31" s="125">
        <v>1</v>
      </c>
      <c r="R31" s="126"/>
      <c r="S31" s="127" t="str">
        <f>IF(OR(T31="Preventivo",T31="Detectivo"),"Probabilidad",IF(T31="Correctivo","Impacto",""))</f>
        <v/>
      </c>
      <c r="T31" s="128"/>
      <c r="U31" s="128"/>
      <c r="V31" s="129" t="str">
        <f>IF(AND(T31="Preventivo",U31="Automático"),"50%",IF(AND(T31="Preventivo",U31="Manual"),"40%",IF(AND(T31="Detectivo",U31="Automático"),"40%",IF(AND(T31="Detectivo",U31="Manual"),"30%",IF(AND(T31="Correctivo",U31="Automático"),"35%",IF(AND(T31="Correctivo",U31="Manual"),"25%",""))))))</f>
        <v/>
      </c>
      <c r="W31" s="128"/>
      <c r="X31" s="128"/>
      <c r="Y31" s="128"/>
      <c r="Z31" s="130" t="str">
        <f>IFERROR(IF(S31="Probabilidad",(K31-(+K31*V31)),IF(S31="Impacto",K31,"")),"")</f>
        <v/>
      </c>
      <c r="AA31" s="131" t="str">
        <f>IFERROR(IF(Z31="","",IF(Z31&lt;=0.2,"Muy Baja",IF(Z31&lt;=0.4,"Baja",IF(Z31&lt;=0.6,"Media",IF(Z31&lt;=0.8,"Alta","Muy Alta"))))),"")</f>
        <v/>
      </c>
      <c r="AB31" s="132" t="str">
        <f>+Z31</f>
        <v/>
      </c>
      <c r="AC31" s="131" t="str">
        <f>IFERROR(IF(AD31="","",IF(AD31&lt;=0.2,"Leve",IF(AD31&lt;=0.4,"Menor",IF(AD31&lt;=0.6,"Moderado",IF(AD31&lt;=0.8,"Mayor","Catastrófico"))))),"")</f>
        <v/>
      </c>
      <c r="AD31" s="132" t="str">
        <f>IFERROR(IF(S31="Impacto",(O31-(+O31*V31)),IF(S31="Probabilidad",O31,"")),"")</f>
        <v/>
      </c>
      <c r="AE31" s="133" t="str">
        <f>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134"/>
      <c r="AG31" s="135"/>
      <c r="AH31" s="136"/>
      <c r="AI31" s="137"/>
      <c r="AJ31" s="137"/>
      <c r="AK31" s="135"/>
      <c r="AL31" s="13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151.5" customHeight="1" x14ac:dyDescent="0.3">
      <c r="A32" s="229"/>
      <c r="B32" s="232"/>
      <c r="C32" s="232"/>
      <c r="D32" s="232"/>
      <c r="E32" s="141"/>
      <c r="F32" s="235"/>
      <c r="G32" s="232"/>
      <c r="H32" s="141"/>
      <c r="I32" s="238"/>
      <c r="J32" s="241"/>
      <c r="K32" s="223"/>
      <c r="L32" s="244"/>
      <c r="M32" s="223">
        <f ca="1">IF(NOT(ISERROR(MATCH(L32,_xlfn.ANCHORARRAY(F43),0))),K45&amp;"Por favor no seleccionar los criterios de impacto",L32)</f>
        <v>0</v>
      </c>
      <c r="N32" s="241"/>
      <c r="O32" s="223"/>
      <c r="P32" s="226"/>
      <c r="Q32" s="125">
        <v>2</v>
      </c>
      <c r="R32" s="126"/>
      <c r="S32" s="127" t="str">
        <f>IF(OR(T32="Preventivo",T32="Detectivo"),"Probabilidad",IF(T32="Correctivo","Impacto",""))</f>
        <v/>
      </c>
      <c r="T32" s="128"/>
      <c r="U32" s="128"/>
      <c r="V32" s="129" t="str">
        <f t="shared" ref="V32:V36" si="16">IF(AND(T32="Preventivo",U32="Automático"),"50%",IF(AND(T32="Preventivo",U32="Manual"),"40%",IF(AND(T32="Detectivo",U32="Automático"),"40%",IF(AND(T32="Detectivo",U32="Manual"),"30%",IF(AND(T32="Correctivo",U32="Automático"),"35%",IF(AND(T32="Correctivo",U32="Manual"),"25%",""))))))</f>
        <v/>
      </c>
      <c r="W32" s="128"/>
      <c r="X32" s="128"/>
      <c r="Y32" s="128"/>
      <c r="Z32" s="130" t="str">
        <f>IFERROR(IF(AND(S31="Probabilidad",S32="Probabilidad"),(AB31-(+AB31*V32)),IF(S32="Probabilidad",(K31-(+K31*V32)),IF(S32="Impacto",AB31,""))),"")</f>
        <v/>
      </c>
      <c r="AA32" s="131" t="str">
        <f>IFERROR(IF(Z32="","",IF(Z32&lt;=0.2,"Muy Baja",IF(Z32&lt;=0.4,"Baja",IF(Z32&lt;=0.6,"Media",IF(Z32&lt;=0.8,"Alta","Muy Alta"))))),"")</f>
        <v/>
      </c>
      <c r="AB32" s="132" t="str">
        <f t="shared" ref="AB32:AB36" si="17">+Z32</f>
        <v/>
      </c>
      <c r="AC32" s="131" t="str">
        <f>IFERROR(IF(AD32="","",IF(AD32&lt;=0.2,"Leve",IF(AD32&lt;=0.4,"Menor",IF(AD32&lt;=0.6,"Moderado",IF(AD32&lt;=0.8,"Mayor","Catastrófico"))))),"")</f>
        <v/>
      </c>
      <c r="AD32" s="132" t="str">
        <f>IFERROR(IF(AND(S31="Impacto",S32="Impacto"),(AD25-(+AD25*V32)),IF(S32="Impacto",($O$31-(+$O$31*V32)),IF(S32="Probabilidad",AD25,""))),"")</f>
        <v/>
      </c>
      <c r="AE32" s="133" t="str">
        <f t="shared" ref="AE32:AE33" si="18">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34"/>
      <c r="AG32" s="135"/>
      <c r="AH32" s="136"/>
      <c r="AI32" s="137"/>
      <c r="AJ32" s="137"/>
      <c r="AK32" s="135"/>
      <c r="AL32" s="13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151.5" customHeight="1" x14ac:dyDescent="0.3">
      <c r="A33" s="229"/>
      <c r="B33" s="232"/>
      <c r="C33" s="232"/>
      <c r="D33" s="232"/>
      <c r="E33" s="141"/>
      <c r="F33" s="235"/>
      <c r="G33" s="232"/>
      <c r="H33" s="141"/>
      <c r="I33" s="238"/>
      <c r="J33" s="241"/>
      <c r="K33" s="223"/>
      <c r="L33" s="244"/>
      <c r="M33" s="223">
        <f ca="1">IF(NOT(ISERROR(MATCH(L33,_xlfn.ANCHORARRAY(F44),0))),K46&amp;"Por favor no seleccionar los criterios de impacto",L33)</f>
        <v>0</v>
      </c>
      <c r="N33" s="241"/>
      <c r="O33" s="223"/>
      <c r="P33" s="226"/>
      <c r="Q33" s="125">
        <v>3</v>
      </c>
      <c r="R33" s="138"/>
      <c r="S33" s="127" t="str">
        <f>IF(OR(T33="Preventivo",T33="Detectivo"),"Probabilidad",IF(T33="Correctivo","Impacto",""))</f>
        <v/>
      </c>
      <c r="T33" s="128"/>
      <c r="U33" s="128"/>
      <c r="V33" s="129" t="str">
        <f t="shared" si="16"/>
        <v/>
      </c>
      <c r="W33" s="128"/>
      <c r="X33" s="128"/>
      <c r="Y33" s="128"/>
      <c r="Z33" s="130" t="str">
        <f>IFERROR(IF(AND(S32="Probabilidad",S33="Probabilidad"),(AB32-(+AB32*V33)),IF(AND(S32="Impacto",S33="Probabilidad"),(AB31-(+AB31*V33)),IF(S33="Impacto",AB32,""))),"")</f>
        <v/>
      </c>
      <c r="AA33" s="131" t="str">
        <f>IFERROR(IF(Z33="","",IF(Z33&lt;=0.2,"Muy Baja",IF(Z33&lt;=0.4,"Baja",IF(Z33&lt;=0.6,"Media",IF(Z33&lt;=0.8,"Alta","Muy Alta"))))),"")</f>
        <v/>
      </c>
      <c r="AB33" s="132" t="str">
        <f t="shared" si="17"/>
        <v/>
      </c>
      <c r="AC33" s="131" t="str">
        <f>IFERROR(IF(AD33="","",IF(AD33&lt;=0.2,"Leve",IF(AD33&lt;=0.4,"Menor",IF(AD33&lt;=0.6,"Moderado",IF(AD33&lt;=0.8,"Mayor","Catastrófico"))))),"")</f>
        <v/>
      </c>
      <c r="AD33" s="132" t="str">
        <f>IFERROR(IF(AND(S32="Impacto",S33="Impacto"),(AD32-(+AD32*V33)),IF(AND(S32="Probabilidad",S33="Impacto"),(AD31-(+AD31*V33)),IF(S33="Probabilidad",AD32,""))),"")</f>
        <v/>
      </c>
      <c r="AE33" s="133" t="str">
        <f t="shared" si="18"/>
        <v/>
      </c>
      <c r="AF33" s="134"/>
      <c r="AG33" s="135"/>
      <c r="AH33" s="136"/>
      <c r="AI33" s="137"/>
      <c r="AJ33" s="137"/>
      <c r="AK33" s="135"/>
      <c r="AL33" s="13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151.5" customHeight="1" x14ac:dyDescent="0.3">
      <c r="A34" s="229"/>
      <c r="B34" s="232"/>
      <c r="C34" s="232"/>
      <c r="D34" s="232"/>
      <c r="E34" s="141"/>
      <c r="F34" s="235"/>
      <c r="G34" s="232"/>
      <c r="H34" s="141"/>
      <c r="I34" s="238"/>
      <c r="J34" s="241"/>
      <c r="K34" s="223"/>
      <c r="L34" s="244"/>
      <c r="M34" s="223">
        <f ca="1">IF(NOT(ISERROR(MATCH(L34,_xlfn.ANCHORARRAY(F45),0))),K47&amp;"Por favor no seleccionar los criterios de impacto",L34)</f>
        <v>0</v>
      </c>
      <c r="N34" s="241"/>
      <c r="O34" s="223"/>
      <c r="P34" s="226"/>
      <c r="Q34" s="125">
        <v>4</v>
      </c>
      <c r="R34" s="126"/>
      <c r="S34" s="127" t="str">
        <f t="shared" ref="S34:S36" si="19">IF(OR(T34="Preventivo",T34="Detectivo"),"Probabilidad",IF(T34="Correctivo","Impacto",""))</f>
        <v/>
      </c>
      <c r="T34" s="128"/>
      <c r="U34" s="128"/>
      <c r="V34" s="129" t="str">
        <f t="shared" si="16"/>
        <v/>
      </c>
      <c r="W34" s="128"/>
      <c r="X34" s="128"/>
      <c r="Y34" s="128"/>
      <c r="Z34" s="130" t="str">
        <f t="shared" ref="Z34:Z36" si="20">IFERROR(IF(AND(S33="Probabilidad",S34="Probabilidad"),(AB33-(+AB33*V34)),IF(AND(S33="Impacto",S34="Probabilidad"),(AB32-(+AB32*V34)),IF(S34="Impacto",AB33,""))),"")</f>
        <v/>
      </c>
      <c r="AA34" s="131" t="str">
        <f>IFERROR(IF(Z34="","",IF(Z34&lt;=0.2,"Muy Baja",IF(Z34&lt;=0.4,"Baja",IF(Z34&lt;=0.6,"Media",IF(Z34&lt;=0.8,"Alta","Muy Alta"))))),"")</f>
        <v/>
      </c>
      <c r="AB34" s="132" t="str">
        <f t="shared" si="17"/>
        <v/>
      </c>
      <c r="AC34" s="131" t="str">
        <f>IFERROR(IF(AD34="","",IF(AD34&lt;=0.2,"Leve",IF(AD34&lt;=0.4,"Menor",IF(AD34&lt;=0.6,"Moderado",IF(AD34&lt;=0.8,"Mayor","Catastrófico"))))),"")</f>
        <v/>
      </c>
      <c r="AD34" s="132" t="str">
        <f t="shared" ref="AD34:AD36" si="21">IFERROR(IF(AND(S33="Impacto",S34="Impacto"),(AD33-(+AD33*V34)),IF(AND(S33="Probabilidad",S34="Impacto"),(AD32-(+AD32*V34)),IF(S34="Probabilidad",AD33,""))),"")</f>
        <v/>
      </c>
      <c r="AE34" s="133" t="str">
        <f>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34"/>
      <c r="AG34" s="135"/>
      <c r="AH34" s="136"/>
      <c r="AI34" s="137"/>
      <c r="AJ34" s="137"/>
      <c r="AK34" s="135"/>
      <c r="AL34" s="13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151.5" customHeight="1" x14ac:dyDescent="0.3">
      <c r="A35" s="229"/>
      <c r="B35" s="232"/>
      <c r="C35" s="232"/>
      <c r="D35" s="232"/>
      <c r="E35" s="141"/>
      <c r="F35" s="235"/>
      <c r="G35" s="232"/>
      <c r="H35" s="141"/>
      <c r="I35" s="238"/>
      <c r="J35" s="241"/>
      <c r="K35" s="223"/>
      <c r="L35" s="244"/>
      <c r="M35" s="223">
        <f ca="1">IF(NOT(ISERROR(MATCH(L35,_xlfn.ANCHORARRAY(F46),0))),K48&amp;"Por favor no seleccionar los criterios de impacto",L35)</f>
        <v>0</v>
      </c>
      <c r="N35" s="241"/>
      <c r="O35" s="223"/>
      <c r="P35" s="226"/>
      <c r="Q35" s="125">
        <v>5</v>
      </c>
      <c r="R35" s="126"/>
      <c r="S35" s="127" t="str">
        <f t="shared" si="19"/>
        <v/>
      </c>
      <c r="T35" s="128"/>
      <c r="U35" s="128"/>
      <c r="V35" s="129" t="str">
        <f t="shared" si="16"/>
        <v/>
      </c>
      <c r="W35" s="128"/>
      <c r="X35" s="128"/>
      <c r="Y35" s="128"/>
      <c r="Z35" s="130" t="str">
        <f t="shared" si="20"/>
        <v/>
      </c>
      <c r="AA35" s="131" t="str">
        <f>IFERROR(IF(Z35="","",IF(Z35&lt;=0.2,"Muy Baja",IF(Z35&lt;=0.4,"Baja",IF(Z35&lt;=0.6,"Media",IF(Z35&lt;=0.8,"Alta","Muy Alta"))))),"")</f>
        <v/>
      </c>
      <c r="AB35" s="132" t="str">
        <f t="shared" si="17"/>
        <v/>
      </c>
      <c r="AC35" s="131" t="str">
        <f>IFERROR(IF(AD35="","",IF(AD35&lt;=0.2,"Leve",IF(AD35&lt;=0.4,"Menor",IF(AD35&lt;=0.6,"Moderado",IF(AD35&lt;=0.8,"Mayor","Catastrófico"))))),"")</f>
        <v/>
      </c>
      <c r="AD35" s="132" t="str">
        <f t="shared" si="21"/>
        <v/>
      </c>
      <c r="AE35" s="133" t="str">
        <f t="shared" ref="AE35:AE36" si="22">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34"/>
      <c r="AG35" s="135"/>
      <c r="AH35" s="136"/>
      <c r="AI35" s="137"/>
      <c r="AJ35" s="137"/>
      <c r="AK35" s="135"/>
      <c r="AL35" s="13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151.5" customHeight="1" x14ac:dyDescent="0.3">
      <c r="A36" s="230"/>
      <c r="B36" s="233"/>
      <c r="C36" s="233"/>
      <c r="D36" s="233"/>
      <c r="E36" s="142"/>
      <c r="F36" s="236"/>
      <c r="G36" s="233"/>
      <c r="H36" s="142"/>
      <c r="I36" s="239"/>
      <c r="J36" s="242"/>
      <c r="K36" s="224"/>
      <c r="L36" s="245"/>
      <c r="M36" s="224">
        <f ca="1">IF(NOT(ISERROR(MATCH(L36,_xlfn.ANCHORARRAY(F47),0))),K49&amp;"Por favor no seleccionar los criterios de impacto",L36)</f>
        <v>0</v>
      </c>
      <c r="N36" s="242"/>
      <c r="O36" s="224"/>
      <c r="P36" s="227"/>
      <c r="Q36" s="125">
        <v>6</v>
      </c>
      <c r="R36" s="126"/>
      <c r="S36" s="127" t="str">
        <f t="shared" si="19"/>
        <v/>
      </c>
      <c r="T36" s="128"/>
      <c r="U36" s="128"/>
      <c r="V36" s="129" t="str">
        <f t="shared" si="16"/>
        <v/>
      </c>
      <c r="W36" s="128"/>
      <c r="X36" s="128"/>
      <c r="Y36" s="128"/>
      <c r="Z36" s="130" t="str">
        <f t="shared" si="20"/>
        <v/>
      </c>
      <c r="AA36" s="131" t="str">
        <f>IFERROR(IF(Z36="","",IF(Z36&lt;=0.2,"Muy Baja",IF(Z36&lt;=0.4,"Baja",IF(Z36&lt;=0.6,"Media",IF(Z36&lt;=0.8,"Alta","Muy Alta"))))),"")</f>
        <v/>
      </c>
      <c r="AB36" s="132" t="str">
        <f t="shared" si="17"/>
        <v/>
      </c>
      <c r="AC36" s="131" t="str">
        <f>IFERROR(IF(AD36="","",IF(AD36&lt;=0.2,"Leve",IF(AD36&lt;=0.4,"Menor",IF(AD36&lt;=0.6,"Moderado",IF(AD36&lt;=0.8,"Mayor","Catastrófico"))))),"")</f>
        <v/>
      </c>
      <c r="AD36" s="132" t="str">
        <f t="shared" si="21"/>
        <v/>
      </c>
      <c r="AE36" s="133" t="str">
        <f t="shared" si="22"/>
        <v/>
      </c>
      <c r="AF36" s="134"/>
      <c r="AG36" s="135"/>
      <c r="AH36" s="136"/>
      <c r="AI36" s="137"/>
      <c r="AJ36" s="137"/>
      <c r="AK36" s="135"/>
      <c r="AL36" s="13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151.5" customHeight="1" x14ac:dyDescent="0.3">
      <c r="A37" s="228">
        <v>6</v>
      </c>
      <c r="B37" s="231"/>
      <c r="C37" s="231"/>
      <c r="D37" s="231"/>
      <c r="E37" s="140"/>
      <c r="F37" s="234"/>
      <c r="G37" s="231"/>
      <c r="H37" s="140"/>
      <c r="I37" s="237"/>
      <c r="J37" s="240" t="str">
        <f>IF(I37&lt;=0,"",IF(I37&lt;=2,"Muy Baja",IF(I37&lt;=24,"Baja",IF(I37&lt;=500,"Media",IF(I37&lt;=5000,"Alta","Muy Alta")))))</f>
        <v/>
      </c>
      <c r="K37" s="222" t="str">
        <f>IF(J37="","",IF(J37="Muy Baja",0.2,IF(J37="Baja",0.4,IF(J37="Media",0.6,IF(J37="Alta",0.8,IF(J37="Muy Alta",1,))))))</f>
        <v/>
      </c>
      <c r="L37" s="243"/>
      <c r="M37" s="222">
        <f ca="1">IF(NOT(ISERROR(MATCH(L37,'Tabla Impacto'!$B$221:$B$223,0))),'Tabla Impacto'!$F$223&amp;"Por favor no seleccionar los criterios de impacto(Afectación Económica o presupuestal y Pérdida Reputacional)",L37)</f>
        <v>0</v>
      </c>
      <c r="N37" s="240" t="str">
        <f ca="1">IF(OR(M37='Tabla Impacto'!$C$11,M37='Tabla Impacto'!$D$11),"Leve",IF(OR(M37='Tabla Impacto'!$C$12,M37='Tabla Impacto'!$D$12),"Menor",IF(OR(M37='Tabla Impacto'!$C$13,M37='Tabla Impacto'!$D$13),"Moderado",IF(OR(M37='Tabla Impacto'!$C$14,M37='Tabla Impacto'!$D$14),"Mayor",IF(OR(M37='Tabla Impacto'!$C$15,M37='Tabla Impacto'!$D$15),"Catastrófico","")))))</f>
        <v/>
      </c>
      <c r="O37" s="222" t="str">
        <f ca="1">IF(N37="","",IF(N37="Leve",0.2,IF(N37="Menor",0.4,IF(N37="Moderado",0.6,IF(N37="Mayor",0.8,IF(N37="Catastrófico",1,))))))</f>
        <v/>
      </c>
      <c r="P37" s="225" t="str">
        <f ca="1">IF(OR(AND(J37="Muy Baja",N37="Leve"),AND(J37="Muy Baja",N37="Menor"),AND(J37="Baja",N37="Leve")),"Bajo",IF(OR(AND(J37="Muy baja",N37="Moderado"),AND(J37="Baja",N37="Menor"),AND(J37="Baja",N37="Moderado"),AND(J37="Media",N37="Leve"),AND(J37="Media",N37="Menor"),AND(J37="Media",N37="Moderado"),AND(J37="Alta",N37="Leve"),AND(J37="Alta",N37="Menor")),"Moderado",IF(OR(AND(J37="Muy Baja",N37="Mayor"),AND(J37="Baja",N37="Mayor"),AND(J37="Media",N37="Mayor"),AND(J37="Alta",N37="Moderado"),AND(J37="Alta",N37="Mayor"),AND(J37="Muy Alta",N37="Leve"),AND(J37="Muy Alta",N37="Menor"),AND(J37="Muy Alta",N37="Moderado"),AND(J37="Muy Alta",N37="Mayor")),"Alto",IF(OR(AND(J37="Muy Baja",N37="Catastrófico"),AND(J37="Baja",N37="Catastrófico"),AND(J37="Media",N37="Catastrófico"),AND(J37="Alta",N37="Catastrófico"),AND(J37="Muy Alta",N37="Catastrófico")),"Extremo",""))))</f>
        <v/>
      </c>
      <c r="Q37" s="125">
        <v>1</v>
      </c>
      <c r="R37" s="126"/>
      <c r="S37" s="127" t="str">
        <f>IF(OR(T37="Preventivo",T37="Detectivo"),"Probabilidad",IF(T37="Correctivo","Impacto",""))</f>
        <v/>
      </c>
      <c r="T37" s="128"/>
      <c r="U37" s="128"/>
      <c r="V37" s="129" t="str">
        <f>IF(AND(T37="Preventivo",U37="Automático"),"50%",IF(AND(T37="Preventivo",U37="Manual"),"40%",IF(AND(T37="Detectivo",U37="Automático"),"40%",IF(AND(T37="Detectivo",U37="Manual"),"30%",IF(AND(T37="Correctivo",U37="Automático"),"35%",IF(AND(T37="Correctivo",U37="Manual"),"25%",""))))))</f>
        <v/>
      </c>
      <c r="W37" s="128"/>
      <c r="X37" s="128"/>
      <c r="Y37" s="128"/>
      <c r="Z37" s="130" t="str">
        <f>IFERROR(IF(S37="Probabilidad",(K37-(+K37*V37)),IF(S37="Impacto",K37,"")),"")</f>
        <v/>
      </c>
      <c r="AA37" s="131" t="str">
        <f>IFERROR(IF(Z37="","",IF(Z37&lt;=0.2,"Muy Baja",IF(Z37&lt;=0.4,"Baja",IF(Z37&lt;=0.6,"Media",IF(Z37&lt;=0.8,"Alta","Muy Alta"))))),"")</f>
        <v/>
      </c>
      <c r="AB37" s="132" t="str">
        <f>+Z37</f>
        <v/>
      </c>
      <c r="AC37" s="131" t="str">
        <f>IFERROR(IF(AD37="","",IF(AD37&lt;=0.2,"Leve",IF(AD37&lt;=0.4,"Menor",IF(AD37&lt;=0.6,"Moderado",IF(AD37&lt;=0.8,"Mayor","Catastrófico"))))),"")</f>
        <v/>
      </c>
      <c r="AD37" s="132" t="str">
        <f>IFERROR(IF(S37="Impacto",(O37-(+O37*V37)),IF(S37="Probabilidad",O37,"")),"")</f>
        <v/>
      </c>
      <c r="AE37" s="133" t="str">
        <f>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134"/>
      <c r="AG37" s="135"/>
      <c r="AH37" s="136"/>
      <c r="AI37" s="137"/>
      <c r="AJ37" s="137"/>
      <c r="AK37" s="135"/>
      <c r="AL37" s="13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151.5" customHeight="1" x14ac:dyDescent="0.3">
      <c r="A38" s="229"/>
      <c r="B38" s="232"/>
      <c r="C38" s="232"/>
      <c r="D38" s="232"/>
      <c r="E38" s="141"/>
      <c r="F38" s="235"/>
      <c r="G38" s="232"/>
      <c r="H38" s="141"/>
      <c r="I38" s="238"/>
      <c r="J38" s="241"/>
      <c r="K38" s="223"/>
      <c r="L38" s="244"/>
      <c r="M38" s="223">
        <f ca="1">IF(NOT(ISERROR(MATCH(L38,_xlfn.ANCHORARRAY(F49),0))),K51&amp;"Por favor no seleccionar los criterios de impacto",L38)</f>
        <v>0</v>
      </c>
      <c r="N38" s="241"/>
      <c r="O38" s="223"/>
      <c r="P38" s="226"/>
      <c r="Q38" s="125">
        <v>2</v>
      </c>
      <c r="R38" s="126"/>
      <c r="S38" s="127" t="str">
        <f>IF(OR(T38="Preventivo",T38="Detectivo"),"Probabilidad",IF(T38="Correctivo","Impacto",""))</f>
        <v/>
      </c>
      <c r="T38" s="128"/>
      <c r="U38" s="128"/>
      <c r="V38" s="129" t="str">
        <f t="shared" ref="V38:V42" si="23">IF(AND(T38="Preventivo",U38="Automático"),"50%",IF(AND(T38="Preventivo",U38="Manual"),"40%",IF(AND(T38="Detectivo",U38="Automático"),"40%",IF(AND(T38="Detectivo",U38="Manual"),"30%",IF(AND(T38="Correctivo",U38="Automático"),"35%",IF(AND(T38="Correctivo",U38="Manual"),"25%",""))))))</f>
        <v/>
      </c>
      <c r="W38" s="128"/>
      <c r="X38" s="128"/>
      <c r="Y38" s="128"/>
      <c r="Z38" s="130" t="str">
        <f>IFERROR(IF(AND(S37="Probabilidad",S38="Probabilidad"),(AB37-(+AB37*V38)),IF(S38="Probabilidad",(K37-(+K37*V38)),IF(S38="Impacto",AB37,""))),"")</f>
        <v/>
      </c>
      <c r="AA38" s="131" t="str">
        <f>IFERROR(IF(Z38="","",IF(Z38&lt;=0.2,"Muy Baja",IF(Z38&lt;=0.4,"Baja",IF(Z38&lt;=0.6,"Media",IF(Z38&lt;=0.8,"Alta","Muy Alta"))))),"")</f>
        <v/>
      </c>
      <c r="AB38" s="132" t="str">
        <f t="shared" ref="AB38:AB42" si="24">+Z38</f>
        <v/>
      </c>
      <c r="AC38" s="131" t="str">
        <f>IFERROR(IF(AD38="","",IF(AD38&lt;=0.2,"Leve",IF(AD38&lt;=0.4,"Menor",IF(AD38&lt;=0.6,"Moderado",IF(AD38&lt;=0.8,"Mayor","Catastrófico"))))),"")</f>
        <v/>
      </c>
      <c r="AD38" s="132" t="str">
        <f>IFERROR(IF(AND(S37="Impacto",S38="Impacto"),(AD31-(+AD31*V38)),IF(S38="Impacto",($O$37-(+$O$37*V38)),IF(S38="Probabilidad",AD31,""))),"")</f>
        <v/>
      </c>
      <c r="AE38" s="133" t="str">
        <f t="shared" ref="AE38:AE39" si="25">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34"/>
      <c r="AG38" s="135"/>
      <c r="AH38" s="136"/>
      <c r="AI38" s="137"/>
      <c r="AJ38" s="137"/>
      <c r="AK38" s="135"/>
      <c r="AL38" s="13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151.5" customHeight="1" x14ac:dyDescent="0.3">
      <c r="A39" s="229"/>
      <c r="B39" s="232"/>
      <c r="C39" s="232"/>
      <c r="D39" s="232"/>
      <c r="E39" s="141"/>
      <c r="F39" s="235"/>
      <c r="G39" s="232"/>
      <c r="H39" s="141"/>
      <c r="I39" s="238"/>
      <c r="J39" s="241"/>
      <c r="K39" s="223"/>
      <c r="L39" s="244"/>
      <c r="M39" s="223">
        <f ca="1">IF(NOT(ISERROR(MATCH(L39,_xlfn.ANCHORARRAY(F50),0))),K52&amp;"Por favor no seleccionar los criterios de impacto",L39)</f>
        <v>0</v>
      </c>
      <c r="N39" s="241"/>
      <c r="O39" s="223"/>
      <c r="P39" s="226"/>
      <c r="Q39" s="125">
        <v>3</v>
      </c>
      <c r="R39" s="138"/>
      <c r="S39" s="127" t="str">
        <f>IF(OR(T39="Preventivo",T39="Detectivo"),"Probabilidad",IF(T39="Correctivo","Impacto",""))</f>
        <v/>
      </c>
      <c r="T39" s="128"/>
      <c r="U39" s="128"/>
      <c r="V39" s="129" t="str">
        <f t="shared" si="23"/>
        <v/>
      </c>
      <c r="W39" s="128"/>
      <c r="X39" s="128"/>
      <c r="Y39" s="128"/>
      <c r="Z39" s="130" t="str">
        <f>IFERROR(IF(AND(S38="Probabilidad",S39="Probabilidad"),(AB38-(+AB38*V39)),IF(AND(S38="Impacto",S39="Probabilidad"),(AB37-(+AB37*V39)),IF(S39="Impacto",AB38,""))),"")</f>
        <v/>
      </c>
      <c r="AA39" s="131" t="str">
        <f>IFERROR(IF(Z39="","",IF(Z39&lt;=0.2,"Muy Baja",IF(Z39&lt;=0.4,"Baja",IF(Z39&lt;=0.6,"Media",IF(Z39&lt;=0.8,"Alta","Muy Alta"))))),"")</f>
        <v/>
      </c>
      <c r="AB39" s="132" t="str">
        <f t="shared" si="24"/>
        <v/>
      </c>
      <c r="AC39" s="131" t="str">
        <f>IFERROR(IF(AD39="","",IF(AD39&lt;=0.2,"Leve",IF(AD39&lt;=0.4,"Menor",IF(AD39&lt;=0.6,"Moderado",IF(AD39&lt;=0.8,"Mayor","Catastrófico"))))),"")</f>
        <v/>
      </c>
      <c r="AD39" s="132" t="str">
        <f>IFERROR(IF(AND(S38="Impacto",S39="Impacto"),(AD38-(+AD38*V39)),IF(AND(S38="Probabilidad",S39="Impacto"),(AD37-(+AD37*V39)),IF(S39="Probabilidad",AD38,""))),"")</f>
        <v/>
      </c>
      <c r="AE39" s="133" t="str">
        <f t="shared" si="25"/>
        <v/>
      </c>
      <c r="AF39" s="134"/>
      <c r="AG39" s="135"/>
      <c r="AH39" s="136"/>
      <c r="AI39" s="137"/>
      <c r="AJ39" s="137"/>
      <c r="AK39" s="135"/>
      <c r="AL39" s="13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151.5" customHeight="1" x14ac:dyDescent="0.3">
      <c r="A40" s="229"/>
      <c r="B40" s="232"/>
      <c r="C40" s="232"/>
      <c r="D40" s="232"/>
      <c r="E40" s="141"/>
      <c r="F40" s="235"/>
      <c r="G40" s="232"/>
      <c r="H40" s="141"/>
      <c r="I40" s="238"/>
      <c r="J40" s="241"/>
      <c r="K40" s="223"/>
      <c r="L40" s="244"/>
      <c r="M40" s="223">
        <f ca="1">IF(NOT(ISERROR(MATCH(L40,_xlfn.ANCHORARRAY(F51),0))),K53&amp;"Por favor no seleccionar los criterios de impacto",L40)</f>
        <v>0</v>
      </c>
      <c r="N40" s="241"/>
      <c r="O40" s="223"/>
      <c r="P40" s="226"/>
      <c r="Q40" s="125">
        <v>4</v>
      </c>
      <c r="R40" s="126"/>
      <c r="S40" s="127" t="str">
        <f t="shared" ref="S40:S42" si="26">IF(OR(T40="Preventivo",T40="Detectivo"),"Probabilidad",IF(T40="Correctivo","Impacto",""))</f>
        <v/>
      </c>
      <c r="T40" s="128"/>
      <c r="U40" s="128"/>
      <c r="V40" s="129" t="str">
        <f t="shared" si="23"/>
        <v/>
      </c>
      <c r="W40" s="128"/>
      <c r="X40" s="128"/>
      <c r="Y40" s="128"/>
      <c r="Z40" s="130" t="str">
        <f t="shared" ref="Z40:Z42" si="27">IFERROR(IF(AND(S39="Probabilidad",S40="Probabilidad"),(AB39-(+AB39*V40)),IF(AND(S39="Impacto",S40="Probabilidad"),(AB38-(+AB38*V40)),IF(S40="Impacto",AB39,""))),"")</f>
        <v/>
      </c>
      <c r="AA40" s="131" t="str">
        <f>IFERROR(IF(Z40="","",IF(Z40&lt;=0.2,"Muy Baja",IF(Z40&lt;=0.4,"Baja",IF(Z40&lt;=0.6,"Media",IF(Z40&lt;=0.8,"Alta","Muy Alta"))))),"")</f>
        <v/>
      </c>
      <c r="AB40" s="132" t="str">
        <f t="shared" si="24"/>
        <v/>
      </c>
      <c r="AC40" s="131" t="str">
        <f>IFERROR(IF(AD40="","",IF(AD40&lt;=0.2,"Leve",IF(AD40&lt;=0.4,"Menor",IF(AD40&lt;=0.6,"Moderado",IF(AD40&lt;=0.8,"Mayor","Catastrófico"))))),"")</f>
        <v/>
      </c>
      <c r="AD40" s="132" t="str">
        <f t="shared" ref="AD40:AD42" si="28">IFERROR(IF(AND(S39="Impacto",S40="Impacto"),(AD39-(+AD39*V40)),IF(AND(S39="Probabilidad",S40="Impacto"),(AD38-(+AD38*V40)),IF(S40="Probabilidad",AD39,""))),"")</f>
        <v/>
      </c>
      <c r="AE40" s="133"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34"/>
      <c r="AG40" s="135"/>
      <c r="AH40" s="136"/>
      <c r="AI40" s="137"/>
      <c r="AJ40" s="137"/>
      <c r="AK40" s="135"/>
      <c r="AL40" s="13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151.5" customHeight="1" x14ac:dyDescent="0.3">
      <c r="A41" s="229"/>
      <c r="B41" s="232"/>
      <c r="C41" s="232"/>
      <c r="D41" s="232"/>
      <c r="E41" s="141"/>
      <c r="F41" s="235"/>
      <c r="G41" s="232"/>
      <c r="H41" s="141"/>
      <c r="I41" s="238"/>
      <c r="J41" s="241"/>
      <c r="K41" s="223"/>
      <c r="L41" s="244"/>
      <c r="M41" s="223">
        <f ca="1">IF(NOT(ISERROR(MATCH(L41,_xlfn.ANCHORARRAY(F52),0))),K54&amp;"Por favor no seleccionar los criterios de impacto",L41)</f>
        <v>0</v>
      </c>
      <c r="N41" s="241"/>
      <c r="O41" s="223"/>
      <c r="P41" s="226"/>
      <c r="Q41" s="125">
        <v>5</v>
      </c>
      <c r="R41" s="126"/>
      <c r="S41" s="127" t="str">
        <f t="shared" si="26"/>
        <v/>
      </c>
      <c r="T41" s="128"/>
      <c r="U41" s="128"/>
      <c r="V41" s="129" t="str">
        <f t="shared" si="23"/>
        <v/>
      </c>
      <c r="W41" s="128"/>
      <c r="X41" s="128"/>
      <c r="Y41" s="128"/>
      <c r="Z41" s="130" t="str">
        <f t="shared" si="27"/>
        <v/>
      </c>
      <c r="AA41" s="131" t="str">
        <f>IFERROR(IF(Z41="","",IF(Z41&lt;=0.2,"Muy Baja",IF(Z41&lt;=0.4,"Baja",IF(Z41&lt;=0.6,"Media",IF(Z41&lt;=0.8,"Alta","Muy Alta"))))),"")</f>
        <v/>
      </c>
      <c r="AB41" s="132" t="str">
        <f t="shared" si="24"/>
        <v/>
      </c>
      <c r="AC41" s="131" t="str">
        <f>IFERROR(IF(AD41="","",IF(AD41&lt;=0.2,"Leve",IF(AD41&lt;=0.4,"Menor",IF(AD41&lt;=0.6,"Moderado",IF(AD41&lt;=0.8,"Mayor","Catastrófico"))))),"")</f>
        <v/>
      </c>
      <c r="AD41" s="132" t="str">
        <f t="shared" si="28"/>
        <v/>
      </c>
      <c r="AE41" s="133" t="str">
        <f t="shared" ref="AE41" si="29">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34"/>
      <c r="AG41" s="135"/>
      <c r="AH41" s="136"/>
      <c r="AI41" s="137"/>
      <c r="AJ41" s="137"/>
      <c r="AK41" s="135"/>
      <c r="AL41" s="13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151.5" customHeight="1" x14ac:dyDescent="0.3">
      <c r="A42" s="230"/>
      <c r="B42" s="233"/>
      <c r="C42" s="233"/>
      <c r="D42" s="233"/>
      <c r="E42" s="142"/>
      <c r="F42" s="236"/>
      <c r="G42" s="233"/>
      <c r="H42" s="142"/>
      <c r="I42" s="239"/>
      <c r="J42" s="242"/>
      <c r="K42" s="224"/>
      <c r="L42" s="245"/>
      <c r="M42" s="224">
        <f ca="1">IF(NOT(ISERROR(MATCH(L42,_xlfn.ANCHORARRAY(F53),0))),K55&amp;"Por favor no seleccionar los criterios de impacto",L42)</f>
        <v>0</v>
      </c>
      <c r="N42" s="242"/>
      <c r="O42" s="224"/>
      <c r="P42" s="227"/>
      <c r="Q42" s="125">
        <v>6</v>
      </c>
      <c r="R42" s="126"/>
      <c r="S42" s="127" t="str">
        <f t="shared" si="26"/>
        <v/>
      </c>
      <c r="T42" s="128"/>
      <c r="U42" s="128"/>
      <c r="V42" s="129" t="str">
        <f t="shared" si="23"/>
        <v/>
      </c>
      <c r="W42" s="128"/>
      <c r="X42" s="128"/>
      <c r="Y42" s="128"/>
      <c r="Z42" s="130" t="str">
        <f t="shared" si="27"/>
        <v/>
      </c>
      <c r="AA42" s="131" t="str">
        <f>IFERROR(IF(Z42="","",IF(Z42&lt;=0.2,"Muy Baja",IF(Z42&lt;=0.4,"Baja",IF(Z42&lt;=0.6,"Media",IF(Z42&lt;=0.8,"Alta","Muy Alta"))))),"")</f>
        <v/>
      </c>
      <c r="AB42" s="132" t="str">
        <f t="shared" si="24"/>
        <v/>
      </c>
      <c r="AC42" s="131" t="str">
        <f>IFERROR(IF(AD42="","",IF(AD42&lt;=0.2,"Leve",IF(AD42&lt;=0.4,"Menor",IF(AD42&lt;=0.6,"Moderado",IF(AD42&lt;=0.8,"Mayor","Catastrófico"))))),"")</f>
        <v/>
      </c>
      <c r="AD42" s="132" t="str">
        <f t="shared" si="28"/>
        <v/>
      </c>
      <c r="AE42" s="133" t="str">
        <f>IFERROR(IF(OR(AND(AA42="Muy Baja",AC42="Leve"),AND(AA42="Muy Baja",AC42="Menor"),AND(AA42="Baja",AC42="Leve")),"Bajo",IF(OR(AND(AA42="Muy baja",AC42="Moderado"),AND(AA42="Baja",AC42="Menor"),AND(AA42="Baja",AC42="Moderado"),AND(AA42="Media",AC42="Leve"),AND(AA42="Media",AC42="Menor"),AND(AA42="Media",AC42="Moderado"),AND(AA42="Alta",AC42="Leve"),AND(AA42="Alta",AC42="Menor")),"Moderado",IF(OR(AND(AA42="Muy Baja",AC42="Mayor"),AND(AA42="Baja",AC42="Mayor"),AND(AA42="Media",AC42="Mayor"),AND(AA42="Alta",AC42="Moderado"),AND(AA42="Alta",AC42="Mayor"),AND(AA42="Muy Alta",AC42="Leve"),AND(AA42="Muy Alta",AC42="Menor"),AND(AA42="Muy Alta",AC42="Moderado"),AND(AA42="Muy Alta",AC42="Mayor")),"Alto",IF(OR(AND(AA42="Muy Baja",AC42="Catastrófico"),AND(AA42="Baja",AC42="Catastrófico"),AND(AA42="Media",AC42="Catastrófico"),AND(AA42="Alta",AC42="Catastrófico"),AND(AA42="Muy Alta",AC42="Catastrófico")),"Extremo","")))),"")</f>
        <v/>
      </c>
      <c r="AF42" s="134"/>
      <c r="AG42" s="135"/>
      <c r="AH42" s="136"/>
      <c r="AI42" s="137"/>
      <c r="AJ42" s="137"/>
      <c r="AK42" s="135"/>
      <c r="AL42" s="13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151.5" customHeight="1" x14ac:dyDescent="0.3">
      <c r="A43" s="228">
        <v>7</v>
      </c>
      <c r="B43" s="231"/>
      <c r="C43" s="231"/>
      <c r="D43" s="231"/>
      <c r="E43" s="140"/>
      <c r="F43" s="234"/>
      <c r="G43" s="231"/>
      <c r="H43" s="140"/>
      <c r="I43" s="237"/>
      <c r="J43" s="240" t="str">
        <f>IF(I43&lt;=0,"",IF(I43&lt;=2,"Muy Baja",IF(I43&lt;=24,"Baja",IF(I43&lt;=500,"Media",IF(I43&lt;=5000,"Alta","Muy Alta")))))</f>
        <v/>
      </c>
      <c r="K43" s="222" t="str">
        <f>IF(J43="","",IF(J43="Muy Baja",0.2,IF(J43="Baja",0.4,IF(J43="Media",0.6,IF(J43="Alta",0.8,IF(J43="Muy Alta",1,))))))</f>
        <v/>
      </c>
      <c r="L43" s="243"/>
      <c r="M43" s="222">
        <f ca="1">IF(NOT(ISERROR(MATCH(L43,'Tabla Impacto'!$B$221:$B$223,0))),'Tabla Impacto'!$F$223&amp;"Por favor no seleccionar los criterios de impacto(Afectación Económica o presupuestal y Pérdida Reputacional)",L43)</f>
        <v>0</v>
      </c>
      <c r="N43" s="240" t="str">
        <f ca="1">IF(OR(M43='Tabla Impacto'!$C$11,M43='Tabla Impacto'!$D$11),"Leve",IF(OR(M43='Tabla Impacto'!$C$12,M43='Tabla Impacto'!$D$12),"Menor",IF(OR(M43='Tabla Impacto'!$C$13,M43='Tabla Impacto'!$D$13),"Moderado",IF(OR(M43='Tabla Impacto'!$C$14,M43='Tabla Impacto'!$D$14),"Mayor",IF(OR(M43='Tabla Impacto'!$C$15,M43='Tabla Impacto'!$D$15),"Catastrófico","")))))</f>
        <v/>
      </c>
      <c r="O43" s="222" t="str">
        <f ca="1">IF(N43="","",IF(N43="Leve",0.2,IF(N43="Menor",0.4,IF(N43="Moderado",0.6,IF(N43="Mayor",0.8,IF(N43="Catastrófico",1,))))))</f>
        <v/>
      </c>
      <c r="P43" s="225" t="str">
        <f ca="1">IF(OR(AND(J43="Muy Baja",N43="Leve"),AND(J43="Muy Baja",N43="Menor"),AND(J43="Baja",N43="Leve")),"Bajo",IF(OR(AND(J43="Muy baja",N43="Moderado"),AND(J43="Baja",N43="Menor"),AND(J43="Baja",N43="Moderado"),AND(J43="Media",N43="Leve"),AND(J43="Media",N43="Menor"),AND(J43="Media",N43="Moderado"),AND(J43="Alta",N43="Leve"),AND(J43="Alta",N43="Menor")),"Moderado",IF(OR(AND(J43="Muy Baja",N43="Mayor"),AND(J43="Baja",N43="Mayor"),AND(J43="Media",N43="Mayor"),AND(J43="Alta",N43="Moderado"),AND(J43="Alta",N43="Mayor"),AND(J43="Muy Alta",N43="Leve"),AND(J43="Muy Alta",N43="Menor"),AND(J43="Muy Alta",N43="Moderado"),AND(J43="Muy Alta",N43="Mayor")),"Alto",IF(OR(AND(J43="Muy Baja",N43="Catastrófico"),AND(J43="Baja",N43="Catastrófico"),AND(J43="Media",N43="Catastrófico"),AND(J43="Alta",N43="Catastrófico"),AND(J43="Muy Alta",N43="Catastrófico")),"Extremo",""))))</f>
        <v/>
      </c>
      <c r="Q43" s="125">
        <v>1</v>
      </c>
      <c r="R43" s="126"/>
      <c r="S43" s="127" t="str">
        <f>IF(OR(T43="Preventivo",T43="Detectivo"),"Probabilidad",IF(T43="Correctivo","Impacto",""))</f>
        <v/>
      </c>
      <c r="T43" s="128"/>
      <c r="U43" s="128"/>
      <c r="V43" s="129" t="str">
        <f>IF(AND(T43="Preventivo",U43="Automático"),"50%",IF(AND(T43="Preventivo",U43="Manual"),"40%",IF(AND(T43="Detectivo",U43="Automático"),"40%",IF(AND(T43="Detectivo",U43="Manual"),"30%",IF(AND(T43="Correctivo",U43="Automático"),"35%",IF(AND(T43="Correctivo",U43="Manual"),"25%",""))))))</f>
        <v/>
      </c>
      <c r="W43" s="128"/>
      <c r="X43" s="128"/>
      <c r="Y43" s="128"/>
      <c r="Z43" s="130" t="str">
        <f>IFERROR(IF(S43="Probabilidad",(K43-(+K43*V43)),IF(S43="Impacto",K43,"")),"")</f>
        <v/>
      </c>
      <c r="AA43" s="131" t="str">
        <f>IFERROR(IF(Z43="","",IF(Z43&lt;=0.2,"Muy Baja",IF(Z43&lt;=0.4,"Baja",IF(Z43&lt;=0.6,"Media",IF(Z43&lt;=0.8,"Alta","Muy Alta"))))),"")</f>
        <v/>
      </c>
      <c r="AB43" s="132" t="str">
        <f>+Z43</f>
        <v/>
      </c>
      <c r="AC43" s="131" t="str">
        <f>IFERROR(IF(AD43="","",IF(AD43&lt;=0.2,"Leve",IF(AD43&lt;=0.4,"Menor",IF(AD43&lt;=0.6,"Moderado",IF(AD43&lt;=0.8,"Mayor","Catastrófico"))))),"")</f>
        <v/>
      </c>
      <c r="AD43" s="132" t="str">
        <f>IFERROR(IF(S43="Impacto",(O43-(+O43*V43)),IF(S43="Probabilidad",O43,"")),"")</f>
        <v/>
      </c>
      <c r="AE43" s="133" t="str">
        <f>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134"/>
      <c r="AG43" s="135"/>
      <c r="AH43" s="136"/>
      <c r="AI43" s="137"/>
      <c r="AJ43" s="137"/>
      <c r="AK43" s="135"/>
      <c r="AL43" s="13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151.5" customHeight="1" x14ac:dyDescent="0.3">
      <c r="A44" s="229"/>
      <c r="B44" s="232"/>
      <c r="C44" s="232"/>
      <c r="D44" s="232"/>
      <c r="E44" s="141"/>
      <c r="F44" s="235"/>
      <c r="G44" s="232"/>
      <c r="H44" s="141"/>
      <c r="I44" s="238"/>
      <c r="J44" s="241"/>
      <c r="K44" s="223"/>
      <c r="L44" s="244"/>
      <c r="M44" s="223">
        <f ca="1">IF(NOT(ISERROR(MATCH(L44,_xlfn.ANCHORARRAY(F55),0))),K57&amp;"Por favor no seleccionar los criterios de impacto",L44)</f>
        <v>0</v>
      </c>
      <c r="N44" s="241"/>
      <c r="O44" s="223"/>
      <c r="P44" s="226"/>
      <c r="Q44" s="125">
        <v>2</v>
      </c>
      <c r="R44" s="126"/>
      <c r="S44" s="127" t="str">
        <f>IF(OR(T44="Preventivo",T44="Detectivo"),"Probabilidad",IF(T44="Correctivo","Impacto",""))</f>
        <v/>
      </c>
      <c r="T44" s="128"/>
      <c r="U44" s="128"/>
      <c r="V44" s="129" t="str">
        <f t="shared" ref="V44:V48" si="30">IF(AND(T44="Preventivo",U44="Automático"),"50%",IF(AND(T44="Preventivo",U44="Manual"),"40%",IF(AND(T44="Detectivo",U44="Automático"),"40%",IF(AND(T44="Detectivo",U44="Manual"),"30%",IF(AND(T44="Correctivo",U44="Automático"),"35%",IF(AND(T44="Correctivo",U44="Manual"),"25%",""))))))</f>
        <v/>
      </c>
      <c r="W44" s="128"/>
      <c r="X44" s="128"/>
      <c r="Y44" s="128"/>
      <c r="Z44" s="130" t="str">
        <f>IFERROR(IF(AND(S43="Probabilidad",S44="Probabilidad"),(AB43-(+AB43*V44)),IF(S44="Probabilidad",(K43-(+K43*V44)),IF(S44="Impacto",AB43,""))),"")</f>
        <v/>
      </c>
      <c r="AA44" s="131" t="str">
        <f>IFERROR(IF(Z44="","",IF(Z44&lt;=0.2,"Muy Baja",IF(Z44&lt;=0.4,"Baja",IF(Z44&lt;=0.6,"Media",IF(Z44&lt;=0.8,"Alta","Muy Alta"))))),"")</f>
        <v/>
      </c>
      <c r="AB44" s="132" t="str">
        <f t="shared" ref="AB44:AB48" si="31">+Z44</f>
        <v/>
      </c>
      <c r="AC44" s="131" t="str">
        <f>IFERROR(IF(AD44="","",IF(AD44&lt;=0.2,"Leve",IF(AD44&lt;=0.4,"Menor",IF(AD44&lt;=0.6,"Moderado",IF(AD44&lt;=0.8,"Mayor","Catastrófico"))))),"")</f>
        <v/>
      </c>
      <c r="AD44" s="132" t="str">
        <f>IFERROR(IF(AND(S43="Impacto",S44="Impacto"),(AD37-(+AD37*V44)),IF(S44="Impacto",($O$43-(+$O$43*V44)),IF(S44="Probabilidad",AD37,""))),"")</f>
        <v/>
      </c>
      <c r="AE44" s="133" t="str">
        <f t="shared" ref="AE44:AE45" si="32">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34"/>
      <c r="AG44" s="135"/>
      <c r="AH44" s="136"/>
      <c r="AI44" s="137"/>
      <c r="AJ44" s="137"/>
      <c r="AK44" s="135"/>
      <c r="AL44" s="13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151.5" customHeight="1" x14ac:dyDescent="0.3">
      <c r="A45" s="229"/>
      <c r="B45" s="232"/>
      <c r="C45" s="232"/>
      <c r="D45" s="232"/>
      <c r="E45" s="141"/>
      <c r="F45" s="235"/>
      <c r="G45" s="232"/>
      <c r="H45" s="141"/>
      <c r="I45" s="238"/>
      <c r="J45" s="241"/>
      <c r="K45" s="223"/>
      <c r="L45" s="244"/>
      <c r="M45" s="223">
        <f ca="1">IF(NOT(ISERROR(MATCH(L45,_xlfn.ANCHORARRAY(F56),0))),K58&amp;"Por favor no seleccionar los criterios de impacto",L45)</f>
        <v>0</v>
      </c>
      <c r="N45" s="241"/>
      <c r="O45" s="223"/>
      <c r="P45" s="226"/>
      <c r="Q45" s="125">
        <v>3</v>
      </c>
      <c r="R45" s="138"/>
      <c r="S45" s="127" t="str">
        <f>IF(OR(T45="Preventivo",T45="Detectivo"),"Probabilidad",IF(T45="Correctivo","Impacto",""))</f>
        <v/>
      </c>
      <c r="T45" s="128"/>
      <c r="U45" s="128"/>
      <c r="V45" s="129" t="str">
        <f t="shared" si="30"/>
        <v/>
      </c>
      <c r="W45" s="128"/>
      <c r="X45" s="128"/>
      <c r="Y45" s="128"/>
      <c r="Z45" s="130" t="str">
        <f>IFERROR(IF(AND(S44="Probabilidad",S45="Probabilidad"),(AB44-(+AB44*V45)),IF(AND(S44="Impacto",S45="Probabilidad"),(AB43-(+AB43*V45)),IF(S45="Impacto",AB44,""))),"")</f>
        <v/>
      </c>
      <c r="AA45" s="131" t="str">
        <f>IFERROR(IF(Z45="","",IF(Z45&lt;=0.2,"Muy Baja",IF(Z45&lt;=0.4,"Baja",IF(Z45&lt;=0.6,"Media",IF(Z45&lt;=0.8,"Alta","Muy Alta"))))),"")</f>
        <v/>
      </c>
      <c r="AB45" s="132" t="str">
        <f t="shared" si="31"/>
        <v/>
      </c>
      <c r="AC45" s="131" t="str">
        <f>IFERROR(IF(AD45="","",IF(AD45&lt;=0.2,"Leve",IF(AD45&lt;=0.4,"Menor",IF(AD45&lt;=0.6,"Moderado",IF(AD45&lt;=0.8,"Mayor","Catastrófico"))))),"")</f>
        <v/>
      </c>
      <c r="AD45" s="132" t="str">
        <f>IFERROR(IF(AND(S44="Impacto",S45="Impacto"),(AD44-(+AD44*V45)),IF(AND(S44="Probabilidad",S45="Impacto"),(AD43-(+AD43*V45)),IF(S45="Probabilidad",AD44,""))),"")</f>
        <v/>
      </c>
      <c r="AE45" s="133" t="str">
        <f t="shared" si="32"/>
        <v/>
      </c>
      <c r="AF45" s="134"/>
      <c r="AG45" s="135"/>
      <c r="AH45" s="136"/>
      <c r="AI45" s="137"/>
      <c r="AJ45" s="137"/>
      <c r="AK45" s="135"/>
      <c r="AL45" s="13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151.5" customHeight="1" x14ac:dyDescent="0.3">
      <c r="A46" s="229"/>
      <c r="B46" s="232"/>
      <c r="C46" s="232"/>
      <c r="D46" s="232"/>
      <c r="E46" s="141"/>
      <c r="F46" s="235"/>
      <c r="G46" s="232"/>
      <c r="H46" s="141"/>
      <c r="I46" s="238"/>
      <c r="J46" s="241"/>
      <c r="K46" s="223"/>
      <c r="L46" s="244"/>
      <c r="M46" s="223">
        <f ca="1">IF(NOT(ISERROR(MATCH(L46,_xlfn.ANCHORARRAY(F57),0))),K59&amp;"Por favor no seleccionar los criterios de impacto",L46)</f>
        <v>0</v>
      </c>
      <c r="N46" s="241"/>
      <c r="O46" s="223"/>
      <c r="P46" s="226"/>
      <c r="Q46" s="125">
        <v>4</v>
      </c>
      <c r="R46" s="126"/>
      <c r="S46" s="127" t="str">
        <f t="shared" ref="S46:S48" si="33">IF(OR(T46="Preventivo",T46="Detectivo"),"Probabilidad",IF(T46="Correctivo","Impacto",""))</f>
        <v/>
      </c>
      <c r="T46" s="128"/>
      <c r="U46" s="128"/>
      <c r="V46" s="129" t="str">
        <f t="shared" si="30"/>
        <v/>
      </c>
      <c r="W46" s="128"/>
      <c r="X46" s="128"/>
      <c r="Y46" s="128"/>
      <c r="Z46" s="130" t="str">
        <f t="shared" ref="Z46:Z48" si="34">IFERROR(IF(AND(S45="Probabilidad",S46="Probabilidad"),(AB45-(+AB45*V46)),IF(AND(S45="Impacto",S46="Probabilidad"),(AB44-(+AB44*V46)),IF(S46="Impacto",AB45,""))),"")</f>
        <v/>
      </c>
      <c r="AA46" s="131" t="str">
        <f>IFERROR(IF(Z46="","",IF(Z46&lt;=0.2,"Muy Baja",IF(Z46&lt;=0.4,"Baja",IF(Z46&lt;=0.6,"Media",IF(Z46&lt;=0.8,"Alta","Muy Alta"))))),"")</f>
        <v/>
      </c>
      <c r="AB46" s="132" t="str">
        <f t="shared" si="31"/>
        <v/>
      </c>
      <c r="AC46" s="131" t="str">
        <f>IFERROR(IF(AD46="","",IF(AD46&lt;=0.2,"Leve",IF(AD46&lt;=0.4,"Menor",IF(AD46&lt;=0.6,"Moderado",IF(AD46&lt;=0.8,"Mayor","Catastrófico"))))),"")</f>
        <v/>
      </c>
      <c r="AD46" s="132" t="str">
        <f t="shared" ref="AD46:AD48" si="35">IFERROR(IF(AND(S45="Impacto",S46="Impacto"),(AD45-(+AD45*V46)),IF(AND(S45="Probabilidad",S46="Impacto"),(AD44-(+AD44*V46)),IF(S46="Probabilidad",AD45,""))),"")</f>
        <v/>
      </c>
      <c r="AE46" s="133" t="str">
        <f>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34"/>
      <c r="AG46" s="135"/>
      <c r="AH46" s="136"/>
      <c r="AI46" s="137"/>
      <c r="AJ46" s="137"/>
      <c r="AK46" s="135"/>
      <c r="AL46" s="13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151.5" customHeight="1" x14ac:dyDescent="0.3">
      <c r="A47" s="229"/>
      <c r="B47" s="232"/>
      <c r="C47" s="232"/>
      <c r="D47" s="232"/>
      <c r="E47" s="141"/>
      <c r="F47" s="235"/>
      <c r="G47" s="232"/>
      <c r="H47" s="141"/>
      <c r="I47" s="238"/>
      <c r="J47" s="241"/>
      <c r="K47" s="223"/>
      <c r="L47" s="244"/>
      <c r="M47" s="223">
        <f ca="1">IF(NOT(ISERROR(MATCH(L47,_xlfn.ANCHORARRAY(F58),0))),K60&amp;"Por favor no seleccionar los criterios de impacto",L47)</f>
        <v>0</v>
      </c>
      <c r="N47" s="241"/>
      <c r="O47" s="223"/>
      <c r="P47" s="226"/>
      <c r="Q47" s="125">
        <v>5</v>
      </c>
      <c r="R47" s="126"/>
      <c r="S47" s="127" t="str">
        <f t="shared" si="33"/>
        <v/>
      </c>
      <c r="T47" s="128"/>
      <c r="U47" s="128"/>
      <c r="V47" s="129" t="str">
        <f t="shared" si="30"/>
        <v/>
      </c>
      <c r="W47" s="128"/>
      <c r="X47" s="128"/>
      <c r="Y47" s="128"/>
      <c r="Z47" s="130" t="str">
        <f t="shared" si="34"/>
        <v/>
      </c>
      <c r="AA47" s="131" t="str">
        <f>IFERROR(IF(Z47="","",IF(Z47&lt;=0.2,"Muy Baja",IF(Z47&lt;=0.4,"Baja",IF(Z47&lt;=0.6,"Media",IF(Z47&lt;=0.8,"Alta","Muy Alta"))))),"")</f>
        <v/>
      </c>
      <c r="AB47" s="132" t="str">
        <f t="shared" si="31"/>
        <v/>
      </c>
      <c r="AC47" s="131" t="str">
        <f>IFERROR(IF(AD47="","",IF(AD47&lt;=0.2,"Leve",IF(AD47&lt;=0.4,"Menor",IF(AD47&lt;=0.6,"Moderado",IF(AD47&lt;=0.8,"Mayor","Catastrófico"))))),"")</f>
        <v/>
      </c>
      <c r="AD47" s="132" t="str">
        <f t="shared" si="35"/>
        <v/>
      </c>
      <c r="AE47" s="133" t="str">
        <f t="shared" ref="AE47:AE48" si="36">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34"/>
      <c r="AG47" s="135"/>
      <c r="AH47" s="136"/>
      <c r="AI47" s="137"/>
      <c r="AJ47" s="137"/>
      <c r="AK47" s="135"/>
      <c r="AL47" s="13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151.5" customHeight="1" x14ac:dyDescent="0.3">
      <c r="A48" s="230"/>
      <c r="B48" s="233"/>
      <c r="C48" s="233"/>
      <c r="D48" s="233"/>
      <c r="E48" s="142"/>
      <c r="F48" s="236"/>
      <c r="G48" s="233"/>
      <c r="H48" s="142"/>
      <c r="I48" s="239"/>
      <c r="J48" s="242"/>
      <c r="K48" s="224"/>
      <c r="L48" s="245"/>
      <c r="M48" s="224">
        <f ca="1">IF(NOT(ISERROR(MATCH(L48,_xlfn.ANCHORARRAY(F59),0))),K61&amp;"Por favor no seleccionar los criterios de impacto",L48)</f>
        <v>0</v>
      </c>
      <c r="N48" s="242"/>
      <c r="O48" s="224"/>
      <c r="P48" s="227"/>
      <c r="Q48" s="125">
        <v>6</v>
      </c>
      <c r="R48" s="126"/>
      <c r="S48" s="127" t="str">
        <f t="shared" si="33"/>
        <v/>
      </c>
      <c r="T48" s="128"/>
      <c r="U48" s="128"/>
      <c r="V48" s="129" t="str">
        <f t="shared" si="30"/>
        <v/>
      </c>
      <c r="W48" s="128"/>
      <c r="X48" s="128"/>
      <c r="Y48" s="128"/>
      <c r="Z48" s="130" t="str">
        <f t="shared" si="34"/>
        <v/>
      </c>
      <c r="AA48" s="131" t="str">
        <f>IFERROR(IF(Z48="","",IF(Z48&lt;=0.2,"Muy Baja",IF(Z48&lt;=0.4,"Baja",IF(Z48&lt;=0.6,"Media",IF(Z48&lt;=0.8,"Alta","Muy Alta"))))),"")</f>
        <v/>
      </c>
      <c r="AB48" s="132" t="str">
        <f t="shared" si="31"/>
        <v/>
      </c>
      <c r="AC48" s="131" t="str">
        <f>IFERROR(IF(AD48="","",IF(AD48&lt;=0.2,"Leve",IF(AD48&lt;=0.4,"Menor",IF(AD48&lt;=0.6,"Moderado",IF(AD48&lt;=0.8,"Mayor","Catastrófico"))))),"")</f>
        <v/>
      </c>
      <c r="AD48" s="132" t="str">
        <f t="shared" si="35"/>
        <v/>
      </c>
      <c r="AE48" s="133" t="str">
        <f t="shared" si="36"/>
        <v/>
      </c>
      <c r="AF48" s="134"/>
      <c r="AG48" s="135"/>
      <c r="AH48" s="136"/>
      <c r="AI48" s="137"/>
      <c r="AJ48" s="137"/>
      <c r="AK48" s="135"/>
      <c r="AL48" s="13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151.5" customHeight="1" x14ac:dyDescent="0.3">
      <c r="A49" s="228">
        <v>8</v>
      </c>
      <c r="B49" s="231"/>
      <c r="C49" s="231"/>
      <c r="D49" s="231"/>
      <c r="E49" s="140"/>
      <c r="F49" s="234"/>
      <c r="G49" s="231"/>
      <c r="H49" s="140"/>
      <c r="I49" s="237"/>
      <c r="J49" s="240" t="str">
        <f>IF(I49&lt;=0,"",IF(I49&lt;=2,"Muy Baja",IF(I49&lt;=24,"Baja",IF(I49&lt;=500,"Media",IF(I49&lt;=5000,"Alta","Muy Alta")))))</f>
        <v/>
      </c>
      <c r="K49" s="222" t="str">
        <f>IF(J49="","",IF(J49="Muy Baja",0.2,IF(J49="Baja",0.4,IF(J49="Media",0.6,IF(J49="Alta",0.8,IF(J49="Muy Alta",1,))))))</f>
        <v/>
      </c>
      <c r="L49" s="243"/>
      <c r="M49" s="222">
        <f ca="1">IF(NOT(ISERROR(MATCH(L49,'Tabla Impacto'!$B$221:$B$223,0))),'Tabla Impacto'!$F$223&amp;"Por favor no seleccionar los criterios de impacto(Afectación Económica o presupuestal y Pérdida Reputacional)",L49)</f>
        <v>0</v>
      </c>
      <c r="N49" s="240" t="str">
        <f ca="1">IF(OR(M49='Tabla Impacto'!$C$11,M49='Tabla Impacto'!$D$11),"Leve",IF(OR(M49='Tabla Impacto'!$C$12,M49='Tabla Impacto'!$D$12),"Menor",IF(OR(M49='Tabla Impacto'!$C$13,M49='Tabla Impacto'!$D$13),"Moderado",IF(OR(M49='Tabla Impacto'!$C$14,M49='Tabla Impacto'!$D$14),"Mayor",IF(OR(M49='Tabla Impacto'!$C$15,M49='Tabla Impacto'!$D$15),"Catastrófico","")))))</f>
        <v/>
      </c>
      <c r="O49" s="222" t="str">
        <f ca="1">IF(N49="","",IF(N49="Leve",0.2,IF(N49="Menor",0.4,IF(N49="Moderado",0.6,IF(N49="Mayor",0.8,IF(N49="Catastrófico",1,))))))</f>
        <v/>
      </c>
      <c r="P49" s="225" t="str">
        <f ca="1">IF(OR(AND(J49="Muy Baja",N49="Leve"),AND(J49="Muy Baja",N49="Menor"),AND(J49="Baja",N49="Leve")),"Bajo",IF(OR(AND(J49="Muy baja",N49="Moderado"),AND(J49="Baja",N49="Menor"),AND(J49="Baja",N49="Moderado"),AND(J49="Media",N49="Leve"),AND(J49="Media",N49="Menor"),AND(J49="Media",N49="Moderado"),AND(J49="Alta",N49="Leve"),AND(J49="Alta",N49="Menor")),"Moderado",IF(OR(AND(J49="Muy Baja",N49="Mayor"),AND(J49="Baja",N49="Mayor"),AND(J49="Media",N49="Mayor"),AND(J49="Alta",N49="Moderado"),AND(J49="Alta",N49="Mayor"),AND(J49="Muy Alta",N49="Leve"),AND(J49="Muy Alta",N49="Menor"),AND(J49="Muy Alta",N49="Moderado"),AND(J49="Muy Alta",N49="Mayor")),"Alto",IF(OR(AND(J49="Muy Baja",N49="Catastrófico"),AND(J49="Baja",N49="Catastrófico"),AND(J49="Media",N49="Catastrófico"),AND(J49="Alta",N49="Catastrófico"),AND(J49="Muy Alta",N49="Catastrófico")),"Extremo",""))))</f>
        <v/>
      </c>
      <c r="Q49" s="125">
        <v>1</v>
      </c>
      <c r="R49" s="126"/>
      <c r="S49" s="127" t="str">
        <f>IF(OR(T49="Preventivo",T49="Detectivo"),"Probabilidad",IF(T49="Correctivo","Impacto",""))</f>
        <v/>
      </c>
      <c r="T49" s="128"/>
      <c r="U49" s="128"/>
      <c r="V49" s="129" t="str">
        <f>IF(AND(T49="Preventivo",U49="Automático"),"50%",IF(AND(T49="Preventivo",U49="Manual"),"40%",IF(AND(T49="Detectivo",U49="Automático"),"40%",IF(AND(T49="Detectivo",U49="Manual"),"30%",IF(AND(T49="Correctivo",U49="Automático"),"35%",IF(AND(T49="Correctivo",U49="Manual"),"25%",""))))))</f>
        <v/>
      </c>
      <c r="W49" s="128"/>
      <c r="X49" s="128"/>
      <c r="Y49" s="128"/>
      <c r="Z49" s="130" t="str">
        <f>IFERROR(IF(S49="Probabilidad",(K49-(+K49*V49)),IF(S49="Impacto",K49,"")),"")</f>
        <v/>
      </c>
      <c r="AA49" s="131" t="str">
        <f>IFERROR(IF(Z49="","",IF(Z49&lt;=0.2,"Muy Baja",IF(Z49&lt;=0.4,"Baja",IF(Z49&lt;=0.6,"Media",IF(Z49&lt;=0.8,"Alta","Muy Alta"))))),"")</f>
        <v/>
      </c>
      <c r="AB49" s="132" t="str">
        <f>+Z49</f>
        <v/>
      </c>
      <c r="AC49" s="131" t="str">
        <f>IFERROR(IF(AD49="","",IF(AD49&lt;=0.2,"Leve",IF(AD49&lt;=0.4,"Menor",IF(AD49&lt;=0.6,"Moderado",IF(AD49&lt;=0.8,"Mayor","Catastrófico"))))),"")</f>
        <v/>
      </c>
      <c r="AD49" s="132" t="str">
        <f>IFERROR(IF(S49="Impacto",(O49-(+O49*V49)),IF(S49="Probabilidad",O49,"")),"")</f>
        <v/>
      </c>
      <c r="AE49" s="133" t="str">
        <f>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34"/>
      <c r="AG49" s="135"/>
      <c r="AH49" s="136"/>
      <c r="AI49" s="137"/>
      <c r="AJ49" s="137"/>
      <c r="AK49" s="135"/>
      <c r="AL49" s="13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151.5" customHeight="1" x14ac:dyDescent="0.3">
      <c r="A50" s="229"/>
      <c r="B50" s="232"/>
      <c r="C50" s="232"/>
      <c r="D50" s="232"/>
      <c r="E50" s="141"/>
      <c r="F50" s="235"/>
      <c r="G50" s="232"/>
      <c r="H50" s="141"/>
      <c r="I50" s="238"/>
      <c r="J50" s="241"/>
      <c r="K50" s="223"/>
      <c r="L50" s="244"/>
      <c r="M50" s="223">
        <f ca="1">IF(NOT(ISERROR(MATCH(L50,_xlfn.ANCHORARRAY(F61),0))),K63&amp;"Por favor no seleccionar los criterios de impacto",L50)</f>
        <v>0</v>
      </c>
      <c r="N50" s="241"/>
      <c r="O50" s="223"/>
      <c r="P50" s="226"/>
      <c r="Q50" s="125">
        <v>2</v>
      </c>
      <c r="R50" s="126"/>
      <c r="S50" s="127" t="str">
        <f>IF(OR(T50="Preventivo",T50="Detectivo"),"Probabilidad",IF(T50="Correctivo","Impacto",""))</f>
        <v/>
      </c>
      <c r="T50" s="128"/>
      <c r="U50" s="128"/>
      <c r="V50" s="129" t="str">
        <f t="shared" ref="V50:V54" si="37">IF(AND(T50="Preventivo",U50="Automático"),"50%",IF(AND(T50="Preventivo",U50="Manual"),"40%",IF(AND(T50="Detectivo",U50="Automático"),"40%",IF(AND(T50="Detectivo",U50="Manual"),"30%",IF(AND(T50="Correctivo",U50="Automático"),"35%",IF(AND(T50="Correctivo",U50="Manual"),"25%",""))))))</f>
        <v/>
      </c>
      <c r="W50" s="128"/>
      <c r="X50" s="128"/>
      <c r="Y50" s="128"/>
      <c r="Z50" s="130" t="str">
        <f>IFERROR(IF(AND(S49="Probabilidad",S50="Probabilidad"),(AB49-(+AB49*V50)),IF(S50="Probabilidad",(K49-(+K49*V50)),IF(S50="Impacto",AB49,""))),"")</f>
        <v/>
      </c>
      <c r="AA50" s="131" t="str">
        <f>IFERROR(IF(Z50="","",IF(Z50&lt;=0.2,"Muy Baja",IF(Z50&lt;=0.4,"Baja",IF(Z50&lt;=0.6,"Media",IF(Z50&lt;=0.8,"Alta","Muy Alta"))))),"")</f>
        <v/>
      </c>
      <c r="AB50" s="132" t="str">
        <f t="shared" ref="AB50:AB54" si="38">+Z50</f>
        <v/>
      </c>
      <c r="AC50" s="131" t="str">
        <f>IFERROR(IF(AD50="","",IF(AD50&lt;=0.2,"Leve",IF(AD50&lt;=0.4,"Menor",IF(AD50&lt;=0.6,"Moderado",IF(AD50&lt;=0.8,"Mayor","Catastrófico"))))),"")</f>
        <v/>
      </c>
      <c r="AD50" s="132" t="str">
        <f>IFERROR(IF(AND(S49="Impacto",S50="Impacto"),(AD43-(+AD43*V50)),IF(S50="Impacto",($O$49-(+$O$49*V50)),IF(S50="Probabilidad",AD43,""))),"")</f>
        <v/>
      </c>
      <c r="AE50" s="133" t="str">
        <f t="shared" ref="AE50:AE51" si="39">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34"/>
      <c r="AG50" s="135"/>
      <c r="AH50" s="136"/>
      <c r="AI50" s="137"/>
      <c r="AJ50" s="137"/>
      <c r="AK50" s="135"/>
      <c r="AL50" s="13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151.5" customHeight="1" x14ac:dyDescent="0.3">
      <c r="A51" s="229"/>
      <c r="B51" s="232"/>
      <c r="C51" s="232"/>
      <c r="D51" s="232"/>
      <c r="E51" s="141"/>
      <c r="F51" s="235"/>
      <c r="G51" s="232"/>
      <c r="H51" s="141"/>
      <c r="I51" s="238"/>
      <c r="J51" s="241"/>
      <c r="K51" s="223"/>
      <c r="L51" s="244"/>
      <c r="M51" s="223">
        <f ca="1">IF(NOT(ISERROR(MATCH(L51,_xlfn.ANCHORARRAY(F62),0))),K64&amp;"Por favor no seleccionar los criterios de impacto",L51)</f>
        <v>0</v>
      </c>
      <c r="N51" s="241"/>
      <c r="O51" s="223"/>
      <c r="P51" s="226"/>
      <c r="Q51" s="125">
        <v>3</v>
      </c>
      <c r="R51" s="138"/>
      <c r="S51" s="127" t="str">
        <f>IF(OR(T51="Preventivo",T51="Detectivo"),"Probabilidad",IF(T51="Correctivo","Impacto",""))</f>
        <v/>
      </c>
      <c r="T51" s="128"/>
      <c r="U51" s="128"/>
      <c r="V51" s="129" t="str">
        <f t="shared" si="37"/>
        <v/>
      </c>
      <c r="W51" s="128"/>
      <c r="X51" s="128"/>
      <c r="Y51" s="128"/>
      <c r="Z51" s="130" t="str">
        <f>IFERROR(IF(AND(S50="Probabilidad",S51="Probabilidad"),(AB50-(+AB50*V51)),IF(AND(S50="Impacto",S51="Probabilidad"),(AB49-(+AB49*V51)),IF(S51="Impacto",AB50,""))),"")</f>
        <v/>
      </c>
      <c r="AA51" s="131" t="str">
        <f>IFERROR(IF(Z51="","",IF(Z51&lt;=0.2,"Muy Baja",IF(Z51&lt;=0.4,"Baja",IF(Z51&lt;=0.6,"Media",IF(Z51&lt;=0.8,"Alta","Muy Alta"))))),"")</f>
        <v/>
      </c>
      <c r="AB51" s="132" t="str">
        <f t="shared" si="38"/>
        <v/>
      </c>
      <c r="AC51" s="131" t="str">
        <f>IFERROR(IF(AD51="","",IF(AD51&lt;=0.2,"Leve",IF(AD51&lt;=0.4,"Menor",IF(AD51&lt;=0.6,"Moderado",IF(AD51&lt;=0.8,"Mayor","Catastrófico"))))),"")</f>
        <v/>
      </c>
      <c r="AD51" s="132" t="str">
        <f>IFERROR(IF(AND(S50="Impacto",S51="Impacto"),(AD50-(+AD50*V51)),IF(AND(S50="Probabilidad",S51="Impacto"),(AD49-(+AD49*V51)),IF(S51="Probabilidad",AD50,""))),"")</f>
        <v/>
      </c>
      <c r="AE51" s="133" t="str">
        <f t="shared" si="39"/>
        <v/>
      </c>
      <c r="AF51" s="134"/>
      <c r="AG51" s="135"/>
      <c r="AH51" s="136"/>
      <c r="AI51" s="137"/>
      <c r="AJ51" s="137"/>
      <c r="AK51" s="135"/>
      <c r="AL51" s="13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151.5" customHeight="1" x14ac:dyDescent="0.3">
      <c r="A52" s="229"/>
      <c r="B52" s="232"/>
      <c r="C52" s="232"/>
      <c r="D52" s="232"/>
      <c r="E52" s="141"/>
      <c r="F52" s="235"/>
      <c r="G52" s="232"/>
      <c r="H52" s="141"/>
      <c r="I52" s="238"/>
      <c r="J52" s="241"/>
      <c r="K52" s="223"/>
      <c r="L52" s="244"/>
      <c r="M52" s="223">
        <f ca="1">IF(NOT(ISERROR(MATCH(L52,_xlfn.ANCHORARRAY(F63),0))),K65&amp;"Por favor no seleccionar los criterios de impacto",L52)</f>
        <v>0</v>
      </c>
      <c r="N52" s="241"/>
      <c r="O52" s="223"/>
      <c r="P52" s="226"/>
      <c r="Q52" s="125">
        <v>4</v>
      </c>
      <c r="R52" s="126"/>
      <c r="S52" s="127" t="str">
        <f t="shared" ref="S52:S54" si="40">IF(OR(T52="Preventivo",T52="Detectivo"),"Probabilidad",IF(T52="Correctivo","Impacto",""))</f>
        <v/>
      </c>
      <c r="T52" s="128"/>
      <c r="U52" s="128"/>
      <c r="V52" s="129" t="str">
        <f t="shared" si="37"/>
        <v/>
      </c>
      <c r="W52" s="128"/>
      <c r="X52" s="128"/>
      <c r="Y52" s="128"/>
      <c r="Z52" s="130" t="str">
        <f t="shared" ref="Z52:Z54" si="41">IFERROR(IF(AND(S51="Probabilidad",S52="Probabilidad"),(AB51-(+AB51*V52)),IF(AND(S51="Impacto",S52="Probabilidad"),(AB50-(+AB50*V52)),IF(S52="Impacto",AB51,""))),"")</f>
        <v/>
      </c>
      <c r="AA52" s="131" t="str">
        <f>IFERROR(IF(Z52="","",IF(Z52&lt;=0.2,"Muy Baja",IF(Z52&lt;=0.4,"Baja",IF(Z52&lt;=0.6,"Media",IF(Z52&lt;=0.8,"Alta","Muy Alta"))))),"")</f>
        <v/>
      </c>
      <c r="AB52" s="132" t="str">
        <f t="shared" si="38"/>
        <v/>
      </c>
      <c r="AC52" s="131" t="str">
        <f>IFERROR(IF(AD52="","",IF(AD52&lt;=0.2,"Leve",IF(AD52&lt;=0.4,"Menor",IF(AD52&lt;=0.6,"Moderado",IF(AD52&lt;=0.8,"Mayor","Catastrófico"))))),"")</f>
        <v/>
      </c>
      <c r="AD52" s="132" t="str">
        <f t="shared" ref="AD52:AD54" si="42">IFERROR(IF(AND(S51="Impacto",S52="Impacto"),(AD51-(+AD51*V52)),IF(AND(S51="Probabilidad",S52="Impacto"),(AD50-(+AD50*V52)),IF(S52="Probabilidad",AD51,""))),"")</f>
        <v/>
      </c>
      <c r="AE52" s="133"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34"/>
      <c r="AG52" s="135"/>
      <c r="AH52" s="136"/>
      <c r="AI52" s="137"/>
      <c r="AJ52" s="137"/>
      <c r="AK52" s="135"/>
      <c r="AL52" s="13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151.5" customHeight="1" x14ac:dyDescent="0.3">
      <c r="A53" s="229"/>
      <c r="B53" s="232"/>
      <c r="C53" s="232"/>
      <c r="D53" s="232"/>
      <c r="E53" s="141"/>
      <c r="F53" s="235"/>
      <c r="G53" s="232"/>
      <c r="H53" s="141"/>
      <c r="I53" s="238"/>
      <c r="J53" s="241"/>
      <c r="K53" s="223"/>
      <c r="L53" s="244"/>
      <c r="M53" s="223">
        <f ca="1">IF(NOT(ISERROR(MATCH(L53,_xlfn.ANCHORARRAY(F64),0))),K66&amp;"Por favor no seleccionar los criterios de impacto",L53)</f>
        <v>0</v>
      </c>
      <c r="N53" s="241"/>
      <c r="O53" s="223"/>
      <c r="P53" s="226"/>
      <c r="Q53" s="125">
        <v>5</v>
      </c>
      <c r="R53" s="126"/>
      <c r="S53" s="127" t="str">
        <f t="shared" si="40"/>
        <v/>
      </c>
      <c r="T53" s="128"/>
      <c r="U53" s="128"/>
      <c r="V53" s="129" t="str">
        <f t="shared" si="37"/>
        <v/>
      </c>
      <c r="W53" s="128"/>
      <c r="X53" s="128"/>
      <c r="Y53" s="128"/>
      <c r="Z53" s="130" t="str">
        <f t="shared" si="41"/>
        <v/>
      </c>
      <c r="AA53" s="131" t="str">
        <f>IFERROR(IF(Z53="","",IF(Z53&lt;=0.2,"Muy Baja",IF(Z53&lt;=0.4,"Baja",IF(Z53&lt;=0.6,"Media",IF(Z53&lt;=0.8,"Alta","Muy Alta"))))),"")</f>
        <v/>
      </c>
      <c r="AB53" s="132" t="str">
        <f t="shared" si="38"/>
        <v/>
      </c>
      <c r="AC53" s="131" t="str">
        <f>IFERROR(IF(AD53="","",IF(AD53&lt;=0.2,"Leve",IF(AD53&lt;=0.4,"Menor",IF(AD53&lt;=0.6,"Moderado",IF(AD53&lt;=0.8,"Mayor","Catastrófico"))))),"")</f>
        <v/>
      </c>
      <c r="AD53" s="132" t="str">
        <f t="shared" si="42"/>
        <v/>
      </c>
      <c r="AE53" s="133" t="str">
        <f t="shared" ref="AE53:AE54" si="43">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34"/>
      <c r="AG53" s="135"/>
      <c r="AH53" s="136"/>
      <c r="AI53" s="137"/>
      <c r="AJ53" s="137"/>
      <c r="AK53" s="135"/>
      <c r="AL53" s="13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151.5" customHeight="1" x14ac:dyDescent="0.3">
      <c r="A54" s="230"/>
      <c r="B54" s="233"/>
      <c r="C54" s="233"/>
      <c r="D54" s="233"/>
      <c r="E54" s="142"/>
      <c r="F54" s="236"/>
      <c r="G54" s="233"/>
      <c r="H54" s="142"/>
      <c r="I54" s="239"/>
      <c r="J54" s="242"/>
      <c r="K54" s="224"/>
      <c r="L54" s="245"/>
      <c r="M54" s="224">
        <f ca="1">IF(NOT(ISERROR(MATCH(L54,_xlfn.ANCHORARRAY(F65),0))),K67&amp;"Por favor no seleccionar los criterios de impacto",L54)</f>
        <v>0</v>
      </c>
      <c r="N54" s="242"/>
      <c r="O54" s="224"/>
      <c r="P54" s="227"/>
      <c r="Q54" s="125">
        <v>6</v>
      </c>
      <c r="R54" s="126"/>
      <c r="S54" s="127" t="str">
        <f t="shared" si="40"/>
        <v/>
      </c>
      <c r="T54" s="128"/>
      <c r="U54" s="128"/>
      <c r="V54" s="129" t="str">
        <f t="shared" si="37"/>
        <v/>
      </c>
      <c r="W54" s="128"/>
      <c r="X54" s="128"/>
      <c r="Y54" s="128"/>
      <c r="Z54" s="130" t="str">
        <f t="shared" si="41"/>
        <v/>
      </c>
      <c r="AA54" s="131" t="str">
        <f>IFERROR(IF(Z54="","",IF(Z54&lt;=0.2,"Muy Baja",IF(Z54&lt;=0.4,"Baja",IF(Z54&lt;=0.6,"Media",IF(Z54&lt;=0.8,"Alta","Muy Alta"))))),"")</f>
        <v/>
      </c>
      <c r="AB54" s="132" t="str">
        <f t="shared" si="38"/>
        <v/>
      </c>
      <c r="AC54" s="131" t="str">
        <f>IFERROR(IF(AD54="","",IF(AD54&lt;=0.2,"Leve",IF(AD54&lt;=0.4,"Menor",IF(AD54&lt;=0.6,"Moderado",IF(AD54&lt;=0.8,"Mayor","Catastrófico"))))),"")</f>
        <v/>
      </c>
      <c r="AD54" s="132" t="str">
        <f t="shared" si="42"/>
        <v/>
      </c>
      <c r="AE54" s="133" t="str">
        <f t="shared" si="43"/>
        <v/>
      </c>
      <c r="AF54" s="134"/>
      <c r="AG54" s="135"/>
      <c r="AH54" s="136"/>
      <c r="AI54" s="137"/>
      <c r="AJ54" s="137"/>
      <c r="AK54" s="135"/>
      <c r="AL54" s="13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151.5" customHeight="1" x14ac:dyDescent="0.3">
      <c r="A55" s="228">
        <v>9</v>
      </c>
      <c r="B55" s="231"/>
      <c r="C55" s="231"/>
      <c r="D55" s="231"/>
      <c r="E55" s="140"/>
      <c r="F55" s="234"/>
      <c r="G55" s="231"/>
      <c r="H55" s="140"/>
      <c r="I55" s="237"/>
      <c r="J55" s="240" t="str">
        <f>IF(I55&lt;=0,"",IF(I55&lt;=2,"Muy Baja",IF(I55&lt;=24,"Baja",IF(I55&lt;=500,"Media",IF(I55&lt;=5000,"Alta","Muy Alta")))))</f>
        <v/>
      </c>
      <c r="K55" s="222" t="str">
        <f>IF(J55="","",IF(J55="Muy Baja",0.2,IF(J55="Baja",0.4,IF(J55="Media",0.6,IF(J55="Alta",0.8,IF(J55="Muy Alta",1,))))))</f>
        <v/>
      </c>
      <c r="L55" s="243"/>
      <c r="M55" s="222">
        <f ca="1">IF(NOT(ISERROR(MATCH(L55,'Tabla Impacto'!$B$221:$B$223,0))),'Tabla Impacto'!$F$223&amp;"Por favor no seleccionar los criterios de impacto(Afectación Económica o presupuestal y Pérdida Reputacional)",L55)</f>
        <v>0</v>
      </c>
      <c r="N55" s="240" t="str">
        <f ca="1">IF(OR(M55='Tabla Impacto'!$C$11,M55='Tabla Impacto'!$D$11),"Leve",IF(OR(M55='Tabla Impacto'!$C$12,M55='Tabla Impacto'!$D$12),"Menor",IF(OR(M55='Tabla Impacto'!$C$13,M55='Tabla Impacto'!$D$13),"Moderado",IF(OR(M55='Tabla Impacto'!$C$14,M55='Tabla Impacto'!$D$14),"Mayor",IF(OR(M55='Tabla Impacto'!$C$15,M55='Tabla Impacto'!$D$15),"Catastrófico","")))))</f>
        <v/>
      </c>
      <c r="O55" s="222" t="str">
        <f ca="1">IF(N55="","",IF(N55="Leve",0.2,IF(N55="Menor",0.4,IF(N55="Moderado",0.6,IF(N55="Mayor",0.8,IF(N55="Catastrófico",1,))))))</f>
        <v/>
      </c>
      <c r="P55" s="225" t="str">
        <f ca="1">IF(OR(AND(J55="Muy Baja",N55="Leve"),AND(J55="Muy Baja",N55="Menor"),AND(J55="Baja",N55="Leve")),"Bajo",IF(OR(AND(J55="Muy baja",N55="Moderado"),AND(J55="Baja",N55="Menor"),AND(J55="Baja",N55="Moderado"),AND(J55="Media",N55="Leve"),AND(J55="Media",N55="Menor"),AND(J55="Media",N55="Moderado"),AND(J55="Alta",N55="Leve"),AND(J55="Alta",N55="Menor")),"Moderado",IF(OR(AND(J55="Muy Baja",N55="Mayor"),AND(J55="Baja",N55="Mayor"),AND(J55="Media",N55="Mayor"),AND(J55="Alta",N55="Moderado"),AND(J55="Alta",N55="Mayor"),AND(J55="Muy Alta",N55="Leve"),AND(J55="Muy Alta",N55="Menor"),AND(J55="Muy Alta",N55="Moderado"),AND(J55="Muy Alta",N55="Mayor")),"Alto",IF(OR(AND(J55="Muy Baja",N55="Catastrófico"),AND(J55="Baja",N55="Catastrófico"),AND(J55="Media",N55="Catastrófico"),AND(J55="Alta",N55="Catastrófico"),AND(J55="Muy Alta",N55="Catastrófico")),"Extremo",""))))</f>
        <v/>
      </c>
      <c r="Q55" s="125">
        <v>1</v>
      </c>
      <c r="R55" s="126"/>
      <c r="S55" s="127" t="str">
        <f>IF(OR(T55="Preventivo",T55="Detectivo"),"Probabilidad",IF(T55="Correctivo","Impacto",""))</f>
        <v/>
      </c>
      <c r="T55" s="128"/>
      <c r="U55" s="128"/>
      <c r="V55" s="129" t="str">
        <f>IF(AND(T55="Preventivo",U55="Automático"),"50%",IF(AND(T55="Preventivo",U55="Manual"),"40%",IF(AND(T55="Detectivo",U55="Automático"),"40%",IF(AND(T55="Detectivo",U55="Manual"),"30%",IF(AND(T55="Correctivo",U55="Automático"),"35%",IF(AND(T55="Correctivo",U55="Manual"),"25%",""))))))</f>
        <v/>
      </c>
      <c r="W55" s="128"/>
      <c r="X55" s="128"/>
      <c r="Y55" s="128"/>
      <c r="Z55" s="130" t="str">
        <f>IFERROR(IF(S55="Probabilidad",(K55-(+K55*V55)),IF(S55="Impacto",K55,"")),"")</f>
        <v/>
      </c>
      <c r="AA55" s="131" t="str">
        <f>IFERROR(IF(Z55="","",IF(Z55&lt;=0.2,"Muy Baja",IF(Z55&lt;=0.4,"Baja",IF(Z55&lt;=0.6,"Media",IF(Z55&lt;=0.8,"Alta","Muy Alta"))))),"")</f>
        <v/>
      </c>
      <c r="AB55" s="132" t="str">
        <f>+Z55</f>
        <v/>
      </c>
      <c r="AC55" s="131" t="str">
        <f>IFERROR(IF(AD55="","",IF(AD55&lt;=0.2,"Leve",IF(AD55&lt;=0.4,"Menor",IF(AD55&lt;=0.6,"Moderado",IF(AD55&lt;=0.8,"Mayor","Catastrófico"))))),"")</f>
        <v/>
      </c>
      <c r="AD55" s="132" t="str">
        <f>IFERROR(IF(S55="Impacto",(O55-(+O55*V55)),IF(S55="Probabilidad",O55,"")),"")</f>
        <v/>
      </c>
      <c r="AE55" s="133"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34"/>
      <c r="AG55" s="135"/>
      <c r="AH55" s="136"/>
      <c r="AI55" s="137"/>
      <c r="AJ55" s="137"/>
      <c r="AK55" s="135"/>
      <c r="AL55" s="13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151.5" customHeight="1" x14ac:dyDescent="0.3">
      <c r="A56" s="229"/>
      <c r="B56" s="232"/>
      <c r="C56" s="232"/>
      <c r="D56" s="232"/>
      <c r="E56" s="141"/>
      <c r="F56" s="235"/>
      <c r="G56" s="232"/>
      <c r="H56" s="141"/>
      <c r="I56" s="238"/>
      <c r="J56" s="241"/>
      <c r="K56" s="223"/>
      <c r="L56" s="244"/>
      <c r="M56" s="223">
        <f ca="1">IF(NOT(ISERROR(MATCH(L56,_xlfn.ANCHORARRAY(F67),0))),K69&amp;"Por favor no seleccionar los criterios de impacto",L56)</f>
        <v>0</v>
      </c>
      <c r="N56" s="241"/>
      <c r="O56" s="223"/>
      <c r="P56" s="226"/>
      <c r="Q56" s="125">
        <v>2</v>
      </c>
      <c r="R56" s="126"/>
      <c r="S56" s="127" t="str">
        <f>IF(OR(T56="Preventivo",T56="Detectivo"),"Probabilidad",IF(T56="Correctivo","Impacto",""))</f>
        <v/>
      </c>
      <c r="T56" s="128"/>
      <c r="U56" s="128"/>
      <c r="V56" s="129" t="str">
        <f t="shared" ref="V56:V60" si="44">IF(AND(T56="Preventivo",U56="Automático"),"50%",IF(AND(T56="Preventivo",U56="Manual"),"40%",IF(AND(T56="Detectivo",U56="Automático"),"40%",IF(AND(T56="Detectivo",U56="Manual"),"30%",IF(AND(T56="Correctivo",U56="Automático"),"35%",IF(AND(T56="Correctivo",U56="Manual"),"25%",""))))))</f>
        <v/>
      </c>
      <c r="W56" s="128"/>
      <c r="X56" s="128"/>
      <c r="Y56" s="128"/>
      <c r="Z56" s="130" t="str">
        <f>IFERROR(IF(AND(S55="Probabilidad",S56="Probabilidad"),(AB55-(+AB55*V56)),IF(S56="Probabilidad",(K55-(+K55*V56)),IF(S56="Impacto",AB55,""))),"")</f>
        <v/>
      </c>
      <c r="AA56" s="131" t="str">
        <f>IFERROR(IF(Z56="","",IF(Z56&lt;=0.2,"Muy Baja",IF(Z56&lt;=0.4,"Baja",IF(Z56&lt;=0.6,"Media",IF(Z56&lt;=0.8,"Alta","Muy Alta"))))),"")</f>
        <v/>
      </c>
      <c r="AB56" s="132" t="str">
        <f t="shared" ref="AB56:AB60" si="45">+Z56</f>
        <v/>
      </c>
      <c r="AC56" s="131" t="str">
        <f>IFERROR(IF(AD56="","",IF(AD56&lt;=0.2,"Leve",IF(AD56&lt;=0.4,"Menor",IF(AD56&lt;=0.6,"Moderado",IF(AD56&lt;=0.8,"Mayor","Catastrófico"))))),"")</f>
        <v/>
      </c>
      <c r="AD56" s="132" t="str">
        <f>IFERROR(IF(AND(S55="Impacto",S56="Impacto"),(AD49-(+AD49*V56)),IF(S56="Impacto",($O$55-(+$O$55*V56)),IF(S56="Probabilidad",AD49,""))),"")</f>
        <v/>
      </c>
      <c r="AE56" s="133" t="str">
        <f t="shared" ref="AE56:AE57" si="46">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34"/>
      <c r="AG56" s="135"/>
      <c r="AH56" s="136"/>
      <c r="AI56" s="137"/>
      <c r="AJ56" s="137"/>
      <c r="AK56" s="135"/>
      <c r="AL56" s="13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151.5" customHeight="1" x14ac:dyDescent="0.3">
      <c r="A57" s="229"/>
      <c r="B57" s="232"/>
      <c r="C57" s="232"/>
      <c r="D57" s="232"/>
      <c r="E57" s="141"/>
      <c r="F57" s="235"/>
      <c r="G57" s="232"/>
      <c r="H57" s="141"/>
      <c r="I57" s="238"/>
      <c r="J57" s="241"/>
      <c r="K57" s="223"/>
      <c r="L57" s="244"/>
      <c r="M57" s="223">
        <f ca="1">IF(NOT(ISERROR(MATCH(L57,_xlfn.ANCHORARRAY(F68),0))),K70&amp;"Por favor no seleccionar los criterios de impacto",L57)</f>
        <v>0</v>
      </c>
      <c r="N57" s="241"/>
      <c r="O57" s="223"/>
      <c r="P57" s="226"/>
      <c r="Q57" s="125">
        <v>3</v>
      </c>
      <c r="R57" s="138"/>
      <c r="S57" s="127" t="str">
        <f>IF(OR(T57="Preventivo",T57="Detectivo"),"Probabilidad",IF(T57="Correctivo","Impacto",""))</f>
        <v/>
      </c>
      <c r="T57" s="128"/>
      <c r="U57" s="128"/>
      <c r="V57" s="129" t="str">
        <f t="shared" si="44"/>
        <v/>
      </c>
      <c r="W57" s="128"/>
      <c r="X57" s="128"/>
      <c r="Y57" s="128"/>
      <c r="Z57" s="130" t="str">
        <f>IFERROR(IF(AND(S56="Probabilidad",S57="Probabilidad"),(AB56-(+AB56*V57)),IF(AND(S56="Impacto",S57="Probabilidad"),(AB55-(+AB55*V57)),IF(S57="Impacto",AB56,""))),"")</f>
        <v/>
      </c>
      <c r="AA57" s="131" t="str">
        <f>IFERROR(IF(Z57="","",IF(Z57&lt;=0.2,"Muy Baja",IF(Z57&lt;=0.4,"Baja",IF(Z57&lt;=0.6,"Media",IF(Z57&lt;=0.8,"Alta","Muy Alta"))))),"")</f>
        <v/>
      </c>
      <c r="AB57" s="132" t="str">
        <f t="shared" si="45"/>
        <v/>
      </c>
      <c r="AC57" s="131" t="str">
        <f>IFERROR(IF(AD57="","",IF(AD57&lt;=0.2,"Leve",IF(AD57&lt;=0.4,"Menor",IF(AD57&lt;=0.6,"Moderado",IF(AD57&lt;=0.8,"Mayor","Catastrófico"))))),"")</f>
        <v/>
      </c>
      <c r="AD57" s="132" t="str">
        <f>IFERROR(IF(AND(S56="Impacto",S57="Impacto"),(AD56-(+AD56*V57)),IF(AND(S56="Probabilidad",S57="Impacto"),(AD55-(+AD55*V57)),IF(S57="Probabilidad",AD56,""))),"")</f>
        <v/>
      </c>
      <c r="AE57" s="133" t="str">
        <f t="shared" si="46"/>
        <v/>
      </c>
      <c r="AF57" s="134"/>
      <c r="AG57" s="135"/>
      <c r="AH57" s="136"/>
      <c r="AI57" s="137"/>
      <c r="AJ57" s="137"/>
      <c r="AK57" s="135"/>
      <c r="AL57" s="13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151.5" customHeight="1" x14ac:dyDescent="0.3">
      <c r="A58" s="229"/>
      <c r="B58" s="232"/>
      <c r="C58" s="232"/>
      <c r="D58" s="232"/>
      <c r="E58" s="141"/>
      <c r="F58" s="235"/>
      <c r="G58" s="232"/>
      <c r="H58" s="141"/>
      <c r="I58" s="238"/>
      <c r="J58" s="241"/>
      <c r="K58" s="223"/>
      <c r="L58" s="244"/>
      <c r="M58" s="223">
        <f ca="1">IF(NOT(ISERROR(MATCH(L58,_xlfn.ANCHORARRAY(F69),0))),K71&amp;"Por favor no seleccionar los criterios de impacto",L58)</f>
        <v>0</v>
      </c>
      <c r="N58" s="241"/>
      <c r="O58" s="223"/>
      <c r="P58" s="226"/>
      <c r="Q58" s="125">
        <v>4</v>
      </c>
      <c r="R58" s="126"/>
      <c r="S58" s="127" t="str">
        <f t="shared" ref="S58:S60" si="47">IF(OR(T58="Preventivo",T58="Detectivo"),"Probabilidad",IF(T58="Correctivo","Impacto",""))</f>
        <v/>
      </c>
      <c r="T58" s="128"/>
      <c r="U58" s="128"/>
      <c r="V58" s="129" t="str">
        <f t="shared" si="44"/>
        <v/>
      </c>
      <c r="W58" s="128"/>
      <c r="X58" s="128"/>
      <c r="Y58" s="128"/>
      <c r="Z58" s="130" t="str">
        <f t="shared" ref="Z58:Z60" si="48">IFERROR(IF(AND(S57="Probabilidad",S58="Probabilidad"),(AB57-(+AB57*V58)),IF(AND(S57="Impacto",S58="Probabilidad"),(AB56-(+AB56*V58)),IF(S58="Impacto",AB57,""))),"")</f>
        <v/>
      </c>
      <c r="AA58" s="131" t="str">
        <f>IFERROR(IF(Z58="","",IF(Z58&lt;=0.2,"Muy Baja",IF(Z58&lt;=0.4,"Baja",IF(Z58&lt;=0.6,"Media",IF(Z58&lt;=0.8,"Alta","Muy Alta"))))),"")</f>
        <v/>
      </c>
      <c r="AB58" s="132" t="str">
        <f t="shared" si="45"/>
        <v/>
      </c>
      <c r="AC58" s="131" t="str">
        <f>IFERROR(IF(AD58="","",IF(AD58&lt;=0.2,"Leve",IF(AD58&lt;=0.4,"Menor",IF(AD58&lt;=0.6,"Moderado",IF(AD58&lt;=0.8,"Mayor","Catastrófico"))))),"")</f>
        <v/>
      </c>
      <c r="AD58" s="132" t="str">
        <f t="shared" ref="AD58:AD60" si="49">IFERROR(IF(AND(S57="Impacto",S58="Impacto"),(AD57-(+AD57*V58)),IF(AND(S57="Probabilidad",S58="Impacto"),(AD56-(+AD56*V58)),IF(S58="Probabilidad",AD57,""))),"")</f>
        <v/>
      </c>
      <c r="AE58" s="133"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34"/>
      <c r="AG58" s="135"/>
      <c r="AH58" s="136"/>
      <c r="AI58" s="137"/>
      <c r="AJ58" s="137"/>
      <c r="AK58" s="135"/>
      <c r="AL58" s="13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151.5" customHeight="1" x14ac:dyDescent="0.3">
      <c r="A59" s="229"/>
      <c r="B59" s="232"/>
      <c r="C59" s="232"/>
      <c r="D59" s="232"/>
      <c r="E59" s="141"/>
      <c r="F59" s="235"/>
      <c r="G59" s="232"/>
      <c r="H59" s="141"/>
      <c r="I59" s="238"/>
      <c r="J59" s="241"/>
      <c r="K59" s="223"/>
      <c r="L59" s="244"/>
      <c r="M59" s="223">
        <f ca="1">IF(NOT(ISERROR(MATCH(L59,_xlfn.ANCHORARRAY(F70),0))),K72&amp;"Por favor no seleccionar los criterios de impacto",L59)</f>
        <v>0</v>
      </c>
      <c r="N59" s="241"/>
      <c r="O59" s="223"/>
      <c r="P59" s="226"/>
      <c r="Q59" s="125">
        <v>5</v>
      </c>
      <c r="R59" s="126"/>
      <c r="S59" s="127" t="str">
        <f t="shared" si="47"/>
        <v/>
      </c>
      <c r="T59" s="128"/>
      <c r="U59" s="128"/>
      <c r="V59" s="129" t="str">
        <f t="shared" si="44"/>
        <v/>
      </c>
      <c r="W59" s="128"/>
      <c r="X59" s="128"/>
      <c r="Y59" s="128"/>
      <c r="Z59" s="130" t="str">
        <f t="shared" si="48"/>
        <v/>
      </c>
      <c r="AA59" s="131" t="str">
        <f>IFERROR(IF(Z59="","",IF(Z59&lt;=0.2,"Muy Baja",IF(Z59&lt;=0.4,"Baja",IF(Z59&lt;=0.6,"Media",IF(Z59&lt;=0.8,"Alta","Muy Alta"))))),"")</f>
        <v/>
      </c>
      <c r="AB59" s="132" t="str">
        <f t="shared" si="45"/>
        <v/>
      </c>
      <c r="AC59" s="131" t="str">
        <f>IFERROR(IF(AD59="","",IF(AD59&lt;=0.2,"Leve",IF(AD59&lt;=0.4,"Menor",IF(AD59&lt;=0.6,"Moderado",IF(AD59&lt;=0.8,"Mayor","Catastrófico"))))),"")</f>
        <v/>
      </c>
      <c r="AD59" s="132" t="str">
        <f t="shared" si="49"/>
        <v/>
      </c>
      <c r="AE59" s="133" t="str">
        <f t="shared" ref="AE59:AE60" si="50">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34"/>
      <c r="AG59" s="135"/>
      <c r="AH59" s="136"/>
      <c r="AI59" s="137"/>
      <c r="AJ59" s="137"/>
      <c r="AK59" s="135"/>
      <c r="AL59" s="13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51.5" customHeight="1" x14ac:dyDescent="0.3">
      <c r="A60" s="230"/>
      <c r="B60" s="233"/>
      <c r="C60" s="233"/>
      <c r="D60" s="233"/>
      <c r="E60" s="142"/>
      <c r="F60" s="236"/>
      <c r="G60" s="233"/>
      <c r="H60" s="142"/>
      <c r="I60" s="239"/>
      <c r="J60" s="242"/>
      <c r="K60" s="224"/>
      <c r="L60" s="245"/>
      <c r="M60" s="224">
        <f ca="1">IF(NOT(ISERROR(MATCH(L60,_xlfn.ANCHORARRAY(F71),0))),K73&amp;"Por favor no seleccionar los criterios de impacto",L60)</f>
        <v>0</v>
      </c>
      <c r="N60" s="242"/>
      <c r="O60" s="224"/>
      <c r="P60" s="227"/>
      <c r="Q60" s="125">
        <v>6</v>
      </c>
      <c r="R60" s="126"/>
      <c r="S60" s="127" t="str">
        <f t="shared" si="47"/>
        <v/>
      </c>
      <c r="T60" s="128"/>
      <c r="U60" s="128"/>
      <c r="V60" s="129" t="str">
        <f t="shared" si="44"/>
        <v/>
      </c>
      <c r="W60" s="128"/>
      <c r="X60" s="128"/>
      <c r="Y60" s="128"/>
      <c r="Z60" s="130" t="str">
        <f t="shared" si="48"/>
        <v/>
      </c>
      <c r="AA60" s="131" t="str">
        <f>IFERROR(IF(Z60="","",IF(Z60&lt;=0.2,"Muy Baja",IF(Z60&lt;=0.4,"Baja",IF(Z60&lt;=0.6,"Media",IF(Z60&lt;=0.8,"Alta","Muy Alta"))))),"")</f>
        <v/>
      </c>
      <c r="AB60" s="132" t="str">
        <f t="shared" si="45"/>
        <v/>
      </c>
      <c r="AC60" s="131" t="str">
        <f>IFERROR(IF(AD60="","",IF(AD60&lt;=0.2,"Leve",IF(AD60&lt;=0.4,"Menor",IF(AD60&lt;=0.6,"Moderado",IF(AD60&lt;=0.8,"Mayor","Catastrófico"))))),"")</f>
        <v/>
      </c>
      <c r="AD60" s="132" t="str">
        <f t="shared" si="49"/>
        <v/>
      </c>
      <c r="AE60" s="133" t="str">
        <f t="shared" si="50"/>
        <v/>
      </c>
      <c r="AF60" s="134"/>
      <c r="AG60" s="135"/>
      <c r="AH60" s="136"/>
      <c r="AI60" s="137"/>
      <c r="AJ60" s="137"/>
      <c r="AK60" s="135"/>
      <c r="AL60" s="13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51.5" customHeight="1" x14ac:dyDescent="0.3">
      <c r="A61" s="228">
        <v>10</v>
      </c>
      <c r="B61" s="231"/>
      <c r="C61" s="231"/>
      <c r="D61" s="231"/>
      <c r="E61" s="140"/>
      <c r="F61" s="234"/>
      <c r="G61" s="231"/>
      <c r="H61" s="140"/>
      <c r="I61" s="237"/>
      <c r="J61" s="240" t="str">
        <f>IF(I61&lt;=0,"",IF(I61&lt;=2,"Muy Baja",IF(I61&lt;=24,"Baja",IF(I61&lt;=500,"Media",IF(I61&lt;=5000,"Alta","Muy Alta")))))</f>
        <v/>
      </c>
      <c r="K61" s="222" t="str">
        <f>IF(J61="","",IF(J61="Muy Baja",0.2,IF(J61="Baja",0.4,IF(J61="Media",0.6,IF(J61="Alta",0.8,IF(J61="Muy Alta",1,))))))</f>
        <v/>
      </c>
      <c r="L61" s="243"/>
      <c r="M61" s="222">
        <f ca="1">IF(NOT(ISERROR(MATCH(L61,'Tabla Impacto'!$B$221:$B$223,0))),'Tabla Impacto'!$F$223&amp;"Por favor no seleccionar los criterios de impacto(Afectación Económica o presupuestal y Pérdida Reputacional)",L61)</f>
        <v>0</v>
      </c>
      <c r="N61" s="240" t="str">
        <f ca="1">IF(OR(M61='Tabla Impacto'!$C$11,M61='Tabla Impacto'!$D$11),"Leve",IF(OR(M61='Tabla Impacto'!$C$12,M61='Tabla Impacto'!$D$12),"Menor",IF(OR(M61='Tabla Impacto'!$C$13,M61='Tabla Impacto'!$D$13),"Moderado",IF(OR(M61='Tabla Impacto'!$C$14,M61='Tabla Impacto'!$D$14),"Mayor",IF(OR(M61='Tabla Impacto'!$C$15,M61='Tabla Impacto'!$D$15),"Catastrófico","")))))</f>
        <v/>
      </c>
      <c r="O61" s="222" t="str">
        <f ca="1">IF(N61="","",IF(N61="Leve",0.2,IF(N61="Menor",0.4,IF(N61="Moderado",0.6,IF(N61="Mayor",0.8,IF(N61="Catastrófico",1,))))))</f>
        <v/>
      </c>
      <c r="P61" s="225" t="str">
        <f ca="1">IF(OR(AND(J61="Muy Baja",N61="Leve"),AND(J61="Muy Baja",N61="Menor"),AND(J61="Baja",N61="Leve")),"Bajo",IF(OR(AND(J61="Muy baja",N61="Moderado"),AND(J61="Baja",N61="Menor"),AND(J61="Baja",N61="Moderado"),AND(J61="Media",N61="Leve"),AND(J61="Media",N61="Menor"),AND(J61="Media",N61="Moderado"),AND(J61="Alta",N61="Leve"),AND(J61="Alta",N61="Menor")),"Moderado",IF(OR(AND(J61="Muy Baja",N61="Mayor"),AND(J61="Baja",N61="Mayor"),AND(J61="Media",N61="Mayor"),AND(J61="Alta",N61="Moderado"),AND(J61="Alta",N61="Mayor"),AND(J61="Muy Alta",N61="Leve"),AND(J61="Muy Alta",N61="Menor"),AND(J61="Muy Alta",N61="Moderado"),AND(J61="Muy Alta",N61="Mayor")),"Alto",IF(OR(AND(J61="Muy Baja",N61="Catastrófico"),AND(J61="Baja",N61="Catastrófico"),AND(J61="Media",N61="Catastrófico"),AND(J61="Alta",N61="Catastrófico"),AND(J61="Muy Alta",N61="Catastrófico")),"Extremo",""))))</f>
        <v/>
      </c>
      <c r="Q61" s="125">
        <v>1</v>
      </c>
      <c r="R61" s="126"/>
      <c r="S61" s="127" t="str">
        <f>IF(OR(T61="Preventivo",T61="Detectivo"),"Probabilidad",IF(T61="Correctivo","Impacto",""))</f>
        <v/>
      </c>
      <c r="T61" s="128"/>
      <c r="U61" s="128"/>
      <c r="V61" s="129" t="str">
        <f>IF(AND(T61="Preventivo",U61="Automático"),"50%",IF(AND(T61="Preventivo",U61="Manual"),"40%",IF(AND(T61="Detectivo",U61="Automático"),"40%",IF(AND(T61="Detectivo",U61="Manual"),"30%",IF(AND(T61="Correctivo",U61="Automático"),"35%",IF(AND(T61="Correctivo",U61="Manual"),"25%",""))))))</f>
        <v/>
      </c>
      <c r="W61" s="128"/>
      <c r="X61" s="128"/>
      <c r="Y61" s="128"/>
      <c r="Z61" s="130" t="str">
        <f>IFERROR(IF(S61="Probabilidad",(K61-(+K61*V61)),IF(S61="Impacto",K61,"")),"")</f>
        <v/>
      </c>
      <c r="AA61" s="131" t="str">
        <f>IFERROR(IF(Z61="","",IF(Z61&lt;=0.2,"Muy Baja",IF(Z61&lt;=0.4,"Baja",IF(Z61&lt;=0.6,"Media",IF(Z61&lt;=0.8,"Alta","Muy Alta"))))),"")</f>
        <v/>
      </c>
      <c r="AB61" s="132" t="str">
        <f>+Z61</f>
        <v/>
      </c>
      <c r="AC61" s="131" t="str">
        <f>IFERROR(IF(AD61="","",IF(AD61&lt;=0.2,"Leve",IF(AD61&lt;=0.4,"Menor",IF(AD61&lt;=0.6,"Moderado",IF(AD61&lt;=0.8,"Mayor","Catastrófico"))))),"")</f>
        <v/>
      </c>
      <c r="AD61" s="132" t="str">
        <f>IFERROR(IF(S61="Impacto",(O61-(+O61*V61)),IF(S61="Probabilidad",O61,"")),"")</f>
        <v/>
      </c>
      <c r="AE61" s="133"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34"/>
      <c r="AG61" s="135"/>
      <c r="AH61" s="136"/>
      <c r="AI61" s="137"/>
      <c r="AJ61" s="137"/>
      <c r="AK61" s="135"/>
      <c r="AL61" s="136"/>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151.5" customHeight="1" x14ac:dyDescent="0.3">
      <c r="A62" s="229"/>
      <c r="B62" s="232"/>
      <c r="C62" s="232"/>
      <c r="D62" s="232"/>
      <c r="E62" s="141"/>
      <c r="F62" s="235"/>
      <c r="G62" s="232"/>
      <c r="H62" s="141"/>
      <c r="I62" s="238"/>
      <c r="J62" s="241"/>
      <c r="K62" s="223"/>
      <c r="L62" s="244"/>
      <c r="M62" s="223">
        <f ca="1">IF(NOT(ISERROR(MATCH(L62,_xlfn.ANCHORARRAY(F73),0))),K75&amp;"Por favor no seleccionar los criterios de impacto",L62)</f>
        <v>0</v>
      </c>
      <c r="N62" s="241"/>
      <c r="O62" s="223"/>
      <c r="P62" s="226"/>
      <c r="Q62" s="125">
        <v>2</v>
      </c>
      <c r="R62" s="126"/>
      <c r="S62" s="127" t="str">
        <f>IF(OR(T62="Preventivo",T62="Detectivo"),"Probabilidad",IF(T62="Correctivo","Impacto",""))</f>
        <v/>
      </c>
      <c r="T62" s="128"/>
      <c r="U62" s="128"/>
      <c r="V62" s="129" t="str">
        <f t="shared" ref="V62:V66" si="51">IF(AND(T62="Preventivo",U62="Automático"),"50%",IF(AND(T62="Preventivo",U62="Manual"),"40%",IF(AND(T62="Detectivo",U62="Automático"),"40%",IF(AND(T62="Detectivo",U62="Manual"),"30%",IF(AND(T62="Correctivo",U62="Automático"),"35%",IF(AND(T62="Correctivo",U62="Manual"),"25%",""))))))</f>
        <v/>
      </c>
      <c r="W62" s="128"/>
      <c r="X62" s="128"/>
      <c r="Y62" s="128"/>
      <c r="Z62" s="130" t="str">
        <f>IFERROR(IF(AND(S61="Probabilidad",S62="Probabilidad"),(AB61-(+AB61*V62)),IF(S62="Probabilidad",(K61-(+K61*V62)),IF(S62="Impacto",AB61,""))),"")</f>
        <v/>
      </c>
      <c r="AA62" s="131" t="str">
        <f>IFERROR(IF(Z62="","",IF(Z62&lt;=0.2,"Muy Baja",IF(Z62&lt;=0.4,"Baja",IF(Z62&lt;=0.6,"Media",IF(Z62&lt;=0.8,"Alta","Muy Alta"))))),"")</f>
        <v/>
      </c>
      <c r="AB62" s="132" t="str">
        <f t="shared" ref="AB62:AB66" si="52">+Z62</f>
        <v/>
      </c>
      <c r="AC62" s="131" t="str">
        <f>IFERROR(IF(AD62="","",IF(AD62&lt;=0.2,"Leve",IF(AD62&lt;=0.4,"Menor",IF(AD62&lt;=0.6,"Moderado",IF(AD62&lt;=0.8,"Mayor","Catastrófico"))))),"")</f>
        <v/>
      </c>
      <c r="AD62" s="132" t="str">
        <f>IFERROR(IF(AND(S61="Impacto",S62="Impacto"),(AD55-(+AD55*V62)),IF(S62="Impacto",($O$61-(+$O$61*V62)),IF(S62="Probabilidad",AD55,""))),"")</f>
        <v/>
      </c>
      <c r="AE62" s="133" t="str">
        <f t="shared" ref="AE62:AE63" si="53">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34"/>
      <c r="AG62" s="135"/>
      <c r="AH62" s="136"/>
      <c r="AI62" s="137"/>
      <c r="AJ62" s="137"/>
      <c r="AK62" s="135"/>
      <c r="AL62" s="136"/>
    </row>
    <row r="63" spans="1:70" ht="151.5" customHeight="1" x14ac:dyDescent="0.3">
      <c r="A63" s="229"/>
      <c r="B63" s="232"/>
      <c r="C63" s="232"/>
      <c r="D63" s="232"/>
      <c r="E63" s="141"/>
      <c r="F63" s="235"/>
      <c r="G63" s="232"/>
      <c r="H63" s="141"/>
      <c r="I63" s="238"/>
      <c r="J63" s="241"/>
      <c r="K63" s="223"/>
      <c r="L63" s="244"/>
      <c r="M63" s="223">
        <f ca="1">IF(NOT(ISERROR(MATCH(L63,_xlfn.ANCHORARRAY(F74),0))),K76&amp;"Por favor no seleccionar los criterios de impacto",L63)</f>
        <v>0</v>
      </c>
      <c r="N63" s="241"/>
      <c r="O63" s="223"/>
      <c r="P63" s="226"/>
      <c r="Q63" s="125">
        <v>3</v>
      </c>
      <c r="R63" s="138"/>
      <c r="S63" s="127" t="str">
        <f>IF(OR(T63="Preventivo",T63="Detectivo"),"Probabilidad",IF(T63="Correctivo","Impacto",""))</f>
        <v/>
      </c>
      <c r="T63" s="128"/>
      <c r="U63" s="128"/>
      <c r="V63" s="129" t="str">
        <f t="shared" si="51"/>
        <v/>
      </c>
      <c r="W63" s="128"/>
      <c r="X63" s="128"/>
      <c r="Y63" s="128"/>
      <c r="Z63" s="130" t="str">
        <f>IFERROR(IF(AND(S62="Probabilidad",S63="Probabilidad"),(AB62-(+AB62*V63)),IF(AND(S62="Impacto",S63="Probabilidad"),(AB61-(+AB61*V63)),IF(S63="Impacto",AB62,""))),"")</f>
        <v/>
      </c>
      <c r="AA63" s="131" t="str">
        <f>IFERROR(IF(Z63="","",IF(Z63&lt;=0.2,"Muy Baja",IF(Z63&lt;=0.4,"Baja",IF(Z63&lt;=0.6,"Media",IF(Z63&lt;=0.8,"Alta","Muy Alta"))))),"")</f>
        <v/>
      </c>
      <c r="AB63" s="132" t="str">
        <f t="shared" si="52"/>
        <v/>
      </c>
      <c r="AC63" s="131" t="str">
        <f>IFERROR(IF(AD63="","",IF(AD63&lt;=0.2,"Leve",IF(AD63&lt;=0.4,"Menor",IF(AD63&lt;=0.6,"Moderado",IF(AD63&lt;=0.8,"Mayor","Catastrófico"))))),"")</f>
        <v/>
      </c>
      <c r="AD63" s="132" t="str">
        <f>IFERROR(IF(AND(S62="Impacto",S63="Impacto"),(AD62-(+AD62*V63)),IF(AND(S62="Probabilidad",S63="Impacto"),(AD61-(+AD61*V63)),IF(S63="Probabilidad",AD62,""))),"")</f>
        <v/>
      </c>
      <c r="AE63" s="133" t="str">
        <f t="shared" si="53"/>
        <v/>
      </c>
      <c r="AF63" s="134"/>
      <c r="AG63" s="135"/>
      <c r="AH63" s="136"/>
      <c r="AI63" s="137"/>
      <c r="AJ63" s="137"/>
      <c r="AK63" s="135"/>
      <c r="AL63" s="136"/>
    </row>
    <row r="64" spans="1:70" ht="151.5" customHeight="1" x14ac:dyDescent="0.3">
      <c r="A64" s="229"/>
      <c r="B64" s="232"/>
      <c r="C64" s="232"/>
      <c r="D64" s="232"/>
      <c r="E64" s="141"/>
      <c r="F64" s="235"/>
      <c r="G64" s="232"/>
      <c r="H64" s="141"/>
      <c r="I64" s="238"/>
      <c r="J64" s="241"/>
      <c r="K64" s="223"/>
      <c r="L64" s="244"/>
      <c r="M64" s="223">
        <f ca="1">IF(NOT(ISERROR(MATCH(L64,_xlfn.ANCHORARRAY(F75),0))),K77&amp;"Por favor no seleccionar los criterios de impacto",L64)</f>
        <v>0</v>
      </c>
      <c r="N64" s="241"/>
      <c r="O64" s="223"/>
      <c r="P64" s="226"/>
      <c r="Q64" s="125">
        <v>4</v>
      </c>
      <c r="R64" s="126"/>
      <c r="S64" s="127" t="str">
        <f t="shared" ref="S64:S66" si="54">IF(OR(T64="Preventivo",T64="Detectivo"),"Probabilidad",IF(T64="Correctivo","Impacto",""))</f>
        <v/>
      </c>
      <c r="T64" s="128"/>
      <c r="U64" s="128"/>
      <c r="V64" s="129" t="str">
        <f t="shared" si="51"/>
        <v/>
      </c>
      <c r="W64" s="128"/>
      <c r="X64" s="128"/>
      <c r="Y64" s="128"/>
      <c r="Z64" s="130" t="str">
        <f t="shared" ref="Z64:Z66" si="55">IFERROR(IF(AND(S63="Probabilidad",S64="Probabilidad"),(AB63-(+AB63*V64)),IF(AND(S63="Impacto",S64="Probabilidad"),(AB62-(+AB62*V64)),IF(S64="Impacto",AB63,""))),"")</f>
        <v/>
      </c>
      <c r="AA64" s="131" t="str">
        <f>IFERROR(IF(Z64="","",IF(Z64&lt;=0.2,"Muy Baja",IF(Z64&lt;=0.4,"Baja",IF(Z64&lt;=0.6,"Media",IF(Z64&lt;=0.8,"Alta","Muy Alta"))))),"")</f>
        <v/>
      </c>
      <c r="AB64" s="132" t="str">
        <f t="shared" si="52"/>
        <v/>
      </c>
      <c r="AC64" s="131" t="str">
        <f>IFERROR(IF(AD64="","",IF(AD64&lt;=0.2,"Leve",IF(AD64&lt;=0.4,"Menor",IF(AD64&lt;=0.6,"Moderado",IF(AD64&lt;=0.8,"Mayor","Catastrófico"))))),"")</f>
        <v/>
      </c>
      <c r="AD64" s="132" t="str">
        <f t="shared" ref="AD64:AD66" si="56">IFERROR(IF(AND(S63="Impacto",S64="Impacto"),(AD63-(+AD63*V64)),IF(AND(S63="Probabilidad",S64="Impacto"),(AD62-(+AD62*V64)),IF(S64="Probabilidad",AD63,""))),"")</f>
        <v/>
      </c>
      <c r="AE64" s="133"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34"/>
      <c r="AG64" s="135"/>
      <c r="AH64" s="136"/>
      <c r="AI64" s="137"/>
      <c r="AJ64" s="137"/>
      <c r="AK64" s="135"/>
      <c r="AL64" s="136"/>
    </row>
    <row r="65" spans="1:38" ht="151.5" customHeight="1" x14ac:dyDescent="0.3">
      <c r="A65" s="229"/>
      <c r="B65" s="232"/>
      <c r="C65" s="232"/>
      <c r="D65" s="232"/>
      <c r="E65" s="141"/>
      <c r="F65" s="235"/>
      <c r="G65" s="232"/>
      <c r="H65" s="141"/>
      <c r="I65" s="238"/>
      <c r="J65" s="241"/>
      <c r="K65" s="223"/>
      <c r="L65" s="244"/>
      <c r="M65" s="223">
        <f ca="1">IF(NOT(ISERROR(MATCH(L65,_xlfn.ANCHORARRAY(F76),0))),K78&amp;"Por favor no seleccionar los criterios de impacto",L65)</f>
        <v>0</v>
      </c>
      <c r="N65" s="241"/>
      <c r="O65" s="223"/>
      <c r="P65" s="226"/>
      <c r="Q65" s="125">
        <v>5</v>
      </c>
      <c r="R65" s="126"/>
      <c r="S65" s="127" t="str">
        <f t="shared" si="54"/>
        <v/>
      </c>
      <c r="T65" s="128"/>
      <c r="U65" s="128"/>
      <c r="V65" s="129" t="str">
        <f t="shared" si="51"/>
        <v/>
      </c>
      <c r="W65" s="128"/>
      <c r="X65" s="128"/>
      <c r="Y65" s="128"/>
      <c r="Z65" s="130" t="str">
        <f t="shared" si="55"/>
        <v/>
      </c>
      <c r="AA65" s="131" t="str">
        <f>IFERROR(IF(Z65="","",IF(Z65&lt;=0.2,"Muy Baja",IF(Z65&lt;=0.4,"Baja",IF(Z65&lt;=0.6,"Media",IF(Z65&lt;=0.8,"Alta","Muy Alta"))))),"")</f>
        <v/>
      </c>
      <c r="AB65" s="132" t="str">
        <f t="shared" si="52"/>
        <v/>
      </c>
      <c r="AC65" s="131" t="str">
        <f>IFERROR(IF(AD65="","",IF(AD65&lt;=0.2,"Leve",IF(AD65&lt;=0.4,"Menor",IF(AD65&lt;=0.6,"Moderado",IF(AD65&lt;=0.8,"Mayor","Catastrófico"))))),"")</f>
        <v/>
      </c>
      <c r="AD65" s="132" t="str">
        <f t="shared" si="56"/>
        <v/>
      </c>
      <c r="AE65" s="133" t="str">
        <f t="shared" ref="AE65:AE66" si="57">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34"/>
      <c r="AG65" s="135"/>
      <c r="AH65" s="136"/>
      <c r="AI65" s="137"/>
      <c r="AJ65" s="137"/>
      <c r="AK65" s="135"/>
      <c r="AL65" s="136"/>
    </row>
    <row r="66" spans="1:38" ht="151.5" customHeight="1" x14ac:dyDescent="0.3">
      <c r="A66" s="230"/>
      <c r="B66" s="233"/>
      <c r="C66" s="233"/>
      <c r="D66" s="233"/>
      <c r="E66" s="142"/>
      <c r="F66" s="236"/>
      <c r="G66" s="233"/>
      <c r="H66" s="142"/>
      <c r="I66" s="239"/>
      <c r="J66" s="242"/>
      <c r="K66" s="224"/>
      <c r="L66" s="245"/>
      <c r="M66" s="224">
        <f ca="1">IF(NOT(ISERROR(MATCH(L66,_xlfn.ANCHORARRAY(F77),0))),K79&amp;"Por favor no seleccionar los criterios de impacto",L66)</f>
        <v>0</v>
      </c>
      <c r="N66" s="242"/>
      <c r="O66" s="224"/>
      <c r="P66" s="227"/>
      <c r="Q66" s="125">
        <v>6</v>
      </c>
      <c r="R66" s="126"/>
      <c r="S66" s="127" t="str">
        <f t="shared" si="54"/>
        <v/>
      </c>
      <c r="T66" s="128"/>
      <c r="U66" s="128"/>
      <c r="V66" s="129" t="str">
        <f t="shared" si="51"/>
        <v/>
      </c>
      <c r="W66" s="128"/>
      <c r="X66" s="128"/>
      <c r="Y66" s="128"/>
      <c r="Z66" s="130" t="str">
        <f t="shared" si="55"/>
        <v/>
      </c>
      <c r="AA66" s="131" t="str">
        <f>IFERROR(IF(Z66="","",IF(Z66&lt;=0.2,"Muy Baja",IF(Z66&lt;=0.4,"Baja",IF(Z66&lt;=0.6,"Media",IF(Z66&lt;=0.8,"Alta","Muy Alta"))))),"")</f>
        <v/>
      </c>
      <c r="AB66" s="132" t="str">
        <f t="shared" si="52"/>
        <v/>
      </c>
      <c r="AC66" s="131" t="str">
        <f>IFERROR(IF(AD66="","",IF(AD66&lt;=0.2,"Leve",IF(AD66&lt;=0.4,"Menor",IF(AD66&lt;=0.6,"Moderado",IF(AD66&lt;=0.8,"Mayor","Catastrófico"))))),"")</f>
        <v/>
      </c>
      <c r="AD66" s="132" t="str">
        <f t="shared" si="56"/>
        <v/>
      </c>
      <c r="AE66" s="133" t="str">
        <f t="shared" si="57"/>
        <v/>
      </c>
      <c r="AF66" s="134"/>
      <c r="AG66" s="135"/>
      <c r="AH66" s="136"/>
      <c r="AI66" s="137"/>
      <c r="AJ66" s="137"/>
      <c r="AK66" s="135"/>
      <c r="AL66" s="136"/>
    </row>
    <row r="67" spans="1:38" ht="49.5" customHeight="1" x14ac:dyDescent="0.3">
      <c r="A67" s="6"/>
      <c r="B67" s="219" t="s">
        <v>131</v>
      </c>
      <c r="C67" s="220"/>
      <c r="D67" s="220"/>
      <c r="E67" s="220"/>
      <c r="F67" s="220"/>
      <c r="G67" s="220"/>
      <c r="H67" s="220"/>
      <c r="I67" s="220"/>
      <c r="J67" s="220"/>
      <c r="K67" s="220"/>
      <c r="L67" s="220"/>
      <c r="M67" s="220"/>
      <c r="N67" s="220"/>
      <c r="O67" s="220"/>
      <c r="P67" s="220"/>
      <c r="Q67" s="220"/>
      <c r="R67" s="220"/>
      <c r="S67" s="220"/>
      <c r="T67" s="220"/>
      <c r="U67" s="220"/>
      <c r="V67" s="220"/>
      <c r="W67" s="220"/>
      <c r="X67" s="220"/>
      <c r="Y67" s="220"/>
      <c r="Z67" s="220"/>
      <c r="AA67" s="220"/>
      <c r="AB67" s="220"/>
      <c r="AC67" s="220"/>
      <c r="AD67" s="220"/>
      <c r="AE67" s="220"/>
      <c r="AF67" s="220"/>
      <c r="AG67" s="220"/>
      <c r="AH67" s="220"/>
      <c r="AI67" s="220"/>
      <c r="AJ67" s="220"/>
      <c r="AK67" s="220"/>
      <c r="AL67" s="221"/>
    </row>
    <row r="69" spans="1:38" x14ac:dyDescent="0.3">
      <c r="A69" s="1"/>
      <c r="B69" s="24" t="s">
        <v>143</v>
      </c>
      <c r="C69" s="1"/>
      <c r="D69" s="1"/>
      <c r="E69" s="1"/>
      <c r="G69" s="1"/>
      <c r="H69" s="1"/>
    </row>
  </sheetData>
  <autoFilter ref="A9:BR9"/>
  <dataConsolidate/>
  <mergeCells count="168">
    <mergeCell ref="A10:A12"/>
    <mergeCell ref="B10:B12"/>
    <mergeCell ref="C10:C12"/>
    <mergeCell ref="D10:D12"/>
    <mergeCell ref="F10:F12"/>
    <mergeCell ref="M10:M12"/>
    <mergeCell ref="AG10:AG12"/>
    <mergeCell ref="G10:G12"/>
    <mergeCell ref="AI8:AI9"/>
    <mergeCell ref="AH8:AH9"/>
    <mergeCell ref="A4:B4"/>
    <mergeCell ref="A5:B5"/>
    <mergeCell ref="A6:B6"/>
    <mergeCell ref="A8:A9"/>
    <mergeCell ref="G8:G9"/>
    <mergeCell ref="F8:F9"/>
    <mergeCell ref="D8:D9"/>
    <mergeCell ref="C8:C9"/>
    <mergeCell ref="AF8:AF9"/>
    <mergeCell ref="C5:P5"/>
    <mergeCell ref="C6:P6"/>
    <mergeCell ref="Q8:Q9"/>
    <mergeCell ref="AE8:AE9"/>
    <mergeCell ref="AD8:AD9"/>
    <mergeCell ref="Z8:Z9"/>
    <mergeCell ref="R8:R9"/>
    <mergeCell ref="C4:P4"/>
    <mergeCell ref="Q4:S4"/>
    <mergeCell ref="L19:L24"/>
    <mergeCell ref="M19:M24"/>
    <mergeCell ref="N19:N24"/>
    <mergeCell ref="A13:A18"/>
    <mergeCell ref="B13:B18"/>
    <mergeCell ref="C13:C18"/>
    <mergeCell ref="O19:O24"/>
    <mergeCell ref="P19:P24"/>
    <mergeCell ref="A19:A24"/>
    <mergeCell ref="B19:B24"/>
    <mergeCell ref="C19:C24"/>
    <mergeCell ref="D19:D24"/>
    <mergeCell ref="F19:F24"/>
    <mergeCell ref="G19:G24"/>
    <mergeCell ref="I19:I24"/>
    <mergeCell ref="J19:J24"/>
    <mergeCell ref="K19:K24"/>
    <mergeCell ref="A25:A30"/>
    <mergeCell ref="B25:B30"/>
    <mergeCell ref="C25:C30"/>
    <mergeCell ref="D25:D30"/>
    <mergeCell ref="F25:F30"/>
    <mergeCell ref="G25:G30"/>
    <mergeCell ref="I25:I30"/>
    <mergeCell ref="J25:J30"/>
    <mergeCell ref="K25:K30"/>
    <mergeCell ref="L25:L30"/>
    <mergeCell ref="M25:M30"/>
    <mergeCell ref="N25:N30"/>
    <mergeCell ref="O25:O30"/>
    <mergeCell ref="P25:P30"/>
    <mergeCell ref="O31:O36"/>
    <mergeCell ref="P31:P36"/>
    <mergeCell ref="O37:O42"/>
    <mergeCell ref="P37:P42"/>
    <mergeCell ref="G37:G42"/>
    <mergeCell ref="D31:D36"/>
    <mergeCell ref="F31:F36"/>
    <mergeCell ref="L37:L42"/>
    <mergeCell ref="M37:M42"/>
    <mergeCell ref="N37:N42"/>
    <mergeCell ref="G31:G36"/>
    <mergeCell ref="I31:I36"/>
    <mergeCell ref="J31:J36"/>
    <mergeCell ref="K31:K36"/>
    <mergeCell ref="L31:L36"/>
    <mergeCell ref="I37:I42"/>
    <mergeCell ref="J37:J42"/>
    <mergeCell ref="K37:K42"/>
    <mergeCell ref="M31:M36"/>
    <mergeCell ref="N31:N36"/>
    <mergeCell ref="A31:A36"/>
    <mergeCell ref="B31:B36"/>
    <mergeCell ref="C31:C36"/>
    <mergeCell ref="A37:A42"/>
    <mergeCell ref="B37:B42"/>
    <mergeCell ref="C37:C42"/>
    <mergeCell ref="D37:D42"/>
    <mergeCell ref="F37:F42"/>
    <mergeCell ref="A49:A54"/>
    <mergeCell ref="B49:B54"/>
    <mergeCell ref="C49:C54"/>
    <mergeCell ref="D49:D54"/>
    <mergeCell ref="F49:F54"/>
    <mergeCell ref="A43:A48"/>
    <mergeCell ref="B43:B48"/>
    <mergeCell ref="C43:C48"/>
    <mergeCell ref="D43:D48"/>
    <mergeCell ref="F43:F48"/>
    <mergeCell ref="F55:F60"/>
    <mergeCell ref="G55:G60"/>
    <mergeCell ref="I55:I60"/>
    <mergeCell ref="J55:J60"/>
    <mergeCell ref="K55:K60"/>
    <mergeCell ref="O43:O48"/>
    <mergeCell ref="P43:P48"/>
    <mergeCell ref="G49:G54"/>
    <mergeCell ref="I49:I54"/>
    <mergeCell ref="J49:J54"/>
    <mergeCell ref="K49:K54"/>
    <mergeCell ref="L49:L54"/>
    <mergeCell ref="G43:G48"/>
    <mergeCell ref="I43:I48"/>
    <mergeCell ref="J43:J48"/>
    <mergeCell ref="K43:K48"/>
    <mergeCell ref="M49:M54"/>
    <mergeCell ref="N49:N54"/>
    <mergeCell ref="O49:O54"/>
    <mergeCell ref="P49:P54"/>
    <mergeCell ref="L43:L48"/>
    <mergeCell ref="M43:M48"/>
    <mergeCell ref="N43:N48"/>
    <mergeCell ref="B67:AL67"/>
    <mergeCell ref="O55:O60"/>
    <mergeCell ref="P55:P60"/>
    <mergeCell ref="A61:A66"/>
    <mergeCell ref="B61:B66"/>
    <mergeCell ref="C61:C66"/>
    <mergeCell ref="D61:D66"/>
    <mergeCell ref="F61:F66"/>
    <mergeCell ref="G61:G66"/>
    <mergeCell ref="I61:I66"/>
    <mergeCell ref="J61:J66"/>
    <mergeCell ref="K61:K66"/>
    <mergeCell ref="L61:L66"/>
    <mergeCell ref="M61:M66"/>
    <mergeCell ref="N61:N66"/>
    <mergeCell ref="O61:O66"/>
    <mergeCell ref="P61:P66"/>
    <mergeCell ref="L55:L60"/>
    <mergeCell ref="M55:M60"/>
    <mergeCell ref="N55:N60"/>
    <mergeCell ref="A55:A60"/>
    <mergeCell ref="B55:B60"/>
    <mergeCell ref="C55:C60"/>
    <mergeCell ref="D55:D60"/>
    <mergeCell ref="A1:AL2"/>
    <mergeCell ref="A7:I7"/>
    <mergeCell ref="J7:P7"/>
    <mergeCell ref="Q7:Y7"/>
    <mergeCell ref="Z7:AF7"/>
    <mergeCell ref="AG7:AL7"/>
    <mergeCell ref="AC8:AC9"/>
    <mergeCell ref="AA8:AA9"/>
    <mergeCell ref="AB8:AB9"/>
    <mergeCell ref="I8:I9"/>
    <mergeCell ref="J8:J9"/>
    <mergeCell ref="K8:K9"/>
    <mergeCell ref="N8:N9"/>
    <mergeCell ref="O8:O9"/>
    <mergeCell ref="B8:B9"/>
    <mergeCell ref="P8:P9"/>
    <mergeCell ref="L8:L9"/>
    <mergeCell ref="M8:M9"/>
    <mergeCell ref="S8:S9"/>
    <mergeCell ref="T8:Y8"/>
    <mergeCell ref="AG8:AG9"/>
    <mergeCell ref="AL8:AL9"/>
    <mergeCell ref="AK8:AK9"/>
    <mergeCell ref="AJ8:AJ9"/>
  </mergeCells>
  <conditionalFormatting sqref="AA10:AA12 J10:J12">
    <cfRule type="cellIs" dxfId="212" priority="324" operator="equal">
      <formula>"Muy Alta"</formula>
    </cfRule>
    <cfRule type="cellIs" dxfId="211" priority="325" operator="equal">
      <formula>"Alta"</formula>
    </cfRule>
    <cfRule type="cellIs" dxfId="210" priority="326" operator="equal">
      <formula>"Media"</formula>
    </cfRule>
    <cfRule type="cellIs" dxfId="209" priority="327" operator="equal">
      <formula>"Baja"</formula>
    </cfRule>
    <cfRule type="cellIs" dxfId="208" priority="328" operator="equal">
      <formula>"Muy Baja"</formula>
    </cfRule>
  </conditionalFormatting>
  <conditionalFormatting sqref="N19 N25 N31 N37 N43 N49 N55 N61 AC10:AC12 N10:N12">
    <cfRule type="cellIs" dxfId="207" priority="319" operator="equal">
      <formula>"Catastrófico"</formula>
    </cfRule>
    <cfRule type="cellIs" dxfId="206" priority="320" operator="equal">
      <formula>"Mayor"</formula>
    </cfRule>
    <cfRule type="cellIs" dxfId="205" priority="321" operator="equal">
      <formula>"Moderado"</formula>
    </cfRule>
    <cfRule type="cellIs" dxfId="204" priority="322" operator="equal">
      <formula>"Menor"</formula>
    </cfRule>
    <cfRule type="cellIs" dxfId="203" priority="323" operator="equal">
      <formula>"Leve"</formula>
    </cfRule>
  </conditionalFormatting>
  <conditionalFormatting sqref="AE10:AE12 P10:P12">
    <cfRule type="cellIs" dxfId="202" priority="315" operator="equal">
      <formula>"Extremo"</formula>
    </cfRule>
    <cfRule type="cellIs" dxfId="201" priority="316" operator="equal">
      <formula>"Alto"</formula>
    </cfRule>
    <cfRule type="cellIs" dxfId="200" priority="317" operator="equal">
      <formula>"Moderado"</formula>
    </cfRule>
    <cfRule type="cellIs" dxfId="199" priority="318" operator="equal">
      <formula>"Bajo"</formula>
    </cfRule>
  </conditionalFormatting>
  <conditionalFormatting sqref="J55">
    <cfRule type="cellIs" dxfId="198" priority="58" operator="equal">
      <formula>"Muy Alta"</formula>
    </cfRule>
    <cfRule type="cellIs" dxfId="197" priority="59" operator="equal">
      <formula>"Alta"</formula>
    </cfRule>
    <cfRule type="cellIs" dxfId="196" priority="60" operator="equal">
      <formula>"Media"</formula>
    </cfRule>
    <cfRule type="cellIs" dxfId="195" priority="61" operator="equal">
      <formula>"Baja"</formula>
    </cfRule>
    <cfRule type="cellIs" dxfId="194" priority="62" operator="equal">
      <formula>"Muy Baja"</formula>
    </cfRule>
  </conditionalFormatting>
  <conditionalFormatting sqref="J19">
    <cfRule type="cellIs" dxfId="179" priority="226" operator="equal">
      <formula>"Muy Alta"</formula>
    </cfRule>
    <cfRule type="cellIs" dxfId="178" priority="227" operator="equal">
      <formula>"Alta"</formula>
    </cfRule>
    <cfRule type="cellIs" dxfId="177" priority="228" operator="equal">
      <formula>"Media"</formula>
    </cfRule>
    <cfRule type="cellIs" dxfId="176" priority="229" operator="equal">
      <formula>"Baja"</formula>
    </cfRule>
    <cfRule type="cellIs" dxfId="175" priority="230" operator="equal">
      <formula>"Muy Baja"</formula>
    </cfRule>
  </conditionalFormatting>
  <conditionalFormatting sqref="P19">
    <cfRule type="cellIs" dxfId="174" priority="217" operator="equal">
      <formula>"Extremo"</formula>
    </cfRule>
    <cfRule type="cellIs" dxfId="173" priority="218" operator="equal">
      <formula>"Alto"</formula>
    </cfRule>
    <cfRule type="cellIs" dxfId="172" priority="219" operator="equal">
      <formula>"Moderado"</formula>
    </cfRule>
    <cfRule type="cellIs" dxfId="171" priority="220" operator="equal">
      <formula>"Bajo"</formula>
    </cfRule>
  </conditionalFormatting>
  <conditionalFormatting sqref="AA19:AA24">
    <cfRule type="cellIs" dxfId="170" priority="212" operator="equal">
      <formula>"Muy Alta"</formula>
    </cfRule>
    <cfRule type="cellIs" dxfId="169" priority="213" operator="equal">
      <formula>"Alta"</formula>
    </cfRule>
    <cfRule type="cellIs" dxfId="168" priority="214" operator="equal">
      <formula>"Media"</formula>
    </cfRule>
    <cfRule type="cellIs" dxfId="167" priority="215" operator="equal">
      <formula>"Baja"</formula>
    </cfRule>
    <cfRule type="cellIs" dxfId="166" priority="216" operator="equal">
      <formula>"Muy Baja"</formula>
    </cfRule>
  </conditionalFormatting>
  <conditionalFormatting sqref="AC19:AC24">
    <cfRule type="cellIs" dxfId="165" priority="207" operator="equal">
      <formula>"Catastrófico"</formula>
    </cfRule>
    <cfRule type="cellIs" dxfId="164" priority="208" operator="equal">
      <formula>"Mayor"</formula>
    </cfRule>
    <cfRule type="cellIs" dxfId="163" priority="209" operator="equal">
      <formula>"Moderado"</formula>
    </cfRule>
    <cfRule type="cellIs" dxfId="162" priority="210" operator="equal">
      <formula>"Menor"</formula>
    </cfRule>
    <cfRule type="cellIs" dxfId="161" priority="211" operator="equal">
      <formula>"Leve"</formula>
    </cfRule>
  </conditionalFormatting>
  <conditionalFormatting sqref="AE19:AE24">
    <cfRule type="cellIs" dxfId="160" priority="203" operator="equal">
      <formula>"Extremo"</formula>
    </cfRule>
    <cfRule type="cellIs" dxfId="159" priority="204" operator="equal">
      <formula>"Alto"</formula>
    </cfRule>
    <cfRule type="cellIs" dxfId="158" priority="205" operator="equal">
      <formula>"Moderado"</formula>
    </cfRule>
    <cfRule type="cellIs" dxfId="157" priority="206" operator="equal">
      <formula>"Bajo"</formula>
    </cfRule>
  </conditionalFormatting>
  <conditionalFormatting sqref="J25">
    <cfRule type="cellIs" dxfId="156" priority="198" operator="equal">
      <formula>"Muy Alta"</formula>
    </cfRule>
    <cfRule type="cellIs" dxfId="155" priority="199" operator="equal">
      <formula>"Alta"</formula>
    </cfRule>
    <cfRule type="cellIs" dxfId="154" priority="200" operator="equal">
      <formula>"Media"</formula>
    </cfRule>
    <cfRule type="cellIs" dxfId="153" priority="201" operator="equal">
      <formula>"Baja"</formula>
    </cfRule>
    <cfRule type="cellIs" dxfId="152" priority="202" operator="equal">
      <formula>"Muy Baja"</formula>
    </cfRule>
  </conditionalFormatting>
  <conditionalFormatting sqref="P25">
    <cfRule type="cellIs" dxfId="151" priority="189" operator="equal">
      <formula>"Extremo"</formula>
    </cfRule>
    <cfRule type="cellIs" dxfId="150" priority="190" operator="equal">
      <formula>"Alto"</formula>
    </cfRule>
    <cfRule type="cellIs" dxfId="149" priority="191" operator="equal">
      <formula>"Moderado"</formula>
    </cfRule>
    <cfRule type="cellIs" dxfId="148" priority="192" operator="equal">
      <formula>"Bajo"</formula>
    </cfRule>
  </conditionalFormatting>
  <conditionalFormatting sqref="AA25:AA30">
    <cfRule type="cellIs" dxfId="147" priority="184" operator="equal">
      <formula>"Muy Alta"</formula>
    </cfRule>
    <cfRule type="cellIs" dxfId="146" priority="185" operator="equal">
      <formula>"Alta"</formula>
    </cfRule>
    <cfRule type="cellIs" dxfId="145" priority="186" operator="equal">
      <formula>"Media"</formula>
    </cfRule>
    <cfRule type="cellIs" dxfId="144" priority="187" operator="equal">
      <formula>"Baja"</formula>
    </cfRule>
    <cfRule type="cellIs" dxfId="143" priority="188" operator="equal">
      <formula>"Muy Baja"</formula>
    </cfRule>
  </conditionalFormatting>
  <conditionalFormatting sqref="AC25:AC30">
    <cfRule type="cellIs" dxfId="142" priority="179" operator="equal">
      <formula>"Catastrófico"</formula>
    </cfRule>
    <cfRule type="cellIs" dxfId="141" priority="180" operator="equal">
      <formula>"Mayor"</formula>
    </cfRule>
    <cfRule type="cellIs" dxfId="140" priority="181" operator="equal">
      <formula>"Moderado"</formula>
    </cfRule>
    <cfRule type="cellIs" dxfId="139" priority="182" operator="equal">
      <formula>"Menor"</formula>
    </cfRule>
    <cfRule type="cellIs" dxfId="138" priority="183" operator="equal">
      <formula>"Leve"</formula>
    </cfRule>
  </conditionalFormatting>
  <conditionalFormatting sqref="AE25:AE30">
    <cfRule type="cellIs" dxfId="137" priority="175" operator="equal">
      <formula>"Extremo"</formula>
    </cfRule>
    <cfRule type="cellIs" dxfId="136" priority="176" operator="equal">
      <formula>"Alto"</formula>
    </cfRule>
    <cfRule type="cellIs" dxfId="135" priority="177" operator="equal">
      <formula>"Moderado"</formula>
    </cfRule>
    <cfRule type="cellIs" dxfId="134" priority="178" operator="equal">
      <formula>"Bajo"</formula>
    </cfRule>
  </conditionalFormatting>
  <conditionalFormatting sqref="J31">
    <cfRule type="cellIs" dxfId="133" priority="170" operator="equal">
      <formula>"Muy Alta"</formula>
    </cfRule>
    <cfRule type="cellIs" dxfId="132" priority="171" operator="equal">
      <formula>"Alta"</formula>
    </cfRule>
    <cfRule type="cellIs" dxfId="131" priority="172" operator="equal">
      <formula>"Media"</formula>
    </cfRule>
    <cfRule type="cellIs" dxfId="130" priority="173" operator="equal">
      <formula>"Baja"</formula>
    </cfRule>
    <cfRule type="cellIs" dxfId="129" priority="174" operator="equal">
      <formula>"Muy Baja"</formula>
    </cfRule>
  </conditionalFormatting>
  <conditionalFormatting sqref="P31">
    <cfRule type="cellIs" dxfId="128" priority="161" operator="equal">
      <formula>"Extremo"</formula>
    </cfRule>
    <cfRule type="cellIs" dxfId="127" priority="162" operator="equal">
      <formula>"Alto"</formula>
    </cfRule>
    <cfRule type="cellIs" dxfId="126" priority="163" operator="equal">
      <formula>"Moderado"</formula>
    </cfRule>
    <cfRule type="cellIs" dxfId="125" priority="164" operator="equal">
      <formula>"Bajo"</formula>
    </cfRule>
  </conditionalFormatting>
  <conditionalFormatting sqref="AA31:AA36">
    <cfRule type="cellIs" dxfId="124" priority="156" operator="equal">
      <formula>"Muy Alta"</formula>
    </cfRule>
    <cfRule type="cellIs" dxfId="123" priority="157" operator="equal">
      <formula>"Alta"</formula>
    </cfRule>
    <cfRule type="cellIs" dxfId="122" priority="158" operator="equal">
      <formula>"Media"</formula>
    </cfRule>
    <cfRule type="cellIs" dxfId="121" priority="159" operator="equal">
      <formula>"Baja"</formula>
    </cfRule>
    <cfRule type="cellIs" dxfId="120" priority="160" operator="equal">
      <formula>"Muy Baja"</formula>
    </cfRule>
  </conditionalFormatting>
  <conditionalFormatting sqref="AC31:AC36">
    <cfRule type="cellIs" dxfId="119" priority="151" operator="equal">
      <formula>"Catastrófico"</formula>
    </cfRule>
    <cfRule type="cellIs" dxfId="118" priority="152" operator="equal">
      <formula>"Mayor"</formula>
    </cfRule>
    <cfRule type="cellIs" dxfId="117" priority="153" operator="equal">
      <formula>"Moderado"</formula>
    </cfRule>
    <cfRule type="cellIs" dxfId="116" priority="154" operator="equal">
      <formula>"Menor"</formula>
    </cfRule>
    <cfRule type="cellIs" dxfId="115" priority="155" operator="equal">
      <formula>"Leve"</formula>
    </cfRule>
  </conditionalFormatting>
  <conditionalFormatting sqref="AE31:AE36">
    <cfRule type="cellIs" dxfId="114" priority="147" operator="equal">
      <formula>"Extremo"</formula>
    </cfRule>
    <cfRule type="cellIs" dxfId="113" priority="148" operator="equal">
      <formula>"Alto"</formula>
    </cfRule>
    <cfRule type="cellIs" dxfId="112" priority="149" operator="equal">
      <formula>"Moderado"</formula>
    </cfRule>
    <cfRule type="cellIs" dxfId="111" priority="150" operator="equal">
      <formula>"Bajo"</formula>
    </cfRule>
  </conditionalFormatting>
  <conditionalFormatting sqref="J37">
    <cfRule type="cellIs" dxfId="110" priority="142" operator="equal">
      <formula>"Muy Alta"</formula>
    </cfRule>
    <cfRule type="cellIs" dxfId="109" priority="143" operator="equal">
      <formula>"Alta"</formula>
    </cfRule>
    <cfRule type="cellIs" dxfId="108" priority="144" operator="equal">
      <formula>"Media"</formula>
    </cfRule>
    <cfRule type="cellIs" dxfId="107" priority="145" operator="equal">
      <formula>"Baja"</formula>
    </cfRule>
    <cfRule type="cellIs" dxfId="106" priority="146" operator="equal">
      <formula>"Muy Baja"</formula>
    </cfRule>
  </conditionalFormatting>
  <conditionalFormatting sqref="P37">
    <cfRule type="cellIs" dxfId="105" priority="133" operator="equal">
      <formula>"Extremo"</formula>
    </cfRule>
    <cfRule type="cellIs" dxfId="104" priority="134" operator="equal">
      <formula>"Alto"</formula>
    </cfRule>
    <cfRule type="cellIs" dxfId="103" priority="135" operator="equal">
      <formula>"Moderado"</formula>
    </cfRule>
    <cfRule type="cellIs" dxfId="102" priority="136" operator="equal">
      <formula>"Bajo"</formula>
    </cfRule>
  </conditionalFormatting>
  <conditionalFormatting sqref="AA37:AA42">
    <cfRule type="cellIs" dxfId="101" priority="128" operator="equal">
      <formula>"Muy Alta"</formula>
    </cfRule>
    <cfRule type="cellIs" dxfId="100" priority="129" operator="equal">
      <formula>"Alta"</formula>
    </cfRule>
    <cfRule type="cellIs" dxfId="99" priority="130" operator="equal">
      <formula>"Media"</formula>
    </cfRule>
    <cfRule type="cellIs" dxfId="98" priority="131" operator="equal">
      <formula>"Baja"</formula>
    </cfRule>
    <cfRule type="cellIs" dxfId="97" priority="132" operator="equal">
      <formula>"Muy Baja"</formula>
    </cfRule>
  </conditionalFormatting>
  <conditionalFormatting sqref="AC37:AC42">
    <cfRule type="cellIs" dxfId="96" priority="123" operator="equal">
      <formula>"Catastrófico"</formula>
    </cfRule>
    <cfRule type="cellIs" dxfId="95" priority="124" operator="equal">
      <formula>"Mayor"</formula>
    </cfRule>
    <cfRule type="cellIs" dxfId="94" priority="125" operator="equal">
      <formula>"Moderado"</formula>
    </cfRule>
    <cfRule type="cellIs" dxfId="93" priority="126" operator="equal">
      <formula>"Menor"</formula>
    </cfRule>
    <cfRule type="cellIs" dxfId="92" priority="127" operator="equal">
      <formula>"Leve"</formula>
    </cfRule>
  </conditionalFormatting>
  <conditionalFormatting sqref="AE37:AE42">
    <cfRule type="cellIs" dxfId="91" priority="119" operator="equal">
      <formula>"Extremo"</formula>
    </cfRule>
    <cfRule type="cellIs" dxfId="90" priority="120" operator="equal">
      <formula>"Alto"</formula>
    </cfRule>
    <cfRule type="cellIs" dxfId="89" priority="121" operator="equal">
      <formula>"Moderado"</formula>
    </cfRule>
    <cfRule type="cellIs" dxfId="88" priority="122" operator="equal">
      <formula>"Bajo"</formula>
    </cfRule>
  </conditionalFormatting>
  <conditionalFormatting sqref="J43">
    <cfRule type="cellIs" dxfId="87" priority="114" operator="equal">
      <formula>"Muy Alta"</formula>
    </cfRule>
    <cfRule type="cellIs" dxfId="86" priority="115" operator="equal">
      <formula>"Alta"</formula>
    </cfRule>
    <cfRule type="cellIs" dxfId="85" priority="116" operator="equal">
      <formula>"Media"</formula>
    </cfRule>
    <cfRule type="cellIs" dxfId="84" priority="117" operator="equal">
      <formula>"Baja"</formula>
    </cfRule>
    <cfRule type="cellIs" dxfId="83" priority="118" operator="equal">
      <formula>"Muy Baja"</formula>
    </cfRule>
  </conditionalFormatting>
  <conditionalFormatting sqref="P43">
    <cfRule type="cellIs" dxfId="82" priority="105" operator="equal">
      <formula>"Extremo"</formula>
    </cfRule>
    <cfRule type="cellIs" dxfId="81" priority="106" operator="equal">
      <formula>"Alto"</formula>
    </cfRule>
    <cfRule type="cellIs" dxfId="80" priority="107" operator="equal">
      <formula>"Moderado"</formula>
    </cfRule>
    <cfRule type="cellIs" dxfId="79" priority="108" operator="equal">
      <formula>"Bajo"</formula>
    </cfRule>
  </conditionalFormatting>
  <conditionalFormatting sqref="AA43:AA48">
    <cfRule type="cellIs" dxfId="78" priority="100" operator="equal">
      <formula>"Muy Alta"</formula>
    </cfRule>
    <cfRule type="cellIs" dxfId="77" priority="101" operator="equal">
      <formula>"Alta"</formula>
    </cfRule>
    <cfRule type="cellIs" dxfId="76" priority="102" operator="equal">
      <formula>"Media"</formula>
    </cfRule>
    <cfRule type="cellIs" dxfId="75" priority="103" operator="equal">
      <formula>"Baja"</formula>
    </cfRule>
    <cfRule type="cellIs" dxfId="74" priority="104" operator="equal">
      <formula>"Muy Baja"</formula>
    </cfRule>
  </conditionalFormatting>
  <conditionalFormatting sqref="AC43:AC48">
    <cfRule type="cellIs" dxfId="73" priority="95" operator="equal">
      <formula>"Catastrófico"</formula>
    </cfRule>
    <cfRule type="cellIs" dxfId="72" priority="96" operator="equal">
      <formula>"Mayor"</formula>
    </cfRule>
    <cfRule type="cellIs" dxfId="71" priority="97" operator="equal">
      <formula>"Moderado"</formula>
    </cfRule>
    <cfRule type="cellIs" dxfId="70" priority="98" operator="equal">
      <formula>"Menor"</formula>
    </cfRule>
    <cfRule type="cellIs" dxfId="69" priority="99" operator="equal">
      <formula>"Leve"</formula>
    </cfRule>
  </conditionalFormatting>
  <conditionalFormatting sqref="AE43:AE48">
    <cfRule type="cellIs" dxfId="68" priority="91" operator="equal">
      <formula>"Extremo"</formula>
    </cfRule>
    <cfRule type="cellIs" dxfId="67" priority="92" operator="equal">
      <formula>"Alto"</formula>
    </cfRule>
    <cfRule type="cellIs" dxfId="66" priority="93" operator="equal">
      <formula>"Moderado"</formula>
    </cfRule>
    <cfRule type="cellIs" dxfId="65" priority="94" operator="equal">
      <formula>"Bajo"</formula>
    </cfRule>
  </conditionalFormatting>
  <conditionalFormatting sqref="J49">
    <cfRule type="cellIs" dxfId="64" priority="86" operator="equal">
      <formula>"Muy Alta"</formula>
    </cfRule>
    <cfRule type="cellIs" dxfId="63" priority="87" operator="equal">
      <formula>"Alta"</formula>
    </cfRule>
    <cfRule type="cellIs" dxfId="62" priority="88" operator="equal">
      <formula>"Media"</formula>
    </cfRule>
    <cfRule type="cellIs" dxfId="61" priority="89" operator="equal">
      <formula>"Baja"</formula>
    </cfRule>
    <cfRule type="cellIs" dxfId="60" priority="90" operator="equal">
      <formula>"Muy Baja"</formula>
    </cfRule>
  </conditionalFormatting>
  <conditionalFormatting sqref="P49">
    <cfRule type="cellIs" dxfId="59" priority="77" operator="equal">
      <formula>"Extremo"</formula>
    </cfRule>
    <cfRule type="cellIs" dxfId="58" priority="78" operator="equal">
      <formula>"Alto"</formula>
    </cfRule>
    <cfRule type="cellIs" dxfId="57" priority="79" operator="equal">
      <formula>"Moderado"</formula>
    </cfRule>
    <cfRule type="cellIs" dxfId="56" priority="80" operator="equal">
      <formula>"Bajo"</formula>
    </cfRule>
  </conditionalFormatting>
  <conditionalFormatting sqref="AA49:AA54">
    <cfRule type="cellIs" dxfId="55" priority="72" operator="equal">
      <formula>"Muy Alta"</formula>
    </cfRule>
    <cfRule type="cellIs" dxfId="54" priority="73" operator="equal">
      <formula>"Alta"</formula>
    </cfRule>
    <cfRule type="cellIs" dxfId="53" priority="74" operator="equal">
      <formula>"Media"</formula>
    </cfRule>
    <cfRule type="cellIs" dxfId="52" priority="75" operator="equal">
      <formula>"Baja"</formula>
    </cfRule>
    <cfRule type="cellIs" dxfId="51" priority="76" operator="equal">
      <formula>"Muy Baja"</formula>
    </cfRule>
  </conditionalFormatting>
  <conditionalFormatting sqref="AC49:AC54">
    <cfRule type="cellIs" dxfId="50" priority="67" operator="equal">
      <formula>"Catastrófico"</formula>
    </cfRule>
    <cfRule type="cellIs" dxfId="49" priority="68" operator="equal">
      <formula>"Mayor"</formula>
    </cfRule>
    <cfRule type="cellIs" dxfId="48" priority="69" operator="equal">
      <formula>"Moderado"</formula>
    </cfRule>
    <cfRule type="cellIs" dxfId="47" priority="70" operator="equal">
      <formula>"Menor"</formula>
    </cfRule>
    <cfRule type="cellIs" dxfId="46" priority="71" operator="equal">
      <formula>"Leve"</formula>
    </cfRule>
  </conditionalFormatting>
  <conditionalFormatting sqref="AE49:AE54">
    <cfRule type="cellIs" dxfId="45" priority="63" operator="equal">
      <formula>"Extremo"</formula>
    </cfRule>
    <cfRule type="cellIs" dxfId="44" priority="64" operator="equal">
      <formula>"Alto"</formula>
    </cfRule>
    <cfRule type="cellIs" dxfId="43" priority="65" operator="equal">
      <formula>"Moderado"</formula>
    </cfRule>
    <cfRule type="cellIs" dxfId="42" priority="66" operator="equal">
      <formula>"Bajo"</formula>
    </cfRule>
  </conditionalFormatting>
  <conditionalFormatting sqref="P55">
    <cfRule type="cellIs" dxfId="41" priority="49" operator="equal">
      <formula>"Extremo"</formula>
    </cfRule>
    <cfRule type="cellIs" dxfId="40" priority="50" operator="equal">
      <formula>"Alto"</formula>
    </cfRule>
    <cfRule type="cellIs" dxfId="39" priority="51" operator="equal">
      <formula>"Moderado"</formula>
    </cfRule>
    <cfRule type="cellIs" dxfId="38" priority="52" operator="equal">
      <formula>"Bajo"</formula>
    </cfRule>
  </conditionalFormatting>
  <conditionalFormatting sqref="AA55:AA60">
    <cfRule type="cellIs" dxfId="37" priority="44" operator="equal">
      <formula>"Muy Alta"</formula>
    </cfRule>
    <cfRule type="cellIs" dxfId="36" priority="45" operator="equal">
      <formula>"Alta"</formula>
    </cfRule>
    <cfRule type="cellIs" dxfId="35" priority="46" operator="equal">
      <formula>"Media"</formula>
    </cfRule>
    <cfRule type="cellIs" dxfId="34" priority="47" operator="equal">
      <formula>"Baja"</formula>
    </cfRule>
    <cfRule type="cellIs" dxfId="33" priority="48" operator="equal">
      <formula>"Muy Baja"</formula>
    </cfRule>
  </conditionalFormatting>
  <conditionalFormatting sqref="AC55:AC60">
    <cfRule type="cellIs" dxfId="32" priority="39" operator="equal">
      <formula>"Catastrófico"</formula>
    </cfRule>
    <cfRule type="cellIs" dxfId="31" priority="40" operator="equal">
      <formula>"Mayor"</formula>
    </cfRule>
    <cfRule type="cellIs" dxfId="30" priority="41" operator="equal">
      <formula>"Moderado"</formula>
    </cfRule>
    <cfRule type="cellIs" dxfId="29" priority="42" operator="equal">
      <formula>"Menor"</formula>
    </cfRule>
    <cfRule type="cellIs" dxfId="28" priority="43" operator="equal">
      <formula>"Leve"</formula>
    </cfRule>
  </conditionalFormatting>
  <conditionalFormatting sqref="AE55:AE60">
    <cfRule type="cellIs" dxfId="27" priority="35" operator="equal">
      <formula>"Extremo"</formula>
    </cfRule>
    <cfRule type="cellIs" dxfId="26" priority="36" operator="equal">
      <formula>"Alto"</formula>
    </cfRule>
    <cfRule type="cellIs" dxfId="25" priority="37" operator="equal">
      <formula>"Moderado"</formula>
    </cfRule>
    <cfRule type="cellIs" dxfId="24" priority="38" operator="equal">
      <formula>"Bajo"</formula>
    </cfRule>
  </conditionalFormatting>
  <conditionalFormatting sqref="J61">
    <cfRule type="cellIs" dxfId="23" priority="30" operator="equal">
      <formula>"Muy Alta"</formula>
    </cfRule>
    <cfRule type="cellIs" dxfId="22" priority="31" operator="equal">
      <formula>"Alta"</formula>
    </cfRule>
    <cfRule type="cellIs" dxfId="21" priority="32" operator="equal">
      <formula>"Media"</formula>
    </cfRule>
    <cfRule type="cellIs" dxfId="20" priority="33" operator="equal">
      <formula>"Baja"</formula>
    </cfRule>
    <cfRule type="cellIs" dxfId="19" priority="34" operator="equal">
      <formula>"Muy Baja"</formula>
    </cfRule>
  </conditionalFormatting>
  <conditionalFormatting sqref="P61">
    <cfRule type="cellIs" dxfId="18" priority="21" operator="equal">
      <formula>"Extremo"</formula>
    </cfRule>
    <cfRule type="cellIs" dxfId="17" priority="22" operator="equal">
      <formula>"Alto"</formula>
    </cfRule>
    <cfRule type="cellIs" dxfId="16" priority="23" operator="equal">
      <formula>"Moderado"</formula>
    </cfRule>
    <cfRule type="cellIs" dxfId="15" priority="24" operator="equal">
      <formula>"Bajo"</formula>
    </cfRule>
  </conditionalFormatting>
  <conditionalFormatting sqref="AA61:AA66">
    <cfRule type="cellIs" dxfId="14" priority="16" operator="equal">
      <formula>"Muy Alta"</formula>
    </cfRule>
    <cfRule type="cellIs" dxfId="13" priority="17" operator="equal">
      <formula>"Alta"</formula>
    </cfRule>
    <cfRule type="cellIs" dxfId="12" priority="18" operator="equal">
      <formula>"Media"</formula>
    </cfRule>
    <cfRule type="cellIs" dxfId="11" priority="19" operator="equal">
      <formula>"Baja"</formula>
    </cfRule>
    <cfRule type="cellIs" dxfId="10" priority="20" operator="equal">
      <formula>"Muy Baja"</formula>
    </cfRule>
  </conditionalFormatting>
  <conditionalFormatting sqref="AC61:AC66">
    <cfRule type="cellIs" dxfId="9" priority="11" operator="equal">
      <formula>"Catastrófico"</formula>
    </cfRule>
    <cfRule type="cellIs" dxfId="8" priority="12" operator="equal">
      <formula>"Mayor"</formula>
    </cfRule>
    <cfRule type="cellIs" dxfId="7" priority="13" operator="equal">
      <formula>"Moderado"</formula>
    </cfRule>
    <cfRule type="cellIs" dxfId="6" priority="14" operator="equal">
      <formula>"Menor"</formula>
    </cfRule>
    <cfRule type="cellIs" dxfId="5" priority="15" operator="equal">
      <formula>"Leve"</formula>
    </cfRule>
  </conditionalFormatting>
  <conditionalFormatting sqref="AE61:AE66">
    <cfRule type="cellIs" dxfId="4" priority="7" operator="equal">
      <formula>"Extremo"</formula>
    </cfRule>
    <cfRule type="cellIs" dxfId="3" priority="8" operator="equal">
      <formula>"Alto"</formula>
    </cfRule>
    <cfRule type="cellIs" dxfId="2" priority="9" operator="equal">
      <formula>"Moderado"</formula>
    </cfRule>
    <cfRule type="cellIs" dxfId="1" priority="10" operator="equal">
      <formula>"Bajo"</formula>
    </cfRule>
  </conditionalFormatting>
  <conditionalFormatting sqref="M10:M12 M19:M66">
    <cfRule type="containsText" dxfId="0" priority="6" operator="containsText" text="❌">
      <formula>NOT(ISERROR(SEARCH("❌",M10)))</formula>
    </cfRule>
  </conditionalFormatting>
  <pageMargins left="0.7" right="0.7" top="0.75" bottom="0.75" header="0.3" footer="0.3"/>
  <pageSetup orientation="portrait" r:id="rId1"/>
  <ignoredErrors>
    <ignoredError sqref="AD12" formula="1"/>
  </ignoredErrors>
  <extLst>
    <ext xmlns:x14="http://schemas.microsoft.com/office/spreadsheetml/2009/9/main" uri="{CCE6A557-97BC-4b89-ADB6-D9C93CAAB3DF}">
      <x14:dataValidations xmlns:xm="http://schemas.microsoft.com/office/excel/2006/main" count="16">
        <x14:dataValidation type="list" allowBlank="1" showInputMessage="1" showErrorMessage="1">
          <x14:formula1>
            <xm:f>'Opciones Tratamiento'!$B$9:$B$10</xm:f>
          </x14:formula1>
          <xm:sqref>AL10:AL11 AL19:AL20 AL22:AL23 AL25:AL26 AL28:AL29 AL31:AL32 AL34:AL35 AL37:AL38 AL40:AL41 AL43:AL44 AL46:AL47 AL49:AL50 AL52:AL53 AL55:AL56 AL58:AL59 AL61:AL62 AL64:AL65</xm:sqref>
        </x14:dataValidation>
        <x14:dataValidation type="list" allowBlank="1" showInputMessage="1" showErrorMessage="1">
          <x14:formula1>
            <xm:f>'Opciones Tratamiento'!$B$13:$B$19</xm:f>
          </x14:formula1>
          <xm:sqref>H12 G10:G12 G19:H66</xm:sqref>
        </x14:dataValidation>
        <x14:dataValidation type="list" allowBlank="1" showInputMessage="1" showErrorMessage="1">
          <x14:formula1>
            <xm:f>'Opciones Tratamiento'!$E$2:$E$4</xm:f>
          </x14:formula1>
          <xm:sqref>B10:B66</xm:sqref>
        </x14:dataValidation>
        <x14:dataValidation type="custom" allowBlank="1" showInputMessage="1" showErrorMessage="1" error="Recuerde que las acciones se generan bajo la medida de mitigar el riesgo">
          <x14:formula1>
            <xm:f>IF(OR(AF19='Opciones Tratamiento'!$B$2,AF19='Opciones Tratamiento'!$B$3,AF19='Opciones Tratamiento'!$B$4),ISBLANK(AF19),ISTEXT(AF19))</xm:f>
          </x14:formula1>
          <xm:sqref>AG19:AG66</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AG10</xm:sqref>
        </x14:dataValidation>
        <x14:dataValidation type="list" allowBlank="1" showInputMessage="1" showErrorMessage="1">
          <x14:formula1>
            <xm:f>'Tabla Valoración controles'!$D$4:$D$6</xm:f>
          </x14:formula1>
          <xm:sqref>T10:T12 T19:T66</xm:sqref>
        </x14:dataValidation>
        <x14:dataValidation type="list" allowBlank="1" showInputMessage="1" showErrorMessage="1">
          <x14:formula1>
            <xm:f>'Tabla Valoración controles'!$D$7:$D$8</xm:f>
          </x14:formula1>
          <xm:sqref>U10:U12 U19:U66</xm:sqref>
        </x14:dataValidation>
        <x14:dataValidation type="list" allowBlank="1" showInputMessage="1" showErrorMessage="1">
          <x14:formula1>
            <xm:f>'Tabla Valoración controles'!$D$9:$D$10</xm:f>
          </x14:formula1>
          <xm:sqref>W10:W12 W19:W66</xm:sqref>
        </x14:dataValidation>
        <x14:dataValidation type="list" allowBlank="1" showInputMessage="1" showErrorMessage="1">
          <x14:formula1>
            <xm:f>'Tabla Valoración controles'!$D$11:$D$12</xm:f>
          </x14:formula1>
          <xm:sqref>X10:X12 X19:X66</xm:sqref>
        </x14:dataValidation>
        <x14:dataValidation type="list" allowBlank="1" showInputMessage="1" showErrorMessage="1">
          <x14:formula1>
            <xm:f>'Tabla Valoración controles'!$D$13:$D$14</xm:f>
          </x14:formula1>
          <xm:sqref>Y10:Y12 Y19:Y66</xm:sqref>
        </x14:dataValidation>
        <x14:dataValidation type="list" allowBlank="1" showInputMessage="1" showErrorMessage="1">
          <x14:formula1>
            <xm:f>'Opciones Tratamiento'!$B$2:$B$5</xm:f>
          </x14:formula1>
          <xm:sqref>AF10:AF12 AF19:AF66</xm:sqref>
        </x14:dataValidation>
        <x14:dataValidation type="list" allowBlank="1" showInputMessage="1" showErrorMessage="1">
          <x14:formula1>
            <xm:f>'Tabla Impacto'!$F$210:$F$221</xm:f>
          </x14:formula1>
          <xm:sqref>L10:L12 L19:L66</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AH10:AH12 AH19:AH66</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AI10:AI12 AI19:AI66</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AJ10:AJ12 AJ19:AJ66</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AK10:AK12 AK19:AK66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x14ac:dyDescent="0.25">
      <c r="A2" s="84"/>
      <c r="B2" s="347" t="s">
        <v>161</v>
      </c>
      <c r="C2" s="347"/>
      <c r="D2" s="347"/>
      <c r="E2" s="347"/>
      <c r="F2" s="347"/>
      <c r="G2" s="347"/>
      <c r="H2" s="347"/>
      <c r="I2" s="347"/>
      <c r="J2" s="314" t="s">
        <v>2</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x14ac:dyDescent="0.25">
      <c r="A3" s="84"/>
      <c r="B3" s="347"/>
      <c r="C3" s="347"/>
      <c r="D3" s="347"/>
      <c r="E3" s="347"/>
      <c r="F3" s="347"/>
      <c r="G3" s="347"/>
      <c r="H3" s="347"/>
      <c r="I3" s="347"/>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x14ac:dyDescent="0.25">
      <c r="A4" s="84"/>
      <c r="B4" s="347"/>
      <c r="C4" s="347"/>
      <c r="D4" s="347"/>
      <c r="E4" s="347"/>
      <c r="F4" s="347"/>
      <c r="G4" s="347"/>
      <c r="H4" s="347"/>
      <c r="I4" s="347"/>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x14ac:dyDescent="0.25">
      <c r="A6" s="84"/>
      <c r="B6" s="260" t="s">
        <v>4</v>
      </c>
      <c r="C6" s="260"/>
      <c r="D6" s="261"/>
      <c r="E6" s="298" t="s">
        <v>116</v>
      </c>
      <c r="F6" s="299"/>
      <c r="G6" s="299"/>
      <c r="H6" s="299"/>
      <c r="I6" s="300"/>
      <c r="J6" s="310" t="str">
        <f ca="1">IF(AND('Mapa final'!$J$10="Muy Alta",'Mapa final'!$N$10="Leve"),CONCATENATE("R",'Mapa final'!$A$10),"")</f>
        <v/>
      </c>
      <c r="K6" s="311"/>
      <c r="L6" s="311" t="str">
        <f ca="1">IF(AND([1]Hoja1!$G$2="Muy Alta",[1]Hoja1!$K$3="Leve"),CONCATENATE("R",'Mapa final'!$A$13),"")</f>
        <v/>
      </c>
      <c r="M6" s="311"/>
      <c r="N6" s="311" t="str">
        <f ca="1">IF(AND('Mapa final'!$J$19="Muy Alta",'Mapa final'!$N$19="Leve"),CONCATENATE("R",'Mapa final'!$A$19),"")</f>
        <v/>
      </c>
      <c r="O6" s="313"/>
      <c r="P6" s="310" t="str">
        <f ca="1">IF(AND('Mapa final'!$J$10="Muy Alta",'Mapa final'!$N$10="Menor"),CONCATENATE("R",'Mapa final'!$A$10),"")</f>
        <v/>
      </c>
      <c r="Q6" s="311"/>
      <c r="R6" s="311" t="str">
        <f ca="1">IF(AND([1]Hoja1!$G$2="Muy Alta",[1]Hoja1!$K$3="Menor"),CONCATENATE("R",'Mapa final'!$A$13),"")</f>
        <v/>
      </c>
      <c r="S6" s="311"/>
      <c r="T6" s="311" t="str">
        <f ca="1">IF(AND('Mapa final'!$J$19="Muy Alta",'Mapa final'!$N$19="Menor"),CONCATENATE("R",'Mapa final'!$A$19),"")</f>
        <v/>
      </c>
      <c r="U6" s="313"/>
      <c r="V6" s="310" t="str">
        <f ca="1">IF(AND('Mapa final'!$J$10="Muy Alta",'Mapa final'!$N$10="Moderado"),CONCATENATE("R",'Mapa final'!$A$10),"")</f>
        <v/>
      </c>
      <c r="W6" s="311"/>
      <c r="X6" s="311" t="str">
        <f ca="1">IF(AND([1]Hoja1!$G$2="Muy Alta",[1]Hoja1!$K$3="Moderado"),CONCATENATE("R",'Mapa final'!$A$13),"")</f>
        <v/>
      </c>
      <c r="Y6" s="311"/>
      <c r="Z6" s="311" t="str">
        <f ca="1">IF(AND('Mapa final'!$J$19="Muy Alta",'Mapa final'!$N$19="Moderado"),CONCATENATE("R",'Mapa final'!$A$19),"")</f>
        <v/>
      </c>
      <c r="AA6" s="313"/>
      <c r="AB6" s="310" t="str">
        <f ca="1">IF(AND('Mapa final'!$J$10="Muy Alta",'Mapa final'!$N$10="Mayor"),CONCATENATE("R",'Mapa final'!$A$10),"")</f>
        <v/>
      </c>
      <c r="AC6" s="311"/>
      <c r="AD6" s="311" t="str">
        <f ca="1">IF(AND([1]Hoja1!$G$2="Muy Alta",[1]Hoja1!$K$3="Mayor"),CONCATENATE("R",'Mapa final'!$A$13),"")</f>
        <v/>
      </c>
      <c r="AE6" s="311"/>
      <c r="AF6" s="311" t="str">
        <f ca="1">IF(AND('Mapa final'!$J$19="Muy Alta",'Mapa final'!$N$19="Mayor"),CONCATENATE("R",'Mapa final'!$A$19),"")</f>
        <v/>
      </c>
      <c r="AG6" s="313"/>
      <c r="AH6" s="326" t="str">
        <f ca="1">IF(AND('Mapa final'!$J$10="Muy Alta",'Mapa final'!$N$10="Catastrófico"),CONCATENATE("R",'Mapa final'!$A$10),"")</f>
        <v/>
      </c>
      <c r="AI6" s="327"/>
      <c r="AJ6" s="327" t="str">
        <f ca="1">IF(AND([1]Hoja1!$G$2="Muy Alta",[1]Hoja1!$K$3="Catastrófico"),CONCATENATE("R",'Mapa final'!$A$13),"")</f>
        <v/>
      </c>
      <c r="AK6" s="327"/>
      <c r="AL6" s="327" t="str">
        <f ca="1">IF(AND('Mapa final'!$J$19="Muy Alta",'Mapa final'!$N$19="Catastrófico"),CONCATENATE("R",'Mapa final'!$A$19),"")</f>
        <v/>
      </c>
      <c r="AM6" s="328"/>
      <c r="AO6" s="262" t="s">
        <v>79</v>
      </c>
      <c r="AP6" s="263"/>
      <c r="AQ6" s="263"/>
      <c r="AR6" s="263"/>
      <c r="AS6" s="263"/>
      <c r="AT6" s="26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x14ac:dyDescent="0.25">
      <c r="A7" s="84"/>
      <c r="B7" s="260"/>
      <c r="C7" s="260"/>
      <c r="D7" s="261"/>
      <c r="E7" s="301"/>
      <c r="F7" s="302"/>
      <c r="G7" s="302"/>
      <c r="H7" s="302"/>
      <c r="I7" s="303"/>
      <c r="J7" s="312"/>
      <c r="K7" s="309"/>
      <c r="L7" s="309"/>
      <c r="M7" s="309"/>
      <c r="N7" s="309"/>
      <c r="O7" s="308"/>
      <c r="P7" s="312"/>
      <c r="Q7" s="309"/>
      <c r="R7" s="309"/>
      <c r="S7" s="309"/>
      <c r="T7" s="309"/>
      <c r="U7" s="308"/>
      <c r="V7" s="312"/>
      <c r="W7" s="309"/>
      <c r="X7" s="309"/>
      <c r="Y7" s="309"/>
      <c r="Z7" s="309"/>
      <c r="AA7" s="308"/>
      <c r="AB7" s="312"/>
      <c r="AC7" s="309"/>
      <c r="AD7" s="309"/>
      <c r="AE7" s="309"/>
      <c r="AF7" s="309"/>
      <c r="AG7" s="308"/>
      <c r="AH7" s="320"/>
      <c r="AI7" s="321"/>
      <c r="AJ7" s="321"/>
      <c r="AK7" s="321"/>
      <c r="AL7" s="321"/>
      <c r="AM7" s="322"/>
      <c r="AN7" s="84"/>
      <c r="AO7" s="265"/>
      <c r="AP7" s="266"/>
      <c r="AQ7" s="266"/>
      <c r="AR7" s="266"/>
      <c r="AS7" s="266"/>
      <c r="AT7" s="267"/>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x14ac:dyDescent="0.25">
      <c r="A8" s="84"/>
      <c r="B8" s="260"/>
      <c r="C8" s="260"/>
      <c r="D8" s="261"/>
      <c r="E8" s="301"/>
      <c r="F8" s="302"/>
      <c r="G8" s="302"/>
      <c r="H8" s="302"/>
      <c r="I8" s="303"/>
      <c r="J8" s="312" t="str">
        <f ca="1">IF(AND('Mapa final'!$J$25="Muy Alta",'Mapa final'!$N$25="Leve"),CONCATENATE("R",'Mapa final'!$A$25),"")</f>
        <v/>
      </c>
      <c r="K8" s="309"/>
      <c r="L8" s="307" t="str">
        <f ca="1">IF(AND('Mapa final'!$J$31="Muy Alta",'Mapa final'!$N$31="Leve"),CONCATENATE("R",'Mapa final'!$A$31),"")</f>
        <v/>
      </c>
      <c r="M8" s="307"/>
      <c r="N8" s="307" t="str">
        <f ca="1">IF(AND('Mapa final'!$J$37="Muy Alta",'Mapa final'!$N$37="Leve"),CONCATENATE("R",'Mapa final'!$A$37),"")</f>
        <v/>
      </c>
      <c r="O8" s="308"/>
      <c r="P8" s="312" t="str">
        <f ca="1">IF(AND('Mapa final'!$J$25="Muy Alta",'Mapa final'!$N$25="Menor"),CONCATENATE("R",'Mapa final'!$A$25),"")</f>
        <v/>
      </c>
      <c r="Q8" s="309"/>
      <c r="R8" s="307" t="str">
        <f ca="1">IF(AND('Mapa final'!$J$31="Muy Alta",'Mapa final'!$N$31="Menor"),CONCATENATE("R",'Mapa final'!$A$31),"")</f>
        <v/>
      </c>
      <c r="S8" s="307"/>
      <c r="T8" s="307" t="str">
        <f ca="1">IF(AND('Mapa final'!$J$37="Muy Alta",'Mapa final'!$N$37="Menor"),CONCATENATE("R",'Mapa final'!$A$37),"")</f>
        <v/>
      </c>
      <c r="U8" s="308"/>
      <c r="V8" s="312" t="str">
        <f ca="1">IF(AND('Mapa final'!$J$25="Muy Alta",'Mapa final'!$N$25="Moderado"),CONCATENATE("R",'Mapa final'!$A$25),"")</f>
        <v/>
      </c>
      <c r="W8" s="309"/>
      <c r="X8" s="307" t="str">
        <f ca="1">IF(AND('Mapa final'!$J$31="Muy Alta",'Mapa final'!$N$31="Moderado"),CONCATENATE("R",'Mapa final'!$A$31),"")</f>
        <v/>
      </c>
      <c r="Y8" s="307"/>
      <c r="Z8" s="307" t="str">
        <f ca="1">IF(AND('Mapa final'!$J$37="Muy Alta",'Mapa final'!$N$37="Moderado"),CONCATENATE("R",'Mapa final'!$A$37),"")</f>
        <v/>
      </c>
      <c r="AA8" s="308"/>
      <c r="AB8" s="312" t="str">
        <f ca="1">IF(AND('Mapa final'!$J$25="Muy Alta",'Mapa final'!$N$25="Mayor"),CONCATENATE("R",'Mapa final'!$A$25),"")</f>
        <v/>
      </c>
      <c r="AC8" s="309"/>
      <c r="AD8" s="307" t="str">
        <f ca="1">IF(AND('Mapa final'!$J$31="Muy Alta",'Mapa final'!$N$31="Mayor"),CONCATENATE("R",'Mapa final'!$A$31),"")</f>
        <v/>
      </c>
      <c r="AE8" s="307"/>
      <c r="AF8" s="307" t="str">
        <f ca="1">IF(AND('Mapa final'!$J$37="Muy Alta",'Mapa final'!$N$37="Mayor"),CONCATENATE("R",'Mapa final'!$A$37),"")</f>
        <v/>
      </c>
      <c r="AG8" s="308"/>
      <c r="AH8" s="320" t="str">
        <f ca="1">IF(AND('Mapa final'!$J$25="Muy Alta",'Mapa final'!$N$25="Catastrófico"),CONCATENATE("R",'Mapa final'!$A$25),"")</f>
        <v/>
      </c>
      <c r="AI8" s="321"/>
      <c r="AJ8" s="321" t="str">
        <f ca="1">IF(AND('Mapa final'!$J$31="Muy Alta",'Mapa final'!$N$31="Catastrófico"),CONCATENATE("R",'Mapa final'!$A$31),"")</f>
        <v/>
      </c>
      <c r="AK8" s="321"/>
      <c r="AL8" s="321" t="str">
        <f ca="1">IF(AND('Mapa final'!$J$37="Muy Alta",'Mapa final'!$N$37="Catastrófico"),CONCATENATE("R",'Mapa final'!$A$37),"")</f>
        <v/>
      </c>
      <c r="AM8" s="322"/>
      <c r="AN8" s="84"/>
      <c r="AO8" s="265"/>
      <c r="AP8" s="266"/>
      <c r="AQ8" s="266"/>
      <c r="AR8" s="266"/>
      <c r="AS8" s="266"/>
      <c r="AT8" s="267"/>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x14ac:dyDescent="0.25">
      <c r="A9" s="84"/>
      <c r="B9" s="260"/>
      <c r="C9" s="260"/>
      <c r="D9" s="261"/>
      <c r="E9" s="301"/>
      <c r="F9" s="302"/>
      <c r="G9" s="302"/>
      <c r="H9" s="302"/>
      <c r="I9" s="303"/>
      <c r="J9" s="312"/>
      <c r="K9" s="309"/>
      <c r="L9" s="307"/>
      <c r="M9" s="307"/>
      <c r="N9" s="307"/>
      <c r="O9" s="308"/>
      <c r="P9" s="312"/>
      <c r="Q9" s="309"/>
      <c r="R9" s="307"/>
      <c r="S9" s="307"/>
      <c r="T9" s="307"/>
      <c r="U9" s="308"/>
      <c r="V9" s="312"/>
      <c r="W9" s="309"/>
      <c r="X9" s="307"/>
      <c r="Y9" s="307"/>
      <c r="Z9" s="307"/>
      <c r="AA9" s="308"/>
      <c r="AB9" s="312"/>
      <c r="AC9" s="309"/>
      <c r="AD9" s="307"/>
      <c r="AE9" s="307"/>
      <c r="AF9" s="307"/>
      <c r="AG9" s="308"/>
      <c r="AH9" s="320"/>
      <c r="AI9" s="321"/>
      <c r="AJ9" s="321"/>
      <c r="AK9" s="321"/>
      <c r="AL9" s="321"/>
      <c r="AM9" s="322"/>
      <c r="AN9" s="84"/>
      <c r="AO9" s="265"/>
      <c r="AP9" s="266"/>
      <c r="AQ9" s="266"/>
      <c r="AR9" s="266"/>
      <c r="AS9" s="266"/>
      <c r="AT9" s="267"/>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x14ac:dyDescent="0.25">
      <c r="A10" s="84"/>
      <c r="B10" s="260"/>
      <c r="C10" s="260"/>
      <c r="D10" s="261"/>
      <c r="E10" s="301"/>
      <c r="F10" s="302"/>
      <c r="G10" s="302"/>
      <c r="H10" s="302"/>
      <c r="I10" s="303"/>
      <c r="J10" s="312" t="str">
        <f ca="1">IF(AND('Mapa final'!$J$43="Muy Alta",'Mapa final'!$N$43="Leve"),CONCATENATE("R",'Mapa final'!$A$43),"")</f>
        <v/>
      </c>
      <c r="K10" s="309"/>
      <c r="L10" s="307" t="str">
        <f ca="1">IF(AND('Mapa final'!$J$49="Muy Alta",'Mapa final'!$N$49="Leve"),CONCATENATE("R",'Mapa final'!$A$49),"")</f>
        <v/>
      </c>
      <c r="M10" s="307"/>
      <c r="N10" s="307" t="str">
        <f ca="1">IF(AND('Mapa final'!$J$55="Muy Alta",'Mapa final'!$N$55="Leve"),CONCATENATE("R",'Mapa final'!$A$55),"")</f>
        <v/>
      </c>
      <c r="O10" s="308"/>
      <c r="P10" s="312" t="str">
        <f ca="1">IF(AND('Mapa final'!$J$43="Muy Alta",'Mapa final'!$N$43="Menor"),CONCATENATE("R",'Mapa final'!$A$43),"")</f>
        <v/>
      </c>
      <c r="Q10" s="309"/>
      <c r="R10" s="307" t="str">
        <f ca="1">IF(AND('Mapa final'!$J$49="Muy Alta",'Mapa final'!$N$49="Menor"),CONCATENATE("R",'Mapa final'!$A$49),"")</f>
        <v/>
      </c>
      <c r="S10" s="307"/>
      <c r="T10" s="307" t="str">
        <f ca="1">IF(AND('Mapa final'!$J$55="Muy Alta",'Mapa final'!$N$55="Menor"),CONCATENATE("R",'Mapa final'!$A$55),"")</f>
        <v/>
      </c>
      <c r="U10" s="308"/>
      <c r="V10" s="312" t="str">
        <f ca="1">IF(AND('Mapa final'!$J$43="Muy Alta",'Mapa final'!$N$43="Moderado"),CONCATENATE("R",'Mapa final'!$A$43),"")</f>
        <v/>
      </c>
      <c r="W10" s="309"/>
      <c r="X10" s="307" t="str">
        <f ca="1">IF(AND('Mapa final'!$J$49="Muy Alta",'Mapa final'!$N$49="Moderado"),CONCATENATE("R",'Mapa final'!$A$49),"")</f>
        <v/>
      </c>
      <c r="Y10" s="307"/>
      <c r="Z10" s="307" t="str">
        <f ca="1">IF(AND('Mapa final'!$J$55="Muy Alta",'Mapa final'!$N$55="Moderado"),CONCATENATE("R",'Mapa final'!$A$55),"")</f>
        <v/>
      </c>
      <c r="AA10" s="308"/>
      <c r="AB10" s="312" t="str">
        <f ca="1">IF(AND('Mapa final'!$J$43="Muy Alta",'Mapa final'!$N$43="Mayor"),CONCATENATE("R",'Mapa final'!$A$43),"")</f>
        <v/>
      </c>
      <c r="AC10" s="309"/>
      <c r="AD10" s="307" t="str">
        <f ca="1">IF(AND('Mapa final'!$J$49="Muy Alta",'Mapa final'!$N$49="Mayor"),CONCATENATE("R",'Mapa final'!$A$49),"")</f>
        <v/>
      </c>
      <c r="AE10" s="307"/>
      <c r="AF10" s="307" t="str">
        <f ca="1">IF(AND('Mapa final'!$J$55="Muy Alta",'Mapa final'!$N$55="Mayor"),CONCATENATE("R",'Mapa final'!$A$55),"")</f>
        <v/>
      </c>
      <c r="AG10" s="308"/>
      <c r="AH10" s="320" t="str">
        <f ca="1">IF(AND('Mapa final'!$J$43="Muy Alta",'Mapa final'!$N$43="Catastrófico"),CONCATENATE("R",'Mapa final'!$A$43),"")</f>
        <v/>
      </c>
      <c r="AI10" s="321"/>
      <c r="AJ10" s="321" t="str">
        <f ca="1">IF(AND('Mapa final'!$J$49="Muy Alta",'Mapa final'!$N$49="Catastrófico"),CONCATENATE("R",'Mapa final'!$A$49),"")</f>
        <v/>
      </c>
      <c r="AK10" s="321"/>
      <c r="AL10" s="321" t="str">
        <f ca="1">IF(AND('Mapa final'!$J$55="Muy Alta",'Mapa final'!$N$55="Catastrófico"),CONCATENATE("R",'Mapa final'!$A$55),"")</f>
        <v/>
      </c>
      <c r="AM10" s="322"/>
      <c r="AN10" s="84"/>
      <c r="AO10" s="265"/>
      <c r="AP10" s="266"/>
      <c r="AQ10" s="266"/>
      <c r="AR10" s="266"/>
      <c r="AS10" s="266"/>
      <c r="AT10" s="267"/>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x14ac:dyDescent="0.25">
      <c r="A11" s="84"/>
      <c r="B11" s="260"/>
      <c r="C11" s="260"/>
      <c r="D11" s="261"/>
      <c r="E11" s="301"/>
      <c r="F11" s="302"/>
      <c r="G11" s="302"/>
      <c r="H11" s="302"/>
      <c r="I11" s="303"/>
      <c r="J11" s="312"/>
      <c r="K11" s="309"/>
      <c r="L11" s="307"/>
      <c r="M11" s="307"/>
      <c r="N11" s="307"/>
      <c r="O11" s="308"/>
      <c r="P11" s="312"/>
      <c r="Q11" s="309"/>
      <c r="R11" s="307"/>
      <c r="S11" s="307"/>
      <c r="T11" s="307"/>
      <c r="U11" s="308"/>
      <c r="V11" s="312"/>
      <c r="W11" s="309"/>
      <c r="X11" s="307"/>
      <c r="Y11" s="307"/>
      <c r="Z11" s="307"/>
      <c r="AA11" s="308"/>
      <c r="AB11" s="312"/>
      <c r="AC11" s="309"/>
      <c r="AD11" s="307"/>
      <c r="AE11" s="307"/>
      <c r="AF11" s="307"/>
      <c r="AG11" s="308"/>
      <c r="AH11" s="320"/>
      <c r="AI11" s="321"/>
      <c r="AJ11" s="321"/>
      <c r="AK11" s="321"/>
      <c r="AL11" s="321"/>
      <c r="AM11" s="322"/>
      <c r="AN11" s="84"/>
      <c r="AO11" s="265"/>
      <c r="AP11" s="266"/>
      <c r="AQ11" s="266"/>
      <c r="AR11" s="266"/>
      <c r="AS11" s="266"/>
      <c r="AT11" s="267"/>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x14ac:dyDescent="0.25">
      <c r="A12" s="84"/>
      <c r="B12" s="260"/>
      <c r="C12" s="260"/>
      <c r="D12" s="261"/>
      <c r="E12" s="301"/>
      <c r="F12" s="302"/>
      <c r="G12" s="302"/>
      <c r="H12" s="302"/>
      <c r="I12" s="303"/>
      <c r="J12" s="312" t="str">
        <f ca="1">IF(AND('Mapa final'!$J$61="Muy Alta",'Mapa final'!$N$61="Leve"),CONCATENATE("R",'Mapa final'!$A$61),"")</f>
        <v/>
      </c>
      <c r="K12" s="309"/>
      <c r="L12" s="307" t="str">
        <f>IF(AND('Mapa final'!$J$67="Muy Alta",'Mapa final'!$N$67="Leve"),CONCATENATE("R",'Mapa final'!$A$67),"")</f>
        <v/>
      </c>
      <c r="M12" s="307"/>
      <c r="N12" s="307" t="str">
        <f>IF(AND('Mapa final'!$J$73="Muy Alta",'Mapa final'!$N$73="Leve"),CONCATENATE("R",'Mapa final'!$A$73),"")</f>
        <v/>
      </c>
      <c r="O12" s="308"/>
      <c r="P12" s="312" t="str">
        <f ca="1">IF(AND('Mapa final'!$J$61="Muy Alta",'Mapa final'!$N$61="Menor"),CONCATENATE("R",'Mapa final'!$A$61),"")</f>
        <v/>
      </c>
      <c r="Q12" s="309"/>
      <c r="R12" s="307" t="str">
        <f>IF(AND('Mapa final'!$J$67="Muy Alta",'Mapa final'!$N$67="Menor"),CONCATENATE("R",'Mapa final'!$A$67),"")</f>
        <v/>
      </c>
      <c r="S12" s="307"/>
      <c r="T12" s="307" t="str">
        <f>IF(AND('Mapa final'!$J$73="Muy Alta",'Mapa final'!$N$73="Menor"),CONCATENATE("R",'Mapa final'!$A$73),"")</f>
        <v/>
      </c>
      <c r="U12" s="308"/>
      <c r="V12" s="312" t="str">
        <f ca="1">IF(AND('Mapa final'!$J$61="Muy Alta",'Mapa final'!$N$61="Moderado"),CONCATENATE("R",'Mapa final'!$A$61),"")</f>
        <v/>
      </c>
      <c r="W12" s="309"/>
      <c r="X12" s="307" t="str">
        <f>IF(AND('Mapa final'!$J$67="Muy Alta",'Mapa final'!$N$67="Moderado"),CONCATENATE("R",'Mapa final'!$A$67),"")</f>
        <v/>
      </c>
      <c r="Y12" s="307"/>
      <c r="Z12" s="307" t="str">
        <f>IF(AND('Mapa final'!$J$73="Muy Alta",'Mapa final'!$N$73="Moderado"),CONCATENATE("R",'Mapa final'!$A$73),"")</f>
        <v/>
      </c>
      <c r="AA12" s="308"/>
      <c r="AB12" s="312" t="str">
        <f ca="1">IF(AND('Mapa final'!$J$61="Muy Alta",'Mapa final'!$N$61="Mayor"),CONCATENATE("R",'Mapa final'!$A$61),"")</f>
        <v/>
      </c>
      <c r="AC12" s="309"/>
      <c r="AD12" s="307" t="str">
        <f>IF(AND('Mapa final'!$J$67="Muy Alta",'Mapa final'!$N$67="Mayor"),CONCATENATE("R",'Mapa final'!$A$67),"")</f>
        <v/>
      </c>
      <c r="AE12" s="307"/>
      <c r="AF12" s="307" t="str">
        <f>IF(AND('Mapa final'!$J$73="Muy Alta",'Mapa final'!$N$73="Mayor"),CONCATENATE("R",'Mapa final'!$A$73),"")</f>
        <v/>
      </c>
      <c r="AG12" s="308"/>
      <c r="AH12" s="320" t="str">
        <f ca="1">IF(AND('Mapa final'!$J$61="Muy Alta",'Mapa final'!$N$61="Catastrófico"),CONCATENATE("R",'Mapa final'!$A$61),"")</f>
        <v/>
      </c>
      <c r="AI12" s="321"/>
      <c r="AJ12" s="321" t="str">
        <f>IF(AND('Mapa final'!$J$67="Muy Alta",'Mapa final'!$N$67="Catastrófico"),CONCATENATE("R",'Mapa final'!$A$67),"")</f>
        <v/>
      </c>
      <c r="AK12" s="321"/>
      <c r="AL12" s="321" t="str">
        <f>IF(AND('Mapa final'!$J$73="Muy Alta",'Mapa final'!$N$73="Catastrófico"),CONCATENATE("R",'Mapa final'!$A$73),"")</f>
        <v/>
      </c>
      <c r="AM12" s="322"/>
      <c r="AN12" s="84"/>
      <c r="AO12" s="265"/>
      <c r="AP12" s="266"/>
      <c r="AQ12" s="266"/>
      <c r="AR12" s="266"/>
      <c r="AS12" s="266"/>
      <c r="AT12" s="267"/>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x14ac:dyDescent="0.3">
      <c r="A13" s="84"/>
      <c r="B13" s="260"/>
      <c r="C13" s="260"/>
      <c r="D13" s="261"/>
      <c r="E13" s="304"/>
      <c r="F13" s="305"/>
      <c r="G13" s="305"/>
      <c r="H13" s="305"/>
      <c r="I13" s="306"/>
      <c r="J13" s="312"/>
      <c r="K13" s="309"/>
      <c r="L13" s="309"/>
      <c r="M13" s="309"/>
      <c r="N13" s="309"/>
      <c r="O13" s="308"/>
      <c r="P13" s="312"/>
      <c r="Q13" s="309"/>
      <c r="R13" s="309"/>
      <c r="S13" s="309"/>
      <c r="T13" s="309"/>
      <c r="U13" s="308"/>
      <c r="V13" s="312"/>
      <c r="W13" s="309"/>
      <c r="X13" s="309"/>
      <c r="Y13" s="309"/>
      <c r="Z13" s="309"/>
      <c r="AA13" s="308"/>
      <c r="AB13" s="312"/>
      <c r="AC13" s="309"/>
      <c r="AD13" s="309"/>
      <c r="AE13" s="309"/>
      <c r="AF13" s="309"/>
      <c r="AG13" s="308"/>
      <c r="AH13" s="323"/>
      <c r="AI13" s="324"/>
      <c r="AJ13" s="324"/>
      <c r="AK13" s="324"/>
      <c r="AL13" s="324"/>
      <c r="AM13" s="325"/>
      <c r="AN13" s="84"/>
      <c r="AO13" s="268"/>
      <c r="AP13" s="269"/>
      <c r="AQ13" s="269"/>
      <c r="AR13" s="269"/>
      <c r="AS13" s="269"/>
      <c r="AT13" s="27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x14ac:dyDescent="0.25">
      <c r="A14" s="84"/>
      <c r="B14" s="260"/>
      <c r="C14" s="260"/>
      <c r="D14" s="261"/>
      <c r="E14" s="298" t="s">
        <v>115</v>
      </c>
      <c r="F14" s="299"/>
      <c r="G14" s="299"/>
      <c r="H14" s="299"/>
      <c r="I14" s="299"/>
      <c r="J14" s="335" t="str">
        <f ca="1">IF(AND('Mapa final'!$J$10="Alta",'Mapa final'!$N$10="Leve"),CONCATENATE("R",'Mapa final'!$A$10),"")</f>
        <v/>
      </c>
      <c r="K14" s="336"/>
      <c r="L14" s="336" t="str">
        <f ca="1">IF(AND([1]Hoja1!$G$2="Alta",[1]Hoja1!$K$3="Leve"),CONCATENATE("R",'Mapa final'!$A$13),"")</f>
        <v/>
      </c>
      <c r="M14" s="336"/>
      <c r="N14" s="336" t="str">
        <f ca="1">IF(AND('Mapa final'!$J$19="Alta",'Mapa final'!$N$19="Leve"),CONCATENATE("R",'Mapa final'!$A$19),"")</f>
        <v/>
      </c>
      <c r="O14" s="337"/>
      <c r="P14" s="335" t="str">
        <f ca="1">IF(AND('Mapa final'!$J$10="Alta",'Mapa final'!$N$10="Menor"),CONCATENATE("R",'Mapa final'!$A$10),"")</f>
        <v/>
      </c>
      <c r="Q14" s="336"/>
      <c r="R14" s="336" t="str">
        <f ca="1">IF(AND([1]Hoja1!$G$2="Alta",[1]Hoja1!$K$3="Menor"),CONCATENATE("R",'Mapa final'!$A$13),"")</f>
        <v/>
      </c>
      <c r="S14" s="336"/>
      <c r="T14" s="336" t="str">
        <f ca="1">IF(AND('Mapa final'!$J$19="Alta",'Mapa final'!$N$19="Menor"),CONCATENATE("R",'Mapa final'!$A$19),"")</f>
        <v/>
      </c>
      <c r="U14" s="337"/>
      <c r="V14" s="310" t="str">
        <f ca="1">IF(AND('Mapa final'!$J$10="Alta",'Mapa final'!$N$10="Moderado"),CONCATENATE("R",'Mapa final'!$A$10),"")</f>
        <v/>
      </c>
      <c r="W14" s="311"/>
      <c r="X14" s="311" t="str">
        <f ca="1">IF(AND([1]Hoja1!$G$2="Alta",[1]Hoja1!$K$3="Moderado"),CONCATENATE("R",'Mapa final'!$A$13),"")</f>
        <v/>
      </c>
      <c r="Y14" s="311"/>
      <c r="Z14" s="311" t="str">
        <f ca="1">IF(AND('Mapa final'!$J$19="Alta",'Mapa final'!$N$19="Moderado"),CONCATENATE("R",'Mapa final'!$A$19),"")</f>
        <v/>
      </c>
      <c r="AA14" s="313"/>
      <c r="AB14" s="310" t="str">
        <f ca="1">IF(AND('Mapa final'!$J$10="Alta",'Mapa final'!$N$10="Mayor"),CONCATENATE("R",'Mapa final'!$A$10),"")</f>
        <v/>
      </c>
      <c r="AC14" s="311"/>
      <c r="AD14" s="311" t="str">
        <f ca="1">IF(AND([1]Hoja1!$G$2="Alta",[1]Hoja1!$K$3="Mayor"),CONCATENATE("R",'Mapa final'!$A$13),"")</f>
        <v/>
      </c>
      <c r="AE14" s="311"/>
      <c r="AF14" s="311" t="str">
        <f ca="1">IF(AND('Mapa final'!$J$19="Alta",'Mapa final'!$N$19="Mayor"),CONCATENATE("R",'Mapa final'!$A$19),"")</f>
        <v/>
      </c>
      <c r="AG14" s="313"/>
      <c r="AH14" s="326" t="str">
        <f ca="1">IF(AND('Mapa final'!$J$10="Alta",'Mapa final'!$N$10="Catastrófico"),CONCATENATE("R",'Mapa final'!$A$10),"")</f>
        <v/>
      </c>
      <c r="AI14" s="327"/>
      <c r="AJ14" s="327" t="str">
        <f ca="1">IF(AND([1]Hoja1!$G$2="Alta",[1]Hoja1!$K$3="Catastrófico"),CONCATENATE("R",'Mapa final'!$A$13),"")</f>
        <v/>
      </c>
      <c r="AK14" s="327"/>
      <c r="AL14" s="327" t="str">
        <f ca="1">IF(AND('Mapa final'!$J$19="Alta",'Mapa final'!$N$19="Catastrófico"),CONCATENATE("R",'Mapa final'!$A$19),"")</f>
        <v/>
      </c>
      <c r="AM14" s="328"/>
      <c r="AN14" s="84"/>
      <c r="AO14" s="271" t="s">
        <v>80</v>
      </c>
      <c r="AP14" s="272"/>
      <c r="AQ14" s="272"/>
      <c r="AR14" s="272"/>
      <c r="AS14" s="272"/>
      <c r="AT14" s="273"/>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x14ac:dyDescent="0.25">
      <c r="A15" s="84"/>
      <c r="B15" s="260"/>
      <c r="C15" s="260"/>
      <c r="D15" s="261"/>
      <c r="E15" s="301"/>
      <c r="F15" s="302"/>
      <c r="G15" s="302"/>
      <c r="H15" s="302"/>
      <c r="I15" s="315"/>
      <c r="J15" s="329"/>
      <c r="K15" s="330"/>
      <c r="L15" s="330"/>
      <c r="M15" s="330"/>
      <c r="N15" s="330"/>
      <c r="O15" s="331"/>
      <c r="P15" s="329"/>
      <c r="Q15" s="330"/>
      <c r="R15" s="330"/>
      <c r="S15" s="330"/>
      <c r="T15" s="330"/>
      <c r="U15" s="331"/>
      <c r="V15" s="312"/>
      <c r="W15" s="309"/>
      <c r="X15" s="309"/>
      <c r="Y15" s="309"/>
      <c r="Z15" s="309"/>
      <c r="AA15" s="308"/>
      <c r="AB15" s="312"/>
      <c r="AC15" s="309"/>
      <c r="AD15" s="309"/>
      <c r="AE15" s="309"/>
      <c r="AF15" s="309"/>
      <c r="AG15" s="308"/>
      <c r="AH15" s="320"/>
      <c r="AI15" s="321"/>
      <c r="AJ15" s="321"/>
      <c r="AK15" s="321"/>
      <c r="AL15" s="321"/>
      <c r="AM15" s="322"/>
      <c r="AN15" s="84"/>
      <c r="AO15" s="274"/>
      <c r="AP15" s="275"/>
      <c r="AQ15" s="275"/>
      <c r="AR15" s="275"/>
      <c r="AS15" s="275"/>
      <c r="AT15" s="276"/>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x14ac:dyDescent="0.25">
      <c r="A16" s="84"/>
      <c r="B16" s="260"/>
      <c r="C16" s="260"/>
      <c r="D16" s="261"/>
      <c r="E16" s="301"/>
      <c r="F16" s="302"/>
      <c r="G16" s="302"/>
      <c r="H16" s="302"/>
      <c r="I16" s="315"/>
      <c r="J16" s="329" t="str">
        <f ca="1">IF(AND('Mapa final'!$J$25="Alta",'Mapa final'!$N$25="Leve"),CONCATENATE("R",'Mapa final'!$A$25),"")</f>
        <v/>
      </c>
      <c r="K16" s="330"/>
      <c r="L16" s="330" t="str">
        <f ca="1">IF(AND('Mapa final'!$J$31="Alta",'Mapa final'!$N$31="Leve"),CONCATENATE("R",'Mapa final'!$A$31),"")</f>
        <v/>
      </c>
      <c r="M16" s="330"/>
      <c r="N16" s="330" t="str">
        <f ca="1">IF(AND('Mapa final'!$J$37="Alta",'Mapa final'!$N$37="Leve"),CONCATENATE("R",'Mapa final'!$A$37),"")</f>
        <v/>
      </c>
      <c r="O16" s="331"/>
      <c r="P16" s="329" t="str">
        <f ca="1">IF(AND('Mapa final'!$J$25="Alta",'Mapa final'!$N$25="Menor"),CONCATENATE("R",'Mapa final'!$A$25),"")</f>
        <v/>
      </c>
      <c r="Q16" s="330"/>
      <c r="R16" s="330" t="str">
        <f ca="1">IF(AND('Mapa final'!$J$31="Alta",'Mapa final'!$N$31="Menor"),CONCATENATE("R",'Mapa final'!$A$31),"")</f>
        <v/>
      </c>
      <c r="S16" s="330"/>
      <c r="T16" s="330" t="str">
        <f ca="1">IF(AND('Mapa final'!$J$37="Alta",'Mapa final'!$N$37="Menor"),CONCATENATE("R",'Mapa final'!$A$37),"")</f>
        <v/>
      </c>
      <c r="U16" s="331"/>
      <c r="V16" s="312" t="str">
        <f ca="1">IF(AND('Mapa final'!$J$25="Alta",'Mapa final'!$N$25="Moderado"),CONCATENATE("R",'Mapa final'!$A$25),"")</f>
        <v/>
      </c>
      <c r="W16" s="309"/>
      <c r="X16" s="307" t="str">
        <f ca="1">IF(AND('Mapa final'!$J$31="Alta",'Mapa final'!$N$31="Moderado"),CONCATENATE("R",'Mapa final'!$A$31),"")</f>
        <v/>
      </c>
      <c r="Y16" s="307"/>
      <c r="Z16" s="307" t="str">
        <f ca="1">IF(AND('Mapa final'!$J$37="Alta",'Mapa final'!$N$37="Moderado"),CONCATENATE("R",'Mapa final'!$A$37),"")</f>
        <v/>
      </c>
      <c r="AA16" s="308"/>
      <c r="AB16" s="312" t="str">
        <f ca="1">IF(AND('Mapa final'!$J$25="Alta",'Mapa final'!$N$25="Mayor"),CONCATENATE("R",'Mapa final'!$A$25),"")</f>
        <v/>
      </c>
      <c r="AC16" s="309"/>
      <c r="AD16" s="307" t="str">
        <f ca="1">IF(AND('Mapa final'!$J$31="Alta",'Mapa final'!$N$31="Mayor"),CONCATENATE("R",'Mapa final'!$A$31),"")</f>
        <v/>
      </c>
      <c r="AE16" s="307"/>
      <c r="AF16" s="307" t="str">
        <f ca="1">IF(AND('Mapa final'!$J$37="Alta",'Mapa final'!$N$37="Mayor"),CONCATENATE("R",'Mapa final'!$A$37),"")</f>
        <v/>
      </c>
      <c r="AG16" s="308"/>
      <c r="AH16" s="320" t="str">
        <f ca="1">IF(AND('Mapa final'!$J$25="Alta",'Mapa final'!$N$25="Catastrófico"),CONCATENATE("R",'Mapa final'!$A$25),"")</f>
        <v/>
      </c>
      <c r="AI16" s="321"/>
      <c r="AJ16" s="321" t="str">
        <f ca="1">IF(AND('Mapa final'!$J$31="Alta",'Mapa final'!$N$31="Catastrófico"),CONCATENATE("R",'Mapa final'!$A$31),"")</f>
        <v/>
      </c>
      <c r="AK16" s="321"/>
      <c r="AL16" s="321" t="str">
        <f ca="1">IF(AND('Mapa final'!$J$37="Alta",'Mapa final'!$N$37="Catastrófico"),CONCATENATE("R",'Mapa final'!$A$37),"")</f>
        <v/>
      </c>
      <c r="AM16" s="322"/>
      <c r="AN16" s="84"/>
      <c r="AO16" s="274"/>
      <c r="AP16" s="275"/>
      <c r="AQ16" s="275"/>
      <c r="AR16" s="275"/>
      <c r="AS16" s="275"/>
      <c r="AT16" s="276"/>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x14ac:dyDescent="0.25">
      <c r="A17" s="84"/>
      <c r="B17" s="260"/>
      <c r="C17" s="260"/>
      <c r="D17" s="261"/>
      <c r="E17" s="301"/>
      <c r="F17" s="302"/>
      <c r="G17" s="302"/>
      <c r="H17" s="302"/>
      <c r="I17" s="315"/>
      <c r="J17" s="329"/>
      <c r="K17" s="330"/>
      <c r="L17" s="330"/>
      <c r="M17" s="330"/>
      <c r="N17" s="330"/>
      <c r="O17" s="331"/>
      <c r="P17" s="329"/>
      <c r="Q17" s="330"/>
      <c r="R17" s="330"/>
      <c r="S17" s="330"/>
      <c r="T17" s="330"/>
      <c r="U17" s="331"/>
      <c r="V17" s="312"/>
      <c r="W17" s="309"/>
      <c r="X17" s="307"/>
      <c r="Y17" s="307"/>
      <c r="Z17" s="307"/>
      <c r="AA17" s="308"/>
      <c r="AB17" s="312"/>
      <c r="AC17" s="309"/>
      <c r="AD17" s="307"/>
      <c r="AE17" s="307"/>
      <c r="AF17" s="307"/>
      <c r="AG17" s="308"/>
      <c r="AH17" s="320"/>
      <c r="AI17" s="321"/>
      <c r="AJ17" s="321"/>
      <c r="AK17" s="321"/>
      <c r="AL17" s="321"/>
      <c r="AM17" s="322"/>
      <c r="AN17" s="84"/>
      <c r="AO17" s="274"/>
      <c r="AP17" s="275"/>
      <c r="AQ17" s="275"/>
      <c r="AR17" s="275"/>
      <c r="AS17" s="275"/>
      <c r="AT17" s="276"/>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x14ac:dyDescent="0.25">
      <c r="A18" s="84"/>
      <c r="B18" s="260"/>
      <c r="C18" s="260"/>
      <c r="D18" s="261"/>
      <c r="E18" s="301"/>
      <c r="F18" s="302"/>
      <c r="G18" s="302"/>
      <c r="H18" s="302"/>
      <c r="I18" s="315"/>
      <c r="J18" s="329" t="str">
        <f ca="1">IF(AND('Mapa final'!$J$43="Alta",'Mapa final'!$N$43="Leve"),CONCATENATE("R",'Mapa final'!$A$43),"")</f>
        <v/>
      </c>
      <c r="K18" s="330"/>
      <c r="L18" s="330" t="str">
        <f ca="1">IF(AND('Mapa final'!$J$49="Alta",'Mapa final'!$N$49="Leve"),CONCATENATE("R",'Mapa final'!$A$49),"")</f>
        <v/>
      </c>
      <c r="M18" s="330"/>
      <c r="N18" s="330" t="str">
        <f ca="1">IF(AND('Mapa final'!$J$55="Alta",'Mapa final'!$N$55="Leve"),CONCATENATE("R",'Mapa final'!$A$55),"")</f>
        <v/>
      </c>
      <c r="O18" s="331"/>
      <c r="P18" s="329" t="str">
        <f ca="1">IF(AND('Mapa final'!$J$43="Alta",'Mapa final'!$N$43="Menor"),CONCATENATE("R",'Mapa final'!$A$43),"")</f>
        <v/>
      </c>
      <c r="Q18" s="330"/>
      <c r="R18" s="330" t="str">
        <f ca="1">IF(AND('Mapa final'!$J$49="Alta",'Mapa final'!$N$49="Menor"),CONCATENATE("R",'Mapa final'!$A$49),"")</f>
        <v/>
      </c>
      <c r="S18" s="330"/>
      <c r="T18" s="330" t="str">
        <f ca="1">IF(AND('Mapa final'!$J$55="Alta",'Mapa final'!$N$55="Menor"),CONCATENATE("R",'Mapa final'!$A$55),"")</f>
        <v/>
      </c>
      <c r="U18" s="331"/>
      <c r="V18" s="312" t="str">
        <f ca="1">IF(AND('Mapa final'!$J$43="Alta",'Mapa final'!$N$43="Moderado"),CONCATENATE("R",'Mapa final'!$A$43),"")</f>
        <v/>
      </c>
      <c r="W18" s="309"/>
      <c r="X18" s="307" t="str">
        <f ca="1">IF(AND('Mapa final'!$J$49="Alta",'Mapa final'!$N$49="Moderado"),CONCATENATE("R",'Mapa final'!$A$49),"")</f>
        <v/>
      </c>
      <c r="Y18" s="307"/>
      <c r="Z18" s="307" t="str">
        <f ca="1">IF(AND('Mapa final'!$J$55="Alta",'Mapa final'!$N$55="Moderado"),CONCATENATE("R",'Mapa final'!$A$55),"")</f>
        <v/>
      </c>
      <c r="AA18" s="308"/>
      <c r="AB18" s="312" t="str">
        <f ca="1">IF(AND('Mapa final'!$J$43="Alta",'Mapa final'!$N$43="Mayor"),CONCATENATE("R",'Mapa final'!$A$43),"")</f>
        <v/>
      </c>
      <c r="AC18" s="309"/>
      <c r="AD18" s="307" t="str">
        <f ca="1">IF(AND('Mapa final'!$J$49="Alta",'Mapa final'!$N$49="Mayor"),CONCATENATE("R",'Mapa final'!$A$49),"")</f>
        <v/>
      </c>
      <c r="AE18" s="307"/>
      <c r="AF18" s="307" t="str">
        <f ca="1">IF(AND('Mapa final'!$J$55="Alta",'Mapa final'!$N$55="Mayor"),CONCATENATE("R",'Mapa final'!$A$55),"")</f>
        <v/>
      </c>
      <c r="AG18" s="308"/>
      <c r="AH18" s="320" t="str">
        <f ca="1">IF(AND('Mapa final'!$J$43="Alta",'Mapa final'!$N$43="Catastrófico"),CONCATENATE("R",'Mapa final'!$A$43),"")</f>
        <v/>
      </c>
      <c r="AI18" s="321"/>
      <c r="AJ18" s="321" t="str">
        <f ca="1">IF(AND('Mapa final'!$J$49="Alta",'Mapa final'!$N$49="Catastrófico"),CONCATENATE("R",'Mapa final'!$A$49),"")</f>
        <v/>
      </c>
      <c r="AK18" s="321"/>
      <c r="AL18" s="321" t="str">
        <f ca="1">IF(AND('Mapa final'!$J$55="Alta",'Mapa final'!$N$55="Catastrófico"),CONCATENATE("R",'Mapa final'!$A$55),"")</f>
        <v/>
      </c>
      <c r="AM18" s="322"/>
      <c r="AN18" s="84"/>
      <c r="AO18" s="274"/>
      <c r="AP18" s="275"/>
      <c r="AQ18" s="275"/>
      <c r="AR18" s="275"/>
      <c r="AS18" s="275"/>
      <c r="AT18" s="276"/>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x14ac:dyDescent="0.25">
      <c r="A19" s="84"/>
      <c r="B19" s="260"/>
      <c r="C19" s="260"/>
      <c r="D19" s="261"/>
      <c r="E19" s="301"/>
      <c r="F19" s="302"/>
      <c r="G19" s="302"/>
      <c r="H19" s="302"/>
      <c r="I19" s="315"/>
      <c r="J19" s="329"/>
      <c r="K19" s="330"/>
      <c r="L19" s="330"/>
      <c r="M19" s="330"/>
      <c r="N19" s="330"/>
      <c r="O19" s="331"/>
      <c r="P19" s="329"/>
      <c r="Q19" s="330"/>
      <c r="R19" s="330"/>
      <c r="S19" s="330"/>
      <c r="T19" s="330"/>
      <c r="U19" s="331"/>
      <c r="V19" s="312"/>
      <c r="W19" s="309"/>
      <c r="X19" s="307"/>
      <c r="Y19" s="307"/>
      <c r="Z19" s="307"/>
      <c r="AA19" s="308"/>
      <c r="AB19" s="312"/>
      <c r="AC19" s="309"/>
      <c r="AD19" s="307"/>
      <c r="AE19" s="307"/>
      <c r="AF19" s="307"/>
      <c r="AG19" s="308"/>
      <c r="AH19" s="320"/>
      <c r="AI19" s="321"/>
      <c r="AJ19" s="321"/>
      <c r="AK19" s="321"/>
      <c r="AL19" s="321"/>
      <c r="AM19" s="322"/>
      <c r="AN19" s="84"/>
      <c r="AO19" s="274"/>
      <c r="AP19" s="275"/>
      <c r="AQ19" s="275"/>
      <c r="AR19" s="275"/>
      <c r="AS19" s="275"/>
      <c r="AT19" s="276"/>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x14ac:dyDescent="0.25">
      <c r="A20" s="84"/>
      <c r="B20" s="260"/>
      <c r="C20" s="260"/>
      <c r="D20" s="261"/>
      <c r="E20" s="301"/>
      <c r="F20" s="302"/>
      <c r="G20" s="302"/>
      <c r="H20" s="302"/>
      <c r="I20" s="315"/>
      <c r="J20" s="329" t="str">
        <f ca="1">IF(AND('Mapa final'!$J$61="Alta",'Mapa final'!$N$61="Leve"),CONCATENATE("R",'Mapa final'!$A$61),"")</f>
        <v/>
      </c>
      <c r="K20" s="330"/>
      <c r="L20" s="330" t="str">
        <f>IF(AND('Mapa final'!$J$67="Alta",'Mapa final'!$N$67="Leve"),CONCATENATE("R",'Mapa final'!$A$67),"")</f>
        <v/>
      </c>
      <c r="M20" s="330"/>
      <c r="N20" s="330" t="str">
        <f>IF(AND('Mapa final'!$J$73="Alta",'Mapa final'!$N$73="Leve"),CONCATENATE("R",'Mapa final'!$A$73),"")</f>
        <v/>
      </c>
      <c r="O20" s="331"/>
      <c r="P20" s="329" t="str">
        <f ca="1">IF(AND('Mapa final'!$J$61="Alta",'Mapa final'!$N$61="Menor"),CONCATENATE("R",'Mapa final'!$A$61),"")</f>
        <v/>
      </c>
      <c r="Q20" s="330"/>
      <c r="R20" s="330" t="str">
        <f>IF(AND('Mapa final'!$J$67="Alta",'Mapa final'!$N$67="Menor"),CONCATENATE("R",'Mapa final'!$A$67),"")</f>
        <v/>
      </c>
      <c r="S20" s="330"/>
      <c r="T20" s="330" t="str">
        <f>IF(AND('Mapa final'!$J$73="Alta",'Mapa final'!$N$73="Menor"),CONCATENATE("R",'Mapa final'!$A$73),"")</f>
        <v/>
      </c>
      <c r="U20" s="331"/>
      <c r="V20" s="312" t="str">
        <f ca="1">IF(AND('Mapa final'!$J$61="Alta",'Mapa final'!$N$61="Moderado"),CONCATENATE("R",'Mapa final'!$A$61),"")</f>
        <v/>
      </c>
      <c r="W20" s="309"/>
      <c r="X20" s="307" t="str">
        <f>IF(AND('Mapa final'!$J$67="Alta",'Mapa final'!$N$67="Moderado"),CONCATENATE("R",'Mapa final'!$A$67),"")</f>
        <v/>
      </c>
      <c r="Y20" s="307"/>
      <c r="Z20" s="307" t="str">
        <f>IF(AND('Mapa final'!$J$73="Alta",'Mapa final'!$N$73="Moderado"),CONCATENATE("R",'Mapa final'!$A$73),"")</f>
        <v/>
      </c>
      <c r="AA20" s="308"/>
      <c r="AB20" s="312" t="str">
        <f ca="1">IF(AND('Mapa final'!$J$61="Alta",'Mapa final'!$N$61="Mayor"),CONCATENATE("R",'Mapa final'!$A$61),"")</f>
        <v/>
      </c>
      <c r="AC20" s="309"/>
      <c r="AD20" s="307" t="str">
        <f>IF(AND('Mapa final'!$J$67="Alta",'Mapa final'!$N$67="Mayor"),CONCATENATE("R",'Mapa final'!$A$67),"")</f>
        <v/>
      </c>
      <c r="AE20" s="307"/>
      <c r="AF20" s="307" t="str">
        <f>IF(AND('Mapa final'!$J$73="Alta",'Mapa final'!$N$73="Mayor"),CONCATENATE("R",'Mapa final'!$A$73),"")</f>
        <v/>
      </c>
      <c r="AG20" s="308"/>
      <c r="AH20" s="320" t="str">
        <f ca="1">IF(AND('Mapa final'!$J$61="Alta",'Mapa final'!$N$61="Catastrófico"),CONCATENATE("R",'Mapa final'!$A$61),"")</f>
        <v/>
      </c>
      <c r="AI20" s="321"/>
      <c r="AJ20" s="321" t="str">
        <f>IF(AND('Mapa final'!$J$67="Alta",'Mapa final'!$N$67="Catastrófico"),CONCATENATE("R",'Mapa final'!$A$67),"")</f>
        <v/>
      </c>
      <c r="AK20" s="321"/>
      <c r="AL20" s="321" t="str">
        <f>IF(AND('Mapa final'!$J$73="Alta",'Mapa final'!$N$73="Catastrófico"),CONCATENATE("R",'Mapa final'!$A$73),"")</f>
        <v/>
      </c>
      <c r="AM20" s="322"/>
      <c r="AN20" s="84"/>
      <c r="AO20" s="274"/>
      <c r="AP20" s="275"/>
      <c r="AQ20" s="275"/>
      <c r="AR20" s="275"/>
      <c r="AS20" s="275"/>
      <c r="AT20" s="276"/>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x14ac:dyDescent="0.3">
      <c r="A21" s="84"/>
      <c r="B21" s="260"/>
      <c r="C21" s="260"/>
      <c r="D21" s="261"/>
      <c r="E21" s="304"/>
      <c r="F21" s="305"/>
      <c r="G21" s="305"/>
      <c r="H21" s="305"/>
      <c r="I21" s="305"/>
      <c r="J21" s="332"/>
      <c r="K21" s="333"/>
      <c r="L21" s="333"/>
      <c r="M21" s="333"/>
      <c r="N21" s="333"/>
      <c r="O21" s="334"/>
      <c r="P21" s="332"/>
      <c r="Q21" s="333"/>
      <c r="R21" s="333"/>
      <c r="S21" s="333"/>
      <c r="T21" s="333"/>
      <c r="U21" s="334"/>
      <c r="V21" s="317"/>
      <c r="W21" s="318"/>
      <c r="X21" s="318"/>
      <c r="Y21" s="318"/>
      <c r="Z21" s="318"/>
      <c r="AA21" s="319"/>
      <c r="AB21" s="317"/>
      <c r="AC21" s="318"/>
      <c r="AD21" s="318"/>
      <c r="AE21" s="318"/>
      <c r="AF21" s="318"/>
      <c r="AG21" s="319"/>
      <c r="AH21" s="323"/>
      <c r="AI21" s="324"/>
      <c r="AJ21" s="324"/>
      <c r="AK21" s="324"/>
      <c r="AL21" s="324"/>
      <c r="AM21" s="325"/>
      <c r="AN21" s="84"/>
      <c r="AO21" s="277"/>
      <c r="AP21" s="278"/>
      <c r="AQ21" s="278"/>
      <c r="AR21" s="278"/>
      <c r="AS21" s="278"/>
      <c r="AT21" s="279"/>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x14ac:dyDescent="0.25">
      <c r="A22" s="84"/>
      <c r="B22" s="260"/>
      <c r="C22" s="260"/>
      <c r="D22" s="261"/>
      <c r="E22" s="298" t="s">
        <v>117</v>
      </c>
      <c r="F22" s="299"/>
      <c r="G22" s="299"/>
      <c r="H22" s="299"/>
      <c r="I22" s="300"/>
      <c r="J22" s="335" t="str">
        <f ca="1">IF(AND('Mapa final'!$J$10="Media",'Mapa final'!$N$10="Leve"),CONCATENATE("R",'Mapa final'!$A$10),"")</f>
        <v/>
      </c>
      <c r="K22" s="336"/>
      <c r="L22" s="336" t="str">
        <f ca="1">IF(AND([1]Hoja1!$G$2="Media",[1]Hoja1!$K$3="Leve"),CONCATENATE("R",'Mapa final'!$A$13),"")</f>
        <v/>
      </c>
      <c r="M22" s="336"/>
      <c r="N22" s="336" t="str">
        <f ca="1">IF(AND('Mapa final'!$J$19="Media",'Mapa final'!$N$19="Leve"),CONCATENATE("R",'Mapa final'!$A$19),"")</f>
        <v/>
      </c>
      <c r="O22" s="337"/>
      <c r="P22" s="335" t="str">
        <f ca="1">IF(AND('Mapa final'!$J$10="Media",'Mapa final'!$N$10="Menor"),CONCATENATE("R",'Mapa final'!$A$10),"")</f>
        <v/>
      </c>
      <c r="Q22" s="336"/>
      <c r="R22" s="336" t="str">
        <f ca="1">IF(AND([1]Hoja1!$G$2="Media",[1]Hoja1!$K$3="Menor"),CONCATENATE("R",'Mapa final'!$A$13),"")</f>
        <v/>
      </c>
      <c r="S22" s="336"/>
      <c r="T22" s="336" t="str">
        <f ca="1">IF(AND('Mapa final'!$J$19="Media",'Mapa final'!$N$19="Menor"),CONCATENATE("R",'Mapa final'!$A$19),"")</f>
        <v/>
      </c>
      <c r="U22" s="337"/>
      <c r="V22" s="335" t="str">
        <f ca="1">IF(AND('Mapa final'!$J$10="Media",'Mapa final'!$N$10="Moderado"),CONCATENATE("R",'Mapa final'!$A$10),"")</f>
        <v/>
      </c>
      <c r="W22" s="336"/>
      <c r="X22" s="336" t="str">
        <f ca="1">IF(AND([1]Hoja1!$G$2="Media",[1]Hoja1!$K$3="Moderado"),CONCATENATE("R",'Mapa final'!$A$13),"")</f>
        <v/>
      </c>
      <c r="Y22" s="336"/>
      <c r="Z22" s="336" t="str">
        <f ca="1">IF(AND('Mapa final'!$J$19="Media",'Mapa final'!$N$19="Moderado"),CONCATENATE("R",'Mapa final'!$A$19),"")</f>
        <v/>
      </c>
      <c r="AA22" s="337"/>
      <c r="AB22" s="310" t="str">
        <f ca="1">IF(AND('Mapa final'!$J$10="Media",'Mapa final'!$N$10="Mayor"),CONCATENATE("R",'Mapa final'!$A$10),"")</f>
        <v/>
      </c>
      <c r="AC22" s="311"/>
      <c r="AD22" s="311" t="str">
        <f ca="1">IF(AND([1]Hoja1!$G$2="Media",[1]Hoja1!$K$3="Mayor"),CONCATENATE("R",'Mapa final'!$A$13),"")</f>
        <v>R2</v>
      </c>
      <c r="AE22" s="311"/>
      <c r="AF22" s="311" t="str">
        <f ca="1">IF(AND('Mapa final'!$J$19="Media",'Mapa final'!$N$19="Mayor"),CONCATENATE("R",'Mapa final'!$A$19),"")</f>
        <v/>
      </c>
      <c r="AG22" s="313"/>
      <c r="AH22" s="326" t="str">
        <f ca="1">IF(AND('Mapa final'!$J$10="Media",'Mapa final'!$N$10="Catastrófico"),CONCATENATE("R",'Mapa final'!$A$10),"")</f>
        <v/>
      </c>
      <c r="AI22" s="327"/>
      <c r="AJ22" s="327" t="str">
        <f ca="1">IF(AND([1]Hoja1!$G$2="Media",[1]Hoja1!$K$3="Catastrófico"),CONCATENATE("R",'Mapa final'!$A$13),"")</f>
        <v/>
      </c>
      <c r="AK22" s="327"/>
      <c r="AL22" s="327" t="str">
        <f ca="1">IF(AND('Mapa final'!$J$19="Media",'Mapa final'!$N$19="Catastrófico"),CONCATENATE("R",'Mapa final'!$A$19),"")</f>
        <v/>
      </c>
      <c r="AM22" s="328"/>
      <c r="AN22" s="84"/>
      <c r="AO22" s="280" t="s">
        <v>81</v>
      </c>
      <c r="AP22" s="281"/>
      <c r="AQ22" s="281"/>
      <c r="AR22" s="281"/>
      <c r="AS22" s="281"/>
      <c r="AT22" s="28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x14ac:dyDescent="0.25">
      <c r="A23" s="84"/>
      <c r="B23" s="260"/>
      <c r="C23" s="260"/>
      <c r="D23" s="261"/>
      <c r="E23" s="301"/>
      <c r="F23" s="302"/>
      <c r="G23" s="302"/>
      <c r="H23" s="302"/>
      <c r="I23" s="303"/>
      <c r="J23" s="329"/>
      <c r="K23" s="330"/>
      <c r="L23" s="330"/>
      <c r="M23" s="330"/>
      <c r="N23" s="330"/>
      <c r="O23" s="331"/>
      <c r="P23" s="329"/>
      <c r="Q23" s="330"/>
      <c r="R23" s="330"/>
      <c r="S23" s="330"/>
      <c r="T23" s="330"/>
      <c r="U23" s="331"/>
      <c r="V23" s="329"/>
      <c r="W23" s="330"/>
      <c r="X23" s="330"/>
      <c r="Y23" s="330"/>
      <c r="Z23" s="330"/>
      <c r="AA23" s="331"/>
      <c r="AB23" s="312"/>
      <c r="AC23" s="309"/>
      <c r="AD23" s="309"/>
      <c r="AE23" s="309"/>
      <c r="AF23" s="309"/>
      <c r="AG23" s="308"/>
      <c r="AH23" s="320"/>
      <c r="AI23" s="321"/>
      <c r="AJ23" s="321"/>
      <c r="AK23" s="321"/>
      <c r="AL23" s="321"/>
      <c r="AM23" s="322"/>
      <c r="AN23" s="84"/>
      <c r="AO23" s="283"/>
      <c r="AP23" s="284"/>
      <c r="AQ23" s="284"/>
      <c r="AR23" s="284"/>
      <c r="AS23" s="284"/>
      <c r="AT23" s="28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x14ac:dyDescent="0.25">
      <c r="A24" s="84"/>
      <c r="B24" s="260"/>
      <c r="C24" s="260"/>
      <c r="D24" s="261"/>
      <c r="E24" s="301"/>
      <c r="F24" s="302"/>
      <c r="G24" s="302"/>
      <c r="H24" s="302"/>
      <c r="I24" s="303"/>
      <c r="J24" s="329" t="str">
        <f ca="1">IF(AND('Mapa final'!$J$25="Media",'Mapa final'!$N$25="Leve"),CONCATENATE("R",'Mapa final'!$A$25),"")</f>
        <v/>
      </c>
      <c r="K24" s="330"/>
      <c r="L24" s="330" t="str">
        <f ca="1">IF(AND('Mapa final'!$J$31="Media",'Mapa final'!$N$31="Leve"),CONCATENATE("R",'Mapa final'!$A$31),"")</f>
        <v/>
      </c>
      <c r="M24" s="330"/>
      <c r="N24" s="330" t="str">
        <f ca="1">IF(AND('Mapa final'!$J$37="Media",'Mapa final'!$N$37="Leve"),CONCATENATE("R",'Mapa final'!$A$37),"")</f>
        <v/>
      </c>
      <c r="O24" s="331"/>
      <c r="P24" s="329" t="str">
        <f ca="1">IF(AND('Mapa final'!$J$25="Media",'Mapa final'!$N$25="Menor"),CONCATENATE("R",'Mapa final'!$A$25),"")</f>
        <v/>
      </c>
      <c r="Q24" s="330"/>
      <c r="R24" s="330" t="str">
        <f ca="1">IF(AND('Mapa final'!$J$31="Media",'Mapa final'!$N$31="Menor"),CONCATENATE("R",'Mapa final'!$A$31),"")</f>
        <v/>
      </c>
      <c r="S24" s="330"/>
      <c r="T24" s="330" t="str">
        <f ca="1">IF(AND('Mapa final'!$J$37="Media",'Mapa final'!$N$37="Menor"),CONCATENATE("R",'Mapa final'!$A$37),"")</f>
        <v/>
      </c>
      <c r="U24" s="331"/>
      <c r="V24" s="329" t="str">
        <f ca="1">IF(AND('Mapa final'!$J$25="Media",'Mapa final'!$N$25="Moderado"),CONCATENATE("R",'Mapa final'!$A$25),"")</f>
        <v/>
      </c>
      <c r="W24" s="330"/>
      <c r="X24" s="330" t="str">
        <f ca="1">IF(AND('Mapa final'!$J$31="Media",'Mapa final'!$N$31="Moderado"),CONCATENATE("R",'Mapa final'!$A$31),"")</f>
        <v/>
      </c>
      <c r="Y24" s="330"/>
      <c r="Z24" s="330" t="str">
        <f ca="1">IF(AND('Mapa final'!$J$37="Media",'Mapa final'!$N$37="Moderado"),CONCATENATE("R",'Mapa final'!$A$37),"")</f>
        <v/>
      </c>
      <c r="AA24" s="331"/>
      <c r="AB24" s="312" t="str">
        <f ca="1">IF(AND('Mapa final'!$J$25="Media",'Mapa final'!$N$25="Mayor"),CONCATENATE("R",'Mapa final'!$A$25),"")</f>
        <v/>
      </c>
      <c r="AC24" s="309"/>
      <c r="AD24" s="307" t="str">
        <f ca="1">IF(AND('Mapa final'!$J$31="Media",'Mapa final'!$N$31="Mayor"),CONCATENATE("R",'Mapa final'!$A$31),"")</f>
        <v/>
      </c>
      <c r="AE24" s="307"/>
      <c r="AF24" s="307" t="str">
        <f ca="1">IF(AND('Mapa final'!$J$37="Media",'Mapa final'!$N$37="Mayor"),CONCATENATE("R",'Mapa final'!$A$37),"")</f>
        <v/>
      </c>
      <c r="AG24" s="308"/>
      <c r="AH24" s="320" t="str">
        <f ca="1">IF(AND('Mapa final'!$J$25="Media",'Mapa final'!$N$25="Catastrófico"),CONCATENATE("R",'Mapa final'!$A$25),"")</f>
        <v/>
      </c>
      <c r="AI24" s="321"/>
      <c r="AJ24" s="321" t="str">
        <f ca="1">IF(AND('Mapa final'!$J$31="Media",'Mapa final'!$N$31="Catastrófico"),CONCATENATE("R",'Mapa final'!$A$31),"")</f>
        <v/>
      </c>
      <c r="AK24" s="321"/>
      <c r="AL24" s="321" t="str">
        <f ca="1">IF(AND('Mapa final'!$J$37="Media",'Mapa final'!$N$37="Catastrófico"),CONCATENATE("R",'Mapa final'!$A$37),"")</f>
        <v/>
      </c>
      <c r="AM24" s="322"/>
      <c r="AN24" s="84"/>
      <c r="AO24" s="283"/>
      <c r="AP24" s="284"/>
      <c r="AQ24" s="284"/>
      <c r="AR24" s="284"/>
      <c r="AS24" s="284"/>
      <c r="AT24" s="28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x14ac:dyDescent="0.25">
      <c r="A25" s="84"/>
      <c r="B25" s="260"/>
      <c r="C25" s="260"/>
      <c r="D25" s="261"/>
      <c r="E25" s="301"/>
      <c r="F25" s="302"/>
      <c r="G25" s="302"/>
      <c r="H25" s="302"/>
      <c r="I25" s="303"/>
      <c r="J25" s="329"/>
      <c r="K25" s="330"/>
      <c r="L25" s="330"/>
      <c r="M25" s="330"/>
      <c r="N25" s="330"/>
      <c r="O25" s="331"/>
      <c r="P25" s="329"/>
      <c r="Q25" s="330"/>
      <c r="R25" s="330"/>
      <c r="S25" s="330"/>
      <c r="T25" s="330"/>
      <c r="U25" s="331"/>
      <c r="V25" s="329"/>
      <c r="W25" s="330"/>
      <c r="X25" s="330"/>
      <c r="Y25" s="330"/>
      <c r="Z25" s="330"/>
      <c r="AA25" s="331"/>
      <c r="AB25" s="312"/>
      <c r="AC25" s="309"/>
      <c r="AD25" s="307"/>
      <c r="AE25" s="307"/>
      <c r="AF25" s="307"/>
      <c r="AG25" s="308"/>
      <c r="AH25" s="320"/>
      <c r="AI25" s="321"/>
      <c r="AJ25" s="321"/>
      <c r="AK25" s="321"/>
      <c r="AL25" s="321"/>
      <c r="AM25" s="322"/>
      <c r="AN25" s="84"/>
      <c r="AO25" s="283"/>
      <c r="AP25" s="284"/>
      <c r="AQ25" s="284"/>
      <c r="AR25" s="284"/>
      <c r="AS25" s="284"/>
      <c r="AT25" s="28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x14ac:dyDescent="0.25">
      <c r="A26" s="84"/>
      <c r="B26" s="260"/>
      <c r="C26" s="260"/>
      <c r="D26" s="261"/>
      <c r="E26" s="301"/>
      <c r="F26" s="302"/>
      <c r="G26" s="302"/>
      <c r="H26" s="302"/>
      <c r="I26" s="303"/>
      <c r="J26" s="329" t="str">
        <f ca="1">IF(AND('Mapa final'!$J$43="Media",'Mapa final'!$N$43="Leve"),CONCATENATE("R",'Mapa final'!$A$43),"")</f>
        <v/>
      </c>
      <c r="K26" s="330"/>
      <c r="L26" s="330" t="str">
        <f ca="1">IF(AND('Mapa final'!$J$49="Media",'Mapa final'!$N$49="Leve"),CONCATENATE("R",'Mapa final'!$A$49),"")</f>
        <v/>
      </c>
      <c r="M26" s="330"/>
      <c r="N26" s="330" t="str">
        <f ca="1">IF(AND('Mapa final'!$J$55="Media",'Mapa final'!$N$55="Leve"),CONCATENATE("R",'Mapa final'!$A$55),"")</f>
        <v/>
      </c>
      <c r="O26" s="331"/>
      <c r="P26" s="329" t="str">
        <f ca="1">IF(AND('Mapa final'!$J$43="Media",'Mapa final'!$N$43="Menor"),CONCATENATE("R",'Mapa final'!$A$43),"")</f>
        <v/>
      </c>
      <c r="Q26" s="330"/>
      <c r="R26" s="330" t="str">
        <f ca="1">IF(AND('Mapa final'!$J$49="Media",'Mapa final'!$N$49="Menor"),CONCATENATE("R",'Mapa final'!$A$49),"")</f>
        <v/>
      </c>
      <c r="S26" s="330"/>
      <c r="T26" s="330" t="str">
        <f ca="1">IF(AND('Mapa final'!$J$55="Media",'Mapa final'!$N$55="Menor"),CONCATENATE("R",'Mapa final'!$A$55),"")</f>
        <v/>
      </c>
      <c r="U26" s="331"/>
      <c r="V26" s="329" t="str">
        <f ca="1">IF(AND('Mapa final'!$J$43="Media",'Mapa final'!$N$43="Moderado"),CONCATENATE("R",'Mapa final'!$A$43),"")</f>
        <v/>
      </c>
      <c r="W26" s="330"/>
      <c r="X26" s="330" t="str">
        <f ca="1">IF(AND('Mapa final'!$J$49="Media",'Mapa final'!$N$49="Moderado"),CONCATENATE("R",'Mapa final'!$A$49),"")</f>
        <v/>
      </c>
      <c r="Y26" s="330"/>
      <c r="Z26" s="330" t="str">
        <f ca="1">IF(AND('Mapa final'!$J$55="Media",'Mapa final'!$N$55="Moderado"),CONCATENATE("R",'Mapa final'!$A$55),"")</f>
        <v/>
      </c>
      <c r="AA26" s="331"/>
      <c r="AB26" s="312" t="str">
        <f ca="1">IF(AND('Mapa final'!$J$43="Media",'Mapa final'!$N$43="Mayor"),CONCATENATE("R",'Mapa final'!$A$43),"")</f>
        <v/>
      </c>
      <c r="AC26" s="309"/>
      <c r="AD26" s="307" t="str">
        <f ca="1">IF(AND('Mapa final'!$J$49="Media",'Mapa final'!$N$49="Mayor"),CONCATENATE("R",'Mapa final'!$A$49),"")</f>
        <v/>
      </c>
      <c r="AE26" s="307"/>
      <c r="AF26" s="307" t="str">
        <f ca="1">IF(AND('Mapa final'!$J$55="Media",'Mapa final'!$N$55="Mayor"),CONCATENATE("R",'Mapa final'!$A$55),"")</f>
        <v/>
      </c>
      <c r="AG26" s="308"/>
      <c r="AH26" s="320" t="str">
        <f ca="1">IF(AND('Mapa final'!$J$43="Media",'Mapa final'!$N$43="Catastrófico"),CONCATENATE("R",'Mapa final'!$A$43),"")</f>
        <v/>
      </c>
      <c r="AI26" s="321"/>
      <c r="AJ26" s="321" t="str">
        <f ca="1">IF(AND('Mapa final'!$J$49="Media",'Mapa final'!$N$49="Catastrófico"),CONCATENATE("R",'Mapa final'!$A$49),"")</f>
        <v/>
      </c>
      <c r="AK26" s="321"/>
      <c r="AL26" s="321" t="str">
        <f ca="1">IF(AND('Mapa final'!$J$55="Media",'Mapa final'!$N$55="Catastrófico"),CONCATENATE("R",'Mapa final'!$A$55),"")</f>
        <v/>
      </c>
      <c r="AM26" s="322"/>
      <c r="AN26" s="84"/>
      <c r="AO26" s="283"/>
      <c r="AP26" s="284"/>
      <c r="AQ26" s="284"/>
      <c r="AR26" s="284"/>
      <c r="AS26" s="284"/>
      <c r="AT26" s="285"/>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x14ac:dyDescent="0.25">
      <c r="A27" s="84"/>
      <c r="B27" s="260"/>
      <c r="C27" s="260"/>
      <c r="D27" s="261"/>
      <c r="E27" s="301"/>
      <c r="F27" s="302"/>
      <c r="G27" s="302"/>
      <c r="H27" s="302"/>
      <c r="I27" s="303"/>
      <c r="J27" s="329"/>
      <c r="K27" s="330"/>
      <c r="L27" s="330"/>
      <c r="M27" s="330"/>
      <c r="N27" s="330"/>
      <c r="O27" s="331"/>
      <c r="P27" s="329"/>
      <c r="Q27" s="330"/>
      <c r="R27" s="330"/>
      <c r="S27" s="330"/>
      <c r="T27" s="330"/>
      <c r="U27" s="331"/>
      <c r="V27" s="329"/>
      <c r="W27" s="330"/>
      <c r="X27" s="330"/>
      <c r="Y27" s="330"/>
      <c r="Z27" s="330"/>
      <c r="AA27" s="331"/>
      <c r="AB27" s="312"/>
      <c r="AC27" s="309"/>
      <c r="AD27" s="307"/>
      <c r="AE27" s="307"/>
      <c r="AF27" s="307"/>
      <c r="AG27" s="308"/>
      <c r="AH27" s="320"/>
      <c r="AI27" s="321"/>
      <c r="AJ27" s="321"/>
      <c r="AK27" s="321"/>
      <c r="AL27" s="321"/>
      <c r="AM27" s="322"/>
      <c r="AN27" s="84"/>
      <c r="AO27" s="283"/>
      <c r="AP27" s="284"/>
      <c r="AQ27" s="284"/>
      <c r="AR27" s="284"/>
      <c r="AS27" s="284"/>
      <c r="AT27" s="285"/>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x14ac:dyDescent="0.25">
      <c r="A28" s="84"/>
      <c r="B28" s="260"/>
      <c r="C28" s="260"/>
      <c r="D28" s="261"/>
      <c r="E28" s="301"/>
      <c r="F28" s="302"/>
      <c r="G28" s="302"/>
      <c r="H28" s="302"/>
      <c r="I28" s="303"/>
      <c r="J28" s="329" t="str">
        <f ca="1">IF(AND('Mapa final'!$J$61="Media",'Mapa final'!$N$61="Leve"),CONCATENATE("R",'Mapa final'!$A$61),"")</f>
        <v/>
      </c>
      <c r="K28" s="330"/>
      <c r="L28" s="330" t="str">
        <f>IF(AND('Mapa final'!$J$67="Media",'Mapa final'!$N$67="Leve"),CONCATENATE("R",'Mapa final'!$A$67),"")</f>
        <v/>
      </c>
      <c r="M28" s="330"/>
      <c r="N28" s="330" t="str">
        <f>IF(AND('Mapa final'!$J$73="Media",'Mapa final'!$N$73="Leve"),CONCATENATE("R",'Mapa final'!$A$73),"")</f>
        <v/>
      </c>
      <c r="O28" s="331"/>
      <c r="P28" s="329" t="str">
        <f ca="1">IF(AND('Mapa final'!$J$61="Media",'Mapa final'!$N$61="Menor"),CONCATENATE("R",'Mapa final'!$A$61),"")</f>
        <v/>
      </c>
      <c r="Q28" s="330"/>
      <c r="R28" s="330" t="str">
        <f>IF(AND('Mapa final'!$J$67="Media",'Mapa final'!$N$67="Menor"),CONCATENATE("R",'Mapa final'!$A$67),"")</f>
        <v/>
      </c>
      <c r="S28" s="330"/>
      <c r="T28" s="330" t="str">
        <f>IF(AND('Mapa final'!$J$73="Media",'Mapa final'!$N$73="Menor"),CONCATENATE("R",'Mapa final'!$A$73),"")</f>
        <v/>
      </c>
      <c r="U28" s="331"/>
      <c r="V28" s="329" t="str">
        <f ca="1">IF(AND('Mapa final'!$J$61="Media",'Mapa final'!$N$61="Moderado"),CONCATENATE("R",'Mapa final'!$A$61),"")</f>
        <v/>
      </c>
      <c r="W28" s="330"/>
      <c r="X28" s="330" t="str">
        <f>IF(AND('Mapa final'!$J$67="Media",'Mapa final'!$N$67="Moderado"),CONCATENATE("R",'Mapa final'!$A$67),"")</f>
        <v/>
      </c>
      <c r="Y28" s="330"/>
      <c r="Z28" s="330" t="str">
        <f>IF(AND('Mapa final'!$J$73="Media",'Mapa final'!$N$73="Moderado"),CONCATENATE("R",'Mapa final'!$A$73),"")</f>
        <v/>
      </c>
      <c r="AA28" s="331"/>
      <c r="AB28" s="312" t="str">
        <f ca="1">IF(AND('Mapa final'!$J$61="Media",'Mapa final'!$N$61="Mayor"),CONCATENATE("R",'Mapa final'!$A$61),"")</f>
        <v/>
      </c>
      <c r="AC28" s="309"/>
      <c r="AD28" s="307" t="str">
        <f>IF(AND('Mapa final'!$J$67="Media",'Mapa final'!$N$67="Mayor"),CONCATENATE("R",'Mapa final'!$A$67),"")</f>
        <v/>
      </c>
      <c r="AE28" s="307"/>
      <c r="AF28" s="307" t="str">
        <f>IF(AND('Mapa final'!$J$73="Media",'Mapa final'!$N$73="Mayor"),CONCATENATE("R",'Mapa final'!$A$73),"")</f>
        <v/>
      </c>
      <c r="AG28" s="308"/>
      <c r="AH28" s="320" t="str">
        <f ca="1">IF(AND('Mapa final'!$J$61="Media",'Mapa final'!$N$61="Catastrófico"),CONCATENATE("R",'Mapa final'!$A$61),"")</f>
        <v/>
      </c>
      <c r="AI28" s="321"/>
      <c r="AJ28" s="321" t="str">
        <f>IF(AND('Mapa final'!$J$67="Media",'Mapa final'!$N$67="Catastrófico"),CONCATENATE("R",'Mapa final'!$A$67),"")</f>
        <v/>
      </c>
      <c r="AK28" s="321"/>
      <c r="AL28" s="321" t="str">
        <f>IF(AND('Mapa final'!$J$73="Media",'Mapa final'!$N$73="Catastrófico"),CONCATENATE("R",'Mapa final'!$A$73),"")</f>
        <v/>
      </c>
      <c r="AM28" s="322"/>
      <c r="AN28" s="84"/>
      <c r="AO28" s="283"/>
      <c r="AP28" s="284"/>
      <c r="AQ28" s="284"/>
      <c r="AR28" s="284"/>
      <c r="AS28" s="284"/>
      <c r="AT28" s="285"/>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x14ac:dyDescent="0.3">
      <c r="A29" s="84"/>
      <c r="B29" s="260"/>
      <c r="C29" s="260"/>
      <c r="D29" s="261"/>
      <c r="E29" s="304"/>
      <c r="F29" s="305"/>
      <c r="G29" s="305"/>
      <c r="H29" s="305"/>
      <c r="I29" s="306"/>
      <c r="J29" s="329"/>
      <c r="K29" s="330"/>
      <c r="L29" s="330"/>
      <c r="M29" s="330"/>
      <c r="N29" s="330"/>
      <c r="O29" s="331"/>
      <c r="P29" s="332"/>
      <c r="Q29" s="333"/>
      <c r="R29" s="333"/>
      <c r="S29" s="333"/>
      <c r="T29" s="333"/>
      <c r="U29" s="334"/>
      <c r="V29" s="332"/>
      <c r="W29" s="333"/>
      <c r="X29" s="333"/>
      <c r="Y29" s="333"/>
      <c r="Z29" s="333"/>
      <c r="AA29" s="334"/>
      <c r="AB29" s="317"/>
      <c r="AC29" s="318"/>
      <c r="AD29" s="318"/>
      <c r="AE29" s="318"/>
      <c r="AF29" s="318"/>
      <c r="AG29" s="319"/>
      <c r="AH29" s="323"/>
      <c r="AI29" s="324"/>
      <c r="AJ29" s="324"/>
      <c r="AK29" s="324"/>
      <c r="AL29" s="324"/>
      <c r="AM29" s="325"/>
      <c r="AN29" s="84"/>
      <c r="AO29" s="286"/>
      <c r="AP29" s="287"/>
      <c r="AQ29" s="287"/>
      <c r="AR29" s="287"/>
      <c r="AS29" s="287"/>
      <c r="AT29" s="288"/>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x14ac:dyDescent="0.25">
      <c r="A30" s="84"/>
      <c r="B30" s="260"/>
      <c r="C30" s="260"/>
      <c r="D30" s="261"/>
      <c r="E30" s="298" t="s">
        <v>114</v>
      </c>
      <c r="F30" s="299"/>
      <c r="G30" s="299"/>
      <c r="H30" s="299"/>
      <c r="I30" s="299"/>
      <c r="J30" s="344" t="str">
        <f ca="1">IF(AND('Mapa final'!$J$10="Baja",'Mapa final'!$N$10="Leve"),CONCATENATE("R",'Mapa final'!$A$10),"")</f>
        <v/>
      </c>
      <c r="K30" s="345"/>
      <c r="L30" s="345" t="str">
        <f ca="1">IF(AND([1]Hoja1!$G$2="Baja",[1]Hoja1!$K$3="Leve"),CONCATENATE("R",'Mapa final'!$A$13),"")</f>
        <v/>
      </c>
      <c r="M30" s="345"/>
      <c r="N30" s="345" t="str">
        <f ca="1">IF(AND('Mapa final'!$J$19="Baja",'Mapa final'!$N$19="Leve"),CONCATENATE("R",'Mapa final'!$A$19),"")</f>
        <v/>
      </c>
      <c r="O30" s="346"/>
      <c r="P30" s="336" t="str">
        <f ca="1">IF(AND('Mapa final'!$J$10="Baja",'Mapa final'!$N$10="Menor"),CONCATENATE("R",'Mapa final'!$A$10),"")</f>
        <v/>
      </c>
      <c r="Q30" s="336"/>
      <c r="R30" s="336" t="str">
        <f ca="1">IF(AND([1]Hoja1!$G$2="Baja",[1]Hoja1!$K$3="Menor"),CONCATENATE("R",'Mapa final'!$A$13),"")</f>
        <v/>
      </c>
      <c r="S30" s="336"/>
      <c r="T30" s="336" t="str">
        <f ca="1">IF(AND('Mapa final'!$J$19="Baja",'Mapa final'!$N$19="Menor"),CONCATENATE("R",'Mapa final'!$A$19),"")</f>
        <v/>
      </c>
      <c r="U30" s="337"/>
      <c r="V30" s="335" t="str">
        <f ca="1">IF(AND('Mapa final'!$J$10="Baja",'Mapa final'!$N$10="Moderado"),CONCATENATE("R",'Mapa final'!$A$10),"")</f>
        <v/>
      </c>
      <c r="W30" s="336"/>
      <c r="X30" s="336" t="str">
        <f ca="1">IF(AND([1]Hoja1!$G$2="Baja",[1]Hoja1!$K$3="Moderado"),CONCATENATE("R",'Mapa final'!$A$13),"")</f>
        <v/>
      </c>
      <c r="Y30" s="336"/>
      <c r="Z30" s="336" t="str">
        <f ca="1">IF(AND('Mapa final'!$J$19="Baja",'Mapa final'!$N$19="Moderado"),CONCATENATE("R",'Mapa final'!$A$19),"")</f>
        <v/>
      </c>
      <c r="AA30" s="337"/>
      <c r="AB30" s="310" t="str">
        <f ca="1">IF(AND('Mapa final'!$J$10="Baja",'Mapa final'!$N$10="Mayor"),CONCATENATE("R",'Mapa final'!$A$10),"")</f>
        <v>R1</v>
      </c>
      <c r="AC30" s="311"/>
      <c r="AD30" s="311" t="str">
        <f ca="1">IF(AND([1]Hoja1!$G$2="Baja",[1]Hoja1!$K$3="Mayor"),CONCATENATE("R",'Mapa final'!$A$13),"")</f>
        <v/>
      </c>
      <c r="AE30" s="311"/>
      <c r="AF30" s="311" t="str">
        <f ca="1">IF(AND('Mapa final'!$J$19="Baja",'Mapa final'!$N$19="Mayor"),CONCATENATE("R",'Mapa final'!$A$19),"")</f>
        <v/>
      </c>
      <c r="AG30" s="313"/>
      <c r="AH30" s="326" t="str">
        <f ca="1">IF(AND('Mapa final'!$J$10="Baja",'Mapa final'!$N$10="Catastrófico"),CONCATENATE("R",'Mapa final'!$A$10),"")</f>
        <v/>
      </c>
      <c r="AI30" s="327"/>
      <c r="AJ30" s="327" t="str">
        <f ca="1">IF(AND([1]Hoja1!$G$2="Baja",[1]Hoja1!$K$3="Catastrófico"),CONCATENATE("R",'Mapa final'!$A$13),"")</f>
        <v/>
      </c>
      <c r="AK30" s="327"/>
      <c r="AL30" s="327" t="str">
        <f ca="1">IF(AND('Mapa final'!$J$19="Baja",'Mapa final'!$N$19="Catastrófico"),CONCATENATE("R",'Mapa final'!$A$19),"")</f>
        <v/>
      </c>
      <c r="AM30" s="328"/>
      <c r="AN30" s="84"/>
      <c r="AO30" s="289" t="s">
        <v>82</v>
      </c>
      <c r="AP30" s="290"/>
      <c r="AQ30" s="290"/>
      <c r="AR30" s="290"/>
      <c r="AS30" s="290"/>
      <c r="AT30" s="29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x14ac:dyDescent="0.25">
      <c r="A31" s="84"/>
      <c r="B31" s="260"/>
      <c r="C31" s="260"/>
      <c r="D31" s="261"/>
      <c r="E31" s="301"/>
      <c r="F31" s="302"/>
      <c r="G31" s="302"/>
      <c r="H31" s="302"/>
      <c r="I31" s="315"/>
      <c r="J31" s="340"/>
      <c r="K31" s="338"/>
      <c r="L31" s="338"/>
      <c r="M31" s="338"/>
      <c r="N31" s="338"/>
      <c r="O31" s="339"/>
      <c r="P31" s="330"/>
      <c r="Q31" s="330"/>
      <c r="R31" s="330"/>
      <c r="S31" s="330"/>
      <c r="T31" s="330"/>
      <c r="U31" s="331"/>
      <c r="V31" s="329"/>
      <c r="W31" s="330"/>
      <c r="X31" s="330"/>
      <c r="Y31" s="330"/>
      <c r="Z31" s="330"/>
      <c r="AA31" s="331"/>
      <c r="AB31" s="312"/>
      <c r="AC31" s="309"/>
      <c r="AD31" s="309"/>
      <c r="AE31" s="309"/>
      <c r="AF31" s="309"/>
      <c r="AG31" s="308"/>
      <c r="AH31" s="320"/>
      <c r="AI31" s="321"/>
      <c r="AJ31" s="321"/>
      <c r="AK31" s="321"/>
      <c r="AL31" s="321"/>
      <c r="AM31" s="322"/>
      <c r="AN31" s="84"/>
      <c r="AO31" s="292"/>
      <c r="AP31" s="293"/>
      <c r="AQ31" s="293"/>
      <c r="AR31" s="293"/>
      <c r="AS31" s="293"/>
      <c r="AT31" s="29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x14ac:dyDescent="0.25">
      <c r="A32" s="84"/>
      <c r="B32" s="260"/>
      <c r="C32" s="260"/>
      <c r="D32" s="261"/>
      <c r="E32" s="301"/>
      <c r="F32" s="302"/>
      <c r="G32" s="302"/>
      <c r="H32" s="302"/>
      <c r="I32" s="315"/>
      <c r="J32" s="340" t="str">
        <f ca="1">IF(AND('Mapa final'!$J$25="Baja",'Mapa final'!$N$25="Leve"),CONCATENATE("R",'Mapa final'!$A$25),"")</f>
        <v/>
      </c>
      <c r="K32" s="338"/>
      <c r="L32" s="338" t="str">
        <f ca="1">IF(AND('Mapa final'!$J$31="Baja",'Mapa final'!$N$31="Leve"),CONCATENATE("R",'Mapa final'!$A$31),"")</f>
        <v/>
      </c>
      <c r="M32" s="338"/>
      <c r="N32" s="338" t="str">
        <f ca="1">IF(AND('Mapa final'!$J$37="Baja",'Mapa final'!$N$37="Leve"),CONCATENATE("R",'Mapa final'!$A$37),"")</f>
        <v/>
      </c>
      <c r="O32" s="339"/>
      <c r="P32" s="330" t="str">
        <f ca="1">IF(AND('Mapa final'!$J$25="Baja",'Mapa final'!$N$25="Menor"),CONCATENATE("R",'Mapa final'!$A$25),"")</f>
        <v/>
      </c>
      <c r="Q32" s="330"/>
      <c r="R32" s="330" t="str">
        <f ca="1">IF(AND('Mapa final'!$J$31="Baja",'Mapa final'!$N$31="Menor"),CONCATENATE("R",'Mapa final'!$A$31),"")</f>
        <v/>
      </c>
      <c r="S32" s="330"/>
      <c r="T32" s="330" t="str">
        <f ca="1">IF(AND('Mapa final'!$J$37="Baja",'Mapa final'!$N$37="Menor"),CONCATENATE("R",'Mapa final'!$A$37),"")</f>
        <v/>
      </c>
      <c r="U32" s="331"/>
      <c r="V32" s="329" t="str">
        <f ca="1">IF(AND('Mapa final'!$J$25="Baja",'Mapa final'!$N$25="Moderado"),CONCATENATE("R",'Mapa final'!$A$25),"")</f>
        <v/>
      </c>
      <c r="W32" s="330"/>
      <c r="X32" s="330" t="str">
        <f ca="1">IF(AND('Mapa final'!$J$31="Baja",'Mapa final'!$N$31="Moderado"),CONCATENATE("R",'Mapa final'!$A$31),"")</f>
        <v/>
      </c>
      <c r="Y32" s="330"/>
      <c r="Z32" s="330" t="str">
        <f ca="1">IF(AND('Mapa final'!$J$37="Baja",'Mapa final'!$N$37="Moderado"),CONCATENATE("R",'Mapa final'!$A$37),"")</f>
        <v/>
      </c>
      <c r="AA32" s="331"/>
      <c r="AB32" s="312" t="str">
        <f ca="1">IF(AND('Mapa final'!$J$25="Baja",'Mapa final'!$N$25="Mayor"),CONCATENATE("R",'Mapa final'!$A$25),"")</f>
        <v/>
      </c>
      <c r="AC32" s="309"/>
      <c r="AD32" s="307" t="str">
        <f ca="1">IF(AND('Mapa final'!$J$31="Baja",'Mapa final'!$N$31="Mayor"),CONCATENATE("R",'Mapa final'!$A$31),"")</f>
        <v/>
      </c>
      <c r="AE32" s="307"/>
      <c r="AF32" s="307" t="str">
        <f ca="1">IF(AND('Mapa final'!$J$37="Baja",'Mapa final'!$N$37="Mayor"),CONCATENATE("R",'Mapa final'!$A$37),"")</f>
        <v/>
      </c>
      <c r="AG32" s="308"/>
      <c r="AH32" s="320" t="str">
        <f ca="1">IF(AND('Mapa final'!$J$25="Baja",'Mapa final'!$N$25="Catastrófico"),CONCATENATE("R",'Mapa final'!$A$25),"")</f>
        <v/>
      </c>
      <c r="AI32" s="321"/>
      <c r="AJ32" s="321" t="str">
        <f ca="1">IF(AND('Mapa final'!$J$31="Baja",'Mapa final'!$N$31="Catastrófico"),CONCATENATE("R",'Mapa final'!$A$31),"")</f>
        <v/>
      </c>
      <c r="AK32" s="321"/>
      <c r="AL32" s="321" t="str">
        <f ca="1">IF(AND('Mapa final'!$J$37="Baja",'Mapa final'!$N$37="Catastrófico"),CONCATENATE("R",'Mapa final'!$A$37),"")</f>
        <v/>
      </c>
      <c r="AM32" s="322"/>
      <c r="AN32" s="84"/>
      <c r="AO32" s="292"/>
      <c r="AP32" s="293"/>
      <c r="AQ32" s="293"/>
      <c r="AR32" s="293"/>
      <c r="AS32" s="293"/>
      <c r="AT32" s="29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x14ac:dyDescent="0.25">
      <c r="A33" s="84"/>
      <c r="B33" s="260"/>
      <c r="C33" s="260"/>
      <c r="D33" s="261"/>
      <c r="E33" s="301"/>
      <c r="F33" s="302"/>
      <c r="G33" s="302"/>
      <c r="H33" s="302"/>
      <c r="I33" s="315"/>
      <c r="J33" s="340"/>
      <c r="K33" s="338"/>
      <c r="L33" s="338"/>
      <c r="M33" s="338"/>
      <c r="N33" s="338"/>
      <c r="O33" s="339"/>
      <c r="P33" s="330"/>
      <c r="Q33" s="330"/>
      <c r="R33" s="330"/>
      <c r="S33" s="330"/>
      <c r="T33" s="330"/>
      <c r="U33" s="331"/>
      <c r="V33" s="329"/>
      <c r="W33" s="330"/>
      <c r="X33" s="330"/>
      <c r="Y33" s="330"/>
      <c r="Z33" s="330"/>
      <c r="AA33" s="331"/>
      <c r="AB33" s="312"/>
      <c r="AC33" s="309"/>
      <c r="AD33" s="307"/>
      <c r="AE33" s="307"/>
      <c r="AF33" s="307"/>
      <c r="AG33" s="308"/>
      <c r="AH33" s="320"/>
      <c r="AI33" s="321"/>
      <c r="AJ33" s="321"/>
      <c r="AK33" s="321"/>
      <c r="AL33" s="321"/>
      <c r="AM33" s="322"/>
      <c r="AN33" s="84"/>
      <c r="AO33" s="292"/>
      <c r="AP33" s="293"/>
      <c r="AQ33" s="293"/>
      <c r="AR33" s="293"/>
      <c r="AS33" s="293"/>
      <c r="AT33" s="29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x14ac:dyDescent="0.25">
      <c r="A34" s="84"/>
      <c r="B34" s="260"/>
      <c r="C34" s="260"/>
      <c r="D34" s="261"/>
      <c r="E34" s="301"/>
      <c r="F34" s="302"/>
      <c r="G34" s="302"/>
      <c r="H34" s="302"/>
      <c r="I34" s="315"/>
      <c r="J34" s="340" t="str">
        <f ca="1">IF(AND('Mapa final'!$J$43="Baja",'Mapa final'!$N$43="Leve"),CONCATENATE("R",'Mapa final'!$A$43),"")</f>
        <v/>
      </c>
      <c r="K34" s="338"/>
      <c r="L34" s="338" t="str">
        <f ca="1">IF(AND('Mapa final'!$J$49="Baja",'Mapa final'!$N$49="Leve"),CONCATENATE("R",'Mapa final'!$A$49),"")</f>
        <v/>
      </c>
      <c r="M34" s="338"/>
      <c r="N34" s="338" t="str">
        <f ca="1">IF(AND('Mapa final'!$J$55="Baja",'Mapa final'!$N$55="Leve"),CONCATENATE("R",'Mapa final'!$A$55),"")</f>
        <v/>
      </c>
      <c r="O34" s="339"/>
      <c r="P34" s="330" t="str">
        <f ca="1">IF(AND('Mapa final'!$J$43="Baja",'Mapa final'!$N$43="Menor"),CONCATENATE("R",'Mapa final'!$A$43),"")</f>
        <v/>
      </c>
      <c r="Q34" s="330"/>
      <c r="R34" s="330" t="str">
        <f ca="1">IF(AND('Mapa final'!$J$49="Baja",'Mapa final'!$N$49="Menor"),CONCATENATE("R",'Mapa final'!$A$49),"")</f>
        <v/>
      </c>
      <c r="S34" s="330"/>
      <c r="T34" s="330" t="str">
        <f ca="1">IF(AND('Mapa final'!$J$55="Baja",'Mapa final'!$N$55="Menor"),CONCATENATE("R",'Mapa final'!$A$55),"")</f>
        <v/>
      </c>
      <c r="U34" s="331"/>
      <c r="V34" s="329" t="str">
        <f ca="1">IF(AND('Mapa final'!$J$43="Baja",'Mapa final'!$N$43="Moderado"),CONCATENATE("R",'Mapa final'!$A$43),"")</f>
        <v/>
      </c>
      <c r="W34" s="330"/>
      <c r="X34" s="330" t="str">
        <f ca="1">IF(AND('Mapa final'!$J$49="Baja",'Mapa final'!$N$49="Moderado"),CONCATENATE("R",'Mapa final'!$A$49),"")</f>
        <v/>
      </c>
      <c r="Y34" s="330"/>
      <c r="Z34" s="330" t="str">
        <f ca="1">IF(AND('Mapa final'!$J$55="Baja",'Mapa final'!$N$55="Moderado"),CONCATENATE("R",'Mapa final'!$A$55),"")</f>
        <v/>
      </c>
      <c r="AA34" s="331"/>
      <c r="AB34" s="312" t="str">
        <f ca="1">IF(AND('Mapa final'!$J$43="Baja",'Mapa final'!$N$43="Mayor"),CONCATENATE("R",'Mapa final'!$A$43),"")</f>
        <v/>
      </c>
      <c r="AC34" s="309"/>
      <c r="AD34" s="307" t="str">
        <f ca="1">IF(AND('Mapa final'!$J$49="Baja",'Mapa final'!$N$49="Mayor"),CONCATENATE("R",'Mapa final'!$A$49),"")</f>
        <v/>
      </c>
      <c r="AE34" s="307"/>
      <c r="AF34" s="307" t="str">
        <f ca="1">IF(AND('Mapa final'!$J$55="Baja",'Mapa final'!$N$55="Mayor"),CONCATENATE("R",'Mapa final'!$A$55),"")</f>
        <v/>
      </c>
      <c r="AG34" s="308"/>
      <c r="AH34" s="320" t="str">
        <f ca="1">IF(AND('Mapa final'!$J$43="Baja",'Mapa final'!$N$43="Catastrófico"),CONCATENATE("R",'Mapa final'!$A$43),"")</f>
        <v/>
      </c>
      <c r="AI34" s="321"/>
      <c r="AJ34" s="321" t="str">
        <f ca="1">IF(AND('Mapa final'!$J$49="Baja",'Mapa final'!$N$49="Catastrófico"),CONCATENATE("R",'Mapa final'!$A$49),"")</f>
        <v/>
      </c>
      <c r="AK34" s="321"/>
      <c r="AL34" s="321" t="str">
        <f ca="1">IF(AND('Mapa final'!$J$55="Baja",'Mapa final'!$N$55="Catastrófico"),CONCATENATE("R",'Mapa final'!$A$55),"")</f>
        <v/>
      </c>
      <c r="AM34" s="322"/>
      <c r="AN34" s="84"/>
      <c r="AO34" s="292"/>
      <c r="AP34" s="293"/>
      <c r="AQ34" s="293"/>
      <c r="AR34" s="293"/>
      <c r="AS34" s="293"/>
      <c r="AT34" s="29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x14ac:dyDescent="0.25">
      <c r="A35" s="84"/>
      <c r="B35" s="260"/>
      <c r="C35" s="260"/>
      <c r="D35" s="261"/>
      <c r="E35" s="301"/>
      <c r="F35" s="302"/>
      <c r="G35" s="302"/>
      <c r="H35" s="302"/>
      <c r="I35" s="315"/>
      <c r="J35" s="340"/>
      <c r="K35" s="338"/>
      <c r="L35" s="338"/>
      <c r="M35" s="338"/>
      <c r="N35" s="338"/>
      <c r="O35" s="339"/>
      <c r="P35" s="330"/>
      <c r="Q35" s="330"/>
      <c r="R35" s="330"/>
      <c r="S35" s="330"/>
      <c r="T35" s="330"/>
      <c r="U35" s="331"/>
      <c r="V35" s="329"/>
      <c r="W35" s="330"/>
      <c r="X35" s="330"/>
      <c r="Y35" s="330"/>
      <c r="Z35" s="330"/>
      <c r="AA35" s="331"/>
      <c r="AB35" s="312"/>
      <c r="AC35" s="309"/>
      <c r="AD35" s="307"/>
      <c r="AE35" s="307"/>
      <c r="AF35" s="307"/>
      <c r="AG35" s="308"/>
      <c r="AH35" s="320"/>
      <c r="AI35" s="321"/>
      <c r="AJ35" s="321"/>
      <c r="AK35" s="321"/>
      <c r="AL35" s="321"/>
      <c r="AM35" s="322"/>
      <c r="AN35" s="84"/>
      <c r="AO35" s="292"/>
      <c r="AP35" s="293"/>
      <c r="AQ35" s="293"/>
      <c r="AR35" s="293"/>
      <c r="AS35" s="293"/>
      <c r="AT35" s="29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x14ac:dyDescent="0.25">
      <c r="A36" s="84"/>
      <c r="B36" s="260"/>
      <c r="C36" s="260"/>
      <c r="D36" s="261"/>
      <c r="E36" s="301"/>
      <c r="F36" s="302"/>
      <c r="G36" s="302"/>
      <c r="H36" s="302"/>
      <c r="I36" s="315"/>
      <c r="J36" s="340" t="str">
        <f ca="1">IF(AND('Mapa final'!$J$61="Baja",'Mapa final'!$N$61="Leve"),CONCATENATE("R",'Mapa final'!$A$61),"")</f>
        <v/>
      </c>
      <c r="K36" s="338"/>
      <c r="L36" s="338" t="str">
        <f>IF(AND('Mapa final'!$J$67="Baja",'Mapa final'!$N$67="Leve"),CONCATENATE("R",'Mapa final'!$A$67),"")</f>
        <v/>
      </c>
      <c r="M36" s="338"/>
      <c r="N36" s="338" t="str">
        <f>IF(AND('Mapa final'!$J$73="Baja",'Mapa final'!$N$73="Leve"),CONCATENATE("R",'Mapa final'!$A$73),"")</f>
        <v/>
      </c>
      <c r="O36" s="339"/>
      <c r="P36" s="330" t="str">
        <f ca="1">IF(AND('Mapa final'!$J$61="Baja",'Mapa final'!$N$61="Menor"),CONCATENATE("R",'Mapa final'!$A$61),"")</f>
        <v/>
      </c>
      <c r="Q36" s="330"/>
      <c r="R36" s="330" t="str">
        <f>IF(AND('Mapa final'!$J$67="Baja",'Mapa final'!$N$67="Menor"),CONCATENATE("R",'Mapa final'!$A$67),"")</f>
        <v/>
      </c>
      <c r="S36" s="330"/>
      <c r="T36" s="330" t="str">
        <f>IF(AND('Mapa final'!$J$73="Baja",'Mapa final'!$N$73="Menor"),CONCATENATE("R",'Mapa final'!$A$73),"")</f>
        <v/>
      </c>
      <c r="U36" s="331"/>
      <c r="V36" s="329" t="str">
        <f ca="1">IF(AND('Mapa final'!$J$61="Baja",'Mapa final'!$N$61="Moderado"),CONCATENATE("R",'Mapa final'!$A$61),"")</f>
        <v/>
      </c>
      <c r="W36" s="330"/>
      <c r="X36" s="330" t="str">
        <f>IF(AND('Mapa final'!$J$67="Baja",'Mapa final'!$N$67="Moderado"),CONCATENATE("R",'Mapa final'!$A$67),"")</f>
        <v/>
      </c>
      <c r="Y36" s="330"/>
      <c r="Z36" s="330" t="str">
        <f>IF(AND('Mapa final'!$J$73="Baja",'Mapa final'!$N$73="Moderado"),CONCATENATE("R",'Mapa final'!$A$73),"")</f>
        <v/>
      </c>
      <c r="AA36" s="331"/>
      <c r="AB36" s="312" t="str">
        <f ca="1">IF(AND('Mapa final'!$J$61="Baja",'Mapa final'!$N$61="Mayor"),CONCATENATE("R",'Mapa final'!$A$61),"")</f>
        <v/>
      </c>
      <c r="AC36" s="309"/>
      <c r="AD36" s="307" t="str">
        <f>IF(AND('Mapa final'!$J$67="Baja",'Mapa final'!$N$67="Mayor"),CONCATENATE("R",'Mapa final'!$A$67),"")</f>
        <v/>
      </c>
      <c r="AE36" s="307"/>
      <c r="AF36" s="307" t="str">
        <f>IF(AND('Mapa final'!$J$73="Baja",'Mapa final'!$N$73="Mayor"),CONCATENATE("R",'Mapa final'!$A$73),"")</f>
        <v/>
      </c>
      <c r="AG36" s="308"/>
      <c r="AH36" s="320" t="str">
        <f ca="1">IF(AND('Mapa final'!$J$61="Baja",'Mapa final'!$N$61="Catastrófico"),CONCATENATE("R",'Mapa final'!$A$61),"")</f>
        <v/>
      </c>
      <c r="AI36" s="321"/>
      <c r="AJ36" s="321" t="str">
        <f>IF(AND('Mapa final'!$J$67="Baja",'Mapa final'!$N$67="Catastrófico"),CONCATENATE("R",'Mapa final'!$A$67),"")</f>
        <v/>
      </c>
      <c r="AK36" s="321"/>
      <c r="AL36" s="321" t="str">
        <f>IF(AND('Mapa final'!$J$73="Baja",'Mapa final'!$N$73="Catastrófico"),CONCATENATE("R",'Mapa final'!$A$73),"")</f>
        <v/>
      </c>
      <c r="AM36" s="322"/>
      <c r="AN36" s="84"/>
      <c r="AO36" s="292"/>
      <c r="AP36" s="293"/>
      <c r="AQ36" s="293"/>
      <c r="AR36" s="293"/>
      <c r="AS36" s="293"/>
      <c r="AT36" s="29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x14ac:dyDescent="0.3">
      <c r="A37" s="84"/>
      <c r="B37" s="260"/>
      <c r="C37" s="260"/>
      <c r="D37" s="261"/>
      <c r="E37" s="304"/>
      <c r="F37" s="305"/>
      <c r="G37" s="305"/>
      <c r="H37" s="305"/>
      <c r="I37" s="305"/>
      <c r="J37" s="341"/>
      <c r="K37" s="342"/>
      <c r="L37" s="342"/>
      <c r="M37" s="342"/>
      <c r="N37" s="342"/>
      <c r="O37" s="343"/>
      <c r="P37" s="333"/>
      <c r="Q37" s="333"/>
      <c r="R37" s="333"/>
      <c r="S37" s="333"/>
      <c r="T37" s="333"/>
      <c r="U37" s="334"/>
      <c r="V37" s="332"/>
      <c r="W37" s="333"/>
      <c r="X37" s="333"/>
      <c r="Y37" s="333"/>
      <c r="Z37" s="333"/>
      <c r="AA37" s="334"/>
      <c r="AB37" s="317"/>
      <c r="AC37" s="318"/>
      <c r="AD37" s="318"/>
      <c r="AE37" s="318"/>
      <c r="AF37" s="318"/>
      <c r="AG37" s="319"/>
      <c r="AH37" s="323"/>
      <c r="AI37" s="324"/>
      <c r="AJ37" s="324"/>
      <c r="AK37" s="324"/>
      <c r="AL37" s="324"/>
      <c r="AM37" s="325"/>
      <c r="AN37" s="84"/>
      <c r="AO37" s="295"/>
      <c r="AP37" s="296"/>
      <c r="AQ37" s="296"/>
      <c r="AR37" s="296"/>
      <c r="AS37" s="296"/>
      <c r="AT37" s="29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x14ac:dyDescent="0.25">
      <c r="A38" s="84"/>
      <c r="B38" s="260"/>
      <c r="C38" s="260"/>
      <c r="D38" s="261"/>
      <c r="E38" s="298" t="s">
        <v>113</v>
      </c>
      <c r="F38" s="299"/>
      <c r="G38" s="299"/>
      <c r="H38" s="299"/>
      <c r="I38" s="300"/>
      <c r="J38" s="344" t="str">
        <f ca="1">IF(AND('Mapa final'!$J$10="Muy Baja",'Mapa final'!$N$10="Leve"),CONCATENATE("R",'Mapa final'!$A$10),"")</f>
        <v/>
      </c>
      <c r="K38" s="345"/>
      <c r="L38" s="345" t="str">
        <f ca="1">IF(AND([1]Hoja1!$G$2="Muy Baja",[1]Hoja1!$K$3="Leve"),CONCATENATE("R",'Mapa final'!$A$13),"")</f>
        <v/>
      </c>
      <c r="M38" s="345"/>
      <c r="N38" s="345" t="str">
        <f ca="1">IF(AND('Mapa final'!$J$19="Muy Baja",'Mapa final'!$N$19="Leve"),CONCATENATE("R",'Mapa final'!$A$19),"")</f>
        <v/>
      </c>
      <c r="O38" s="346"/>
      <c r="P38" s="344" t="str">
        <f ca="1">IF(AND('Mapa final'!$J$10="Muy Baja",'Mapa final'!$N$10="Menor"),CONCATENATE("R",'Mapa final'!$A$10),"")</f>
        <v/>
      </c>
      <c r="Q38" s="345"/>
      <c r="R38" s="345" t="str">
        <f ca="1">IF(AND([1]Hoja1!$G$2="Muy Baja",[1]Hoja1!$K$3="Menor"),CONCATENATE("R",'Mapa final'!$A$13),"")</f>
        <v/>
      </c>
      <c r="S38" s="345"/>
      <c r="T38" s="345" t="str">
        <f ca="1">IF(AND('Mapa final'!$J$19="Muy Baja",'Mapa final'!$N$19="Menor"),CONCATENATE("R",'Mapa final'!$A$19),"")</f>
        <v/>
      </c>
      <c r="U38" s="346"/>
      <c r="V38" s="335" t="str">
        <f ca="1">IF(AND('Mapa final'!$J$10="Muy Baja",'Mapa final'!$N$10="Moderado"),CONCATENATE("R",'Mapa final'!$A$10),"")</f>
        <v/>
      </c>
      <c r="W38" s="336"/>
      <c r="X38" s="336" t="str">
        <f ca="1">IF(AND([1]Hoja1!$G$2="Muy Baja",[1]Hoja1!$K$3="Moderado"),CONCATENATE("R",'Mapa final'!$A$13),"")</f>
        <v/>
      </c>
      <c r="Y38" s="336"/>
      <c r="Z38" s="336" t="str">
        <f ca="1">IF(AND('Mapa final'!$J$19="Muy Baja",'Mapa final'!$N$19="Moderado"),CONCATENATE("R",'Mapa final'!$A$19),"")</f>
        <v/>
      </c>
      <c r="AA38" s="337"/>
      <c r="AB38" s="310" t="str">
        <f ca="1">IF(AND('Mapa final'!$J$10="Muy Baja",'Mapa final'!$N$10="Mayor"),CONCATENATE("R",'Mapa final'!$A$10),"")</f>
        <v/>
      </c>
      <c r="AC38" s="311"/>
      <c r="AD38" s="311" t="str">
        <f ca="1">IF(AND([1]Hoja1!$G$2="Muy Baja",[1]Hoja1!$K$3="Mayor"),CONCATENATE("R",'Mapa final'!$A$13),"")</f>
        <v/>
      </c>
      <c r="AE38" s="311"/>
      <c r="AF38" s="311" t="str">
        <f ca="1">IF(AND('Mapa final'!$J$19="Muy Baja",'Mapa final'!$N$19="Mayor"),CONCATENATE("R",'Mapa final'!$A$19),"")</f>
        <v/>
      </c>
      <c r="AG38" s="313"/>
      <c r="AH38" s="326" t="str">
        <f ca="1">IF(AND('Mapa final'!$J$10="Muy Baja",'Mapa final'!$N$10="Catastrófico"),CONCATENATE("R",'Mapa final'!$A$10),"")</f>
        <v/>
      </c>
      <c r="AI38" s="327"/>
      <c r="AJ38" s="327" t="str">
        <f ca="1">IF(AND([1]Hoja1!$G$2="Muy Baja",[1]Hoja1!$K$3="Catastrófico"),CONCATENATE("R",'Mapa final'!$A$13),"")</f>
        <v/>
      </c>
      <c r="AK38" s="327"/>
      <c r="AL38" s="327" t="str">
        <f ca="1">IF(AND('Mapa final'!$J$19="Muy Baja",'Mapa final'!$N$19="Catastrófico"),CONCATENATE("R",'Mapa final'!$A$19),"")</f>
        <v/>
      </c>
      <c r="AM38" s="328"/>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x14ac:dyDescent="0.25">
      <c r="A39" s="84"/>
      <c r="B39" s="260"/>
      <c r="C39" s="260"/>
      <c r="D39" s="261"/>
      <c r="E39" s="301"/>
      <c r="F39" s="302"/>
      <c r="G39" s="302"/>
      <c r="H39" s="302"/>
      <c r="I39" s="303"/>
      <c r="J39" s="340"/>
      <c r="K39" s="338"/>
      <c r="L39" s="338"/>
      <c r="M39" s="338"/>
      <c r="N39" s="338"/>
      <c r="O39" s="339"/>
      <c r="P39" s="340"/>
      <c r="Q39" s="338"/>
      <c r="R39" s="338"/>
      <c r="S39" s="338"/>
      <c r="T39" s="338"/>
      <c r="U39" s="339"/>
      <c r="V39" s="329"/>
      <c r="W39" s="330"/>
      <c r="X39" s="330"/>
      <c r="Y39" s="330"/>
      <c r="Z39" s="330"/>
      <c r="AA39" s="331"/>
      <c r="AB39" s="312"/>
      <c r="AC39" s="309"/>
      <c r="AD39" s="309"/>
      <c r="AE39" s="309"/>
      <c r="AF39" s="309"/>
      <c r="AG39" s="308"/>
      <c r="AH39" s="320"/>
      <c r="AI39" s="321"/>
      <c r="AJ39" s="321"/>
      <c r="AK39" s="321"/>
      <c r="AL39" s="321"/>
      <c r="AM39" s="322"/>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x14ac:dyDescent="0.25">
      <c r="A40" s="84"/>
      <c r="B40" s="260"/>
      <c r="C40" s="260"/>
      <c r="D40" s="261"/>
      <c r="E40" s="301"/>
      <c r="F40" s="302"/>
      <c r="G40" s="302"/>
      <c r="H40" s="302"/>
      <c r="I40" s="303"/>
      <c r="J40" s="340" t="str">
        <f ca="1">IF(AND('Mapa final'!$J$25="Muy Baja",'Mapa final'!$N$25="Leve"),CONCATENATE("R",'Mapa final'!$A$25),"")</f>
        <v/>
      </c>
      <c r="K40" s="338"/>
      <c r="L40" s="338" t="str">
        <f ca="1">IF(AND('Mapa final'!$J$31="Muy Baja",'Mapa final'!$N$31="Leve"),CONCATENATE("R",'Mapa final'!$A$31),"")</f>
        <v/>
      </c>
      <c r="M40" s="338"/>
      <c r="N40" s="338" t="str">
        <f ca="1">IF(AND('Mapa final'!$J$37="Muy Baja",'Mapa final'!$N$37="Leve"),CONCATENATE("R",'Mapa final'!$A$37),"")</f>
        <v/>
      </c>
      <c r="O40" s="339"/>
      <c r="P40" s="340" t="str">
        <f ca="1">IF(AND('Mapa final'!$J$25="Muy Baja",'Mapa final'!$N$25="Menor"),CONCATENATE("R",'Mapa final'!$A$25),"")</f>
        <v/>
      </c>
      <c r="Q40" s="338"/>
      <c r="R40" s="338" t="str">
        <f ca="1">IF(AND('Mapa final'!$J$31="Muy Baja",'Mapa final'!$N$31="Menor"),CONCATENATE("R",'Mapa final'!$A$31),"")</f>
        <v/>
      </c>
      <c r="S40" s="338"/>
      <c r="T40" s="338" t="str">
        <f ca="1">IF(AND('Mapa final'!$J$37="Muy Baja",'Mapa final'!$N$37="Menor"),CONCATENATE("R",'Mapa final'!$A$37),"")</f>
        <v/>
      </c>
      <c r="U40" s="339"/>
      <c r="V40" s="329" t="str">
        <f ca="1">IF(AND('Mapa final'!$J$25="Muy Baja",'Mapa final'!$N$25="Moderado"),CONCATENATE("R",'Mapa final'!$A$25),"")</f>
        <v/>
      </c>
      <c r="W40" s="330"/>
      <c r="X40" s="330" t="str">
        <f ca="1">IF(AND('Mapa final'!$J$31="Muy Baja",'Mapa final'!$N$31="Moderado"),CONCATENATE("R",'Mapa final'!$A$31),"")</f>
        <v/>
      </c>
      <c r="Y40" s="330"/>
      <c r="Z40" s="330" t="str">
        <f ca="1">IF(AND('Mapa final'!$J$37="Muy Baja",'Mapa final'!$N$37="Moderado"),CONCATENATE("R",'Mapa final'!$A$37),"")</f>
        <v/>
      </c>
      <c r="AA40" s="331"/>
      <c r="AB40" s="312" t="str">
        <f ca="1">IF(AND('Mapa final'!$J$25="Muy Baja",'Mapa final'!$N$25="Mayor"),CONCATENATE("R",'Mapa final'!$A$25),"")</f>
        <v/>
      </c>
      <c r="AC40" s="309"/>
      <c r="AD40" s="307" t="str">
        <f ca="1">IF(AND('Mapa final'!$J$31="Muy Baja",'Mapa final'!$N$31="Mayor"),CONCATENATE("R",'Mapa final'!$A$31),"")</f>
        <v/>
      </c>
      <c r="AE40" s="307"/>
      <c r="AF40" s="307" t="str">
        <f ca="1">IF(AND('Mapa final'!$J$37="Muy Baja",'Mapa final'!$N$37="Mayor"),CONCATENATE("R",'Mapa final'!$A$37),"")</f>
        <v/>
      </c>
      <c r="AG40" s="308"/>
      <c r="AH40" s="320" t="str">
        <f ca="1">IF(AND('Mapa final'!$J$25="Muy Baja",'Mapa final'!$N$25="Catastrófico"),CONCATENATE("R",'Mapa final'!$A$25),"")</f>
        <v/>
      </c>
      <c r="AI40" s="321"/>
      <c r="AJ40" s="321" t="str">
        <f ca="1">IF(AND('Mapa final'!$J$31="Muy Baja",'Mapa final'!$N$31="Catastrófico"),CONCATENATE("R",'Mapa final'!$A$31),"")</f>
        <v/>
      </c>
      <c r="AK40" s="321"/>
      <c r="AL40" s="321" t="str">
        <f ca="1">IF(AND('Mapa final'!$J$37="Muy Baja",'Mapa final'!$N$37="Catastrófico"),CONCATENATE("R",'Mapa final'!$A$37),"")</f>
        <v/>
      </c>
      <c r="AM40" s="322"/>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x14ac:dyDescent="0.25">
      <c r="A41" s="84"/>
      <c r="B41" s="260"/>
      <c r="C41" s="260"/>
      <c r="D41" s="261"/>
      <c r="E41" s="301"/>
      <c r="F41" s="302"/>
      <c r="G41" s="302"/>
      <c r="H41" s="302"/>
      <c r="I41" s="303"/>
      <c r="J41" s="340"/>
      <c r="K41" s="338"/>
      <c r="L41" s="338"/>
      <c r="M41" s="338"/>
      <c r="N41" s="338"/>
      <c r="O41" s="339"/>
      <c r="P41" s="340"/>
      <c r="Q41" s="338"/>
      <c r="R41" s="338"/>
      <c r="S41" s="338"/>
      <c r="T41" s="338"/>
      <c r="U41" s="339"/>
      <c r="V41" s="329"/>
      <c r="W41" s="330"/>
      <c r="X41" s="330"/>
      <c r="Y41" s="330"/>
      <c r="Z41" s="330"/>
      <c r="AA41" s="331"/>
      <c r="AB41" s="312"/>
      <c r="AC41" s="309"/>
      <c r="AD41" s="307"/>
      <c r="AE41" s="307"/>
      <c r="AF41" s="307"/>
      <c r="AG41" s="308"/>
      <c r="AH41" s="320"/>
      <c r="AI41" s="321"/>
      <c r="AJ41" s="321"/>
      <c r="AK41" s="321"/>
      <c r="AL41" s="321"/>
      <c r="AM41" s="322"/>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x14ac:dyDescent="0.25">
      <c r="A42" s="84"/>
      <c r="B42" s="260"/>
      <c r="C42" s="260"/>
      <c r="D42" s="261"/>
      <c r="E42" s="301"/>
      <c r="F42" s="302"/>
      <c r="G42" s="302"/>
      <c r="H42" s="302"/>
      <c r="I42" s="303"/>
      <c r="J42" s="340" t="str">
        <f ca="1">IF(AND('Mapa final'!$J$43="Muy Baja",'Mapa final'!$N$43="Leve"),CONCATENATE("R",'Mapa final'!$A$43),"")</f>
        <v/>
      </c>
      <c r="K42" s="338"/>
      <c r="L42" s="338" t="str">
        <f ca="1">IF(AND('Mapa final'!$J$49="Muy Baja",'Mapa final'!$N$49="Leve"),CONCATENATE("R",'Mapa final'!$A$49),"")</f>
        <v/>
      </c>
      <c r="M42" s="338"/>
      <c r="N42" s="338" t="str">
        <f ca="1">IF(AND('Mapa final'!$J$55="Muy Baja",'Mapa final'!$N$55="Leve"),CONCATENATE("R",'Mapa final'!$A$55),"")</f>
        <v/>
      </c>
      <c r="O42" s="339"/>
      <c r="P42" s="340" t="str">
        <f ca="1">IF(AND('Mapa final'!$J$43="Muy Baja",'Mapa final'!$N$43="Menor"),CONCATENATE("R",'Mapa final'!$A$43),"")</f>
        <v/>
      </c>
      <c r="Q42" s="338"/>
      <c r="R42" s="338" t="str">
        <f ca="1">IF(AND('Mapa final'!$J$49="Muy Baja",'Mapa final'!$N$49="Menor"),CONCATENATE("R",'Mapa final'!$A$49),"")</f>
        <v/>
      </c>
      <c r="S42" s="338"/>
      <c r="T42" s="338" t="str">
        <f ca="1">IF(AND('Mapa final'!$J$55="Muy Baja",'Mapa final'!$N$55="Menor"),CONCATENATE("R",'Mapa final'!$A$55),"")</f>
        <v/>
      </c>
      <c r="U42" s="339"/>
      <c r="V42" s="329" t="str">
        <f ca="1">IF(AND('Mapa final'!$J$43="Muy Baja",'Mapa final'!$N$43="Moderado"),CONCATENATE("R",'Mapa final'!$A$43),"")</f>
        <v/>
      </c>
      <c r="W42" s="330"/>
      <c r="X42" s="330" t="str">
        <f ca="1">IF(AND('Mapa final'!$J$49="Muy Baja",'Mapa final'!$N$49="Moderado"),CONCATENATE("R",'Mapa final'!$A$49),"")</f>
        <v/>
      </c>
      <c r="Y42" s="330"/>
      <c r="Z42" s="330" t="str">
        <f ca="1">IF(AND('Mapa final'!$J$55="Muy Baja",'Mapa final'!$N$55="Moderado"),CONCATENATE("R",'Mapa final'!$A$55),"")</f>
        <v/>
      </c>
      <c r="AA42" s="331"/>
      <c r="AB42" s="312" t="str">
        <f ca="1">IF(AND('Mapa final'!$J$43="Muy Baja",'Mapa final'!$N$43="Mayor"),CONCATENATE("R",'Mapa final'!$A$43),"")</f>
        <v/>
      </c>
      <c r="AC42" s="309"/>
      <c r="AD42" s="307" t="str">
        <f ca="1">IF(AND('Mapa final'!$J$49="Muy Baja",'Mapa final'!$N$49="Mayor"),CONCATENATE("R",'Mapa final'!$A$49),"")</f>
        <v/>
      </c>
      <c r="AE42" s="307"/>
      <c r="AF42" s="307" t="str">
        <f ca="1">IF(AND('Mapa final'!$J$55="Muy Baja",'Mapa final'!$N$55="Mayor"),CONCATENATE("R",'Mapa final'!$A$55),"")</f>
        <v/>
      </c>
      <c r="AG42" s="308"/>
      <c r="AH42" s="320" t="str">
        <f ca="1">IF(AND('Mapa final'!$J$43="Muy Baja",'Mapa final'!$N$43="Catastrófico"),CONCATENATE("R",'Mapa final'!$A$43),"")</f>
        <v/>
      </c>
      <c r="AI42" s="321"/>
      <c r="AJ42" s="321" t="str">
        <f ca="1">IF(AND('Mapa final'!$J$49="Muy Baja",'Mapa final'!$N$49="Catastrófico"),CONCATENATE("R",'Mapa final'!$A$49),"")</f>
        <v/>
      </c>
      <c r="AK42" s="321"/>
      <c r="AL42" s="321" t="str">
        <f ca="1">IF(AND('Mapa final'!$J$55="Muy Baja",'Mapa final'!$N$55="Catastrófico"),CONCATENATE("R",'Mapa final'!$A$55),"")</f>
        <v/>
      </c>
      <c r="AM42" s="322"/>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x14ac:dyDescent="0.25">
      <c r="A43" s="84"/>
      <c r="B43" s="260"/>
      <c r="C43" s="260"/>
      <c r="D43" s="261"/>
      <c r="E43" s="301"/>
      <c r="F43" s="302"/>
      <c r="G43" s="302"/>
      <c r="H43" s="302"/>
      <c r="I43" s="303"/>
      <c r="J43" s="340"/>
      <c r="K43" s="338"/>
      <c r="L43" s="338"/>
      <c r="M43" s="338"/>
      <c r="N43" s="338"/>
      <c r="O43" s="339"/>
      <c r="P43" s="340"/>
      <c r="Q43" s="338"/>
      <c r="R43" s="338"/>
      <c r="S43" s="338"/>
      <c r="T43" s="338"/>
      <c r="U43" s="339"/>
      <c r="V43" s="329"/>
      <c r="W43" s="330"/>
      <c r="X43" s="330"/>
      <c r="Y43" s="330"/>
      <c r="Z43" s="330"/>
      <c r="AA43" s="331"/>
      <c r="AB43" s="312"/>
      <c r="AC43" s="309"/>
      <c r="AD43" s="307"/>
      <c r="AE43" s="307"/>
      <c r="AF43" s="307"/>
      <c r="AG43" s="308"/>
      <c r="AH43" s="320"/>
      <c r="AI43" s="321"/>
      <c r="AJ43" s="321"/>
      <c r="AK43" s="321"/>
      <c r="AL43" s="321"/>
      <c r="AM43" s="322"/>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x14ac:dyDescent="0.25">
      <c r="A44" s="84"/>
      <c r="B44" s="260"/>
      <c r="C44" s="260"/>
      <c r="D44" s="261"/>
      <c r="E44" s="301"/>
      <c r="F44" s="302"/>
      <c r="G44" s="302"/>
      <c r="H44" s="302"/>
      <c r="I44" s="303"/>
      <c r="J44" s="340" t="str">
        <f ca="1">IF(AND('Mapa final'!$J$61="Muy Baja",'Mapa final'!$N$61="Leve"),CONCATENATE("R",'Mapa final'!$A$61),"")</f>
        <v/>
      </c>
      <c r="K44" s="338"/>
      <c r="L44" s="338" t="str">
        <f>IF(AND('Mapa final'!$J$67="Muy Baja",'Mapa final'!$N$67="Leve"),CONCATENATE("R",'Mapa final'!$A$67),"")</f>
        <v/>
      </c>
      <c r="M44" s="338"/>
      <c r="N44" s="338" t="str">
        <f>IF(AND('Mapa final'!$J$73="Muy Baja",'Mapa final'!$N$73="Leve"),CONCATENATE("R",'Mapa final'!$A$73),"")</f>
        <v/>
      </c>
      <c r="O44" s="339"/>
      <c r="P44" s="340" t="str">
        <f ca="1">IF(AND('Mapa final'!$J$61="Muy Baja",'Mapa final'!$N$61="Menor"),CONCATENATE("R",'Mapa final'!$A$61),"")</f>
        <v/>
      </c>
      <c r="Q44" s="338"/>
      <c r="R44" s="338" t="str">
        <f>IF(AND('Mapa final'!$J$67="Muy Baja",'Mapa final'!$N$67="Menor"),CONCATENATE("R",'Mapa final'!$A$67),"")</f>
        <v/>
      </c>
      <c r="S44" s="338"/>
      <c r="T44" s="338" t="str">
        <f>IF(AND('Mapa final'!$J$73="Muy Baja",'Mapa final'!$N$73="Menor"),CONCATENATE("R",'Mapa final'!$A$73),"")</f>
        <v/>
      </c>
      <c r="U44" s="339"/>
      <c r="V44" s="329" t="str">
        <f ca="1">IF(AND('Mapa final'!$J$61="Muy Baja",'Mapa final'!$N$61="Moderado"),CONCATENATE("R",'Mapa final'!$A$61),"")</f>
        <v/>
      </c>
      <c r="W44" s="330"/>
      <c r="X44" s="330" t="str">
        <f>IF(AND('Mapa final'!$J$67="Muy Baja",'Mapa final'!$N$67="Moderado"),CONCATENATE("R",'Mapa final'!$A$67),"")</f>
        <v/>
      </c>
      <c r="Y44" s="330"/>
      <c r="Z44" s="330" t="str">
        <f>IF(AND('Mapa final'!$J$73="Muy Baja",'Mapa final'!$N$73="Moderado"),CONCATENATE("R",'Mapa final'!$A$73),"")</f>
        <v/>
      </c>
      <c r="AA44" s="331"/>
      <c r="AB44" s="312" t="str">
        <f ca="1">IF(AND('Mapa final'!$J$61="Muy Baja",'Mapa final'!$N$61="Mayor"),CONCATENATE("R",'Mapa final'!$A$61),"")</f>
        <v/>
      </c>
      <c r="AC44" s="309"/>
      <c r="AD44" s="307" t="str">
        <f>IF(AND('Mapa final'!$J$67="Muy Baja",'Mapa final'!$N$67="Mayor"),CONCATENATE("R",'Mapa final'!$A$67),"")</f>
        <v/>
      </c>
      <c r="AE44" s="307"/>
      <c r="AF44" s="307" t="str">
        <f>IF(AND('Mapa final'!$J$73="Muy Baja",'Mapa final'!$N$73="Mayor"),CONCATENATE("R",'Mapa final'!$A$73),"")</f>
        <v/>
      </c>
      <c r="AG44" s="308"/>
      <c r="AH44" s="320" t="str">
        <f ca="1">IF(AND('Mapa final'!$J$61="Muy Baja",'Mapa final'!$N$61="Catastrófico"),CONCATENATE("R",'Mapa final'!$A$61),"")</f>
        <v/>
      </c>
      <c r="AI44" s="321"/>
      <c r="AJ44" s="321" t="str">
        <f>IF(AND('Mapa final'!$J$67="Muy Baja",'Mapa final'!$N$67="Catastrófico"),CONCATENATE("R",'Mapa final'!$A$67),"")</f>
        <v/>
      </c>
      <c r="AK44" s="321"/>
      <c r="AL44" s="321" t="str">
        <f>IF(AND('Mapa final'!$J$73="Muy Baja",'Mapa final'!$N$73="Catastrófico"),CONCATENATE("R",'Mapa final'!$A$73),"")</f>
        <v/>
      </c>
      <c r="AM44" s="322"/>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x14ac:dyDescent="0.3">
      <c r="A45" s="84"/>
      <c r="B45" s="260"/>
      <c r="C45" s="260"/>
      <c r="D45" s="261"/>
      <c r="E45" s="304"/>
      <c r="F45" s="305"/>
      <c r="G45" s="305"/>
      <c r="H45" s="305"/>
      <c r="I45" s="306"/>
      <c r="J45" s="341"/>
      <c r="K45" s="342"/>
      <c r="L45" s="342"/>
      <c r="M45" s="342"/>
      <c r="N45" s="342"/>
      <c r="O45" s="343"/>
      <c r="P45" s="341"/>
      <c r="Q45" s="342"/>
      <c r="R45" s="342"/>
      <c r="S45" s="342"/>
      <c r="T45" s="342"/>
      <c r="U45" s="343"/>
      <c r="V45" s="332"/>
      <c r="W45" s="333"/>
      <c r="X45" s="333"/>
      <c r="Y45" s="333"/>
      <c r="Z45" s="333"/>
      <c r="AA45" s="334"/>
      <c r="AB45" s="317"/>
      <c r="AC45" s="318"/>
      <c r="AD45" s="318"/>
      <c r="AE45" s="318"/>
      <c r="AF45" s="318"/>
      <c r="AG45" s="319"/>
      <c r="AH45" s="323"/>
      <c r="AI45" s="324"/>
      <c r="AJ45" s="324"/>
      <c r="AK45" s="324"/>
      <c r="AL45" s="324"/>
      <c r="AM45" s="325"/>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x14ac:dyDescent="0.25">
      <c r="A46" s="84"/>
      <c r="B46" s="84"/>
      <c r="C46" s="84"/>
      <c r="D46" s="84"/>
      <c r="E46" s="84"/>
      <c r="F46" s="84"/>
      <c r="G46" s="84"/>
      <c r="H46" s="84"/>
      <c r="I46" s="84"/>
      <c r="J46" s="298" t="s">
        <v>112</v>
      </c>
      <c r="K46" s="299"/>
      <c r="L46" s="299"/>
      <c r="M46" s="299"/>
      <c r="N46" s="299"/>
      <c r="O46" s="300"/>
      <c r="P46" s="298" t="s">
        <v>111</v>
      </c>
      <c r="Q46" s="299"/>
      <c r="R46" s="299"/>
      <c r="S46" s="299"/>
      <c r="T46" s="299"/>
      <c r="U46" s="300"/>
      <c r="V46" s="298" t="s">
        <v>110</v>
      </c>
      <c r="W46" s="299"/>
      <c r="X46" s="299"/>
      <c r="Y46" s="299"/>
      <c r="Z46" s="299"/>
      <c r="AA46" s="300"/>
      <c r="AB46" s="298" t="s">
        <v>109</v>
      </c>
      <c r="AC46" s="316"/>
      <c r="AD46" s="299"/>
      <c r="AE46" s="299"/>
      <c r="AF46" s="299"/>
      <c r="AG46" s="300"/>
      <c r="AH46" s="298" t="s">
        <v>108</v>
      </c>
      <c r="AI46" s="299"/>
      <c r="AJ46" s="299"/>
      <c r="AK46" s="299"/>
      <c r="AL46" s="299"/>
      <c r="AM46" s="300"/>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x14ac:dyDescent="0.25">
      <c r="A47" s="84"/>
      <c r="B47" s="84"/>
      <c r="C47" s="84"/>
      <c r="D47" s="84"/>
      <c r="E47" s="84"/>
      <c r="F47" s="84"/>
      <c r="G47" s="84"/>
      <c r="H47" s="84"/>
      <c r="I47" s="84"/>
      <c r="J47" s="301"/>
      <c r="K47" s="302"/>
      <c r="L47" s="302"/>
      <c r="M47" s="302"/>
      <c r="N47" s="302"/>
      <c r="O47" s="303"/>
      <c r="P47" s="301"/>
      <c r="Q47" s="302"/>
      <c r="R47" s="302"/>
      <c r="S47" s="302"/>
      <c r="T47" s="302"/>
      <c r="U47" s="303"/>
      <c r="V47" s="301"/>
      <c r="W47" s="302"/>
      <c r="X47" s="302"/>
      <c r="Y47" s="302"/>
      <c r="Z47" s="302"/>
      <c r="AA47" s="303"/>
      <c r="AB47" s="301"/>
      <c r="AC47" s="302"/>
      <c r="AD47" s="302"/>
      <c r="AE47" s="302"/>
      <c r="AF47" s="302"/>
      <c r="AG47" s="303"/>
      <c r="AH47" s="301"/>
      <c r="AI47" s="302"/>
      <c r="AJ47" s="302"/>
      <c r="AK47" s="302"/>
      <c r="AL47" s="302"/>
      <c r="AM47" s="303"/>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x14ac:dyDescent="0.25">
      <c r="A48" s="84"/>
      <c r="B48" s="84"/>
      <c r="C48" s="84"/>
      <c r="D48" s="84"/>
      <c r="E48" s="84"/>
      <c r="F48" s="84"/>
      <c r="G48" s="84"/>
      <c r="H48" s="84"/>
      <c r="I48" s="84"/>
      <c r="J48" s="301"/>
      <c r="K48" s="302"/>
      <c r="L48" s="302"/>
      <c r="M48" s="302"/>
      <c r="N48" s="302"/>
      <c r="O48" s="303"/>
      <c r="P48" s="301"/>
      <c r="Q48" s="302"/>
      <c r="R48" s="302"/>
      <c r="S48" s="302"/>
      <c r="T48" s="302"/>
      <c r="U48" s="303"/>
      <c r="V48" s="301"/>
      <c r="W48" s="302"/>
      <c r="X48" s="302"/>
      <c r="Y48" s="302"/>
      <c r="Z48" s="302"/>
      <c r="AA48" s="303"/>
      <c r="AB48" s="301"/>
      <c r="AC48" s="302"/>
      <c r="AD48" s="302"/>
      <c r="AE48" s="302"/>
      <c r="AF48" s="302"/>
      <c r="AG48" s="303"/>
      <c r="AH48" s="301"/>
      <c r="AI48" s="302"/>
      <c r="AJ48" s="302"/>
      <c r="AK48" s="302"/>
      <c r="AL48" s="302"/>
      <c r="AM48" s="303"/>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x14ac:dyDescent="0.25">
      <c r="A49" s="84"/>
      <c r="B49" s="84"/>
      <c r="C49" s="84"/>
      <c r="D49" s="84"/>
      <c r="E49" s="84"/>
      <c r="F49" s="84"/>
      <c r="G49" s="84"/>
      <c r="H49" s="84"/>
      <c r="I49" s="84"/>
      <c r="J49" s="301"/>
      <c r="K49" s="302"/>
      <c r="L49" s="302"/>
      <c r="M49" s="302"/>
      <c r="N49" s="302"/>
      <c r="O49" s="303"/>
      <c r="P49" s="301"/>
      <c r="Q49" s="302"/>
      <c r="R49" s="302"/>
      <c r="S49" s="302"/>
      <c r="T49" s="302"/>
      <c r="U49" s="303"/>
      <c r="V49" s="301"/>
      <c r="W49" s="302"/>
      <c r="X49" s="302"/>
      <c r="Y49" s="302"/>
      <c r="Z49" s="302"/>
      <c r="AA49" s="303"/>
      <c r="AB49" s="301"/>
      <c r="AC49" s="302"/>
      <c r="AD49" s="302"/>
      <c r="AE49" s="302"/>
      <c r="AF49" s="302"/>
      <c r="AG49" s="303"/>
      <c r="AH49" s="301"/>
      <c r="AI49" s="302"/>
      <c r="AJ49" s="302"/>
      <c r="AK49" s="302"/>
      <c r="AL49" s="302"/>
      <c r="AM49" s="303"/>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x14ac:dyDescent="0.25">
      <c r="A50" s="84"/>
      <c r="B50" s="84"/>
      <c r="C50" s="84"/>
      <c r="D50" s="84"/>
      <c r="E50" s="84"/>
      <c r="F50" s="84"/>
      <c r="G50" s="84"/>
      <c r="H50" s="84"/>
      <c r="I50" s="84"/>
      <c r="J50" s="301"/>
      <c r="K50" s="302"/>
      <c r="L50" s="302"/>
      <c r="M50" s="302"/>
      <c r="N50" s="302"/>
      <c r="O50" s="303"/>
      <c r="P50" s="301"/>
      <c r="Q50" s="302"/>
      <c r="R50" s="302"/>
      <c r="S50" s="302"/>
      <c r="T50" s="302"/>
      <c r="U50" s="303"/>
      <c r="V50" s="301"/>
      <c r="W50" s="302"/>
      <c r="X50" s="302"/>
      <c r="Y50" s="302"/>
      <c r="Z50" s="302"/>
      <c r="AA50" s="303"/>
      <c r="AB50" s="301"/>
      <c r="AC50" s="302"/>
      <c r="AD50" s="302"/>
      <c r="AE50" s="302"/>
      <c r="AF50" s="302"/>
      <c r="AG50" s="303"/>
      <c r="AH50" s="301"/>
      <c r="AI50" s="302"/>
      <c r="AJ50" s="302"/>
      <c r="AK50" s="302"/>
      <c r="AL50" s="302"/>
      <c r="AM50" s="303"/>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x14ac:dyDescent="0.3">
      <c r="A51" s="84"/>
      <c r="B51" s="84"/>
      <c r="C51" s="84"/>
      <c r="D51" s="84"/>
      <c r="E51" s="84"/>
      <c r="F51" s="84"/>
      <c r="G51" s="84"/>
      <c r="H51" s="84"/>
      <c r="I51" s="84"/>
      <c r="J51" s="304"/>
      <c r="K51" s="305"/>
      <c r="L51" s="305"/>
      <c r="M51" s="305"/>
      <c r="N51" s="305"/>
      <c r="O51" s="306"/>
      <c r="P51" s="304"/>
      <c r="Q51" s="305"/>
      <c r="R51" s="305"/>
      <c r="S51" s="305"/>
      <c r="T51" s="305"/>
      <c r="U51" s="306"/>
      <c r="V51" s="304"/>
      <c r="W51" s="305"/>
      <c r="X51" s="305"/>
      <c r="Y51" s="305"/>
      <c r="Z51" s="305"/>
      <c r="AA51" s="306"/>
      <c r="AB51" s="304"/>
      <c r="AC51" s="305"/>
      <c r="AD51" s="305"/>
      <c r="AE51" s="305"/>
      <c r="AF51" s="305"/>
      <c r="AG51" s="306"/>
      <c r="AH51" s="304"/>
      <c r="AI51" s="305"/>
      <c r="AJ51" s="305"/>
      <c r="AK51" s="305"/>
      <c r="AL51" s="305"/>
      <c r="AM51" s="306"/>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x14ac:dyDescent="0.25">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x14ac:dyDescent="0.25">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x14ac:dyDescent="0.25">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x14ac:dyDescent="0.25">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x14ac:dyDescent="0.25">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x14ac:dyDescent="0.25">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x14ac:dyDescent="0.25">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x14ac:dyDescent="0.25">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x14ac:dyDescent="0.25">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x14ac:dyDescent="0.25">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x14ac:dyDescent="0.25">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x14ac:dyDescent="0.25">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x14ac:dyDescent="0.25">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x14ac:dyDescent="0.25">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x14ac:dyDescent="0.25">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x14ac:dyDescent="0.25">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x14ac:dyDescent="0.25">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x14ac:dyDescent="0.25">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x14ac:dyDescent="0.25">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x14ac:dyDescent="0.25">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x14ac:dyDescent="0.25">
      <c r="B137" s="84"/>
      <c r="C137" s="84"/>
      <c r="D137" s="84"/>
      <c r="E137" s="84"/>
      <c r="F137" s="84"/>
      <c r="G137" s="84"/>
      <c r="H137" s="84"/>
      <c r="I137" s="84"/>
    </row>
    <row r="138" spans="2:63" x14ac:dyDescent="0.25">
      <c r="B138" s="84"/>
      <c r="C138" s="84"/>
      <c r="D138" s="84"/>
      <c r="E138" s="84"/>
      <c r="F138" s="84"/>
      <c r="G138" s="84"/>
      <c r="H138" s="84"/>
      <c r="I138" s="84"/>
    </row>
    <row r="139" spans="2:63" x14ac:dyDescent="0.25">
      <c r="B139" s="84"/>
      <c r="C139" s="84"/>
      <c r="D139" s="84"/>
      <c r="E139" s="84"/>
      <c r="F139" s="84"/>
      <c r="G139" s="84"/>
      <c r="H139" s="84"/>
      <c r="I139" s="84"/>
    </row>
    <row r="140" spans="2:63" x14ac:dyDescent="0.25">
      <c r="B140" s="84"/>
      <c r="C140" s="84"/>
      <c r="D140" s="84"/>
      <c r="E140" s="84"/>
      <c r="F140" s="84"/>
      <c r="G140" s="84"/>
      <c r="H140" s="84"/>
      <c r="I140" s="84"/>
    </row>
  </sheetData>
  <sheetProtection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x14ac:dyDescent="0.25">
      <c r="A2" s="84"/>
      <c r="B2" s="374" t="s">
        <v>160</v>
      </c>
      <c r="C2" s="375"/>
      <c r="D2" s="375"/>
      <c r="E2" s="375"/>
      <c r="F2" s="375"/>
      <c r="G2" s="375"/>
      <c r="H2" s="375"/>
      <c r="I2" s="375"/>
      <c r="J2" s="314" t="s">
        <v>2</v>
      </c>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x14ac:dyDescent="0.25">
      <c r="A3" s="84"/>
      <c r="B3" s="375"/>
      <c r="C3" s="375"/>
      <c r="D3" s="375"/>
      <c r="E3" s="375"/>
      <c r="F3" s="375"/>
      <c r="G3" s="375"/>
      <c r="H3" s="375"/>
      <c r="I3" s="375"/>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x14ac:dyDescent="0.25">
      <c r="A4" s="84"/>
      <c r="B4" s="375"/>
      <c r="C4" s="375"/>
      <c r="D4" s="375"/>
      <c r="E4" s="375"/>
      <c r="F4" s="375"/>
      <c r="G4" s="375"/>
      <c r="H4" s="375"/>
      <c r="I4" s="375"/>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x14ac:dyDescent="0.3">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x14ac:dyDescent="0.25">
      <c r="A6" s="84"/>
      <c r="B6" s="260" t="s">
        <v>4</v>
      </c>
      <c r="C6" s="260"/>
      <c r="D6" s="261"/>
      <c r="E6" s="357" t="s">
        <v>116</v>
      </c>
      <c r="F6" s="358"/>
      <c r="G6" s="358"/>
      <c r="H6" s="358"/>
      <c r="I6" s="376"/>
      <c r="J6" s="46" t="str">
        <f ca="1">IF(AND('Mapa final'!$AA$10="Muy Alta",'Mapa final'!$AC$10="Leve"),CONCATENATE("R1C",'Mapa final'!$Q$10),"")</f>
        <v/>
      </c>
      <c r="K6" s="47" t="str">
        <f ca="1">IF(AND('Mapa final'!$AA$11="Muy Alta",'Mapa final'!$AC$11="Leve"),CONCATENATE("R1C",'Mapa final'!$Q$11),"")</f>
        <v/>
      </c>
      <c r="L6" s="47" t="str">
        <f ca="1">IF(AND('Mapa final'!$AA$12="Muy Alta",'Mapa final'!$AC$12="Leve"),CONCATENATE("R1C",'Mapa final'!$Q$12),"")</f>
        <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 ca="1">IF(AND('Mapa final'!$AA$10="Muy Alta",'Mapa final'!$AC$10="Menor"),CONCATENATE("R1C",'Mapa final'!$Q$10),"")</f>
        <v/>
      </c>
      <c r="Q6" s="47" t="str">
        <f ca="1">IF(AND('Mapa final'!$AA$11="Muy Alta",'Mapa final'!$AC$11="Menor"),CONCATENATE("R1C",'Mapa final'!$Q$11),"")</f>
        <v/>
      </c>
      <c r="R6" s="47" t="str">
        <f ca="1">IF(AND('Mapa final'!$AA$12="Muy Alta",'Mapa final'!$AC$12="Menor"),CONCATENATE("R1C",'Mapa final'!$Q$12),"")</f>
        <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 ca="1">IF(AND('Mapa final'!$AA$10="Muy Alta",'Mapa final'!$AC$10="Moderado"),CONCATENATE("R1C",'Mapa final'!$Q$10),"")</f>
        <v/>
      </c>
      <c r="W6" s="47" t="str">
        <f ca="1">IF(AND('Mapa final'!$AA$11="Muy Alta",'Mapa final'!$AC$11="Moderado"),CONCATENATE("R1C",'Mapa final'!$Q$11),"")</f>
        <v/>
      </c>
      <c r="X6" s="47" t="str">
        <f ca="1">IF(AND('Mapa final'!$AA$12="Muy Alta",'Mapa final'!$AC$12="Moderado"),CONCATENATE("R1C",'Mapa final'!$Q$12),"")</f>
        <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 ca="1">IF(AND('Mapa final'!$AA$10="Muy Alta",'Mapa final'!$AC$10="Mayor"),CONCATENATE("R1C",'Mapa final'!$Q$10),"")</f>
        <v/>
      </c>
      <c r="AC6" s="47" t="str">
        <f ca="1">IF(AND('Mapa final'!$AA$11="Muy Alta",'Mapa final'!$AC$11="Mayor"),CONCATENATE("R1C",'Mapa final'!$Q$11),"")</f>
        <v/>
      </c>
      <c r="AD6" s="47" t="str">
        <f ca="1">IF(AND('Mapa final'!$AA$12="Muy Alta",'Mapa final'!$AC$12="Mayor"),CONCATENATE("R1C",'Mapa final'!$Q$12),"")</f>
        <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 ca="1">IF(AND('Mapa final'!$AA$10="Muy Alta",'Mapa final'!$AC$10="Catastrófico"),CONCATENATE("R1C",'Mapa final'!$Q$10),"")</f>
        <v/>
      </c>
      <c r="AI6" s="50" t="str">
        <f ca="1">IF(AND('Mapa final'!$AA$11="Muy Alta",'Mapa final'!$AC$11="Catastrófico"),CONCATENATE("R1C",'Mapa final'!$Q$11),"")</f>
        <v/>
      </c>
      <c r="AJ6" s="50" t="str">
        <f ca="1">IF(AND('Mapa final'!$AA$12="Muy Alta",'Mapa final'!$AC$12="Catastrófico"),CONCATENATE("R1C",'Mapa final'!$Q$12),"")</f>
        <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4"/>
      <c r="AO6" s="365" t="s">
        <v>79</v>
      </c>
      <c r="AP6" s="366"/>
      <c r="AQ6" s="366"/>
      <c r="AR6" s="366"/>
      <c r="AS6" s="366"/>
      <c r="AT6" s="367"/>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x14ac:dyDescent="0.25">
      <c r="A7" s="84"/>
      <c r="B7" s="260"/>
      <c r="C7" s="260"/>
      <c r="D7" s="261"/>
      <c r="E7" s="361"/>
      <c r="F7" s="362"/>
      <c r="G7" s="362"/>
      <c r="H7" s="362"/>
      <c r="I7" s="377"/>
      <c r="J7" s="52" t="str">
        <f ca="1">IF(AND([1]Hoja1!$X$2="Muy Alta",[1]Hoja1!$Z$2="Leve"),CONCATENATE("R2C",[1]Hoja1!$N$2),"")</f>
        <v/>
      </c>
      <c r="K7" s="53" t="str">
        <f ca="1">IF(AND([1]Hoja1!$X$3="Muy Alta",[1]Hoja1!$Z$3="Leve"),CONCATENATE("R2C",[1]Hoja1!$N$3),"")</f>
        <v/>
      </c>
      <c r="L7" s="53" t="str">
        <f>IF(AND([1]Hoja1!$X$4="Muy Alta",[1]Hoja1!$Z$4="Leve"),CONCATENATE("R2C",[1]Hoja1!$N$4),"")</f>
        <v/>
      </c>
      <c r="M7" s="53" t="str">
        <f>IF(AND([1]Hoja1!$X$5="Muy Alta",[1]Hoja1!$Z$5="Leve"),CONCATENATE("R2C",[1]Hoja1!$N$5),"")</f>
        <v/>
      </c>
      <c r="N7" s="53" t="str">
        <f>IF(AND([1]Hoja1!$X$6="Muy Alta",[1]Hoja1!$Z$6="Leve"),CONCATENATE("R2C",[1]Hoja1!$N$6),"")</f>
        <v/>
      </c>
      <c r="O7" s="54" t="str">
        <f>IF(AND([1]Hoja1!$X$7="Muy Alta",[1]Hoja1!$Z$7="Leve"),CONCATENATE("R2C",[1]Hoja1!$N$7),"")</f>
        <v/>
      </c>
      <c r="P7" s="52" t="str">
        <f ca="1">IF(AND([1]Hoja1!$X$2="Muy Alta",[1]Hoja1!$Z$2="Menor"),CONCATENATE("R2C",[1]Hoja1!$N$2),"")</f>
        <v/>
      </c>
      <c r="Q7" s="53" t="str">
        <f ca="1">IF(AND([1]Hoja1!$X$3="Muy Alta",[1]Hoja1!$Z$3="Menor"),CONCATENATE("R2C",[1]Hoja1!$N$3),"")</f>
        <v/>
      </c>
      <c r="R7" s="53" t="str">
        <f>IF(AND([1]Hoja1!$X$4="Muy Alta",[1]Hoja1!$Z$4="Menor"),CONCATENATE("R2C",[1]Hoja1!$N$4),"")</f>
        <v/>
      </c>
      <c r="S7" s="53" t="str">
        <f>IF(AND([1]Hoja1!$X$5="Muy Alta",[1]Hoja1!$Z$5="Menor"),CONCATENATE("R2C",[1]Hoja1!$N$5),"")</f>
        <v/>
      </c>
      <c r="T7" s="53" t="str">
        <f>IF(AND([1]Hoja1!$X$6="Muy Alta",[1]Hoja1!$Z$6="Menor"),CONCATENATE("R2C",[1]Hoja1!$N$6),"")</f>
        <v/>
      </c>
      <c r="U7" s="54" t="str">
        <f>IF(AND([1]Hoja1!$X$7="Muy Alta",[1]Hoja1!$Z$7="Menor"),CONCATENATE("R2C",[1]Hoja1!$N$7),"")</f>
        <v/>
      </c>
      <c r="V7" s="52" t="str">
        <f ca="1">IF(AND([1]Hoja1!$X$2="Muy Alta",[1]Hoja1!$Z$2="Moderado"),CONCATENATE("R2C",[1]Hoja1!$N$2),"")</f>
        <v/>
      </c>
      <c r="W7" s="53" t="str">
        <f ca="1">IF(AND([1]Hoja1!$X$3="Muy Alta",[1]Hoja1!$Z$3="Moderado"),CONCATENATE("R2C",[1]Hoja1!$N$3),"")</f>
        <v/>
      </c>
      <c r="X7" s="53" t="str">
        <f>IF(AND([1]Hoja1!$X$4="Muy Alta",[1]Hoja1!$Z$4="Moderado"),CONCATENATE("R2C",[1]Hoja1!$N$4),"")</f>
        <v/>
      </c>
      <c r="Y7" s="53" t="str">
        <f>IF(AND([1]Hoja1!$X$5="Muy Alta",[1]Hoja1!$Z$5="Moderado"),CONCATENATE("R2C",[1]Hoja1!$N$5),"")</f>
        <v/>
      </c>
      <c r="Z7" s="53" t="str">
        <f>IF(AND([1]Hoja1!$X$6="Muy Alta",[1]Hoja1!$Z$6="Moderado"),CONCATENATE("R2C",[1]Hoja1!$N$6),"")</f>
        <v/>
      </c>
      <c r="AA7" s="54" t="str">
        <f>IF(AND([1]Hoja1!$X$7="Muy Alta",[1]Hoja1!$Z$7="Moderado"),CONCATENATE("R2C",[1]Hoja1!$N$7),"")</f>
        <v/>
      </c>
      <c r="AB7" s="52" t="str">
        <f ca="1">IF(AND([1]Hoja1!$X$2="Muy Alta",[1]Hoja1!$Z$2="Mayor"),CONCATENATE("R2C",[1]Hoja1!$N$2),"")</f>
        <v/>
      </c>
      <c r="AC7" s="53" t="str">
        <f ca="1">IF(AND([1]Hoja1!$X$3="Muy Alta",[1]Hoja1!$Z$3="Mayor"),CONCATENATE("R2C",[1]Hoja1!$N$3),"")</f>
        <v/>
      </c>
      <c r="AD7" s="53" t="str">
        <f>IF(AND([1]Hoja1!$X$4="Muy Alta",[1]Hoja1!$Z$4="Mayor"),CONCATENATE("R2C",[1]Hoja1!$N$4),"")</f>
        <v/>
      </c>
      <c r="AE7" s="53" t="str">
        <f>IF(AND([1]Hoja1!$X$5="Muy Alta",[1]Hoja1!$Z$5="Mayor"),CONCATENATE("R2C",[1]Hoja1!$N$5),"")</f>
        <v/>
      </c>
      <c r="AF7" s="53" t="str">
        <f>IF(AND([1]Hoja1!$X$6="Muy Alta",[1]Hoja1!$Z$6="Mayor"),CONCATENATE("R2C",[1]Hoja1!$N$6),"")</f>
        <v/>
      </c>
      <c r="AG7" s="54" t="str">
        <f>IF(AND([1]Hoja1!$X$7="Muy Alta",[1]Hoja1!$Z$7="Mayor"),CONCATENATE("R2C",[1]Hoja1!$N$7),"")</f>
        <v/>
      </c>
      <c r="AH7" s="55" t="str">
        <f ca="1">IF(AND([1]Hoja1!$X$2="Muy Alta",[1]Hoja1!$Z$2="Catastrófico"),CONCATENATE("R2C",[1]Hoja1!$N$2),"")</f>
        <v/>
      </c>
      <c r="AI7" s="56" t="str">
        <f ca="1">IF(AND([1]Hoja1!$X$3="Muy Alta",[1]Hoja1!$Z$3="Catastrófico"),CONCATENATE("R2C",[1]Hoja1!$N$3),"")</f>
        <v/>
      </c>
      <c r="AJ7" s="56" t="str">
        <f>IF(AND([1]Hoja1!$X$4="Muy Alta",[1]Hoja1!$Z$4="Catastrófico"),CONCATENATE("R2C",[1]Hoja1!$N$4),"")</f>
        <v/>
      </c>
      <c r="AK7" s="56" t="str">
        <f>IF(AND([1]Hoja1!$X$5="Muy Alta",[1]Hoja1!$Z$5="Catastrófico"),CONCATENATE("R2C",[1]Hoja1!$N$5),"")</f>
        <v/>
      </c>
      <c r="AL7" s="56" t="str">
        <f>IF(AND([1]Hoja1!$X$6="Muy Alta",[1]Hoja1!$Z$6="Catastrófico"),CONCATENATE("R2C",[1]Hoja1!$N$6),"")</f>
        <v/>
      </c>
      <c r="AM7" s="57" t="str">
        <f>IF(AND([1]Hoja1!$X$7="Muy Alta",[1]Hoja1!$Z$7="Catastrófico"),CONCATENATE("R2C",[1]Hoja1!$N$7),"")</f>
        <v/>
      </c>
      <c r="AN7" s="84"/>
      <c r="AO7" s="368"/>
      <c r="AP7" s="369"/>
      <c r="AQ7" s="369"/>
      <c r="AR7" s="369"/>
      <c r="AS7" s="369"/>
      <c r="AT7" s="370"/>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x14ac:dyDescent="0.25">
      <c r="A8" s="84"/>
      <c r="B8" s="260"/>
      <c r="C8" s="260"/>
      <c r="D8" s="261"/>
      <c r="E8" s="361"/>
      <c r="F8" s="362"/>
      <c r="G8" s="362"/>
      <c r="H8" s="362"/>
      <c r="I8" s="377"/>
      <c r="J8" s="52" t="str">
        <f>IF(AND('Mapa final'!$AA$19="Muy Alta",'Mapa final'!$AC$19="Leve"),CONCATENATE("R3C",'Mapa final'!$Q$19),"")</f>
        <v/>
      </c>
      <c r="K8" s="53" t="str">
        <f>IF(AND('Mapa final'!$AA$20="Muy Alta",'Mapa final'!$AC$20="Leve"),CONCATENATE("R3C",'Mapa final'!$Q$20),"")</f>
        <v/>
      </c>
      <c r="L8" s="53" t="str">
        <f>IF(AND('Mapa final'!$AA$21="Muy Alta",'Mapa final'!$AC$21="Leve"),CONCATENATE("R3C",'Mapa final'!$Q$21),"")</f>
        <v/>
      </c>
      <c r="M8" s="53" t="str">
        <f>IF(AND('Mapa final'!$AA$22="Muy Alta",'Mapa final'!$AC$22="Leve"),CONCATENATE("R3C",'Mapa final'!$Q$22),"")</f>
        <v/>
      </c>
      <c r="N8" s="53" t="str">
        <f>IF(AND('Mapa final'!$AA$23="Muy Alta",'Mapa final'!$AC$23="Leve"),CONCATENATE("R3C",'Mapa final'!$Q$23),"")</f>
        <v/>
      </c>
      <c r="O8" s="54" t="str">
        <f>IF(AND('Mapa final'!$AA$24="Muy Alta",'Mapa final'!$AC$24="Leve"),CONCATENATE("R3C",'Mapa final'!$Q$24),"")</f>
        <v/>
      </c>
      <c r="P8" s="52" t="str">
        <f>IF(AND('Mapa final'!$AA$19="Muy Alta",'Mapa final'!$AC$19="Menor"),CONCATENATE("R3C",'Mapa final'!$Q$19),"")</f>
        <v/>
      </c>
      <c r="Q8" s="53" t="str">
        <f>IF(AND('Mapa final'!$AA$20="Muy Alta",'Mapa final'!$AC$20="Menor"),CONCATENATE("R3C",'Mapa final'!$Q$20),"")</f>
        <v/>
      </c>
      <c r="R8" s="53" t="str">
        <f>IF(AND('Mapa final'!$AA$21="Muy Alta",'Mapa final'!$AC$21="Menor"),CONCATENATE("R3C",'Mapa final'!$Q$21),"")</f>
        <v/>
      </c>
      <c r="S8" s="53" t="str">
        <f>IF(AND('Mapa final'!$AA$22="Muy Alta",'Mapa final'!$AC$22="Menor"),CONCATENATE("R3C",'Mapa final'!$Q$22),"")</f>
        <v/>
      </c>
      <c r="T8" s="53" t="str">
        <f>IF(AND('Mapa final'!$AA$23="Muy Alta",'Mapa final'!$AC$23="Menor"),CONCATENATE("R3C",'Mapa final'!$Q$23),"")</f>
        <v/>
      </c>
      <c r="U8" s="54" t="str">
        <f>IF(AND('Mapa final'!$AA$24="Muy Alta",'Mapa final'!$AC$24="Menor"),CONCATENATE("R3C",'Mapa final'!$Q$24),"")</f>
        <v/>
      </c>
      <c r="V8" s="52" t="str">
        <f>IF(AND('Mapa final'!$AA$19="Muy Alta",'Mapa final'!$AC$19="Moderado"),CONCATENATE("R3C",'Mapa final'!$Q$19),"")</f>
        <v/>
      </c>
      <c r="W8" s="53" t="str">
        <f>IF(AND('Mapa final'!$AA$20="Muy Alta",'Mapa final'!$AC$20="Moderado"),CONCATENATE("R3C",'Mapa final'!$Q$20),"")</f>
        <v/>
      </c>
      <c r="X8" s="53" t="str">
        <f>IF(AND('Mapa final'!$AA$21="Muy Alta",'Mapa final'!$AC$21="Moderado"),CONCATENATE("R3C",'Mapa final'!$Q$21),"")</f>
        <v/>
      </c>
      <c r="Y8" s="53" t="str">
        <f>IF(AND('Mapa final'!$AA$22="Muy Alta",'Mapa final'!$AC$22="Moderado"),CONCATENATE("R3C",'Mapa final'!$Q$22),"")</f>
        <v/>
      </c>
      <c r="Z8" s="53" t="str">
        <f>IF(AND('Mapa final'!$AA$23="Muy Alta",'Mapa final'!$AC$23="Moderado"),CONCATENATE("R3C",'Mapa final'!$Q$23),"")</f>
        <v/>
      </c>
      <c r="AA8" s="54" t="str">
        <f>IF(AND('Mapa final'!$AA$24="Muy Alta",'Mapa final'!$AC$24="Moderado"),CONCATENATE("R3C",'Mapa final'!$Q$24),"")</f>
        <v/>
      </c>
      <c r="AB8" s="52" t="str">
        <f>IF(AND('Mapa final'!$AA$19="Muy Alta",'Mapa final'!$AC$19="Mayor"),CONCATENATE("R3C",'Mapa final'!$Q$19),"")</f>
        <v/>
      </c>
      <c r="AC8" s="53" t="str">
        <f>IF(AND('Mapa final'!$AA$20="Muy Alta",'Mapa final'!$AC$20="Mayor"),CONCATENATE("R3C",'Mapa final'!$Q$20),"")</f>
        <v/>
      </c>
      <c r="AD8" s="53" t="str">
        <f>IF(AND('Mapa final'!$AA$21="Muy Alta",'Mapa final'!$AC$21="Mayor"),CONCATENATE("R3C",'Mapa final'!$Q$21),"")</f>
        <v/>
      </c>
      <c r="AE8" s="53" t="str">
        <f>IF(AND('Mapa final'!$AA$22="Muy Alta",'Mapa final'!$AC$22="Mayor"),CONCATENATE("R3C",'Mapa final'!$Q$22),"")</f>
        <v/>
      </c>
      <c r="AF8" s="53" t="str">
        <f>IF(AND('Mapa final'!$AA$23="Muy Alta",'Mapa final'!$AC$23="Mayor"),CONCATENATE("R3C",'Mapa final'!$Q$23),"")</f>
        <v/>
      </c>
      <c r="AG8" s="54" t="str">
        <f>IF(AND('Mapa final'!$AA$24="Muy Alta",'Mapa final'!$AC$24="Mayor"),CONCATENATE("R3C",'Mapa final'!$Q$24),"")</f>
        <v/>
      </c>
      <c r="AH8" s="55" t="str">
        <f>IF(AND('Mapa final'!$AA$19="Muy Alta",'Mapa final'!$AC$19="Catastrófico"),CONCATENATE("R3C",'Mapa final'!$Q$19),"")</f>
        <v/>
      </c>
      <c r="AI8" s="56" t="str">
        <f>IF(AND('Mapa final'!$AA$20="Muy Alta",'Mapa final'!$AC$20="Catastrófico"),CONCATENATE("R3C",'Mapa final'!$Q$20),"")</f>
        <v/>
      </c>
      <c r="AJ8" s="56" t="str">
        <f>IF(AND('Mapa final'!$AA$21="Muy Alta",'Mapa final'!$AC$21="Catastrófico"),CONCATENATE("R3C",'Mapa final'!$Q$21),"")</f>
        <v/>
      </c>
      <c r="AK8" s="56" t="str">
        <f>IF(AND('Mapa final'!$AA$22="Muy Alta",'Mapa final'!$AC$22="Catastrófico"),CONCATENATE("R3C",'Mapa final'!$Q$22),"")</f>
        <v/>
      </c>
      <c r="AL8" s="56" t="str">
        <f>IF(AND('Mapa final'!$AA$23="Muy Alta",'Mapa final'!$AC$23="Catastrófico"),CONCATENATE("R3C",'Mapa final'!$Q$23),"")</f>
        <v/>
      </c>
      <c r="AM8" s="57" t="str">
        <f>IF(AND('Mapa final'!$AA$24="Muy Alta",'Mapa final'!$AC$24="Catastrófico"),CONCATENATE("R3C",'Mapa final'!$Q$24),"")</f>
        <v/>
      </c>
      <c r="AN8" s="84"/>
      <c r="AO8" s="368"/>
      <c r="AP8" s="369"/>
      <c r="AQ8" s="369"/>
      <c r="AR8" s="369"/>
      <c r="AS8" s="369"/>
      <c r="AT8" s="370"/>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x14ac:dyDescent="0.25">
      <c r="A9" s="84"/>
      <c r="B9" s="260"/>
      <c r="C9" s="260"/>
      <c r="D9" s="261"/>
      <c r="E9" s="361"/>
      <c r="F9" s="362"/>
      <c r="G9" s="362"/>
      <c r="H9" s="362"/>
      <c r="I9" s="377"/>
      <c r="J9" s="52" t="str">
        <f>IF(AND('Mapa final'!$AA$25="Muy Alta",'Mapa final'!$AC$25="Leve"),CONCATENATE("R4C",'Mapa final'!$Q$25),"")</f>
        <v/>
      </c>
      <c r="K9" s="53" t="str">
        <f>IF(AND('Mapa final'!$AA$26="Muy Alta",'Mapa final'!$AC$26="Leve"),CONCATENATE("R4C",'Mapa final'!$Q$26),"")</f>
        <v/>
      </c>
      <c r="L9" s="58" t="str">
        <f>IF(AND('Mapa final'!$AA$27="Muy Alta",'Mapa final'!$AC$27="Leve"),CONCATENATE("R4C",'Mapa final'!$Q$27),"")</f>
        <v/>
      </c>
      <c r="M9" s="58" t="str">
        <f>IF(AND('Mapa final'!$AA$28="Muy Alta",'Mapa final'!$AC$28="Leve"),CONCATENATE("R4C",'Mapa final'!$Q$28),"")</f>
        <v/>
      </c>
      <c r="N9" s="58" t="str">
        <f>IF(AND('Mapa final'!$AA$29="Muy Alta",'Mapa final'!$AC$29="Leve"),CONCATENATE("R4C",'Mapa final'!$Q$29),"")</f>
        <v/>
      </c>
      <c r="O9" s="54" t="str">
        <f>IF(AND('Mapa final'!$AA$30="Muy Alta",'Mapa final'!$AC$30="Leve"),CONCATENATE("R4C",'Mapa final'!$Q$30),"")</f>
        <v/>
      </c>
      <c r="P9" s="52" t="str">
        <f>IF(AND('Mapa final'!$AA$25="Muy Alta",'Mapa final'!$AC$25="Menor"),CONCATENATE("R4C",'Mapa final'!$Q$25),"")</f>
        <v/>
      </c>
      <c r="Q9" s="53" t="str">
        <f>IF(AND('Mapa final'!$AA$26="Muy Alta",'Mapa final'!$AC$26="Menor"),CONCATENATE("R4C",'Mapa final'!$Q$26),"")</f>
        <v/>
      </c>
      <c r="R9" s="58" t="str">
        <f>IF(AND('Mapa final'!$AA$27="Muy Alta",'Mapa final'!$AC$27="Menor"),CONCATENATE("R4C",'Mapa final'!$Q$27),"")</f>
        <v/>
      </c>
      <c r="S9" s="58" t="str">
        <f>IF(AND('Mapa final'!$AA$28="Muy Alta",'Mapa final'!$AC$28="Menor"),CONCATENATE("R4C",'Mapa final'!$Q$28),"")</f>
        <v/>
      </c>
      <c r="T9" s="58" t="str">
        <f>IF(AND('Mapa final'!$AA$29="Muy Alta",'Mapa final'!$AC$29="Menor"),CONCATENATE("R4C",'Mapa final'!$Q$29),"")</f>
        <v/>
      </c>
      <c r="U9" s="54" t="str">
        <f>IF(AND('Mapa final'!$AA$30="Muy Alta",'Mapa final'!$AC$30="Menor"),CONCATENATE("R4C",'Mapa final'!$Q$30),"")</f>
        <v/>
      </c>
      <c r="V9" s="52" t="str">
        <f>IF(AND('Mapa final'!$AA$25="Muy Alta",'Mapa final'!$AC$25="Moderado"),CONCATENATE("R4C",'Mapa final'!$Q$25),"")</f>
        <v/>
      </c>
      <c r="W9" s="53" t="str">
        <f>IF(AND('Mapa final'!$AA$26="Muy Alta",'Mapa final'!$AC$26="Moderado"),CONCATENATE("R4C",'Mapa final'!$Q$26),"")</f>
        <v/>
      </c>
      <c r="X9" s="58" t="str">
        <f>IF(AND('Mapa final'!$AA$27="Muy Alta",'Mapa final'!$AC$27="Moderado"),CONCATENATE("R4C",'Mapa final'!$Q$27),"")</f>
        <v/>
      </c>
      <c r="Y9" s="58" t="str">
        <f>IF(AND('Mapa final'!$AA$28="Muy Alta",'Mapa final'!$AC$28="Moderado"),CONCATENATE("R4C",'Mapa final'!$Q$28),"")</f>
        <v/>
      </c>
      <c r="Z9" s="58" t="str">
        <f>IF(AND('Mapa final'!$AA$29="Muy Alta",'Mapa final'!$AC$29="Moderado"),CONCATENATE("R4C",'Mapa final'!$Q$29),"")</f>
        <v/>
      </c>
      <c r="AA9" s="54" t="str">
        <f>IF(AND('Mapa final'!$AA$30="Muy Alta",'Mapa final'!$AC$30="Moderado"),CONCATENATE("R4C",'Mapa final'!$Q$30),"")</f>
        <v/>
      </c>
      <c r="AB9" s="52" t="str">
        <f>IF(AND('Mapa final'!$AA$25="Muy Alta",'Mapa final'!$AC$25="Mayor"),CONCATENATE("R4C",'Mapa final'!$Q$25),"")</f>
        <v/>
      </c>
      <c r="AC9" s="53" t="str">
        <f>IF(AND('Mapa final'!$AA$26="Muy Alta",'Mapa final'!$AC$26="Mayor"),CONCATENATE("R4C",'Mapa final'!$Q$26),"")</f>
        <v/>
      </c>
      <c r="AD9" s="58" t="str">
        <f>IF(AND('Mapa final'!$AA$27="Muy Alta",'Mapa final'!$AC$27="Mayor"),CONCATENATE("R4C",'Mapa final'!$Q$27),"")</f>
        <v/>
      </c>
      <c r="AE9" s="58" t="str">
        <f>IF(AND('Mapa final'!$AA$28="Muy Alta",'Mapa final'!$AC$28="Mayor"),CONCATENATE("R4C",'Mapa final'!$Q$28),"")</f>
        <v/>
      </c>
      <c r="AF9" s="58" t="str">
        <f>IF(AND('Mapa final'!$AA$29="Muy Alta",'Mapa final'!$AC$29="Mayor"),CONCATENATE("R4C",'Mapa final'!$Q$29),"")</f>
        <v/>
      </c>
      <c r="AG9" s="54" t="str">
        <f>IF(AND('Mapa final'!$AA$30="Muy Alta",'Mapa final'!$AC$30="Mayor"),CONCATENATE("R4C",'Mapa final'!$Q$30),"")</f>
        <v/>
      </c>
      <c r="AH9" s="55" t="str">
        <f>IF(AND('Mapa final'!$AA$25="Muy Alta",'Mapa final'!$AC$25="Catastrófico"),CONCATENATE("R4C",'Mapa final'!$Q$25),"")</f>
        <v/>
      </c>
      <c r="AI9" s="56" t="str">
        <f>IF(AND('Mapa final'!$AA$26="Muy Alta",'Mapa final'!$AC$26="Catastrófico"),CONCATENATE("R4C",'Mapa final'!$Q$26),"")</f>
        <v/>
      </c>
      <c r="AJ9" s="56" t="str">
        <f>IF(AND('Mapa final'!$AA$27="Muy Alta",'Mapa final'!$AC$27="Catastrófico"),CONCATENATE("R4C",'Mapa final'!$Q$27),"")</f>
        <v/>
      </c>
      <c r="AK9" s="56" t="str">
        <f>IF(AND('Mapa final'!$AA$28="Muy Alta",'Mapa final'!$AC$28="Catastrófico"),CONCATENATE("R4C",'Mapa final'!$Q$28),"")</f>
        <v/>
      </c>
      <c r="AL9" s="56" t="str">
        <f>IF(AND('Mapa final'!$AA$29="Muy Alta",'Mapa final'!$AC$29="Catastrófico"),CONCATENATE("R4C",'Mapa final'!$Q$29),"")</f>
        <v/>
      </c>
      <c r="AM9" s="57" t="str">
        <f>IF(AND('Mapa final'!$AA$30="Muy Alta",'Mapa final'!$AC$30="Catastrófico"),CONCATENATE("R4C",'Mapa final'!$Q$30),"")</f>
        <v/>
      </c>
      <c r="AN9" s="84"/>
      <c r="AO9" s="368"/>
      <c r="AP9" s="369"/>
      <c r="AQ9" s="369"/>
      <c r="AR9" s="369"/>
      <c r="AS9" s="369"/>
      <c r="AT9" s="370"/>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x14ac:dyDescent="0.25">
      <c r="A10" s="84"/>
      <c r="B10" s="260"/>
      <c r="C10" s="260"/>
      <c r="D10" s="261"/>
      <c r="E10" s="361"/>
      <c r="F10" s="362"/>
      <c r="G10" s="362"/>
      <c r="H10" s="362"/>
      <c r="I10" s="377"/>
      <c r="J10" s="52" t="str">
        <f>IF(AND('Mapa final'!$AA$31="Muy Alta",'Mapa final'!$AC$31="Leve"),CONCATENATE("R5C",'Mapa final'!$Q$31),"")</f>
        <v/>
      </c>
      <c r="K10" s="53" t="str">
        <f>IF(AND('Mapa final'!$AA$32="Muy Alta",'Mapa final'!$AC$32="Leve"),CONCATENATE("R5C",'Mapa final'!$Q$32),"")</f>
        <v/>
      </c>
      <c r="L10" s="58" t="str">
        <f>IF(AND('Mapa final'!$AA$33="Muy Alta",'Mapa final'!$AC$33="Leve"),CONCATENATE("R5C",'Mapa final'!$Q$33),"")</f>
        <v/>
      </c>
      <c r="M10" s="58" t="str">
        <f>IF(AND('Mapa final'!$AA$34="Muy Alta",'Mapa final'!$AC$34="Leve"),CONCATENATE("R5C",'Mapa final'!$Q$34),"")</f>
        <v/>
      </c>
      <c r="N10" s="58" t="str">
        <f>IF(AND('Mapa final'!$AA$35="Muy Alta",'Mapa final'!$AC$35="Leve"),CONCATENATE("R5C",'Mapa final'!$Q$35),"")</f>
        <v/>
      </c>
      <c r="O10" s="54" t="str">
        <f>IF(AND('Mapa final'!$AA$36="Muy Alta",'Mapa final'!$AC$36="Leve"),CONCATENATE("R5C",'Mapa final'!$Q$36),"")</f>
        <v/>
      </c>
      <c r="P10" s="52" t="str">
        <f>IF(AND('Mapa final'!$AA$31="Muy Alta",'Mapa final'!$AC$31="Menor"),CONCATENATE("R5C",'Mapa final'!$Q$31),"")</f>
        <v/>
      </c>
      <c r="Q10" s="53" t="str">
        <f>IF(AND('Mapa final'!$AA$32="Muy Alta",'Mapa final'!$AC$32="Menor"),CONCATENATE("R5C",'Mapa final'!$Q$32),"")</f>
        <v/>
      </c>
      <c r="R10" s="58" t="str">
        <f>IF(AND('Mapa final'!$AA$33="Muy Alta",'Mapa final'!$AC$33="Menor"),CONCATENATE("R5C",'Mapa final'!$Q$33),"")</f>
        <v/>
      </c>
      <c r="S10" s="58" t="str">
        <f>IF(AND('Mapa final'!$AA$34="Muy Alta",'Mapa final'!$AC$34="Menor"),CONCATENATE("R5C",'Mapa final'!$Q$34),"")</f>
        <v/>
      </c>
      <c r="T10" s="58" t="str">
        <f>IF(AND('Mapa final'!$AA$35="Muy Alta",'Mapa final'!$AC$35="Menor"),CONCATENATE("R5C",'Mapa final'!$Q$35),"")</f>
        <v/>
      </c>
      <c r="U10" s="54" t="str">
        <f>IF(AND('Mapa final'!$AA$36="Muy Alta",'Mapa final'!$AC$36="Menor"),CONCATENATE("R5C",'Mapa final'!$Q$36),"")</f>
        <v/>
      </c>
      <c r="V10" s="52" t="str">
        <f>IF(AND('Mapa final'!$AA$31="Muy Alta",'Mapa final'!$AC$31="Moderado"),CONCATENATE("R5C",'Mapa final'!$Q$31),"")</f>
        <v/>
      </c>
      <c r="W10" s="53" t="str">
        <f>IF(AND('Mapa final'!$AA$32="Muy Alta",'Mapa final'!$AC$32="Moderado"),CONCATENATE("R5C",'Mapa final'!$Q$32),"")</f>
        <v/>
      </c>
      <c r="X10" s="58" t="str">
        <f>IF(AND('Mapa final'!$AA$33="Muy Alta",'Mapa final'!$AC$33="Moderado"),CONCATENATE("R5C",'Mapa final'!$Q$33),"")</f>
        <v/>
      </c>
      <c r="Y10" s="58" t="str">
        <f>IF(AND('Mapa final'!$AA$34="Muy Alta",'Mapa final'!$AC$34="Moderado"),CONCATENATE("R5C",'Mapa final'!$Q$34),"")</f>
        <v/>
      </c>
      <c r="Z10" s="58" t="str">
        <f>IF(AND('Mapa final'!$AA$35="Muy Alta",'Mapa final'!$AC$35="Moderado"),CONCATENATE("R5C",'Mapa final'!$Q$35),"")</f>
        <v/>
      </c>
      <c r="AA10" s="54" t="str">
        <f>IF(AND('Mapa final'!$AA$36="Muy Alta",'Mapa final'!$AC$36="Moderado"),CONCATENATE("R5C",'Mapa final'!$Q$36),"")</f>
        <v/>
      </c>
      <c r="AB10" s="52" t="str">
        <f>IF(AND('Mapa final'!$AA$31="Muy Alta",'Mapa final'!$AC$31="Mayor"),CONCATENATE("R5C",'Mapa final'!$Q$31),"")</f>
        <v/>
      </c>
      <c r="AC10" s="53" t="str">
        <f>IF(AND('Mapa final'!$AA$32="Muy Alta",'Mapa final'!$AC$32="Mayor"),CONCATENATE("R5C",'Mapa final'!$Q$32),"")</f>
        <v/>
      </c>
      <c r="AD10" s="58" t="str">
        <f>IF(AND('Mapa final'!$AA$33="Muy Alta",'Mapa final'!$AC$33="Mayor"),CONCATENATE("R5C",'Mapa final'!$Q$33),"")</f>
        <v/>
      </c>
      <c r="AE10" s="58" t="str">
        <f>IF(AND('Mapa final'!$AA$34="Muy Alta",'Mapa final'!$AC$34="Mayor"),CONCATENATE("R5C",'Mapa final'!$Q$34),"")</f>
        <v/>
      </c>
      <c r="AF10" s="58" t="str">
        <f>IF(AND('Mapa final'!$AA$35="Muy Alta",'Mapa final'!$AC$35="Mayor"),CONCATENATE("R5C",'Mapa final'!$Q$35),"")</f>
        <v/>
      </c>
      <c r="AG10" s="54" t="str">
        <f>IF(AND('Mapa final'!$AA$36="Muy Alta",'Mapa final'!$AC$36="Mayor"),CONCATENATE("R5C",'Mapa final'!$Q$36),"")</f>
        <v/>
      </c>
      <c r="AH10" s="55" t="str">
        <f>IF(AND('Mapa final'!$AA$31="Muy Alta",'Mapa final'!$AC$31="Catastrófico"),CONCATENATE("R5C",'Mapa final'!$Q$31),"")</f>
        <v/>
      </c>
      <c r="AI10" s="56" t="str">
        <f>IF(AND('Mapa final'!$AA$32="Muy Alta",'Mapa final'!$AC$32="Catastrófico"),CONCATENATE("R5C",'Mapa final'!$Q$32),"")</f>
        <v/>
      </c>
      <c r="AJ10" s="56" t="str">
        <f>IF(AND('Mapa final'!$AA$33="Muy Alta",'Mapa final'!$AC$33="Catastrófico"),CONCATENATE("R5C",'Mapa final'!$Q$33),"")</f>
        <v/>
      </c>
      <c r="AK10" s="56" t="str">
        <f>IF(AND('Mapa final'!$AA$34="Muy Alta",'Mapa final'!$AC$34="Catastrófico"),CONCATENATE("R5C",'Mapa final'!$Q$34),"")</f>
        <v/>
      </c>
      <c r="AL10" s="56" t="str">
        <f>IF(AND('Mapa final'!$AA$35="Muy Alta",'Mapa final'!$AC$35="Catastrófico"),CONCATENATE("R5C",'Mapa final'!$Q$35),"")</f>
        <v/>
      </c>
      <c r="AM10" s="57" t="str">
        <f>IF(AND('Mapa final'!$AA$36="Muy Alta",'Mapa final'!$AC$36="Catastrófico"),CONCATENATE("R5C",'Mapa final'!$Q$36),"")</f>
        <v/>
      </c>
      <c r="AN10" s="84"/>
      <c r="AO10" s="368"/>
      <c r="AP10" s="369"/>
      <c r="AQ10" s="369"/>
      <c r="AR10" s="369"/>
      <c r="AS10" s="369"/>
      <c r="AT10" s="370"/>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x14ac:dyDescent="0.25">
      <c r="A11" s="84"/>
      <c r="B11" s="260"/>
      <c r="C11" s="260"/>
      <c r="D11" s="261"/>
      <c r="E11" s="361"/>
      <c r="F11" s="362"/>
      <c r="G11" s="362"/>
      <c r="H11" s="362"/>
      <c r="I11" s="377"/>
      <c r="J11" s="52" t="str">
        <f>IF(AND('Mapa final'!$AA$37="Muy Alta",'Mapa final'!$AC$37="Leve"),CONCATENATE("R6C",'Mapa final'!$Q$37),"")</f>
        <v/>
      </c>
      <c r="K11" s="53" t="str">
        <f>IF(AND('Mapa final'!$AA$38="Muy Alta",'Mapa final'!$AC$38="Leve"),CONCATENATE("R6C",'Mapa final'!$Q$38),"")</f>
        <v/>
      </c>
      <c r="L11" s="58" t="str">
        <f>IF(AND('Mapa final'!$AA$39="Muy Alta",'Mapa final'!$AC$39="Leve"),CONCATENATE("R6C",'Mapa final'!$Q$39),"")</f>
        <v/>
      </c>
      <c r="M11" s="58" t="str">
        <f>IF(AND('Mapa final'!$AA$40="Muy Alta",'Mapa final'!$AC$40="Leve"),CONCATENATE("R6C",'Mapa final'!$Q$40),"")</f>
        <v/>
      </c>
      <c r="N11" s="58" t="str">
        <f>IF(AND('Mapa final'!$AA$41="Muy Alta",'Mapa final'!$AC$41="Leve"),CONCATENATE("R6C",'Mapa final'!$Q$41),"")</f>
        <v/>
      </c>
      <c r="O11" s="54" t="str">
        <f>IF(AND('Mapa final'!$AA$42="Muy Alta",'Mapa final'!$AC$42="Leve"),CONCATENATE("R6C",'Mapa final'!$Q$42),"")</f>
        <v/>
      </c>
      <c r="P11" s="52" t="str">
        <f>IF(AND('Mapa final'!$AA$37="Muy Alta",'Mapa final'!$AC$37="Menor"),CONCATENATE("R6C",'Mapa final'!$Q$37),"")</f>
        <v/>
      </c>
      <c r="Q11" s="53" t="str">
        <f>IF(AND('Mapa final'!$AA$38="Muy Alta",'Mapa final'!$AC$38="Menor"),CONCATENATE("R6C",'Mapa final'!$Q$38),"")</f>
        <v/>
      </c>
      <c r="R11" s="58" t="str">
        <f>IF(AND('Mapa final'!$AA$39="Muy Alta",'Mapa final'!$AC$39="Menor"),CONCATENATE("R6C",'Mapa final'!$Q$39),"")</f>
        <v/>
      </c>
      <c r="S11" s="58" t="str">
        <f>IF(AND('Mapa final'!$AA$40="Muy Alta",'Mapa final'!$AC$40="Menor"),CONCATENATE("R6C",'Mapa final'!$Q$40),"")</f>
        <v/>
      </c>
      <c r="T11" s="58" t="str">
        <f>IF(AND('Mapa final'!$AA$41="Muy Alta",'Mapa final'!$AC$41="Menor"),CONCATENATE("R6C",'Mapa final'!$Q$41),"")</f>
        <v/>
      </c>
      <c r="U11" s="54" t="str">
        <f>IF(AND('Mapa final'!$AA$42="Muy Alta",'Mapa final'!$AC$42="Menor"),CONCATENATE("R6C",'Mapa final'!$Q$42),"")</f>
        <v/>
      </c>
      <c r="V11" s="52" t="str">
        <f>IF(AND('Mapa final'!$AA$37="Muy Alta",'Mapa final'!$AC$37="Moderado"),CONCATENATE("R6C",'Mapa final'!$Q$37),"")</f>
        <v/>
      </c>
      <c r="W11" s="53" t="str">
        <f>IF(AND('Mapa final'!$AA$38="Muy Alta",'Mapa final'!$AC$38="Moderado"),CONCATENATE("R6C",'Mapa final'!$Q$38),"")</f>
        <v/>
      </c>
      <c r="X11" s="58" t="str">
        <f>IF(AND('Mapa final'!$AA$39="Muy Alta",'Mapa final'!$AC$39="Moderado"),CONCATENATE("R6C",'Mapa final'!$Q$39),"")</f>
        <v/>
      </c>
      <c r="Y11" s="58" t="str">
        <f>IF(AND('Mapa final'!$AA$40="Muy Alta",'Mapa final'!$AC$40="Moderado"),CONCATENATE("R6C",'Mapa final'!$Q$40),"")</f>
        <v/>
      </c>
      <c r="Z11" s="58" t="str">
        <f>IF(AND('Mapa final'!$AA$41="Muy Alta",'Mapa final'!$AC$41="Moderado"),CONCATENATE("R6C",'Mapa final'!$Q$41),"")</f>
        <v/>
      </c>
      <c r="AA11" s="54" t="str">
        <f>IF(AND('Mapa final'!$AA$42="Muy Alta",'Mapa final'!$AC$42="Moderado"),CONCATENATE("R6C",'Mapa final'!$Q$42),"")</f>
        <v/>
      </c>
      <c r="AB11" s="52" t="str">
        <f>IF(AND('Mapa final'!$AA$37="Muy Alta",'Mapa final'!$AC$37="Mayor"),CONCATENATE("R6C",'Mapa final'!$Q$37),"")</f>
        <v/>
      </c>
      <c r="AC11" s="53" t="str">
        <f>IF(AND('Mapa final'!$AA$38="Muy Alta",'Mapa final'!$AC$38="Mayor"),CONCATENATE("R6C",'Mapa final'!$Q$38),"")</f>
        <v/>
      </c>
      <c r="AD11" s="58" t="str">
        <f>IF(AND('Mapa final'!$AA$39="Muy Alta",'Mapa final'!$AC$39="Mayor"),CONCATENATE("R6C",'Mapa final'!$Q$39),"")</f>
        <v/>
      </c>
      <c r="AE11" s="58" t="str">
        <f>IF(AND('Mapa final'!$AA$40="Muy Alta",'Mapa final'!$AC$40="Mayor"),CONCATENATE("R6C",'Mapa final'!$Q$40),"")</f>
        <v/>
      </c>
      <c r="AF11" s="58" t="str">
        <f>IF(AND('Mapa final'!$AA$41="Muy Alta",'Mapa final'!$AC$41="Mayor"),CONCATENATE("R6C",'Mapa final'!$Q$41),"")</f>
        <v/>
      </c>
      <c r="AG11" s="54" t="str">
        <f>IF(AND('Mapa final'!$AA$42="Muy Alta",'Mapa final'!$AC$42="Mayor"),CONCATENATE("R6C",'Mapa final'!$Q$42),"")</f>
        <v/>
      </c>
      <c r="AH11" s="55" t="str">
        <f>IF(AND('Mapa final'!$AA$37="Muy Alta",'Mapa final'!$AC$37="Catastrófico"),CONCATENATE("R6C",'Mapa final'!$Q$37),"")</f>
        <v/>
      </c>
      <c r="AI11" s="56" t="str">
        <f>IF(AND('Mapa final'!$AA$38="Muy Alta",'Mapa final'!$AC$38="Catastrófico"),CONCATENATE("R6C",'Mapa final'!$Q$38),"")</f>
        <v/>
      </c>
      <c r="AJ11" s="56" t="str">
        <f>IF(AND('Mapa final'!$AA$39="Muy Alta",'Mapa final'!$AC$39="Catastrófico"),CONCATENATE("R6C",'Mapa final'!$Q$39),"")</f>
        <v/>
      </c>
      <c r="AK11" s="56" t="str">
        <f>IF(AND('Mapa final'!$AA$40="Muy Alta",'Mapa final'!$AC$40="Catastrófico"),CONCATENATE("R6C",'Mapa final'!$Q$40),"")</f>
        <v/>
      </c>
      <c r="AL11" s="56" t="str">
        <f>IF(AND('Mapa final'!$AA$41="Muy Alta",'Mapa final'!$AC$41="Catastrófico"),CONCATENATE("R6C",'Mapa final'!$Q$41),"")</f>
        <v/>
      </c>
      <c r="AM11" s="57" t="str">
        <f>IF(AND('Mapa final'!$AA$42="Muy Alta",'Mapa final'!$AC$42="Catastrófico"),CONCATENATE("R6C",'Mapa final'!$Q$42),"")</f>
        <v/>
      </c>
      <c r="AN11" s="84"/>
      <c r="AO11" s="368"/>
      <c r="AP11" s="369"/>
      <c r="AQ11" s="369"/>
      <c r="AR11" s="369"/>
      <c r="AS11" s="369"/>
      <c r="AT11" s="370"/>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x14ac:dyDescent="0.25">
      <c r="A12" s="84"/>
      <c r="B12" s="260"/>
      <c r="C12" s="260"/>
      <c r="D12" s="261"/>
      <c r="E12" s="361"/>
      <c r="F12" s="362"/>
      <c r="G12" s="362"/>
      <c r="H12" s="362"/>
      <c r="I12" s="377"/>
      <c r="J12" s="52" t="str">
        <f>IF(AND('Mapa final'!$AA$43="Muy Alta",'Mapa final'!$AC$43="Leve"),CONCATENATE("R7C",'Mapa final'!$Q$43),"")</f>
        <v/>
      </c>
      <c r="K12" s="53" t="str">
        <f>IF(AND('Mapa final'!$AA$44="Muy Alta",'Mapa final'!$AC$44="Leve"),CONCATENATE("R7C",'Mapa final'!$Q$44),"")</f>
        <v/>
      </c>
      <c r="L12" s="58" t="str">
        <f>IF(AND('Mapa final'!$AA$45="Muy Alta",'Mapa final'!$AC$45="Leve"),CONCATENATE("R7C",'Mapa final'!$Q$45),"")</f>
        <v/>
      </c>
      <c r="M12" s="58" t="str">
        <f>IF(AND('Mapa final'!$AA$46="Muy Alta",'Mapa final'!$AC$46="Leve"),CONCATENATE("R7C",'Mapa final'!$Q$46),"")</f>
        <v/>
      </c>
      <c r="N12" s="58" t="str">
        <f>IF(AND('Mapa final'!$AA$47="Muy Alta",'Mapa final'!$AC$47="Leve"),CONCATENATE("R7C",'Mapa final'!$Q$47),"")</f>
        <v/>
      </c>
      <c r="O12" s="54" t="str">
        <f>IF(AND('Mapa final'!$AA$48="Muy Alta",'Mapa final'!$AC$48="Leve"),CONCATENATE("R7C",'Mapa final'!$Q$48),"")</f>
        <v/>
      </c>
      <c r="P12" s="52" t="str">
        <f>IF(AND('Mapa final'!$AA$43="Muy Alta",'Mapa final'!$AC$43="Menor"),CONCATENATE("R7C",'Mapa final'!$Q$43),"")</f>
        <v/>
      </c>
      <c r="Q12" s="53" t="str">
        <f>IF(AND('Mapa final'!$AA$44="Muy Alta",'Mapa final'!$AC$44="Menor"),CONCATENATE("R7C",'Mapa final'!$Q$44),"")</f>
        <v/>
      </c>
      <c r="R12" s="58" t="str">
        <f>IF(AND('Mapa final'!$AA$45="Muy Alta",'Mapa final'!$AC$45="Menor"),CONCATENATE("R7C",'Mapa final'!$Q$45),"")</f>
        <v/>
      </c>
      <c r="S12" s="58" t="str">
        <f>IF(AND('Mapa final'!$AA$46="Muy Alta",'Mapa final'!$AC$46="Menor"),CONCATENATE("R7C",'Mapa final'!$Q$46),"")</f>
        <v/>
      </c>
      <c r="T12" s="58" t="str">
        <f>IF(AND('Mapa final'!$AA$47="Muy Alta",'Mapa final'!$AC$47="Menor"),CONCATENATE("R7C",'Mapa final'!$Q$47),"")</f>
        <v/>
      </c>
      <c r="U12" s="54" t="str">
        <f>IF(AND('Mapa final'!$AA$48="Muy Alta",'Mapa final'!$AC$48="Menor"),CONCATENATE("R7C",'Mapa final'!$Q$48),"")</f>
        <v/>
      </c>
      <c r="V12" s="52" t="str">
        <f>IF(AND('Mapa final'!$AA$43="Muy Alta",'Mapa final'!$AC$43="Moderado"),CONCATENATE("R7C",'Mapa final'!$Q$43),"")</f>
        <v/>
      </c>
      <c r="W12" s="53" t="str">
        <f>IF(AND('Mapa final'!$AA$44="Muy Alta",'Mapa final'!$AC$44="Moderado"),CONCATENATE("R7C",'Mapa final'!$Q$44),"")</f>
        <v/>
      </c>
      <c r="X12" s="58" t="str">
        <f>IF(AND('Mapa final'!$AA$45="Muy Alta",'Mapa final'!$AC$45="Moderado"),CONCATENATE("R7C",'Mapa final'!$Q$45),"")</f>
        <v/>
      </c>
      <c r="Y12" s="58" t="str">
        <f>IF(AND('Mapa final'!$AA$46="Muy Alta",'Mapa final'!$AC$46="Moderado"),CONCATENATE("R7C",'Mapa final'!$Q$46),"")</f>
        <v/>
      </c>
      <c r="Z12" s="58" t="str">
        <f>IF(AND('Mapa final'!$AA$47="Muy Alta",'Mapa final'!$AC$47="Moderado"),CONCATENATE("R7C",'Mapa final'!$Q$47),"")</f>
        <v/>
      </c>
      <c r="AA12" s="54" t="str">
        <f>IF(AND('Mapa final'!$AA$48="Muy Alta",'Mapa final'!$AC$48="Moderado"),CONCATENATE("R7C",'Mapa final'!$Q$48),"")</f>
        <v/>
      </c>
      <c r="AB12" s="52" t="str">
        <f>IF(AND('Mapa final'!$AA$43="Muy Alta",'Mapa final'!$AC$43="Mayor"),CONCATENATE("R7C",'Mapa final'!$Q$43),"")</f>
        <v/>
      </c>
      <c r="AC12" s="53" t="str">
        <f>IF(AND('Mapa final'!$AA$44="Muy Alta",'Mapa final'!$AC$44="Mayor"),CONCATENATE("R7C",'Mapa final'!$Q$44),"")</f>
        <v/>
      </c>
      <c r="AD12" s="58" t="str">
        <f>IF(AND('Mapa final'!$AA$45="Muy Alta",'Mapa final'!$AC$45="Mayor"),CONCATENATE("R7C",'Mapa final'!$Q$45),"")</f>
        <v/>
      </c>
      <c r="AE12" s="58" t="str">
        <f>IF(AND('Mapa final'!$AA$46="Muy Alta",'Mapa final'!$AC$46="Mayor"),CONCATENATE("R7C",'Mapa final'!$Q$46),"")</f>
        <v/>
      </c>
      <c r="AF12" s="58" t="str">
        <f>IF(AND('Mapa final'!$AA$47="Muy Alta",'Mapa final'!$AC$47="Mayor"),CONCATENATE("R7C",'Mapa final'!$Q$47),"")</f>
        <v/>
      </c>
      <c r="AG12" s="54" t="str">
        <f>IF(AND('Mapa final'!$AA$48="Muy Alta",'Mapa final'!$AC$48="Mayor"),CONCATENATE("R7C",'Mapa final'!$Q$48),"")</f>
        <v/>
      </c>
      <c r="AH12" s="55" t="str">
        <f>IF(AND('Mapa final'!$AA$43="Muy Alta",'Mapa final'!$AC$43="Catastrófico"),CONCATENATE("R7C",'Mapa final'!$Q$43),"")</f>
        <v/>
      </c>
      <c r="AI12" s="56" t="str">
        <f>IF(AND('Mapa final'!$AA$44="Muy Alta",'Mapa final'!$AC$44="Catastrófico"),CONCATENATE("R7C",'Mapa final'!$Q$44),"")</f>
        <v/>
      </c>
      <c r="AJ12" s="56" t="str">
        <f>IF(AND('Mapa final'!$AA$45="Muy Alta",'Mapa final'!$AC$45="Catastrófico"),CONCATENATE("R7C",'Mapa final'!$Q$45),"")</f>
        <v/>
      </c>
      <c r="AK12" s="56" t="str">
        <f>IF(AND('Mapa final'!$AA$46="Muy Alta",'Mapa final'!$AC$46="Catastrófico"),CONCATENATE("R7C",'Mapa final'!$Q$46),"")</f>
        <v/>
      </c>
      <c r="AL12" s="56" t="str">
        <f>IF(AND('Mapa final'!$AA$47="Muy Alta",'Mapa final'!$AC$47="Catastrófico"),CONCATENATE("R7C",'Mapa final'!$Q$47),"")</f>
        <v/>
      </c>
      <c r="AM12" s="57" t="str">
        <f>IF(AND('Mapa final'!$AA$48="Muy Alta",'Mapa final'!$AC$48="Catastrófico"),CONCATENATE("R7C",'Mapa final'!$Q$48),"")</f>
        <v/>
      </c>
      <c r="AN12" s="84"/>
      <c r="AO12" s="368"/>
      <c r="AP12" s="369"/>
      <c r="AQ12" s="369"/>
      <c r="AR12" s="369"/>
      <c r="AS12" s="369"/>
      <c r="AT12" s="370"/>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x14ac:dyDescent="0.25">
      <c r="A13" s="84"/>
      <c r="B13" s="260"/>
      <c r="C13" s="260"/>
      <c r="D13" s="261"/>
      <c r="E13" s="361"/>
      <c r="F13" s="362"/>
      <c r="G13" s="362"/>
      <c r="H13" s="362"/>
      <c r="I13" s="377"/>
      <c r="J13" s="52" t="str">
        <f>IF(AND('Mapa final'!$AA$49="Muy Alta",'Mapa final'!$AC$49="Leve"),CONCATENATE("R8C",'Mapa final'!$Q$49),"")</f>
        <v/>
      </c>
      <c r="K13" s="53" t="str">
        <f>IF(AND('Mapa final'!$AA$50="Muy Alta",'Mapa final'!$AC$50="Leve"),CONCATENATE("R8C",'Mapa final'!$Q$50),"")</f>
        <v/>
      </c>
      <c r="L13" s="58" t="str">
        <f>IF(AND('Mapa final'!$AA$51="Muy Alta",'Mapa final'!$AC$51="Leve"),CONCATENATE("R8C",'Mapa final'!$Q$51),"")</f>
        <v/>
      </c>
      <c r="M13" s="58" t="str">
        <f>IF(AND('Mapa final'!$AA$52="Muy Alta",'Mapa final'!$AC$52="Leve"),CONCATENATE("R8C",'Mapa final'!$Q$52),"")</f>
        <v/>
      </c>
      <c r="N13" s="58" t="str">
        <f>IF(AND('Mapa final'!$AA$53="Muy Alta",'Mapa final'!$AC$53="Leve"),CONCATENATE("R8C",'Mapa final'!$Q$53),"")</f>
        <v/>
      </c>
      <c r="O13" s="54" t="str">
        <f>IF(AND('Mapa final'!$AA$54="Muy Alta",'Mapa final'!$AC$54="Leve"),CONCATENATE("R8C",'Mapa final'!$Q$54),"")</f>
        <v/>
      </c>
      <c r="P13" s="52" t="str">
        <f>IF(AND('Mapa final'!$AA$49="Muy Alta",'Mapa final'!$AC$49="Menor"),CONCATENATE("R8C",'Mapa final'!$Q$49),"")</f>
        <v/>
      </c>
      <c r="Q13" s="53" t="str">
        <f>IF(AND('Mapa final'!$AA$50="Muy Alta",'Mapa final'!$AC$50="Menor"),CONCATENATE("R8C",'Mapa final'!$Q$50),"")</f>
        <v/>
      </c>
      <c r="R13" s="58" t="str">
        <f>IF(AND('Mapa final'!$AA$51="Muy Alta",'Mapa final'!$AC$51="Menor"),CONCATENATE("R8C",'Mapa final'!$Q$51),"")</f>
        <v/>
      </c>
      <c r="S13" s="58" t="str">
        <f>IF(AND('Mapa final'!$AA$52="Muy Alta",'Mapa final'!$AC$52="Menor"),CONCATENATE("R8C",'Mapa final'!$Q$52),"")</f>
        <v/>
      </c>
      <c r="T13" s="58" t="str">
        <f>IF(AND('Mapa final'!$AA$53="Muy Alta",'Mapa final'!$AC$53="Menor"),CONCATENATE("R8C",'Mapa final'!$Q$53),"")</f>
        <v/>
      </c>
      <c r="U13" s="54" t="str">
        <f>IF(AND('Mapa final'!$AA$54="Muy Alta",'Mapa final'!$AC$54="Menor"),CONCATENATE("R8C",'Mapa final'!$Q$54),"")</f>
        <v/>
      </c>
      <c r="V13" s="52" t="str">
        <f>IF(AND('Mapa final'!$AA$49="Muy Alta",'Mapa final'!$AC$49="Moderado"),CONCATENATE("R8C",'Mapa final'!$Q$49),"")</f>
        <v/>
      </c>
      <c r="W13" s="53" t="str">
        <f>IF(AND('Mapa final'!$AA$50="Muy Alta",'Mapa final'!$AC$50="Moderado"),CONCATENATE("R8C",'Mapa final'!$Q$50),"")</f>
        <v/>
      </c>
      <c r="X13" s="58" t="str">
        <f>IF(AND('Mapa final'!$AA$51="Muy Alta",'Mapa final'!$AC$51="Moderado"),CONCATENATE("R8C",'Mapa final'!$Q$51),"")</f>
        <v/>
      </c>
      <c r="Y13" s="58" t="str">
        <f>IF(AND('Mapa final'!$AA$52="Muy Alta",'Mapa final'!$AC$52="Moderado"),CONCATENATE("R8C",'Mapa final'!$Q$52),"")</f>
        <v/>
      </c>
      <c r="Z13" s="58" t="str">
        <f>IF(AND('Mapa final'!$AA$53="Muy Alta",'Mapa final'!$AC$53="Moderado"),CONCATENATE("R8C",'Mapa final'!$Q$53),"")</f>
        <v/>
      </c>
      <c r="AA13" s="54" t="str">
        <f>IF(AND('Mapa final'!$AA$54="Muy Alta",'Mapa final'!$AC$54="Moderado"),CONCATENATE("R8C",'Mapa final'!$Q$54),"")</f>
        <v/>
      </c>
      <c r="AB13" s="52" t="str">
        <f>IF(AND('Mapa final'!$AA$49="Muy Alta",'Mapa final'!$AC$49="Mayor"),CONCATENATE("R8C",'Mapa final'!$Q$49),"")</f>
        <v/>
      </c>
      <c r="AC13" s="53" t="str">
        <f>IF(AND('Mapa final'!$AA$50="Muy Alta",'Mapa final'!$AC$50="Mayor"),CONCATENATE("R8C",'Mapa final'!$Q$50),"")</f>
        <v/>
      </c>
      <c r="AD13" s="58" t="str">
        <f>IF(AND('Mapa final'!$AA$51="Muy Alta",'Mapa final'!$AC$51="Mayor"),CONCATENATE("R8C",'Mapa final'!$Q$51),"")</f>
        <v/>
      </c>
      <c r="AE13" s="58" t="str">
        <f>IF(AND('Mapa final'!$AA$52="Muy Alta",'Mapa final'!$AC$52="Mayor"),CONCATENATE("R8C",'Mapa final'!$Q$52),"")</f>
        <v/>
      </c>
      <c r="AF13" s="58" t="str">
        <f>IF(AND('Mapa final'!$AA$53="Muy Alta",'Mapa final'!$AC$53="Mayor"),CONCATENATE("R8C",'Mapa final'!$Q$53),"")</f>
        <v/>
      </c>
      <c r="AG13" s="54" t="str">
        <f>IF(AND('Mapa final'!$AA$54="Muy Alta",'Mapa final'!$AC$54="Mayor"),CONCATENATE("R8C",'Mapa final'!$Q$54),"")</f>
        <v/>
      </c>
      <c r="AH13" s="55" t="str">
        <f>IF(AND('Mapa final'!$AA$49="Muy Alta",'Mapa final'!$AC$49="Catastrófico"),CONCATENATE("R8C",'Mapa final'!$Q$49),"")</f>
        <v/>
      </c>
      <c r="AI13" s="56" t="str">
        <f>IF(AND('Mapa final'!$AA$50="Muy Alta",'Mapa final'!$AC$50="Catastrófico"),CONCATENATE("R8C",'Mapa final'!$Q$50),"")</f>
        <v/>
      </c>
      <c r="AJ13" s="56" t="str">
        <f>IF(AND('Mapa final'!$AA$51="Muy Alta",'Mapa final'!$AC$51="Catastrófico"),CONCATENATE("R8C",'Mapa final'!$Q$51),"")</f>
        <v/>
      </c>
      <c r="AK13" s="56" t="str">
        <f>IF(AND('Mapa final'!$AA$52="Muy Alta",'Mapa final'!$AC$52="Catastrófico"),CONCATENATE("R8C",'Mapa final'!$Q$52),"")</f>
        <v/>
      </c>
      <c r="AL13" s="56" t="str">
        <f>IF(AND('Mapa final'!$AA$53="Muy Alta",'Mapa final'!$AC$53="Catastrófico"),CONCATENATE("R8C",'Mapa final'!$Q$53),"")</f>
        <v/>
      </c>
      <c r="AM13" s="57" t="str">
        <f>IF(AND('Mapa final'!$AA$54="Muy Alta",'Mapa final'!$AC$54="Catastrófico"),CONCATENATE("R8C",'Mapa final'!$Q$54),"")</f>
        <v/>
      </c>
      <c r="AN13" s="84"/>
      <c r="AO13" s="368"/>
      <c r="AP13" s="369"/>
      <c r="AQ13" s="369"/>
      <c r="AR13" s="369"/>
      <c r="AS13" s="369"/>
      <c r="AT13" s="37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x14ac:dyDescent="0.25">
      <c r="A14" s="84"/>
      <c r="B14" s="260"/>
      <c r="C14" s="260"/>
      <c r="D14" s="261"/>
      <c r="E14" s="361"/>
      <c r="F14" s="362"/>
      <c r="G14" s="362"/>
      <c r="H14" s="362"/>
      <c r="I14" s="377"/>
      <c r="J14" s="52" t="str">
        <f>IF(AND('Mapa final'!$AA$55="Muy Alta",'Mapa final'!$AC$55="Leve"),CONCATENATE("R9C",'Mapa final'!$Q$55),"")</f>
        <v/>
      </c>
      <c r="K14" s="53" t="str">
        <f>IF(AND('Mapa final'!$AA$56="Muy Alta",'Mapa final'!$AC$56="Leve"),CONCATENATE("R9C",'Mapa final'!$Q$56),"")</f>
        <v/>
      </c>
      <c r="L14" s="58" t="str">
        <f>IF(AND('Mapa final'!$AA$57="Muy Alta",'Mapa final'!$AC$57="Leve"),CONCATENATE("R9C",'Mapa final'!$Q$57),"")</f>
        <v/>
      </c>
      <c r="M14" s="58" t="str">
        <f>IF(AND('Mapa final'!$AA$58="Muy Alta",'Mapa final'!$AC$58="Leve"),CONCATENATE("R9C",'Mapa final'!$Q$58),"")</f>
        <v/>
      </c>
      <c r="N14" s="58" t="str">
        <f>IF(AND('Mapa final'!$AA$59="Muy Alta",'Mapa final'!$AC$59="Leve"),CONCATENATE("R9C",'Mapa final'!$Q$59),"")</f>
        <v/>
      </c>
      <c r="O14" s="54" t="str">
        <f>IF(AND('Mapa final'!$AA$60="Muy Alta",'Mapa final'!$AC$60="Leve"),CONCATENATE("R9C",'Mapa final'!$Q$60),"")</f>
        <v/>
      </c>
      <c r="P14" s="52" t="str">
        <f>IF(AND('Mapa final'!$AA$55="Muy Alta",'Mapa final'!$AC$55="Menor"),CONCATENATE("R9C",'Mapa final'!$Q$55),"")</f>
        <v/>
      </c>
      <c r="Q14" s="53" t="str">
        <f>IF(AND('Mapa final'!$AA$56="Muy Alta",'Mapa final'!$AC$56="Menor"),CONCATENATE("R9C",'Mapa final'!$Q$56),"")</f>
        <v/>
      </c>
      <c r="R14" s="58" t="str">
        <f>IF(AND('Mapa final'!$AA$57="Muy Alta",'Mapa final'!$AC$57="Menor"),CONCATENATE("R9C",'Mapa final'!$Q$57),"")</f>
        <v/>
      </c>
      <c r="S14" s="58" t="str">
        <f>IF(AND('Mapa final'!$AA$58="Muy Alta",'Mapa final'!$AC$58="Menor"),CONCATENATE("R9C",'Mapa final'!$Q$58),"")</f>
        <v/>
      </c>
      <c r="T14" s="58" t="str">
        <f>IF(AND('Mapa final'!$AA$59="Muy Alta",'Mapa final'!$AC$59="Menor"),CONCATENATE("R9C",'Mapa final'!$Q$59),"")</f>
        <v/>
      </c>
      <c r="U14" s="54" t="str">
        <f>IF(AND('Mapa final'!$AA$60="Muy Alta",'Mapa final'!$AC$60="Menor"),CONCATENATE("R9C",'Mapa final'!$Q$60),"")</f>
        <v/>
      </c>
      <c r="V14" s="52" t="str">
        <f>IF(AND('Mapa final'!$AA$55="Muy Alta",'Mapa final'!$AC$55="Moderado"),CONCATENATE("R9C",'Mapa final'!$Q$55),"")</f>
        <v/>
      </c>
      <c r="W14" s="53" t="str">
        <f>IF(AND('Mapa final'!$AA$56="Muy Alta",'Mapa final'!$AC$56="Moderado"),CONCATENATE("R9C",'Mapa final'!$Q$56),"")</f>
        <v/>
      </c>
      <c r="X14" s="58" t="str">
        <f>IF(AND('Mapa final'!$AA$57="Muy Alta",'Mapa final'!$AC$57="Moderado"),CONCATENATE("R9C",'Mapa final'!$Q$57),"")</f>
        <v/>
      </c>
      <c r="Y14" s="58" t="str">
        <f>IF(AND('Mapa final'!$AA$58="Muy Alta",'Mapa final'!$AC$58="Moderado"),CONCATENATE("R9C",'Mapa final'!$Q$58),"")</f>
        <v/>
      </c>
      <c r="Z14" s="58" t="str">
        <f>IF(AND('Mapa final'!$AA$59="Muy Alta",'Mapa final'!$AC$59="Moderado"),CONCATENATE("R9C",'Mapa final'!$Q$59),"")</f>
        <v/>
      </c>
      <c r="AA14" s="54" t="str">
        <f>IF(AND('Mapa final'!$AA$60="Muy Alta",'Mapa final'!$AC$60="Moderado"),CONCATENATE("R9C",'Mapa final'!$Q$60),"")</f>
        <v/>
      </c>
      <c r="AB14" s="52" t="str">
        <f>IF(AND('Mapa final'!$AA$55="Muy Alta",'Mapa final'!$AC$55="Mayor"),CONCATENATE("R9C",'Mapa final'!$Q$55),"")</f>
        <v/>
      </c>
      <c r="AC14" s="53" t="str">
        <f>IF(AND('Mapa final'!$AA$56="Muy Alta",'Mapa final'!$AC$56="Mayor"),CONCATENATE("R9C",'Mapa final'!$Q$56),"")</f>
        <v/>
      </c>
      <c r="AD14" s="58" t="str">
        <f>IF(AND('Mapa final'!$AA$57="Muy Alta",'Mapa final'!$AC$57="Mayor"),CONCATENATE("R9C",'Mapa final'!$Q$57),"")</f>
        <v/>
      </c>
      <c r="AE14" s="58" t="str">
        <f>IF(AND('Mapa final'!$AA$58="Muy Alta",'Mapa final'!$AC$58="Mayor"),CONCATENATE("R9C",'Mapa final'!$Q$58),"")</f>
        <v/>
      </c>
      <c r="AF14" s="58" t="str">
        <f>IF(AND('Mapa final'!$AA$59="Muy Alta",'Mapa final'!$AC$59="Mayor"),CONCATENATE("R9C",'Mapa final'!$Q$59),"")</f>
        <v/>
      </c>
      <c r="AG14" s="54" t="str">
        <f>IF(AND('Mapa final'!$AA$60="Muy Alta",'Mapa final'!$AC$60="Mayor"),CONCATENATE("R9C",'Mapa final'!$Q$60),"")</f>
        <v/>
      </c>
      <c r="AH14" s="55" t="str">
        <f>IF(AND('Mapa final'!$AA$55="Muy Alta",'Mapa final'!$AC$55="Catastrófico"),CONCATENATE("R9C",'Mapa final'!$Q$55),"")</f>
        <v/>
      </c>
      <c r="AI14" s="56" t="str">
        <f>IF(AND('Mapa final'!$AA$56="Muy Alta",'Mapa final'!$AC$56="Catastrófico"),CONCATENATE("R9C",'Mapa final'!$Q$56),"")</f>
        <v/>
      </c>
      <c r="AJ14" s="56" t="str">
        <f>IF(AND('Mapa final'!$AA$57="Muy Alta",'Mapa final'!$AC$57="Catastrófico"),CONCATENATE("R9C",'Mapa final'!$Q$57),"")</f>
        <v/>
      </c>
      <c r="AK14" s="56" t="str">
        <f>IF(AND('Mapa final'!$AA$58="Muy Alta",'Mapa final'!$AC$58="Catastrófico"),CONCATENATE("R9C",'Mapa final'!$Q$58),"")</f>
        <v/>
      </c>
      <c r="AL14" s="56" t="str">
        <f>IF(AND('Mapa final'!$AA$59="Muy Alta",'Mapa final'!$AC$59="Catastrófico"),CONCATENATE("R9C",'Mapa final'!$Q$59),"")</f>
        <v/>
      </c>
      <c r="AM14" s="57" t="str">
        <f>IF(AND('Mapa final'!$AA$60="Muy Alta",'Mapa final'!$AC$60="Catastrófico"),CONCATENATE("R9C",'Mapa final'!$Q$60),"")</f>
        <v/>
      </c>
      <c r="AN14" s="84"/>
      <c r="AO14" s="368"/>
      <c r="AP14" s="369"/>
      <c r="AQ14" s="369"/>
      <c r="AR14" s="369"/>
      <c r="AS14" s="369"/>
      <c r="AT14" s="370"/>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x14ac:dyDescent="0.3">
      <c r="A15" s="84"/>
      <c r="B15" s="260"/>
      <c r="C15" s="260"/>
      <c r="D15" s="261"/>
      <c r="E15" s="363"/>
      <c r="F15" s="364"/>
      <c r="G15" s="364"/>
      <c r="H15" s="364"/>
      <c r="I15" s="378"/>
      <c r="J15" s="59" t="str">
        <f>IF(AND('Mapa final'!$AA$61="Muy Alta",'Mapa final'!$AC$61="Leve"),CONCATENATE("R10C",'Mapa final'!$Q$61),"")</f>
        <v/>
      </c>
      <c r="K15" s="60" t="str">
        <f>IF(AND('Mapa final'!$AA$62="Muy Alta",'Mapa final'!$AC$62="Leve"),CONCATENATE("R10C",'Mapa final'!$Q$62),"")</f>
        <v/>
      </c>
      <c r="L15" s="60" t="str">
        <f>IF(AND('Mapa final'!$AA$63="Muy Alta",'Mapa final'!$AC$63="Leve"),CONCATENATE("R10C",'Mapa final'!$Q$63),"")</f>
        <v/>
      </c>
      <c r="M15" s="60" t="str">
        <f>IF(AND('Mapa final'!$AA$64="Muy Alta",'Mapa final'!$AC$64="Leve"),CONCATENATE("R10C",'Mapa final'!$Q$64),"")</f>
        <v/>
      </c>
      <c r="N15" s="60" t="str">
        <f>IF(AND('Mapa final'!$AA$65="Muy Alta",'Mapa final'!$AC$65="Leve"),CONCATENATE("R10C",'Mapa final'!$Q$65),"")</f>
        <v/>
      </c>
      <c r="O15" s="61" t="str">
        <f>IF(AND('Mapa final'!$AA$66="Muy Alta",'Mapa final'!$AC$66="Leve"),CONCATENATE("R10C",'Mapa final'!$Q$66),"")</f>
        <v/>
      </c>
      <c r="P15" s="52" t="str">
        <f>IF(AND('Mapa final'!$AA$61="Muy Alta",'Mapa final'!$AC$61="Menor"),CONCATENATE("R10C",'Mapa final'!$Q$61),"")</f>
        <v/>
      </c>
      <c r="Q15" s="53" t="str">
        <f>IF(AND('Mapa final'!$AA$62="Muy Alta",'Mapa final'!$AC$62="Menor"),CONCATENATE("R10C",'Mapa final'!$Q$62),"")</f>
        <v/>
      </c>
      <c r="R15" s="53" t="str">
        <f>IF(AND('Mapa final'!$AA$63="Muy Alta",'Mapa final'!$AC$63="Menor"),CONCATENATE("R10C",'Mapa final'!$Q$63),"")</f>
        <v/>
      </c>
      <c r="S15" s="53" t="str">
        <f>IF(AND('Mapa final'!$AA$64="Muy Alta",'Mapa final'!$AC$64="Menor"),CONCATENATE("R10C",'Mapa final'!$Q$64),"")</f>
        <v/>
      </c>
      <c r="T15" s="53" t="str">
        <f>IF(AND('Mapa final'!$AA$65="Muy Alta",'Mapa final'!$AC$65="Menor"),CONCATENATE("R10C",'Mapa final'!$Q$65),"")</f>
        <v/>
      </c>
      <c r="U15" s="54" t="str">
        <f>IF(AND('Mapa final'!$AA$66="Muy Alta",'Mapa final'!$AC$66="Menor"),CONCATENATE("R10C",'Mapa final'!$Q$66),"")</f>
        <v/>
      </c>
      <c r="V15" s="59" t="str">
        <f>IF(AND('Mapa final'!$AA$61="Muy Alta",'Mapa final'!$AC$61="Moderado"),CONCATENATE("R10C",'Mapa final'!$Q$61),"")</f>
        <v/>
      </c>
      <c r="W15" s="60" t="str">
        <f>IF(AND('Mapa final'!$AA$62="Muy Alta",'Mapa final'!$AC$62="Moderado"),CONCATENATE("R10C",'Mapa final'!$Q$62),"")</f>
        <v/>
      </c>
      <c r="X15" s="60" t="str">
        <f>IF(AND('Mapa final'!$AA$63="Muy Alta",'Mapa final'!$AC$63="Moderado"),CONCATENATE("R10C",'Mapa final'!$Q$63),"")</f>
        <v/>
      </c>
      <c r="Y15" s="60" t="str">
        <f>IF(AND('Mapa final'!$AA$64="Muy Alta",'Mapa final'!$AC$64="Moderado"),CONCATENATE("R10C",'Mapa final'!$Q$64),"")</f>
        <v/>
      </c>
      <c r="Z15" s="60" t="str">
        <f>IF(AND('Mapa final'!$AA$65="Muy Alta",'Mapa final'!$AC$65="Moderado"),CONCATENATE("R10C",'Mapa final'!$Q$65),"")</f>
        <v/>
      </c>
      <c r="AA15" s="61" t="str">
        <f>IF(AND('Mapa final'!$AA$66="Muy Alta",'Mapa final'!$AC$66="Moderado"),CONCATENATE("R10C",'Mapa final'!$Q$66),"")</f>
        <v/>
      </c>
      <c r="AB15" s="52" t="str">
        <f>IF(AND('Mapa final'!$AA$61="Muy Alta",'Mapa final'!$AC$61="Mayor"),CONCATENATE("R10C",'Mapa final'!$Q$61),"")</f>
        <v/>
      </c>
      <c r="AC15" s="53" t="str">
        <f>IF(AND('Mapa final'!$AA$62="Muy Alta",'Mapa final'!$AC$62="Mayor"),CONCATENATE("R10C",'Mapa final'!$Q$62),"")</f>
        <v/>
      </c>
      <c r="AD15" s="53" t="str">
        <f>IF(AND('Mapa final'!$AA$63="Muy Alta",'Mapa final'!$AC$63="Mayor"),CONCATENATE("R10C",'Mapa final'!$Q$63),"")</f>
        <v/>
      </c>
      <c r="AE15" s="53" t="str">
        <f>IF(AND('Mapa final'!$AA$64="Muy Alta",'Mapa final'!$AC$64="Mayor"),CONCATENATE("R10C",'Mapa final'!$Q$64),"")</f>
        <v/>
      </c>
      <c r="AF15" s="53" t="str">
        <f>IF(AND('Mapa final'!$AA$65="Muy Alta",'Mapa final'!$AC$65="Mayor"),CONCATENATE("R10C",'Mapa final'!$Q$65),"")</f>
        <v/>
      </c>
      <c r="AG15" s="54" t="str">
        <f>IF(AND('Mapa final'!$AA$66="Muy Alta",'Mapa final'!$AC$66="Mayor"),CONCATENATE("R10C",'Mapa final'!$Q$66),"")</f>
        <v/>
      </c>
      <c r="AH15" s="62" t="str">
        <f>IF(AND('Mapa final'!$AA$61="Muy Alta",'Mapa final'!$AC$61="Catastrófico"),CONCATENATE("R10C",'Mapa final'!$Q$61),"")</f>
        <v/>
      </c>
      <c r="AI15" s="63" t="str">
        <f>IF(AND('Mapa final'!$AA$62="Muy Alta",'Mapa final'!$AC$62="Catastrófico"),CONCATENATE("R10C",'Mapa final'!$Q$62),"")</f>
        <v/>
      </c>
      <c r="AJ15" s="63" t="str">
        <f>IF(AND('Mapa final'!$AA$63="Muy Alta",'Mapa final'!$AC$63="Catastrófico"),CONCATENATE("R10C",'Mapa final'!$Q$63),"")</f>
        <v/>
      </c>
      <c r="AK15" s="63" t="str">
        <f>IF(AND('Mapa final'!$AA$64="Muy Alta",'Mapa final'!$AC$64="Catastrófico"),CONCATENATE("R10C",'Mapa final'!$Q$64),"")</f>
        <v/>
      </c>
      <c r="AL15" s="63" t="str">
        <f>IF(AND('Mapa final'!$AA$65="Muy Alta",'Mapa final'!$AC$65="Catastrófico"),CONCATENATE("R10C",'Mapa final'!$Q$65),"")</f>
        <v/>
      </c>
      <c r="AM15" s="64" t="str">
        <f>IF(AND('Mapa final'!$AA$66="Muy Alta",'Mapa final'!$AC$66="Catastrófico"),CONCATENATE("R10C",'Mapa final'!$Q$66),"")</f>
        <v/>
      </c>
      <c r="AN15" s="84"/>
      <c r="AO15" s="371"/>
      <c r="AP15" s="372"/>
      <c r="AQ15" s="372"/>
      <c r="AR15" s="372"/>
      <c r="AS15" s="372"/>
      <c r="AT15" s="373"/>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x14ac:dyDescent="0.25">
      <c r="A16" s="84"/>
      <c r="B16" s="260"/>
      <c r="C16" s="260"/>
      <c r="D16" s="261"/>
      <c r="E16" s="357" t="s">
        <v>115</v>
      </c>
      <c r="F16" s="358"/>
      <c r="G16" s="358"/>
      <c r="H16" s="358"/>
      <c r="I16" s="358"/>
      <c r="J16" s="65" t="str">
        <f ca="1">IF(AND('Mapa final'!$AA$10="Alta",'Mapa final'!$AC$10="Leve"),CONCATENATE("R1C",'Mapa final'!$Q$10),"")</f>
        <v/>
      </c>
      <c r="K16" s="66" t="str">
        <f ca="1">IF(AND('Mapa final'!$AA$11="Alta",'Mapa final'!$AC$11="Leve"),CONCATENATE("R1C",'Mapa final'!$Q$11),"")</f>
        <v/>
      </c>
      <c r="L16" s="66" t="str">
        <f ca="1">IF(AND('Mapa final'!$AA$12="Alta",'Mapa final'!$AC$12="Leve"),CONCATENATE("R1C",'Mapa final'!$Q$12),"")</f>
        <v/>
      </c>
      <c r="M16" s="66" t="e">
        <f>IF(AND('Mapa final'!#REF!="Alta",'Mapa final'!#REF!="Leve"),CONCATENATE("R1C",'Mapa final'!#REF!),"")</f>
        <v>#REF!</v>
      </c>
      <c r="N16" s="66" t="e">
        <f>IF(AND('Mapa final'!#REF!="Alta",'Mapa final'!#REF!="Leve"),CONCATENATE("R1C",'Mapa final'!#REF!),"")</f>
        <v>#REF!</v>
      </c>
      <c r="O16" s="67" t="e">
        <f>IF(AND('Mapa final'!#REF!="Alta",'Mapa final'!#REF!="Leve"),CONCATENATE("R1C",'Mapa final'!#REF!),"")</f>
        <v>#REF!</v>
      </c>
      <c r="P16" s="65" t="str">
        <f ca="1">IF(AND('Mapa final'!$AA$10="Alta",'Mapa final'!$AC$10="Menor"),CONCATENATE("R1C",'Mapa final'!$Q$10),"")</f>
        <v/>
      </c>
      <c r="Q16" s="66" t="str">
        <f ca="1">IF(AND('Mapa final'!$AA$11="Alta",'Mapa final'!$AC$11="Menor"),CONCATENATE("R1C",'Mapa final'!$Q$11),"")</f>
        <v/>
      </c>
      <c r="R16" s="66" t="str">
        <f ca="1">IF(AND('Mapa final'!$AA$12="Alta",'Mapa final'!$AC$12="Menor"),CONCATENATE("R1C",'Mapa final'!$Q$12),"")</f>
        <v/>
      </c>
      <c r="S16" s="66" t="e">
        <f>IF(AND('Mapa final'!#REF!="Alta",'Mapa final'!#REF!="Menor"),CONCATENATE("R1C",'Mapa final'!#REF!),"")</f>
        <v>#REF!</v>
      </c>
      <c r="T16" s="66" t="e">
        <f>IF(AND('Mapa final'!#REF!="Alta",'Mapa final'!#REF!="Menor"),CONCATENATE("R1C",'Mapa final'!#REF!),"")</f>
        <v>#REF!</v>
      </c>
      <c r="U16" s="67" t="e">
        <f>IF(AND('Mapa final'!#REF!="Alta",'Mapa final'!#REF!="Menor"),CONCATENATE("R1C",'Mapa final'!#REF!),"")</f>
        <v>#REF!</v>
      </c>
      <c r="V16" s="46" t="str">
        <f ca="1">IF(AND('Mapa final'!$AA$10="Alta",'Mapa final'!$AC$10="Moderado"),CONCATENATE("R1C",'Mapa final'!$Q$10),"")</f>
        <v/>
      </c>
      <c r="W16" s="47" t="str">
        <f ca="1">IF(AND('Mapa final'!$AA$11="Alta",'Mapa final'!$AC$11="Moderado"),CONCATENATE("R1C",'Mapa final'!$Q$11),"")</f>
        <v/>
      </c>
      <c r="X16" s="47" t="str">
        <f ca="1">IF(AND('Mapa final'!$AA$12="Alta",'Mapa final'!$AC$12="Moderado"),CONCATENATE("R1C",'Mapa final'!$Q$12),"")</f>
        <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 ca="1">IF(AND('Mapa final'!$AA$10="Alta",'Mapa final'!$AC$10="Mayor"),CONCATENATE("R1C",'Mapa final'!$Q$10),"")</f>
        <v/>
      </c>
      <c r="AC16" s="47" t="str">
        <f ca="1">IF(AND('Mapa final'!$AA$11="Alta",'Mapa final'!$AC$11="Mayor"),CONCATENATE("R1C",'Mapa final'!$Q$11),"")</f>
        <v/>
      </c>
      <c r="AD16" s="47" t="str">
        <f ca="1">IF(AND('Mapa final'!$AA$12="Alta",'Mapa final'!$AC$12="Mayor"),CONCATENATE("R1C",'Mapa final'!$Q$12),"")</f>
        <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 ca="1">IF(AND('Mapa final'!$AA$10="Alta",'Mapa final'!$AC$10="Catastrófico"),CONCATENATE("R1C",'Mapa final'!$Q$10),"")</f>
        <v/>
      </c>
      <c r="AI16" s="50" t="str">
        <f ca="1">IF(AND('Mapa final'!$AA$11="Alta",'Mapa final'!$AC$11="Catastrófico"),CONCATENATE("R1C",'Mapa final'!$Q$11),"")</f>
        <v/>
      </c>
      <c r="AJ16" s="50" t="str">
        <f ca="1">IF(AND('Mapa final'!$AA$12="Alta",'Mapa final'!$AC$12="Catastrófico"),CONCATENATE("R1C",'Mapa final'!$Q$12),"")</f>
        <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4"/>
      <c r="AO16" s="348" t="s">
        <v>80</v>
      </c>
      <c r="AP16" s="349"/>
      <c r="AQ16" s="349"/>
      <c r="AR16" s="349"/>
      <c r="AS16" s="349"/>
      <c r="AT16" s="350"/>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x14ac:dyDescent="0.25">
      <c r="A17" s="84"/>
      <c r="B17" s="260"/>
      <c r="C17" s="260"/>
      <c r="D17" s="261"/>
      <c r="E17" s="359"/>
      <c r="F17" s="360"/>
      <c r="G17" s="360"/>
      <c r="H17" s="360"/>
      <c r="I17" s="360"/>
      <c r="J17" s="68" t="str">
        <f ca="1">IF(AND([1]Hoja1!$X$2="Alta",[1]Hoja1!$Z$2="Leve"),CONCATENATE("R2C",[1]Hoja1!$N$2),"")</f>
        <v/>
      </c>
      <c r="K17" s="69" t="str">
        <f ca="1">IF(AND([1]Hoja1!$X$3="Alta",[1]Hoja1!$Z$3="Leve"),CONCATENATE("R2C",[1]Hoja1!$N$3),"")</f>
        <v/>
      </c>
      <c r="L17" s="69" t="str">
        <f>IF(AND([1]Hoja1!$X$4="Alta",[1]Hoja1!$Z$4="Leve"),CONCATENATE("R2C",[1]Hoja1!$N$4),"")</f>
        <v/>
      </c>
      <c r="M17" s="69" t="str">
        <f>IF(AND([1]Hoja1!$X$5="Alta",[1]Hoja1!$Z$5="Leve"),CONCATENATE("R2C",[1]Hoja1!$N$5),"")</f>
        <v/>
      </c>
      <c r="N17" s="69" t="str">
        <f>IF(AND([1]Hoja1!$X$6="Alta",[1]Hoja1!$Z$6="Leve"),CONCATENATE("R2C",[1]Hoja1!$N$6),"")</f>
        <v/>
      </c>
      <c r="O17" s="70" t="str">
        <f>IF(AND([1]Hoja1!$X$7="Alta",[1]Hoja1!$Z$7="Leve"),CONCATENATE("R2C",[1]Hoja1!$N$7),"")</f>
        <v/>
      </c>
      <c r="P17" s="68" t="str">
        <f ca="1">IF(AND([1]Hoja1!$X$2="Alta",[1]Hoja1!$Z$2="Menor"),CONCATENATE("R2C",[1]Hoja1!$N$2),"")</f>
        <v/>
      </c>
      <c r="Q17" s="69" t="str">
        <f ca="1">IF(AND([1]Hoja1!$X$3="Alta",[1]Hoja1!$Z$3="Menor"),CONCATENATE("R2C",[1]Hoja1!$N$3),"")</f>
        <v/>
      </c>
      <c r="R17" s="69" t="str">
        <f>IF(AND([1]Hoja1!$X$4="Alta",[1]Hoja1!$Z$4="Menor"),CONCATENATE("R2C",[1]Hoja1!$N$4),"")</f>
        <v/>
      </c>
      <c r="S17" s="69" t="str">
        <f>IF(AND([1]Hoja1!$X$5="Alta",[1]Hoja1!$Z$5="Menor"),CONCATENATE("R2C",[1]Hoja1!$N$5),"")</f>
        <v/>
      </c>
      <c r="T17" s="69" t="str">
        <f>IF(AND([1]Hoja1!$X$6="Alta",[1]Hoja1!$Z$6="Menor"),CONCATENATE("R2C",[1]Hoja1!$N$6),"")</f>
        <v/>
      </c>
      <c r="U17" s="70" t="str">
        <f>IF(AND([1]Hoja1!$X$7="Alta",[1]Hoja1!$Z$7="Menor"),CONCATENATE("R2C",[1]Hoja1!$N$7),"")</f>
        <v/>
      </c>
      <c r="V17" s="52" t="str">
        <f ca="1">IF(AND([1]Hoja1!$X$2="Alta",[1]Hoja1!$Z$2="Moderado"),CONCATENATE("R2C",[1]Hoja1!$N$2),"")</f>
        <v/>
      </c>
      <c r="W17" s="53" t="str">
        <f ca="1">IF(AND([1]Hoja1!$X$3="Alta",[1]Hoja1!$Z$3="Moderado"),CONCATENATE("R2C",[1]Hoja1!$N$3),"")</f>
        <v/>
      </c>
      <c r="X17" s="53" t="str">
        <f>IF(AND([1]Hoja1!$X$4="Alta",[1]Hoja1!$Z$4="Moderado"),CONCATENATE("R2C",[1]Hoja1!$N$4),"")</f>
        <v/>
      </c>
      <c r="Y17" s="53" t="str">
        <f>IF(AND([1]Hoja1!$X$5="Alta",[1]Hoja1!$Z$5="Moderado"),CONCATENATE("R2C",[1]Hoja1!$N$5),"")</f>
        <v/>
      </c>
      <c r="Z17" s="53" t="str">
        <f>IF(AND([1]Hoja1!$X$6="Alta",[1]Hoja1!$Z$6="Moderado"),CONCATENATE("R2C",[1]Hoja1!$N$6),"")</f>
        <v/>
      </c>
      <c r="AA17" s="54" t="str">
        <f>IF(AND([1]Hoja1!$X$7="Alta",[1]Hoja1!$Z$7="Moderado"),CONCATENATE("R2C",[1]Hoja1!$N$7),"")</f>
        <v/>
      </c>
      <c r="AB17" s="52" t="str">
        <f ca="1">IF(AND([1]Hoja1!$X$2="Alta",[1]Hoja1!$Z$2="Mayor"),CONCATENATE("R2C",[1]Hoja1!$N$2),"")</f>
        <v/>
      </c>
      <c r="AC17" s="53" t="str">
        <f ca="1">IF(AND([1]Hoja1!$X$3="Alta",[1]Hoja1!$Z$3="Mayor"),CONCATENATE("R2C",[1]Hoja1!$N$3),"")</f>
        <v/>
      </c>
      <c r="AD17" s="53" t="str">
        <f>IF(AND([1]Hoja1!$X$4="Alta",[1]Hoja1!$Z$4="Mayor"),CONCATENATE("R2C",[1]Hoja1!$N$4),"")</f>
        <v/>
      </c>
      <c r="AE17" s="53" t="str">
        <f>IF(AND([1]Hoja1!$X$5="Alta",[1]Hoja1!$Z$5="Mayor"),CONCATENATE("R2C",[1]Hoja1!$N$5),"")</f>
        <v/>
      </c>
      <c r="AF17" s="53" t="str">
        <f>IF(AND([1]Hoja1!$X$6="Alta",[1]Hoja1!$Z$6="Mayor"),CONCATENATE("R2C",[1]Hoja1!$N$6),"")</f>
        <v/>
      </c>
      <c r="AG17" s="54" t="str">
        <f>IF(AND([1]Hoja1!$X$7="Alta",[1]Hoja1!$Z$7="Mayor"),CONCATENATE("R2C",[1]Hoja1!$N$7),"")</f>
        <v/>
      </c>
      <c r="AH17" s="55" t="str">
        <f ca="1">IF(AND([1]Hoja1!$X$2="Alta",[1]Hoja1!$Z$2="Catastrófico"),CONCATENATE("R2C",[1]Hoja1!$N$2),"")</f>
        <v/>
      </c>
      <c r="AI17" s="56" t="str">
        <f ca="1">IF(AND([1]Hoja1!$X$3="Alta",[1]Hoja1!$Z$3="Catastrófico"),CONCATENATE("R2C",[1]Hoja1!$N$3),"")</f>
        <v/>
      </c>
      <c r="AJ17" s="56" t="str">
        <f>IF(AND([1]Hoja1!$X$4="Alta",[1]Hoja1!$Z$4="Catastrófico"),CONCATENATE("R2C",[1]Hoja1!$N$4),"")</f>
        <v/>
      </c>
      <c r="AK17" s="56" t="str">
        <f>IF(AND([1]Hoja1!$X$5="Alta",[1]Hoja1!$Z$5="Catastrófico"),CONCATENATE("R2C",[1]Hoja1!$N$5),"")</f>
        <v/>
      </c>
      <c r="AL17" s="56" t="str">
        <f>IF(AND([1]Hoja1!$X$6="Alta",[1]Hoja1!$Z$6="Catastrófico"),CONCATENATE("R2C",[1]Hoja1!$N$6),"")</f>
        <v/>
      </c>
      <c r="AM17" s="57" t="str">
        <f>IF(AND([1]Hoja1!$X$7="Alta",[1]Hoja1!$Z$7="Catastrófico"),CONCATENATE("R2C",[1]Hoja1!$N$7),"")</f>
        <v/>
      </c>
      <c r="AN17" s="84"/>
      <c r="AO17" s="351"/>
      <c r="AP17" s="352"/>
      <c r="AQ17" s="352"/>
      <c r="AR17" s="352"/>
      <c r="AS17" s="352"/>
      <c r="AT17" s="353"/>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x14ac:dyDescent="0.25">
      <c r="A18" s="84"/>
      <c r="B18" s="260"/>
      <c r="C18" s="260"/>
      <c r="D18" s="261"/>
      <c r="E18" s="361"/>
      <c r="F18" s="362"/>
      <c r="G18" s="362"/>
      <c r="H18" s="362"/>
      <c r="I18" s="360"/>
      <c r="J18" s="68" t="str">
        <f>IF(AND('Mapa final'!$AA$19="Alta",'Mapa final'!$AC$19="Leve"),CONCATENATE("R3C",'Mapa final'!$Q$19),"")</f>
        <v/>
      </c>
      <c r="K18" s="69" t="str">
        <f>IF(AND('Mapa final'!$AA$20="Alta",'Mapa final'!$AC$20="Leve"),CONCATENATE("R3C",'Mapa final'!$Q$20),"")</f>
        <v/>
      </c>
      <c r="L18" s="69" t="str">
        <f>IF(AND('Mapa final'!$AA$21="Alta",'Mapa final'!$AC$21="Leve"),CONCATENATE("R3C",'Mapa final'!$Q$21),"")</f>
        <v/>
      </c>
      <c r="M18" s="69" t="str">
        <f>IF(AND('Mapa final'!$AA$22="Alta",'Mapa final'!$AC$22="Leve"),CONCATENATE("R3C",'Mapa final'!$Q$22),"")</f>
        <v/>
      </c>
      <c r="N18" s="69" t="str">
        <f>IF(AND('Mapa final'!$AA$23="Alta",'Mapa final'!$AC$23="Leve"),CONCATENATE("R3C",'Mapa final'!$Q$23),"")</f>
        <v/>
      </c>
      <c r="O18" s="70" t="str">
        <f>IF(AND('Mapa final'!$AA$24="Alta",'Mapa final'!$AC$24="Leve"),CONCATENATE("R3C",'Mapa final'!$Q$24),"")</f>
        <v/>
      </c>
      <c r="P18" s="68" t="str">
        <f>IF(AND('Mapa final'!$AA$19="Alta",'Mapa final'!$AC$19="Menor"),CONCATENATE("R3C",'Mapa final'!$Q$19),"")</f>
        <v/>
      </c>
      <c r="Q18" s="69" t="str">
        <f>IF(AND('Mapa final'!$AA$20="Alta",'Mapa final'!$AC$20="Menor"),CONCATENATE("R3C",'Mapa final'!$Q$20),"")</f>
        <v/>
      </c>
      <c r="R18" s="69" t="str">
        <f>IF(AND('Mapa final'!$AA$21="Alta",'Mapa final'!$AC$21="Menor"),CONCATENATE("R3C",'Mapa final'!$Q$21),"")</f>
        <v/>
      </c>
      <c r="S18" s="69" t="str">
        <f>IF(AND('Mapa final'!$AA$22="Alta",'Mapa final'!$AC$22="Menor"),CONCATENATE("R3C",'Mapa final'!$Q$22),"")</f>
        <v/>
      </c>
      <c r="T18" s="69" t="str">
        <f>IF(AND('Mapa final'!$AA$23="Alta",'Mapa final'!$AC$23="Menor"),CONCATENATE("R3C",'Mapa final'!$Q$23),"")</f>
        <v/>
      </c>
      <c r="U18" s="70" t="str">
        <f>IF(AND('Mapa final'!$AA$24="Alta",'Mapa final'!$AC$24="Menor"),CONCATENATE("R3C",'Mapa final'!$Q$24),"")</f>
        <v/>
      </c>
      <c r="V18" s="52" t="str">
        <f>IF(AND('Mapa final'!$AA$19="Alta",'Mapa final'!$AC$19="Moderado"),CONCATENATE("R3C",'Mapa final'!$Q$19),"")</f>
        <v/>
      </c>
      <c r="W18" s="53" t="str">
        <f>IF(AND('Mapa final'!$AA$20="Alta",'Mapa final'!$AC$20="Moderado"),CONCATENATE("R3C",'Mapa final'!$Q$20),"")</f>
        <v/>
      </c>
      <c r="X18" s="53" t="str">
        <f>IF(AND('Mapa final'!$AA$21="Alta",'Mapa final'!$AC$21="Moderado"),CONCATENATE("R3C",'Mapa final'!$Q$21),"")</f>
        <v/>
      </c>
      <c r="Y18" s="53" t="str">
        <f>IF(AND('Mapa final'!$AA$22="Alta",'Mapa final'!$AC$22="Moderado"),CONCATENATE("R3C",'Mapa final'!$Q$22),"")</f>
        <v/>
      </c>
      <c r="Z18" s="53" t="str">
        <f>IF(AND('Mapa final'!$AA$23="Alta",'Mapa final'!$AC$23="Moderado"),CONCATENATE("R3C",'Mapa final'!$Q$23),"")</f>
        <v/>
      </c>
      <c r="AA18" s="54" t="str">
        <f>IF(AND('Mapa final'!$AA$24="Alta",'Mapa final'!$AC$24="Moderado"),CONCATENATE("R3C",'Mapa final'!$Q$24),"")</f>
        <v/>
      </c>
      <c r="AB18" s="52" t="str">
        <f>IF(AND('Mapa final'!$AA$19="Alta",'Mapa final'!$AC$19="Mayor"),CONCATENATE("R3C",'Mapa final'!$Q$19),"")</f>
        <v/>
      </c>
      <c r="AC18" s="53" t="str">
        <f>IF(AND('Mapa final'!$AA$20="Alta",'Mapa final'!$AC$20="Mayor"),CONCATENATE("R3C",'Mapa final'!$Q$20),"")</f>
        <v/>
      </c>
      <c r="AD18" s="53" t="str">
        <f>IF(AND('Mapa final'!$AA$21="Alta",'Mapa final'!$AC$21="Mayor"),CONCATENATE("R3C",'Mapa final'!$Q$21),"")</f>
        <v/>
      </c>
      <c r="AE18" s="53" t="str">
        <f>IF(AND('Mapa final'!$AA$22="Alta",'Mapa final'!$AC$22="Mayor"),CONCATENATE("R3C",'Mapa final'!$Q$22),"")</f>
        <v/>
      </c>
      <c r="AF18" s="53" t="str">
        <f>IF(AND('Mapa final'!$AA$23="Alta",'Mapa final'!$AC$23="Mayor"),CONCATENATE("R3C",'Mapa final'!$Q$23),"")</f>
        <v/>
      </c>
      <c r="AG18" s="54" t="str">
        <f>IF(AND('Mapa final'!$AA$24="Alta",'Mapa final'!$AC$24="Mayor"),CONCATENATE("R3C",'Mapa final'!$Q$24),"")</f>
        <v/>
      </c>
      <c r="AH18" s="55" t="str">
        <f>IF(AND('Mapa final'!$AA$19="Alta",'Mapa final'!$AC$19="Catastrófico"),CONCATENATE("R3C",'Mapa final'!$Q$19),"")</f>
        <v/>
      </c>
      <c r="AI18" s="56" t="str">
        <f>IF(AND('Mapa final'!$AA$20="Alta",'Mapa final'!$AC$20="Catastrófico"),CONCATENATE("R3C",'Mapa final'!$Q$20),"")</f>
        <v/>
      </c>
      <c r="AJ18" s="56" t="str">
        <f>IF(AND('Mapa final'!$AA$21="Alta",'Mapa final'!$AC$21="Catastrófico"),CONCATENATE("R3C",'Mapa final'!$Q$21),"")</f>
        <v/>
      </c>
      <c r="AK18" s="56" t="str">
        <f>IF(AND('Mapa final'!$AA$22="Alta",'Mapa final'!$AC$22="Catastrófico"),CONCATENATE("R3C",'Mapa final'!$Q$22),"")</f>
        <v/>
      </c>
      <c r="AL18" s="56" t="str">
        <f>IF(AND('Mapa final'!$AA$23="Alta",'Mapa final'!$AC$23="Catastrófico"),CONCATENATE("R3C",'Mapa final'!$Q$23),"")</f>
        <v/>
      </c>
      <c r="AM18" s="57" t="str">
        <f>IF(AND('Mapa final'!$AA$24="Alta",'Mapa final'!$AC$24="Catastrófico"),CONCATENATE("R3C",'Mapa final'!$Q$24),"")</f>
        <v/>
      </c>
      <c r="AN18" s="84"/>
      <c r="AO18" s="351"/>
      <c r="AP18" s="352"/>
      <c r="AQ18" s="352"/>
      <c r="AR18" s="352"/>
      <c r="AS18" s="352"/>
      <c r="AT18" s="353"/>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x14ac:dyDescent="0.25">
      <c r="A19" s="84"/>
      <c r="B19" s="260"/>
      <c r="C19" s="260"/>
      <c r="D19" s="261"/>
      <c r="E19" s="361"/>
      <c r="F19" s="362"/>
      <c r="G19" s="362"/>
      <c r="H19" s="362"/>
      <c r="I19" s="360"/>
      <c r="J19" s="68" t="str">
        <f>IF(AND('Mapa final'!$AA$25="Alta",'Mapa final'!$AC$25="Leve"),CONCATENATE("R4C",'Mapa final'!$Q$25),"")</f>
        <v/>
      </c>
      <c r="K19" s="69" t="str">
        <f>IF(AND('Mapa final'!$AA$26="Alta",'Mapa final'!$AC$26="Leve"),CONCATENATE("R4C",'Mapa final'!$Q$26),"")</f>
        <v/>
      </c>
      <c r="L19" s="69" t="str">
        <f>IF(AND('Mapa final'!$AA$27="Alta",'Mapa final'!$AC$27="Leve"),CONCATENATE("R4C",'Mapa final'!$Q$27),"")</f>
        <v/>
      </c>
      <c r="M19" s="69" t="str">
        <f>IF(AND('Mapa final'!$AA$28="Alta",'Mapa final'!$AC$28="Leve"),CONCATENATE("R4C",'Mapa final'!$Q$28),"")</f>
        <v/>
      </c>
      <c r="N19" s="69" t="str">
        <f>IF(AND('Mapa final'!$AA$29="Alta",'Mapa final'!$AC$29="Leve"),CONCATENATE("R4C",'Mapa final'!$Q$29),"")</f>
        <v/>
      </c>
      <c r="O19" s="70" t="str">
        <f>IF(AND('Mapa final'!$AA$30="Alta",'Mapa final'!$AC$30="Leve"),CONCATENATE("R4C",'Mapa final'!$Q$30),"")</f>
        <v/>
      </c>
      <c r="P19" s="68" t="str">
        <f>IF(AND('Mapa final'!$AA$25="Alta",'Mapa final'!$AC$25="Menor"),CONCATENATE("R4C",'Mapa final'!$Q$25),"")</f>
        <v/>
      </c>
      <c r="Q19" s="69" t="str">
        <f>IF(AND('Mapa final'!$AA$26="Alta",'Mapa final'!$AC$26="Menor"),CONCATENATE("R4C",'Mapa final'!$Q$26),"")</f>
        <v/>
      </c>
      <c r="R19" s="69" t="str">
        <f>IF(AND('Mapa final'!$AA$27="Alta",'Mapa final'!$AC$27="Menor"),CONCATENATE("R4C",'Mapa final'!$Q$27),"")</f>
        <v/>
      </c>
      <c r="S19" s="69" t="str">
        <f>IF(AND('Mapa final'!$AA$28="Alta",'Mapa final'!$AC$28="Menor"),CONCATENATE("R4C",'Mapa final'!$Q$28),"")</f>
        <v/>
      </c>
      <c r="T19" s="69" t="str">
        <f>IF(AND('Mapa final'!$AA$29="Alta",'Mapa final'!$AC$29="Menor"),CONCATENATE("R4C",'Mapa final'!$Q$29),"")</f>
        <v/>
      </c>
      <c r="U19" s="70" t="str">
        <f>IF(AND('Mapa final'!$AA$30="Alta",'Mapa final'!$AC$30="Menor"),CONCATENATE("R4C",'Mapa final'!$Q$30),"")</f>
        <v/>
      </c>
      <c r="V19" s="52" t="str">
        <f>IF(AND('Mapa final'!$AA$25="Alta",'Mapa final'!$AC$25="Moderado"),CONCATENATE("R4C",'Mapa final'!$Q$25),"")</f>
        <v/>
      </c>
      <c r="W19" s="53" t="str">
        <f>IF(AND('Mapa final'!$AA$26="Alta",'Mapa final'!$AC$26="Moderado"),CONCATENATE("R4C",'Mapa final'!$Q$26),"")</f>
        <v/>
      </c>
      <c r="X19" s="58" t="str">
        <f>IF(AND('Mapa final'!$AA$27="Alta",'Mapa final'!$AC$27="Moderado"),CONCATENATE("R4C",'Mapa final'!$Q$27),"")</f>
        <v/>
      </c>
      <c r="Y19" s="58" t="str">
        <f>IF(AND('Mapa final'!$AA$28="Alta",'Mapa final'!$AC$28="Moderado"),CONCATENATE("R4C",'Mapa final'!$Q$28),"")</f>
        <v/>
      </c>
      <c r="Z19" s="58" t="str">
        <f>IF(AND('Mapa final'!$AA$29="Alta",'Mapa final'!$AC$29="Moderado"),CONCATENATE("R4C",'Mapa final'!$Q$29),"")</f>
        <v/>
      </c>
      <c r="AA19" s="54" t="str">
        <f>IF(AND('Mapa final'!$AA$30="Alta",'Mapa final'!$AC$30="Moderado"),CONCATENATE("R4C",'Mapa final'!$Q$30),"")</f>
        <v/>
      </c>
      <c r="AB19" s="52" t="str">
        <f>IF(AND('Mapa final'!$AA$25="Alta",'Mapa final'!$AC$25="Mayor"),CONCATENATE("R4C",'Mapa final'!$Q$25),"")</f>
        <v/>
      </c>
      <c r="AC19" s="53" t="str">
        <f>IF(AND('Mapa final'!$AA$26="Alta",'Mapa final'!$AC$26="Mayor"),CONCATENATE("R4C",'Mapa final'!$Q$26),"")</f>
        <v/>
      </c>
      <c r="AD19" s="58" t="str">
        <f>IF(AND('Mapa final'!$AA$27="Alta",'Mapa final'!$AC$27="Mayor"),CONCATENATE("R4C",'Mapa final'!$Q$27),"")</f>
        <v/>
      </c>
      <c r="AE19" s="58" t="str">
        <f>IF(AND('Mapa final'!$AA$28="Alta",'Mapa final'!$AC$28="Mayor"),CONCATENATE("R4C",'Mapa final'!$Q$28),"")</f>
        <v/>
      </c>
      <c r="AF19" s="58" t="str">
        <f>IF(AND('Mapa final'!$AA$29="Alta",'Mapa final'!$AC$29="Mayor"),CONCATENATE("R4C",'Mapa final'!$Q$29),"")</f>
        <v/>
      </c>
      <c r="AG19" s="54" t="str">
        <f>IF(AND('Mapa final'!$AA$30="Alta",'Mapa final'!$AC$30="Mayor"),CONCATENATE("R4C",'Mapa final'!$Q$30),"")</f>
        <v/>
      </c>
      <c r="AH19" s="55" t="str">
        <f>IF(AND('Mapa final'!$AA$25="Alta",'Mapa final'!$AC$25="Catastrófico"),CONCATENATE("R4C",'Mapa final'!$Q$25),"")</f>
        <v/>
      </c>
      <c r="AI19" s="56" t="str">
        <f>IF(AND('Mapa final'!$AA$26="Alta",'Mapa final'!$AC$26="Catastrófico"),CONCATENATE("R4C",'Mapa final'!$Q$26),"")</f>
        <v/>
      </c>
      <c r="AJ19" s="56" t="str">
        <f>IF(AND('Mapa final'!$AA$27="Alta",'Mapa final'!$AC$27="Catastrófico"),CONCATENATE("R4C",'Mapa final'!$Q$27),"")</f>
        <v/>
      </c>
      <c r="AK19" s="56" t="str">
        <f>IF(AND('Mapa final'!$AA$28="Alta",'Mapa final'!$AC$28="Catastrófico"),CONCATENATE("R4C",'Mapa final'!$Q$28),"")</f>
        <v/>
      </c>
      <c r="AL19" s="56" t="str">
        <f>IF(AND('Mapa final'!$AA$29="Alta",'Mapa final'!$AC$29="Catastrófico"),CONCATENATE("R4C",'Mapa final'!$Q$29),"")</f>
        <v/>
      </c>
      <c r="AM19" s="57" t="str">
        <f>IF(AND('Mapa final'!$AA$30="Alta",'Mapa final'!$AC$30="Catastrófico"),CONCATENATE("R4C",'Mapa final'!$Q$30),"")</f>
        <v/>
      </c>
      <c r="AN19" s="84"/>
      <c r="AO19" s="351"/>
      <c r="AP19" s="352"/>
      <c r="AQ19" s="352"/>
      <c r="AR19" s="352"/>
      <c r="AS19" s="352"/>
      <c r="AT19" s="353"/>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x14ac:dyDescent="0.25">
      <c r="A20" s="84"/>
      <c r="B20" s="260"/>
      <c r="C20" s="260"/>
      <c r="D20" s="261"/>
      <c r="E20" s="361"/>
      <c r="F20" s="362"/>
      <c r="G20" s="362"/>
      <c r="H20" s="362"/>
      <c r="I20" s="360"/>
      <c r="J20" s="68" t="str">
        <f>IF(AND('Mapa final'!$AA$31="Alta",'Mapa final'!$AC$31="Leve"),CONCATENATE("R5C",'Mapa final'!$Q$31),"")</f>
        <v/>
      </c>
      <c r="K20" s="69" t="str">
        <f>IF(AND('Mapa final'!$AA$32="Alta",'Mapa final'!$AC$32="Leve"),CONCATENATE("R5C",'Mapa final'!$Q$32),"")</f>
        <v/>
      </c>
      <c r="L20" s="69" t="str">
        <f>IF(AND('Mapa final'!$AA$33="Alta",'Mapa final'!$AC$33="Leve"),CONCATENATE("R5C",'Mapa final'!$Q$33),"")</f>
        <v/>
      </c>
      <c r="M20" s="69" t="str">
        <f>IF(AND('Mapa final'!$AA$34="Alta",'Mapa final'!$AC$34="Leve"),CONCATENATE("R5C",'Mapa final'!$Q$34),"")</f>
        <v/>
      </c>
      <c r="N20" s="69" t="str">
        <f>IF(AND('Mapa final'!$AA$35="Alta",'Mapa final'!$AC$35="Leve"),CONCATENATE("R5C",'Mapa final'!$Q$35),"")</f>
        <v/>
      </c>
      <c r="O20" s="70" t="str">
        <f>IF(AND('Mapa final'!$AA$36="Alta",'Mapa final'!$AC$36="Leve"),CONCATENATE("R5C",'Mapa final'!$Q$36),"")</f>
        <v/>
      </c>
      <c r="P20" s="68" t="str">
        <f>IF(AND('Mapa final'!$AA$31="Alta",'Mapa final'!$AC$31="Menor"),CONCATENATE("R5C",'Mapa final'!$Q$31),"")</f>
        <v/>
      </c>
      <c r="Q20" s="69" t="str">
        <f>IF(AND('Mapa final'!$AA$32="Alta",'Mapa final'!$AC$32="Menor"),CONCATENATE("R5C",'Mapa final'!$Q$32),"")</f>
        <v/>
      </c>
      <c r="R20" s="69" t="str">
        <f>IF(AND('Mapa final'!$AA$33="Alta",'Mapa final'!$AC$33="Menor"),CONCATENATE("R5C",'Mapa final'!$Q$33),"")</f>
        <v/>
      </c>
      <c r="S20" s="69" t="str">
        <f>IF(AND('Mapa final'!$AA$34="Alta",'Mapa final'!$AC$34="Menor"),CONCATENATE("R5C",'Mapa final'!$Q$34),"")</f>
        <v/>
      </c>
      <c r="T20" s="69" t="str">
        <f>IF(AND('Mapa final'!$AA$35="Alta",'Mapa final'!$AC$35="Menor"),CONCATENATE("R5C",'Mapa final'!$Q$35),"")</f>
        <v/>
      </c>
      <c r="U20" s="70" t="str">
        <f>IF(AND('Mapa final'!$AA$36="Alta",'Mapa final'!$AC$36="Menor"),CONCATENATE("R5C",'Mapa final'!$Q$36),"")</f>
        <v/>
      </c>
      <c r="V20" s="52" t="str">
        <f>IF(AND('Mapa final'!$AA$31="Alta",'Mapa final'!$AC$31="Moderado"),CONCATENATE("R5C",'Mapa final'!$Q$31),"")</f>
        <v/>
      </c>
      <c r="W20" s="53" t="str">
        <f>IF(AND('Mapa final'!$AA$32="Alta",'Mapa final'!$AC$32="Moderado"),CONCATENATE("R5C",'Mapa final'!$Q$32),"")</f>
        <v/>
      </c>
      <c r="X20" s="58" t="str">
        <f>IF(AND('Mapa final'!$AA$33="Alta",'Mapa final'!$AC$33="Moderado"),CONCATENATE("R5C",'Mapa final'!$Q$33),"")</f>
        <v/>
      </c>
      <c r="Y20" s="58" t="str">
        <f>IF(AND('Mapa final'!$AA$34="Alta",'Mapa final'!$AC$34="Moderado"),CONCATENATE("R5C",'Mapa final'!$Q$34),"")</f>
        <v/>
      </c>
      <c r="Z20" s="58" t="str">
        <f>IF(AND('Mapa final'!$AA$35="Alta",'Mapa final'!$AC$35="Moderado"),CONCATENATE("R5C",'Mapa final'!$Q$35),"")</f>
        <v/>
      </c>
      <c r="AA20" s="54" t="str">
        <f>IF(AND('Mapa final'!$AA$36="Alta",'Mapa final'!$AC$36="Moderado"),CONCATENATE("R5C",'Mapa final'!$Q$36),"")</f>
        <v/>
      </c>
      <c r="AB20" s="52" t="str">
        <f>IF(AND('Mapa final'!$AA$31="Alta",'Mapa final'!$AC$31="Mayor"),CONCATENATE("R5C",'Mapa final'!$Q$31),"")</f>
        <v/>
      </c>
      <c r="AC20" s="53" t="str">
        <f>IF(AND('Mapa final'!$AA$32="Alta",'Mapa final'!$AC$32="Mayor"),CONCATENATE("R5C",'Mapa final'!$Q$32),"")</f>
        <v/>
      </c>
      <c r="AD20" s="58" t="str">
        <f>IF(AND('Mapa final'!$AA$33="Alta",'Mapa final'!$AC$33="Mayor"),CONCATENATE("R5C",'Mapa final'!$Q$33),"")</f>
        <v/>
      </c>
      <c r="AE20" s="58" t="str">
        <f>IF(AND('Mapa final'!$AA$34="Alta",'Mapa final'!$AC$34="Mayor"),CONCATENATE("R5C",'Mapa final'!$Q$34),"")</f>
        <v/>
      </c>
      <c r="AF20" s="58" t="str">
        <f>IF(AND('Mapa final'!$AA$35="Alta",'Mapa final'!$AC$35="Mayor"),CONCATENATE("R5C",'Mapa final'!$Q$35),"")</f>
        <v/>
      </c>
      <c r="AG20" s="54" t="str">
        <f>IF(AND('Mapa final'!$AA$36="Alta",'Mapa final'!$AC$36="Mayor"),CONCATENATE("R5C",'Mapa final'!$Q$36),"")</f>
        <v/>
      </c>
      <c r="AH20" s="55" t="str">
        <f>IF(AND('Mapa final'!$AA$31="Alta",'Mapa final'!$AC$31="Catastrófico"),CONCATENATE("R5C",'Mapa final'!$Q$31),"")</f>
        <v/>
      </c>
      <c r="AI20" s="56" t="str">
        <f>IF(AND('Mapa final'!$AA$32="Alta",'Mapa final'!$AC$32="Catastrófico"),CONCATENATE("R5C",'Mapa final'!$Q$32),"")</f>
        <v/>
      </c>
      <c r="AJ20" s="56" t="str">
        <f>IF(AND('Mapa final'!$AA$33="Alta",'Mapa final'!$AC$33="Catastrófico"),CONCATENATE("R5C",'Mapa final'!$Q$33),"")</f>
        <v/>
      </c>
      <c r="AK20" s="56" t="str">
        <f>IF(AND('Mapa final'!$AA$34="Alta",'Mapa final'!$AC$34="Catastrófico"),CONCATENATE("R5C",'Mapa final'!$Q$34),"")</f>
        <v/>
      </c>
      <c r="AL20" s="56" t="str">
        <f>IF(AND('Mapa final'!$AA$35="Alta",'Mapa final'!$AC$35="Catastrófico"),CONCATENATE("R5C",'Mapa final'!$Q$35),"")</f>
        <v/>
      </c>
      <c r="AM20" s="57" t="str">
        <f>IF(AND('Mapa final'!$AA$36="Alta",'Mapa final'!$AC$36="Catastrófico"),CONCATENATE("R5C",'Mapa final'!$Q$36),"")</f>
        <v/>
      </c>
      <c r="AN20" s="84"/>
      <c r="AO20" s="351"/>
      <c r="AP20" s="352"/>
      <c r="AQ20" s="352"/>
      <c r="AR20" s="352"/>
      <c r="AS20" s="352"/>
      <c r="AT20" s="353"/>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x14ac:dyDescent="0.25">
      <c r="A21" s="84"/>
      <c r="B21" s="260"/>
      <c r="C21" s="260"/>
      <c r="D21" s="261"/>
      <c r="E21" s="361"/>
      <c r="F21" s="362"/>
      <c r="G21" s="362"/>
      <c r="H21" s="362"/>
      <c r="I21" s="360"/>
      <c r="J21" s="68" t="str">
        <f>IF(AND('Mapa final'!$AA$37="Alta",'Mapa final'!$AC$37="Leve"),CONCATENATE("R6C",'Mapa final'!$Q$37),"")</f>
        <v/>
      </c>
      <c r="K21" s="69" t="str">
        <f>IF(AND('Mapa final'!$AA$38="Alta",'Mapa final'!$AC$38="Leve"),CONCATENATE("R6C",'Mapa final'!$Q$38),"")</f>
        <v/>
      </c>
      <c r="L21" s="69" t="str">
        <f>IF(AND('Mapa final'!$AA$39="Alta",'Mapa final'!$AC$39="Leve"),CONCATENATE("R6C",'Mapa final'!$Q$39),"")</f>
        <v/>
      </c>
      <c r="M21" s="69" t="str">
        <f>IF(AND('Mapa final'!$AA$40="Alta",'Mapa final'!$AC$40="Leve"),CONCATENATE("R6C",'Mapa final'!$Q$40),"")</f>
        <v/>
      </c>
      <c r="N21" s="69" t="str">
        <f>IF(AND('Mapa final'!$AA$41="Alta",'Mapa final'!$AC$41="Leve"),CONCATENATE("R6C",'Mapa final'!$Q$41),"")</f>
        <v/>
      </c>
      <c r="O21" s="70" t="str">
        <f>IF(AND('Mapa final'!$AA$42="Alta",'Mapa final'!$AC$42="Leve"),CONCATENATE("R6C",'Mapa final'!$Q$42),"")</f>
        <v/>
      </c>
      <c r="P21" s="68" t="str">
        <f>IF(AND('Mapa final'!$AA$37="Alta",'Mapa final'!$AC$37="Menor"),CONCATENATE("R6C",'Mapa final'!$Q$37),"")</f>
        <v/>
      </c>
      <c r="Q21" s="69" t="str">
        <f>IF(AND('Mapa final'!$AA$38="Alta",'Mapa final'!$AC$38="Menor"),CONCATENATE("R6C",'Mapa final'!$Q$38),"")</f>
        <v/>
      </c>
      <c r="R21" s="69" t="str">
        <f>IF(AND('Mapa final'!$AA$39="Alta",'Mapa final'!$AC$39="Menor"),CONCATENATE("R6C",'Mapa final'!$Q$39),"")</f>
        <v/>
      </c>
      <c r="S21" s="69" t="str">
        <f>IF(AND('Mapa final'!$AA$40="Alta",'Mapa final'!$AC$40="Menor"),CONCATENATE("R6C",'Mapa final'!$Q$40),"")</f>
        <v/>
      </c>
      <c r="T21" s="69" t="str">
        <f>IF(AND('Mapa final'!$AA$41="Alta",'Mapa final'!$AC$41="Menor"),CONCATENATE("R6C",'Mapa final'!$Q$41),"")</f>
        <v/>
      </c>
      <c r="U21" s="70" t="str">
        <f>IF(AND('Mapa final'!$AA$42="Alta",'Mapa final'!$AC$42="Menor"),CONCATENATE("R6C",'Mapa final'!$Q$42),"")</f>
        <v/>
      </c>
      <c r="V21" s="52" t="str">
        <f>IF(AND('Mapa final'!$AA$37="Alta",'Mapa final'!$AC$37="Moderado"),CONCATENATE("R6C",'Mapa final'!$Q$37),"")</f>
        <v/>
      </c>
      <c r="W21" s="53" t="str">
        <f>IF(AND('Mapa final'!$AA$38="Alta",'Mapa final'!$AC$38="Moderado"),CONCATENATE("R6C",'Mapa final'!$Q$38),"")</f>
        <v/>
      </c>
      <c r="X21" s="58" t="str">
        <f>IF(AND('Mapa final'!$AA$39="Alta",'Mapa final'!$AC$39="Moderado"),CONCATENATE("R6C",'Mapa final'!$Q$39),"")</f>
        <v/>
      </c>
      <c r="Y21" s="58" t="str">
        <f>IF(AND('Mapa final'!$AA$40="Alta",'Mapa final'!$AC$40="Moderado"),CONCATENATE("R6C",'Mapa final'!$Q$40),"")</f>
        <v/>
      </c>
      <c r="Z21" s="58" t="str">
        <f>IF(AND('Mapa final'!$AA$41="Alta",'Mapa final'!$AC$41="Moderado"),CONCATENATE("R6C",'Mapa final'!$Q$41),"")</f>
        <v/>
      </c>
      <c r="AA21" s="54" t="str">
        <f>IF(AND('Mapa final'!$AA$42="Alta",'Mapa final'!$AC$42="Moderado"),CONCATENATE("R6C",'Mapa final'!$Q$42),"")</f>
        <v/>
      </c>
      <c r="AB21" s="52" t="str">
        <f>IF(AND('Mapa final'!$AA$37="Alta",'Mapa final'!$AC$37="Mayor"),CONCATENATE("R6C",'Mapa final'!$Q$37),"")</f>
        <v/>
      </c>
      <c r="AC21" s="53" t="str">
        <f>IF(AND('Mapa final'!$AA$38="Alta",'Mapa final'!$AC$38="Mayor"),CONCATENATE("R6C",'Mapa final'!$Q$38),"")</f>
        <v/>
      </c>
      <c r="AD21" s="58" t="str">
        <f>IF(AND('Mapa final'!$AA$39="Alta",'Mapa final'!$AC$39="Mayor"),CONCATENATE("R6C",'Mapa final'!$Q$39),"")</f>
        <v/>
      </c>
      <c r="AE21" s="58" t="str">
        <f>IF(AND('Mapa final'!$AA$40="Alta",'Mapa final'!$AC$40="Mayor"),CONCATENATE("R6C",'Mapa final'!$Q$40),"")</f>
        <v/>
      </c>
      <c r="AF21" s="58" t="str">
        <f>IF(AND('Mapa final'!$AA$41="Alta",'Mapa final'!$AC$41="Mayor"),CONCATENATE("R6C",'Mapa final'!$Q$41),"")</f>
        <v/>
      </c>
      <c r="AG21" s="54" t="str">
        <f>IF(AND('Mapa final'!$AA$42="Alta",'Mapa final'!$AC$42="Mayor"),CONCATENATE("R6C",'Mapa final'!$Q$42),"")</f>
        <v/>
      </c>
      <c r="AH21" s="55" t="str">
        <f>IF(AND('Mapa final'!$AA$37="Alta",'Mapa final'!$AC$37="Catastrófico"),CONCATENATE("R6C",'Mapa final'!$Q$37),"")</f>
        <v/>
      </c>
      <c r="AI21" s="56" t="str">
        <f>IF(AND('Mapa final'!$AA$38="Alta",'Mapa final'!$AC$38="Catastrófico"),CONCATENATE("R6C",'Mapa final'!$Q$38),"")</f>
        <v/>
      </c>
      <c r="AJ21" s="56" t="str">
        <f>IF(AND('Mapa final'!$AA$39="Alta",'Mapa final'!$AC$39="Catastrófico"),CONCATENATE("R6C",'Mapa final'!$Q$39),"")</f>
        <v/>
      </c>
      <c r="AK21" s="56" t="str">
        <f>IF(AND('Mapa final'!$AA$40="Alta",'Mapa final'!$AC$40="Catastrófico"),CONCATENATE("R6C",'Mapa final'!$Q$40),"")</f>
        <v/>
      </c>
      <c r="AL21" s="56" t="str">
        <f>IF(AND('Mapa final'!$AA$41="Alta",'Mapa final'!$AC$41="Catastrófico"),CONCATENATE("R6C",'Mapa final'!$Q$41),"")</f>
        <v/>
      </c>
      <c r="AM21" s="57" t="str">
        <f>IF(AND('Mapa final'!$AA$42="Alta",'Mapa final'!$AC$42="Catastrófico"),CONCATENATE("R6C",'Mapa final'!$Q$42),"")</f>
        <v/>
      </c>
      <c r="AN21" s="84"/>
      <c r="AO21" s="351"/>
      <c r="AP21" s="352"/>
      <c r="AQ21" s="352"/>
      <c r="AR21" s="352"/>
      <c r="AS21" s="352"/>
      <c r="AT21" s="353"/>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x14ac:dyDescent="0.25">
      <c r="A22" s="84"/>
      <c r="B22" s="260"/>
      <c r="C22" s="260"/>
      <c r="D22" s="261"/>
      <c r="E22" s="361"/>
      <c r="F22" s="362"/>
      <c r="G22" s="362"/>
      <c r="H22" s="362"/>
      <c r="I22" s="360"/>
      <c r="J22" s="68" t="str">
        <f>IF(AND('Mapa final'!$AA$43="Alta",'Mapa final'!$AC$43="Leve"),CONCATENATE("R7C",'Mapa final'!$Q$43),"")</f>
        <v/>
      </c>
      <c r="K22" s="69" t="str">
        <f>IF(AND('Mapa final'!$AA$44="Alta",'Mapa final'!$AC$44="Leve"),CONCATENATE("R7C",'Mapa final'!$Q$44),"")</f>
        <v/>
      </c>
      <c r="L22" s="69" t="str">
        <f>IF(AND('Mapa final'!$AA$45="Alta",'Mapa final'!$AC$45="Leve"),CONCATENATE("R7C",'Mapa final'!$Q$45),"")</f>
        <v/>
      </c>
      <c r="M22" s="69" t="str">
        <f>IF(AND('Mapa final'!$AA$46="Alta",'Mapa final'!$AC$46="Leve"),CONCATENATE("R7C",'Mapa final'!$Q$46),"")</f>
        <v/>
      </c>
      <c r="N22" s="69" t="str">
        <f>IF(AND('Mapa final'!$AA$47="Alta",'Mapa final'!$AC$47="Leve"),CONCATENATE("R7C",'Mapa final'!$Q$47),"")</f>
        <v/>
      </c>
      <c r="O22" s="70" t="str">
        <f>IF(AND('Mapa final'!$AA$48="Alta",'Mapa final'!$AC$48="Leve"),CONCATENATE("R7C",'Mapa final'!$Q$48),"")</f>
        <v/>
      </c>
      <c r="P22" s="68" t="str">
        <f>IF(AND('Mapa final'!$AA$43="Alta",'Mapa final'!$AC$43="Menor"),CONCATENATE("R7C",'Mapa final'!$Q$43),"")</f>
        <v/>
      </c>
      <c r="Q22" s="69" t="str">
        <f>IF(AND('Mapa final'!$AA$44="Alta",'Mapa final'!$AC$44="Menor"),CONCATENATE("R7C",'Mapa final'!$Q$44),"")</f>
        <v/>
      </c>
      <c r="R22" s="69" t="str">
        <f>IF(AND('Mapa final'!$AA$45="Alta",'Mapa final'!$AC$45="Menor"),CONCATENATE("R7C",'Mapa final'!$Q$45),"")</f>
        <v/>
      </c>
      <c r="S22" s="69" t="str">
        <f>IF(AND('Mapa final'!$AA$46="Alta",'Mapa final'!$AC$46="Menor"),CONCATENATE("R7C",'Mapa final'!$Q$46),"")</f>
        <v/>
      </c>
      <c r="T22" s="69" t="str">
        <f>IF(AND('Mapa final'!$AA$47="Alta",'Mapa final'!$AC$47="Menor"),CONCATENATE("R7C",'Mapa final'!$Q$47),"")</f>
        <v/>
      </c>
      <c r="U22" s="70" t="str">
        <f>IF(AND('Mapa final'!$AA$48="Alta",'Mapa final'!$AC$48="Menor"),CONCATENATE("R7C",'Mapa final'!$Q$48),"")</f>
        <v/>
      </c>
      <c r="V22" s="52" t="str">
        <f>IF(AND('Mapa final'!$AA$43="Alta",'Mapa final'!$AC$43="Moderado"),CONCATENATE("R7C",'Mapa final'!$Q$43),"")</f>
        <v/>
      </c>
      <c r="W22" s="53" t="str">
        <f>IF(AND('Mapa final'!$AA$44="Alta",'Mapa final'!$AC$44="Moderado"),CONCATENATE("R7C",'Mapa final'!$Q$44),"")</f>
        <v/>
      </c>
      <c r="X22" s="58" t="str">
        <f>IF(AND('Mapa final'!$AA$45="Alta",'Mapa final'!$AC$45="Moderado"),CONCATENATE("R7C",'Mapa final'!$Q$45),"")</f>
        <v/>
      </c>
      <c r="Y22" s="58" t="str">
        <f>IF(AND('Mapa final'!$AA$46="Alta",'Mapa final'!$AC$46="Moderado"),CONCATENATE("R7C",'Mapa final'!$Q$46),"")</f>
        <v/>
      </c>
      <c r="Z22" s="58" t="str">
        <f>IF(AND('Mapa final'!$AA$47="Alta",'Mapa final'!$AC$47="Moderado"),CONCATENATE("R7C",'Mapa final'!$Q$47),"")</f>
        <v/>
      </c>
      <c r="AA22" s="54" t="str">
        <f>IF(AND('Mapa final'!$AA$48="Alta",'Mapa final'!$AC$48="Moderado"),CONCATENATE("R7C",'Mapa final'!$Q$48),"")</f>
        <v/>
      </c>
      <c r="AB22" s="52" t="str">
        <f>IF(AND('Mapa final'!$AA$43="Alta",'Mapa final'!$AC$43="Mayor"),CONCATENATE("R7C",'Mapa final'!$Q$43),"")</f>
        <v/>
      </c>
      <c r="AC22" s="53" t="str">
        <f>IF(AND('Mapa final'!$AA$44="Alta",'Mapa final'!$AC$44="Mayor"),CONCATENATE("R7C",'Mapa final'!$Q$44),"")</f>
        <v/>
      </c>
      <c r="AD22" s="58" t="str">
        <f>IF(AND('Mapa final'!$AA$45="Alta",'Mapa final'!$AC$45="Mayor"),CONCATENATE("R7C",'Mapa final'!$Q$45),"")</f>
        <v/>
      </c>
      <c r="AE22" s="58" t="str">
        <f>IF(AND('Mapa final'!$AA$46="Alta",'Mapa final'!$AC$46="Mayor"),CONCATENATE("R7C",'Mapa final'!$Q$46),"")</f>
        <v/>
      </c>
      <c r="AF22" s="58" t="str">
        <f>IF(AND('Mapa final'!$AA$47="Alta",'Mapa final'!$AC$47="Mayor"),CONCATENATE("R7C",'Mapa final'!$Q$47),"")</f>
        <v/>
      </c>
      <c r="AG22" s="54" t="str">
        <f>IF(AND('Mapa final'!$AA$48="Alta",'Mapa final'!$AC$48="Mayor"),CONCATENATE("R7C",'Mapa final'!$Q$48),"")</f>
        <v/>
      </c>
      <c r="AH22" s="55" t="str">
        <f>IF(AND('Mapa final'!$AA$43="Alta",'Mapa final'!$AC$43="Catastrófico"),CONCATENATE("R7C",'Mapa final'!$Q$43),"")</f>
        <v/>
      </c>
      <c r="AI22" s="56" t="str">
        <f>IF(AND('Mapa final'!$AA$44="Alta",'Mapa final'!$AC$44="Catastrófico"),CONCATENATE("R7C",'Mapa final'!$Q$44),"")</f>
        <v/>
      </c>
      <c r="AJ22" s="56" t="str">
        <f>IF(AND('Mapa final'!$AA$45="Alta",'Mapa final'!$AC$45="Catastrófico"),CONCATENATE("R7C",'Mapa final'!$Q$45),"")</f>
        <v/>
      </c>
      <c r="AK22" s="56" t="str">
        <f>IF(AND('Mapa final'!$AA$46="Alta",'Mapa final'!$AC$46="Catastrófico"),CONCATENATE("R7C",'Mapa final'!$Q$46),"")</f>
        <v/>
      </c>
      <c r="AL22" s="56" t="str">
        <f>IF(AND('Mapa final'!$AA$47="Alta",'Mapa final'!$AC$47="Catastrófico"),CONCATENATE("R7C",'Mapa final'!$Q$47),"")</f>
        <v/>
      </c>
      <c r="AM22" s="57" t="str">
        <f>IF(AND('Mapa final'!$AA$48="Alta",'Mapa final'!$AC$48="Catastrófico"),CONCATENATE("R7C",'Mapa final'!$Q$48),"")</f>
        <v/>
      </c>
      <c r="AN22" s="84"/>
      <c r="AO22" s="351"/>
      <c r="AP22" s="352"/>
      <c r="AQ22" s="352"/>
      <c r="AR22" s="352"/>
      <c r="AS22" s="352"/>
      <c r="AT22" s="353"/>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x14ac:dyDescent="0.25">
      <c r="A23" s="84"/>
      <c r="B23" s="260"/>
      <c r="C23" s="260"/>
      <c r="D23" s="261"/>
      <c r="E23" s="361"/>
      <c r="F23" s="362"/>
      <c r="G23" s="362"/>
      <c r="H23" s="362"/>
      <c r="I23" s="360"/>
      <c r="J23" s="68" t="str">
        <f>IF(AND('Mapa final'!$AA$49="Alta",'Mapa final'!$AC$49="Leve"),CONCATENATE("R8C",'Mapa final'!$Q$49),"")</f>
        <v/>
      </c>
      <c r="K23" s="69" t="str">
        <f>IF(AND('Mapa final'!$AA$50="Alta",'Mapa final'!$AC$50="Leve"),CONCATENATE("R8C",'Mapa final'!$Q$50),"")</f>
        <v/>
      </c>
      <c r="L23" s="69" t="str">
        <f>IF(AND('Mapa final'!$AA$51="Alta",'Mapa final'!$AC$51="Leve"),CONCATENATE("R8C",'Mapa final'!$Q$51),"")</f>
        <v/>
      </c>
      <c r="M23" s="69" t="str">
        <f>IF(AND('Mapa final'!$AA$52="Alta",'Mapa final'!$AC$52="Leve"),CONCATENATE("R8C",'Mapa final'!$Q$52),"")</f>
        <v/>
      </c>
      <c r="N23" s="69" t="str">
        <f>IF(AND('Mapa final'!$AA$53="Alta",'Mapa final'!$AC$53="Leve"),CONCATENATE("R8C",'Mapa final'!$Q$53),"")</f>
        <v/>
      </c>
      <c r="O23" s="70" t="str">
        <f>IF(AND('Mapa final'!$AA$54="Alta",'Mapa final'!$AC$54="Leve"),CONCATENATE("R8C",'Mapa final'!$Q$54),"")</f>
        <v/>
      </c>
      <c r="P23" s="68" t="str">
        <f>IF(AND('Mapa final'!$AA$49="Alta",'Mapa final'!$AC$49="Menor"),CONCATENATE("R8C",'Mapa final'!$Q$49),"")</f>
        <v/>
      </c>
      <c r="Q23" s="69" t="str">
        <f>IF(AND('Mapa final'!$AA$50="Alta",'Mapa final'!$AC$50="Menor"),CONCATENATE("R8C",'Mapa final'!$Q$50),"")</f>
        <v/>
      </c>
      <c r="R23" s="69" t="str">
        <f>IF(AND('Mapa final'!$AA$51="Alta",'Mapa final'!$AC$51="Menor"),CONCATENATE("R8C",'Mapa final'!$Q$51),"")</f>
        <v/>
      </c>
      <c r="S23" s="69" t="str">
        <f>IF(AND('Mapa final'!$AA$52="Alta",'Mapa final'!$AC$52="Menor"),CONCATENATE("R8C",'Mapa final'!$Q$52),"")</f>
        <v/>
      </c>
      <c r="T23" s="69" t="str">
        <f>IF(AND('Mapa final'!$AA$53="Alta",'Mapa final'!$AC$53="Menor"),CONCATENATE("R8C",'Mapa final'!$Q$53),"")</f>
        <v/>
      </c>
      <c r="U23" s="70" t="str">
        <f>IF(AND('Mapa final'!$AA$54="Alta",'Mapa final'!$AC$54="Menor"),CONCATENATE("R8C",'Mapa final'!$Q$54),"")</f>
        <v/>
      </c>
      <c r="V23" s="52" t="str">
        <f>IF(AND('Mapa final'!$AA$49="Alta",'Mapa final'!$AC$49="Moderado"),CONCATENATE("R8C",'Mapa final'!$Q$49),"")</f>
        <v/>
      </c>
      <c r="W23" s="53" t="str">
        <f>IF(AND('Mapa final'!$AA$50="Alta",'Mapa final'!$AC$50="Moderado"),CONCATENATE("R8C",'Mapa final'!$Q$50),"")</f>
        <v/>
      </c>
      <c r="X23" s="58" t="str">
        <f>IF(AND('Mapa final'!$AA$51="Alta",'Mapa final'!$AC$51="Moderado"),CONCATENATE("R8C",'Mapa final'!$Q$51),"")</f>
        <v/>
      </c>
      <c r="Y23" s="58" t="str">
        <f>IF(AND('Mapa final'!$AA$52="Alta",'Mapa final'!$AC$52="Moderado"),CONCATENATE("R8C",'Mapa final'!$Q$52),"")</f>
        <v/>
      </c>
      <c r="Z23" s="58" t="str">
        <f>IF(AND('Mapa final'!$AA$53="Alta",'Mapa final'!$AC$53="Moderado"),CONCATENATE("R8C",'Mapa final'!$Q$53),"")</f>
        <v/>
      </c>
      <c r="AA23" s="54" t="str">
        <f>IF(AND('Mapa final'!$AA$54="Alta",'Mapa final'!$AC$54="Moderado"),CONCATENATE("R8C",'Mapa final'!$Q$54),"")</f>
        <v/>
      </c>
      <c r="AB23" s="52" t="str">
        <f>IF(AND('Mapa final'!$AA$49="Alta",'Mapa final'!$AC$49="Mayor"),CONCATENATE("R8C",'Mapa final'!$Q$49),"")</f>
        <v/>
      </c>
      <c r="AC23" s="53" t="str">
        <f>IF(AND('Mapa final'!$AA$50="Alta",'Mapa final'!$AC$50="Mayor"),CONCATENATE("R8C",'Mapa final'!$Q$50),"")</f>
        <v/>
      </c>
      <c r="AD23" s="58" t="str">
        <f>IF(AND('Mapa final'!$AA$51="Alta",'Mapa final'!$AC$51="Mayor"),CONCATENATE("R8C",'Mapa final'!$Q$51),"")</f>
        <v/>
      </c>
      <c r="AE23" s="58" t="str">
        <f>IF(AND('Mapa final'!$AA$52="Alta",'Mapa final'!$AC$52="Mayor"),CONCATENATE("R8C",'Mapa final'!$Q$52),"")</f>
        <v/>
      </c>
      <c r="AF23" s="58" t="str">
        <f>IF(AND('Mapa final'!$AA$53="Alta",'Mapa final'!$AC$53="Mayor"),CONCATENATE("R8C",'Mapa final'!$Q$53),"")</f>
        <v/>
      </c>
      <c r="AG23" s="54" t="str">
        <f>IF(AND('Mapa final'!$AA$54="Alta",'Mapa final'!$AC$54="Mayor"),CONCATENATE("R8C",'Mapa final'!$Q$54),"")</f>
        <v/>
      </c>
      <c r="AH23" s="55" t="str">
        <f>IF(AND('Mapa final'!$AA$49="Alta",'Mapa final'!$AC$49="Catastrófico"),CONCATENATE("R8C",'Mapa final'!$Q$49),"")</f>
        <v/>
      </c>
      <c r="AI23" s="56" t="str">
        <f>IF(AND('Mapa final'!$AA$50="Alta",'Mapa final'!$AC$50="Catastrófico"),CONCATENATE("R8C",'Mapa final'!$Q$50),"")</f>
        <v/>
      </c>
      <c r="AJ23" s="56" t="str">
        <f>IF(AND('Mapa final'!$AA$51="Alta",'Mapa final'!$AC$51="Catastrófico"),CONCATENATE("R8C",'Mapa final'!$Q$51),"")</f>
        <v/>
      </c>
      <c r="AK23" s="56" t="str">
        <f>IF(AND('Mapa final'!$AA$52="Alta",'Mapa final'!$AC$52="Catastrófico"),CONCATENATE("R8C",'Mapa final'!$Q$52),"")</f>
        <v/>
      </c>
      <c r="AL23" s="56" t="str">
        <f>IF(AND('Mapa final'!$AA$53="Alta",'Mapa final'!$AC$53="Catastrófico"),CONCATENATE("R8C",'Mapa final'!$Q$53),"")</f>
        <v/>
      </c>
      <c r="AM23" s="57" t="str">
        <f>IF(AND('Mapa final'!$AA$54="Alta",'Mapa final'!$AC$54="Catastrófico"),CONCATENATE("R8C",'Mapa final'!$Q$54),"")</f>
        <v/>
      </c>
      <c r="AN23" s="84"/>
      <c r="AO23" s="351"/>
      <c r="AP23" s="352"/>
      <c r="AQ23" s="352"/>
      <c r="AR23" s="352"/>
      <c r="AS23" s="352"/>
      <c r="AT23" s="35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x14ac:dyDescent="0.25">
      <c r="A24" s="84"/>
      <c r="B24" s="260"/>
      <c r="C24" s="260"/>
      <c r="D24" s="261"/>
      <c r="E24" s="361"/>
      <c r="F24" s="362"/>
      <c r="G24" s="362"/>
      <c r="H24" s="362"/>
      <c r="I24" s="360"/>
      <c r="J24" s="68" t="str">
        <f>IF(AND('Mapa final'!$AA$55="Alta",'Mapa final'!$AC$55="Leve"),CONCATENATE("R9C",'Mapa final'!$Q$55),"")</f>
        <v/>
      </c>
      <c r="K24" s="69" t="str">
        <f>IF(AND('Mapa final'!$AA$56="Alta",'Mapa final'!$AC$56="Leve"),CONCATENATE("R9C",'Mapa final'!$Q$56),"")</f>
        <v/>
      </c>
      <c r="L24" s="69" t="str">
        <f>IF(AND('Mapa final'!$AA$57="Alta",'Mapa final'!$AC$57="Leve"),CONCATENATE("R9C",'Mapa final'!$Q$57),"")</f>
        <v/>
      </c>
      <c r="M24" s="69" t="str">
        <f>IF(AND('Mapa final'!$AA$58="Alta",'Mapa final'!$AC$58="Leve"),CONCATENATE("R9C",'Mapa final'!$Q$58),"")</f>
        <v/>
      </c>
      <c r="N24" s="69" t="str">
        <f>IF(AND('Mapa final'!$AA$59="Alta",'Mapa final'!$AC$59="Leve"),CONCATENATE("R9C",'Mapa final'!$Q$59),"")</f>
        <v/>
      </c>
      <c r="O24" s="70" t="str">
        <f>IF(AND('Mapa final'!$AA$60="Alta",'Mapa final'!$AC$60="Leve"),CONCATENATE("R9C",'Mapa final'!$Q$60),"")</f>
        <v/>
      </c>
      <c r="P24" s="68" t="str">
        <f>IF(AND('Mapa final'!$AA$55="Alta",'Mapa final'!$AC$55="Menor"),CONCATENATE("R9C",'Mapa final'!$Q$55),"")</f>
        <v/>
      </c>
      <c r="Q24" s="69" t="str">
        <f>IF(AND('Mapa final'!$AA$56="Alta",'Mapa final'!$AC$56="Menor"),CONCATENATE("R9C",'Mapa final'!$Q$56),"")</f>
        <v/>
      </c>
      <c r="R24" s="69" t="str">
        <f>IF(AND('Mapa final'!$AA$57="Alta",'Mapa final'!$AC$57="Menor"),CONCATENATE("R9C",'Mapa final'!$Q$57),"")</f>
        <v/>
      </c>
      <c r="S24" s="69" t="str">
        <f>IF(AND('Mapa final'!$AA$58="Alta",'Mapa final'!$AC$58="Menor"),CONCATENATE("R9C",'Mapa final'!$Q$58),"")</f>
        <v/>
      </c>
      <c r="T24" s="69" t="str">
        <f>IF(AND('Mapa final'!$AA$59="Alta",'Mapa final'!$AC$59="Menor"),CONCATENATE("R9C",'Mapa final'!$Q$59),"")</f>
        <v/>
      </c>
      <c r="U24" s="70" t="str">
        <f>IF(AND('Mapa final'!$AA$60="Alta",'Mapa final'!$AC$60="Menor"),CONCATENATE("R9C",'Mapa final'!$Q$60),"")</f>
        <v/>
      </c>
      <c r="V24" s="52" t="str">
        <f>IF(AND('Mapa final'!$AA$55="Alta",'Mapa final'!$AC$55="Moderado"),CONCATENATE("R9C",'Mapa final'!$Q$55),"")</f>
        <v/>
      </c>
      <c r="W24" s="53" t="str">
        <f>IF(AND('Mapa final'!$AA$56="Alta",'Mapa final'!$AC$56="Moderado"),CONCATENATE("R9C",'Mapa final'!$Q$56),"")</f>
        <v/>
      </c>
      <c r="X24" s="58" t="str">
        <f>IF(AND('Mapa final'!$AA$57="Alta",'Mapa final'!$AC$57="Moderado"),CONCATENATE("R9C",'Mapa final'!$Q$57),"")</f>
        <v/>
      </c>
      <c r="Y24" s="58" t="str">
        <f>IF(AND('Mapa final'!$AA$58="Alta",'Mapa final'!$AC$58="Moderado"),CONCATENATE("R9C",'Mapa final'!$Q$58),"")</f>
        <v/>
      </c>
      <c r="Z24" s="58" t="str">
        <f>IF(AND('Mapa final'!$AA$59="Alta",'Mapa final'!$AC$59="Moderado"),CONCATENATE("R9C",'Mapa final'!$Q$59),"")</f>
        <v/>
      </c>
      <c r="AA24" s="54" t="str">
        <f>IF(AND('Mapa final'!$AA$60="Alta",'Mapa final'!$AC$60="Moderado"),CONCATENATE("R9C",'Mapa final'!$Q$60),"")</f>
        <v/>
      </c>
      <c r="AB24" s="52" t="str">
        <f>IF(AND('Mapa final'!$AA$55="Alta",'Mapa final'!$AC$55="Mayor"),CONCATENATE("R9C",'Mapa final'!$Q$55),"")</f>
        <v/>
      </c>
      <c r="AC24" s="53" t="str">
        <f>IF(AND('Mapa final'!$AA$56="Alta",'Mapa final'!$AC$56="Mayor"),CONCATENATE("R9C",'Mapa final'!$Q$56),"")</f>
        <v/>
      </c>
      <c r="AD24" s="58" t="str">
        <f>IF(AND('Mapa final'!$AA$57="Alta",'Mapa final'!$AC$57="Mayor"),CONCATENATE("R9C",'Mapa final'!$Q$57),"")</f>
        <v/>
      </c>
      <c r="AE24" s="58" t="str">
        <f>IF(AND('Mapa final'!$AA$58="Alta",'Mapa final'!$AC$58="Mayor"),CONCATENATE("R9C",'Mapa final'!$Q$58),"")</f>
        <v/>
      </c>
      <c r="AF24" s="58" t="str">
        <f>IF(AND('Mapa final'!$AA$59="Alta",'Mapa final'!$AC$59="Mayor"),CONCATENATE("R9C",'Mapa final'!$Q$59),"")</f>
        <v/>
      </c>
      <c r="AG24" s="54" t="str">
        <f>IF(AND('Mapa final'!$AA$60="Alta",'Mapa final'!$AC$60="Mayor"),CONCATENATE("R9C",'Mapa final'!$Q$60),"")</f>
        <v/>
      </c>
      <c r="AH24" s="55" t="str">
        <f>IF(AND('Mapa final'!$AA$55="Alta",'Mapa final'!$AC$55="Catastrófico"),CONCATENATE("R9C",'Mapa final'!$Q$55),"")</f>
        <v/>
      </c>
      <c r="AI24" s="56" t="str">
        <f>IF(AND('Mapa final'!$AA$56="Alta",'Mapa final'!$AC$56="Catastrófico"),CONCATENATE("R9C",'Mapa final'!$Q$56),"")</f>
        <v/>
      </c>
      <c r="AJ24" s="56" t="str">
        <f>IF(AND('Mapa final'!$AA$57="Alta",'Mapa final'!$AC$57="Catastrófico"),CONCATENATE("R9C",'Mapa final'!$Q$57),"")</f>
        <v/>
      </c>
      <c r="AK24" s="56" t="str">
        <f>IF(AND('Mapa final'!$AA$58="Alta",'Mapa final'!$AC$58="Catastrófico"),CONCATENATE("R9C",'Mapa final'!$Q$58),"")</f>
        <v/>
      </c>
      <c r="AL24" s="56" t="str">
        <f>IF(AND('Mapa final'!$AA$59="Alta",'Mapa final'!$AC$59="Catastrófico"),CONCATENATE("R9C",'Mapa final'!$Q$59),"")</f>
        <v/>
      </c>
      <c r="AM24" s="57" t="str">
        <f>IF(AND('Mapa final'!$AA$60="Alta",'Mapa final'!$AC$60="Catastrófico"),CONCATENATE("R9C",'Mapa final'!$Q$60),"")</f>
        <v/>
      </c>
      <c r="AN24" s="84"/>
      <c r="AO24" s="351"/>
      <c r="AP24" s="352"/>
      <c r="AQ24" s="352"/>
      <c r="AR24" s="352"/>
      <c r="AS24" s="352"/>
      <c r="AT24" s="35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x14ac:dyDescent="0.3">
      <c r="A25" s="84"/>
      <c r="B25" s="260"/>
      <c r="C25" s="260"/>
      <c r="D25" s="261"/>
      <c r="E25" s="363"/>
      <c r="F25" s="364"/>
      <c r="G25" s="364"/>
      <c r="H25" s="364"/>
      <c r="I25" s="364"/>
      <c r="J25" s="71" t="str">
        <f>IF(AND('Mapa final'!$AA$61="Alta",'Mapa final'!$AC$61="Leve"),CONCATENATE("R10C",'Mapa final'!$Q$61),"")</f>
        <v/>
      </c>
      <c r="K25" s="72" t="str">
        <f>IF(AND('Mapa final'!$AA$62="Alta",'Mapa final'!$AC$62="Leve"),CONCATENATE("R10C",'Mapa final'!$Q$62),"")</f>
        <v/>
      </c>
      <c r="L25" s="72" t="str">
        <f>IF(AND('Mapa final'!$AA$63="Alta",'Mapa final'!$AC$63="Leve"),CONCATENATE("R10C",'Mapa final'!$Q$63),"")</f>
        <v/>
      </c>
      <c r="M25" s="72" t="str">
        <f>IF(AND('Mapa final'!$AA$64="Alta",'Mapa final'!$AC$64="Leve"),CONCATENATE("R10C",'Mapa final'!$Q$64),"")</f>
        <v/>
      </c>
      <c r="N25" s="72" t="str">
        <f>IF(AND('Mapa final'!$AA$65="Alta",'Mapa final'!$AC$65="Leve"),CONCATENATE("R10C",'Mapa final'!$Q$65),"")</f>
        <v/>
      </c>
      <c r="O25" s="73" t="str">
        <f>IF(AND('Mapa final'!$AA$66="Alta",'Mapa final'!$AC$66="Leve"),CONCATENATE("R10C",'Mapa final'!$Q$66),"")</f>
        <v/>
      </c>
      <c r="P25" s="71" t="str">
        <f>IF(AND('Mapa final'!$AA$61="Alta",'Mapa final'!$AC$61="Menor"),CONCATENATE("R10C",'Mapa final'!$Q$61),"")</f>
        <v/>
      </c>
      <c r="Q25" s="72" t="str">
        <f>IF(AND('Mapa final'!$AA$62="Alta",'Mapa final'!$AC$62="Menor"),CONCATENATE("R10C",'Mapa final'!$Q$62),"")</f>
        <v/>
      </c>
      <c r="R25" s="72" t="str">
        <f>IF(AND('Mapa final'!$AA$63="Alta",'Mapa final'!$AC$63="Menor"),CONCATENATE("R10C",'Mapa final'!$Q$63),"")</f>
        <v/>
      </c>
      <c r="S25" s="72" t="str">
        <f>IF(AND('Mapa final'!$AA$64="Alta",'Mapa final'!$AC$64="Menor"),CONCATENATE("R10C",'Mapa final'!$Q$64),"")</f>
        <v/>
      </c>
      <c r="T25" s="72" t="str">
        <f>IF(AND('Mapa final'!$AA$65="Alta",'Mapa final'!$AC$65="Menor"),CONCATENATE("R10C",'Mapa final'!$Q$65),"")</f>
        <v/>
      </c>
      <c r="U25" s="73" t="str">
        <f>IF(AND('Mapa final'!$AA$66="Alta",'Mapa final'!$AC$66="Menor"),CONCATENATE("R10C",'Mapa final'!$Q$66),"")</f>
        <v/>
      </c>
      <c r="V25" s="59" t="str">
        <f>IF(AND('Mapa final'!$AA$61="Alta",'Mapa final'!$AC$61="Moderado"),CONCATENATE("R10C",'Mapa final'!$Q$61),"")</f>
        <v/>
      </c>
      <c r="W25" s="60" t="str">
        <f>IF(AND('Mapa final'!$AA$62="Alta",'Mapa final'!$AC$62="Moderado"),CONCATENATE("R10C",'Mapa final'!$Q$62),"")</f>
        <v/>
      </c>
      <c r="X25" s="60" t="str">
        <f>IF(AND('Mapa final'!$AA$63="Alta",'Mapa final'!$AC$63="Moderado"),CONCATENATE("R10C",'Mapa final'!$Q$63),"")</f>
        <v/>
      </c>
      <c r="Y25" s="60" t="str">
        <f>IF(AND('Mapa final'!$AA$64="Alta",'Mapa final'!$AC$64="Moderado"),CONCATENATE("R10C",'Mapa final'!$Q$64),"")</f>
        <v/>
      </c>
      <c r="Z25" s="60" t="str">
        <f>IF(AND('Mapa final'!$AA$65="Alta",'Mapa final'!$AC$65="Moderado"),CONCATENATE("R10C",'Mapa final'!$Q$65),"")</f>
        <v/>
      </c>
      <c r="AA25" s="61" t="str">
        <f>IF(AND('Mapa final'!$AA$66="Alta",'Mapa final'!$AC$66="Moderado"),CONCATENATE("R10C",'Mapa final'!$Q$66),"")</f>
        <v/>
      </c>
      <c r="AB25" s="59" t="str">
        <f>IF(AND('Mapa final'!$AA$61="Alta",'Mapa final'!$AC$61="Mayor"),CONCATENATE("R10C",'Mapa final'!$Q$61),"")</f>
        <v/>
      </c>
      <c r="AC25" s="60" t="str">
        <f>IF(AND('Mapa final'!$AA$62="Alta",'Mapa final'!$AC$62="Mayor"),CONCATENATE("R10C",'Mapa final'!$Q$62),"")</f>
        <v/>
      </c>
      <c r="AD25" s="60" t="str">
        <f>IF(AND('Mapa final'!$AA$63="Alta",'Mapa final'!$AC$63="Mayor"),CONCATENATE("R10C",'Mapa final'!$Q$63),"")</f>
        <v/>
      </c>
      <c r="AE25" s="60" t="str">
        <f>IF(AND('Mapa final'!$AA$64="Alta",'Mapa final'!$AC$64="Mayor"),CONCATENATE("R10C",'Mapa final'!$Q$64),"")</f>
        <v/>
      </c>
      <c r="AF25" s="60" t="str">
        <f>IF(AND('Mapa final'!$AA$65="Alta",'Mapa final'!$AC$65="Mayor"),CONCATENATE("R10C",'Mapa final'!$Q$65),"")</f>
        <v/>
      </c>
      <c r="AG25" s="61" t="str">
        <f>IF(AND('Mapa final'!$AA$66="Alta",'Mapa final'!$AC$66="Mayor"),CONCATENATE("R10C",'Mapa final'!$Q$66),"")</f>
        <v/>
      </c>
      <c r="AH25" s="62" t="str">
        <f>IF(AND('Mapa final'!$AA$61="Alta",'Mapa final'!$AC$61="Catastrófico"),CONCATENATE("R10C",'Mapa final'!$Q$61),"")</f>
        <v/>
      </c>
      <c r="AI25" s="63" t="str">
        <f>IF(AND('Mapa final'!$AA$62="Alta",'Mapa final'!$AC$62="Catastrófico"),CONCATENATE("R10C",'Mapa final'!$Q$62),"")</f>
        <v/>
      </c>
      <c r="AJ25" s="63" t="str">
        <f>IF(AND('Mapa final'!$AA$63="Alta",'Mapa final'!$AC$63="Catastrófico"),CONCATENATE("R10C",'Mapa final'!$Q$63),"")</f>
        <v/>
      </c>
      <c r="AK25" s="63" t="str">
        <f>IF(AND('Mapa final'!$AA$64="Alta",'Mapa final'!$AC$64="Catastrófico"),CONCATENATE("R10C",'Mapa final'!$Q$64),"")</f>
        <v/>
      </c>
      <c r="AL25" s="63" t="str">
        <f>IF(AND('Mapa final'!$AA$65="Alta",'Mapa final'!$AC$65="Catastrófico"),CONCATENATE("R10C",'Mapa final'!$Q$65),"")</f>
        <v/>
      </c>
      <c r="AM25" s="64" t="str">
        <f>IF(AND('Mapa final'!$AA$66="Alta",'Mapa final'!$AC$66="Catastrófico"),CONCATENATE("R10C",'Mapa final'!$Q$66),"")</f>
        <v/>
      </c>
      <c r="AN25" s="84"/>
      <c r="AO25" s="354"/>
      <c r="AP25" s="355"/>
      <c r="AQ25" s="355"/>
      <c r="AR25" s="355"/>
      <c r="AS25" s="355"/>
      <c r="AT25" s="356"/>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x14ac:dyDescent="0.25">
      <c r="A26" s="84"/>
      <c r="B26" s="260"/>
      <c r="C26" s="260"/>
      <c r="D26" s="261"/>
      <c r="E26" s="357" t="s">
        <v>117</v>
      </c>
      <c r="F26" s="358"/>
      <c r="G26" s="358"/>
      <c r="H26" s="358"/>
      <c r="I26" s="376"/>
      <c r="J26" s="65" t="str">
        <f ca="1">IF(AND('Mapa final'!$AA$10="Media",'Mapa final'!$AC$10="Leve"),CONCATENATE("R1C",'Mapa final'!$Q$10),"")</f>
        <v/>
      </c>
      <c r="K26" s="66" t="str">
        <f ca="1">IF(AND('Mapa final'!$AA$11="Media",'Mapa final'!$AC$11="Leve"),CONCATENATE("R1C",'Mapa final'!$Q$11),"")</f>
        <v/>
      </c>
      <c r="L26" s="66" t="str">
        <f ca="1">IF(AND('Mapa final'!$AA$12="Media",'Mapa final'!$AC$12="Leve"),CONCATENATE("R1C",'Mapa final'!$Q$12),"")</f>
        <v/>
      </c>
      <c r="M26" s="66" t="e">
        <f>IF(AND('Mapa final'!#REF!="Media",'Mapa final'!#REF!="Leve"),CONCATENATE("R1C",'Mapa final'!#REF!),"")</f>
        <v>#REF!</v>
      </c>
      <c r="N26" s="66" t="e">
        <f>IF(AND('Mapa final'!#REF!="Media",'Mapa final'!#REF!="Leve"),CONCATENATE("R1C",'Mapa final'!#REF!),"")</f>
        <v>#REF!</v>
      </c>
      <c r="O26" s="67" t="e">
        <f>IF(AND('Mapa final'!#REF!="Media",'Mapa final'!#REF!="Leve"),CONCATENATE("R1C",'Mapa final'!#REF!),"")</f>
        <v>#REF!</v>
      </c>
      <c r="P26" s="65" t="str">
        <f ca="1">IF(AND('Mapa final'!$AA$10="Media",'Mapa final'!$AC$10="Menor"),CONCATENATE("R1C",'Mapa final'!$Q$10),"")</f>
        <v/>
      </c>
      <c r="Q26" s="66" t="str">
        <f ca="1">IF(AND('Mapa final'!$AA$11="Media",'Mapa final'!$AC$11="Menor"),CONCATENATE("R1C",'Mapa final'!$Q$11),"")</f>
        <v/>
      </c>
      <c r="R26" s="66" t="str">
        <f ca="1">IF(AND('Mapa final'!$AA$12="Media",'Mapa final'!$AC$12="Menor"),CONCATENATE("R1C",'Mapa final'!$Q$12),"")</f>
        <v/>
      </c>
      <c r="S26" s="66" t="e">
        <f>IF(AND('Mapa final'!#REF!="Media",'Mapa final'!#REF!="Menor"),CONCATENATE("R1C",'Mapa final'!#REF!),"")</f>
        <v>#REF!</v>
      </c>
      <c r="T26" s="66" t="e">
        <f>IF(AND('Mapa final'!#REF!="Media",'Mapa final'!#REF!="Menor"),CONCATENATE("R1C",'Mapa final'!#REF!),"")</f>
        <v>#REF!</v>
      </c>
      <c r="U26" s="67" t="e">
        <f>IF(AND('Mapa final'!#REF!="Media",'Mapa final'!#REF!="Menor"),CONCATENATE("R1C",'Mapa final'!#REF!),"")</f>
        <v>#REF!</v>
      </c>
      <c r="V26" s="65" t="str">
        <f ca="1">IF(AND('Mapa final'!$AA$10="Media",'Mapa final'!$AC$10="Moderado"),CONCATENATE("R1C",'Mapa final'!$Q$10),"")</f>
        <v/>
      </c>
      <c r="W26" s="66" t="str">
        <f ca="1">IF(AND('Mapa final'!$AA$11="Media",'Mapa final'!$AC$11="Moderado"),CONCATENATE("R1C",'Mapa final'!$Q$11),"")</f>
        <v/>
      </c>
      <c r="X26" s="66" t="str">
        <f ca="1">IF(AND('Mapa final'!$AA$12="Media",'Mapa final'!$AC$12="Moderado"),CONCATENATE("R1C",'Mapa final'!$Q$12),"")</f>
        <v/>
      </c>
      <c r="Y26" s="66" t="e">
        <f>IF(AND('Mapa final'!#REF!="Media",'Mapa final'!#REF!="Moderado"),CONCATENATE("R1C",'Mapa final'!#REF!),"")</f>
        <v>#REF!</v>
      </c>
      <c r="Z26" s="66" t="e">
        <f>IF(AND('Mapa final'!#REF!="Media",'Mapa final'!#REF!="Moderado"),CONCATENATE("R1C",'Mapa final'!#REF!),"")</f>
        <v>#REF!</v>
      </c>
      <c r="AA26" s="67" t="e">
        <f>IF(AND('Mapa final'!#REF!="Media",'Mapa final'!#REF!="Moderado"),CONCATENATE("R1C",'Mapa final'!#REF!),"")</f>
        <v>#REF!</v>
      </c>
      <c r="AB26" s="46" t="str">
        <f ca="1">IF(AND('Mapa final'!$AA$10="Media",'Mapa final'!$AC$10="Mayor"),CONCATENATE("R1C",'Mapa final'!$Q$10),"")</f>
        <v/>
      </c>
      <c r="AC26" s="47" t="str">
        <f ca="1">IF(AND('Mapa final'!$AA$11="Media",'Mapa final'!$AC$11="Mayor"),CONCATENATE("R1C",'Mapa final'!$Q$11),"")</f>
        <v/>
      </c>
      <c r="AD26" s="47" t="str">
        <f ca="1">IF(AND('Mapa final'!$AA$12="Media",'Mapa final'!$AC$12="Mayor"),CONCATENATE("R1C",'Mapa final'!$Q$12),"")</f>
        <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 ca="1">IF(AND('Mapa final'!$AA$10="Media",'Mapa final'!$AC$10="Catastrófico"),CONCATENATE("R1C",'Mapa final'!$Q$10),"")</f>
        <v/>
      </c>
      <c r="AI26" s="50" t="str">
        <f ca="1">IF(AND('Mapa final'!$AA$11="Media",'Mapa final'!$AC$11="Catastrófico"),CONCATENATE("R1C",'Mapa final'!$Q$11),"")</f>
        <v/>
      </c>
      <c r="AJ26" s="50" t="str">
        <f ca="1">IF(AND('Mapa final'!$AA$12="Media",'Mapa final'!$AC$12="Catastrófico"),CONCATENATE("R1C",'Mapa final'!$Q$12),"")</f>
        <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4"/>
      <c r="AO26" s="388" t="s">
        <v>81</v>
      </c>
      <c r="AP26" s="389"/>
      <c r="AQ26" s="389"/>
      <c r="AR26" s="389"/>
      <c r="AS26" s="389"/>
      <c r="AT26" s="390"/>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x14ac:dyDescent="0.25">
      <c r="A27" s="84"/>
      <c r="B27" s="260"/>
      <c r="C27" s="260"/>
      <c r="D27" s="261"/>
      <c r="E27" s="359"/>
      <c r="F27" s="360"/>
      <c r="G27" s="360"/>
      <c r="H27" s="360"/>
      <c r="I27" s="377"/>
      <c r="J27" s="68" t="str">
        <f ca="1">IF(AND([1]Hoja1!$X$2="Media",[1]Hoja1!$Z$2="Leve"),CONCATENATE("R2C",[1]Hoja1!$N$2),"")</f>
        <v/>
      </c>
      <c r="K27" s="69" t="str">
        <f ca="1">IF(AND([1]Hoja1!$X$3="Media",[1]Hoja1!$Z$3="Leve"),CONCATENATE("R2C",[1]Hoja1!$N$3),"")</f>
        <v/>
      </c>
      <c r="L27" s="69" t="str">
        <f>IF(AND([1]Hoja1!$X$4="Media",[1]Hoja1!$Z$4="Leve"),CONCATENATE("R2C",[1]Hoja1!$N$4),"")</f>
        <v/>
      </c>
      <c r="M27" s="69" t="str">
        <f>IF(AND([1]Hoja1!$X$5="Media",[1]Hoja1!$Z$5="Leve"),CONCATENATE("R2C",[1]Hoja1!$N$5),"")</f>
        <v/>
      </c>
      <c r="N27" s="69" t="str">
        <f>IF(AND([1]Hoja1!$X$6="Media",[1]Hoja1!$Z$6="Leve"),CONCATENATE("R2C",[1]Hoja1!$N$6),"")</f>
        <v/>
      </c>
      <c r="O27" s="70" t="str">
        <f>IF(AND([1]Hoja1!$X$7="Media",[1]Hoja1!$Z$7="Leve"),CONCATENATE("R2C",[1]Hoja1!$N$7),"")</f>
        <v/>
      </c>
      <c r="P27" s="68" t="str">
        <f ca="1">IF(AND([1]Hoja1!$X$2="Media",[1]Hoja1!$Z$2="Menor"),CONCATENATE("R2C",[1]Hoja1!$N$2),"")</f>
        <v/>
      </c>
      <c r="Q27" s="69" t="str">
        <f ca="1">IF(AND([1]Hoja1!$X$3="Media",[1]Hoja1!$Z$3="Menor"),CONCATENATE("R2C",[1]Hoja1!$N$3),"")</f>
        <v/>
      </c>
      <c r="R27" s="69" t="str">
        <f>IF(AND([1]Hoja1!$X$4="Media",[1]Hoja1!$Z$4="Menor"),CONCATENATE("R2C",[1]Hoja1!$N$4),"")</f>
        <v/>
      </c>
      <c r="S27" s="69" t="str">
        <f>IF(AND([1]Hoja1!$X$5="Media",[1]Hoja1!$Z$5="Menor"),CONCATENATE("R2C",[1]Hoja1!$N$5),"")</f>
        <v/>
      </c>
      <c r="T27" s="69" t="str">
        <f>IF(AND([1]Hoja1!$X$6="Media",[1]Hoja1!$Z$6="Menor"),CONCATENATE("R2C",[1]Hoja1!$N$6),"")</f>
        <v/>
      </c>
      <c r="U27" s="70" t="str">
        <f>IF(AND([1]Hoja1!$X$7="Media",[1]Hoja1!$Z$7="Menor"),CONCATENATE("R2C",[1]Hoja1!$N$7),"")</f>
        <v/>
      </c>
      <c r="V27" s="68" t="str">
        <f ca="1">IF(AND([1]Hoja1!$X$2="Media",[1]Hoja1!$Z$2="Moderado"),CONCATENATE("R2C",[1]Hoja1!$N$2),"")</f>
        <v/>
      </c>
      <c r="W27" s="69" t="str">
        <f ca="1">IF(AND([1]Hoja1!$X$3="Media",[1]Hoja1!$Z$3="Moderado"),CONCATENATE("R2C",[1]Hoja1!$N$3),"")</f>
        <v/>
      </c>
      <c r="X27" s="69" t="str">
        <f>IF(AND([1]Hoja1!$X$4="Media",[1]Hoja1!$Z$4="Moderado"),CONCATENATE("R2C",[1]Hoja1!$N$4),"")</f>
        <v/>
      </c>
      <c r="Y27" s="69" t="str">
        <f>IF(AND([1]Hoja1!$X$5="Media",[1]Hoja1!$Z$5="Moderado"),CONCATENATE("R2C",[1]Hoja1!$N$5),"")</f>
        <v/>
      </c>
      <c r="Z27" s="69" t="str">
        <f>IF(AND([1]Hoja1!$X$6="Media",[1]Hoja1!$Z$6="Moderado"),CONCATENATE("R2C",[1]Hoja1!$N$6),"")</f>
        <v/>
      </c>
      <c r="AA27" s="70" t="str">
        <f>IF(AND([1]Hoja1!$X$7="Media",[1]Hoja1!$Z$7="Moderado"),CONCATENATE("R2C",[1]Hoja1!$N$7),"")</f>
        <v/>
      </c>
      <c r="AB27" s="52" t="str">
        <f ca="1">IF(AND([1]Hoja1!$X$2="Media",[1]Hoja1!$Z$2="Mayor"),CONCATENATE("R2C",[1]Hoja1!$N$2),"")</f>
        <v/>
      </c>
      <c r="AC27" s="53" t="str">
        <f ca="1">IF(AND([1]Hoja1!$X$3="Media",[1]Hoja1!$Z$3="Mayor"),CONCATENATE("R2C",[1]Hoja1!$N$3),"")</f>
        <v/>
      </c>
      <c r="AD27" s="53" t="str">
        <f>IF(AND([1]Hoja1!$X$4="Media",[1]Hoja1!$Z$4="Mayor"),CONCATENATE("R2C",[1]Hoja1!$N$4),"")</f>
        <v/>
      </c>
      <c r="AE27" s="53" t="str">
        <f>IF(AND([1]Hoja1!$X$5="Media",[1]Hoja1!$Z$5="Mayor"),CONCATENATE("R2C",[1]Hoja1!$N$5),"")</f>
        <v/>
      </c>
      <c r="AF27" s="53" t="str">
        <f>IF(AND([1]Hoja1!$X$6="Media",[1]Hoja1!$Z$6="Mayor"),CONCATENATE("R2C",[1]Hoja1!$N$6),"")</f>
        <v/>
      </c>
      <c r="AG27" s="54" t="str">
        <f>IF(AND([1]Hoja1!$X$7="Media",[1]Hoja1!$Z$7="Mayor"),CONCATENATE("R2C",[1]Hoja1!$N$7),"")</f>
        <v/>
      </c>
      <c r="AH27" s="55" t="str">
        <f ca="1">IF(AND([1]Hoja1!$X$2="Media",[1]Hoja1!$Z$2="Catastrófico"),CONCATENATE("R2C",[1]Hoja1!$N$2),"")</f>
        <v/>
      </c>
      <c r="AI27" s="56" t="str">
        <f ca="1">IF(AND([1]Hoja1!$X$3="Media",[1]Hoja1!$Z$3="Catastrófico"),CONCATENATE("R2C",[1]Hoja1!$N$3),"")</f>
        <v/>
      </c>
      <c r="AJ27" s="56" t="str">
        <f>IF(AND([1]Hoja1!$X$4="Media",[1]Hoja1!$Z$4="Catastrófico"),CONCATENATE("R2C",[1]Hoja1!$N$4),"")</f>
        <v/>
      </c>
      <c r="AK27" s="56" t="str">
        <f>IF(AND([1]Hoja1!$X$5="Media",[1]Hoja1!$Z$5="Catastrófico"),CONCATENATE("R2C",[1]Hoja1!$N$5),"")</f>
        <v/>
      </c>
      <c r="AL27" s="56" t="str">
        <f>IF(AND([1]Hoja1!$X$6="Media",[1]Hoja1!$Z$6="Catastrófico"),CONCATENATE("R2C",[1]Hoja1!$N$6),"")</f>
        <v/>
      </c>
      <c r="AM27" s="57" t="str">
        <f>IF(AND([1]Hoja1!$X$7="Media",[1]Hoja1!$Z$7="Catastrófico"),CONCATENATE("R2C",[1]Hoja1!$N$7),"")</f>
        <v/>
      </c>
      <c r="AN27" s="84"/>
      <c r="AO27" s="391"/>
      <c r="AP27" s="392"/>
      <c r="AQ27" s="392"/>
      <c r="AR27" s="392"/>
      <c r="AS27" s="392"/>
      <c r="AT27" s="393"/>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x14ac:dyDescent="0.25">
      <c r="A28" s="84"/>
      <c r="B28" s="260"/>
      <c r="C28" s="260"/>
      <c r="D28" s="261"/>
      <c r="E28" s="361"/>
      <c r="F28" s="362"/>
      <c r="G28" s="362"/>
      <c r="H28" s="362"/>
      <c r="I28" s="377"/>
      <c r="J28" s="68" t="str">
        <f>IF(AND('Mapa final'!$AA$19="Media",'Mapa final'!$AC$19="Leve"),CONCATENATE("R3C",'Mapa final'!$Q$19),"")</f>
        <v/>
      </c>
      <c r="K28" s="69" t="str">
        <f>IF(AND('Mapa final'!$AA$20="Media",'Mapa final'!$AC$20="Leve"),CONCATENATE("R3C",'Mapa final'!$Q$20),"")</f>
        <v/>
      </c>
      <c r="L28" s="69" t="str">
        <f>IF(AND('Mapa final'!$AA$21="Media",'Mapa final'!$AC$21="Leve"),CONCATENATE("R3C",'Mapa final'!$Q$21),"")</f>
        <v/>
      </c>
      <c r="M28" s="69" t="str">
        <f>IF(AND('Mapa final'!$AA$22="Media",'Mapa final'!$AC$22="Leve"),CONCATENATE("R3C",'Mapa final'!$Q$22),"")</f>
        <v/>
      </c>
      <c r="N28" s="69" t="str">
        <f>IF(AND('Mapa final'!$AA$23="Media",'Mapa final'!$AC$23="Leve"),CONCATENATE("R3C",'Mapa final'!$Q$23),"")</f>
        <v/>
      </c>
      <c r="O28" s="70" t="str">
        <f>IF(AND('Mapa final'!$AA$24="Media",'Mapa final'!$AC$24="Leve"),CONCATENATE("R3C",'Mapa final'!$Q$24),"")</f>
        <v/>
      </c>
      <c r="P28" s="68" t="str">
        <f>IF(AND('Mapa final'!$AA$19="Media",'Mapa final'!$AC$19="Menor"),CONCATENATE("R3C",'Mapa final'!$Q$19),"")</f>
        <v/>
      </c>
      <c r="Q28" s="69" t="str">
        <f>IF(AND('Mapa final'!$AA$20="Media",'Mapa final'!$AC$20="Menor"),CONCATENATE("R3C",'Mapa final'!$Q$20),"")</f>
        <v/>
      </c>
      <c r="R28" s="69" t="str">
        <f>IF(AND('Mapa final'!$AA$21="Media",'Mapa final'!$AC$21="Menor"),CONCATENATE("R3C",'Mapa final'!$Q$21),"")</f>
        <v/>
      </c>
      <c r="S28" s="69" t="str">
        <f>IF(AND('Mapa final'!$AA$22="Media",'Mapa final'!$AC$22="Menor"),CONCATENATE("R3C",'Mapa final'!$Q$22),"")</f>
        <v/>
      </c>
      <c r="T28" s="69" t="str">
        <f>IF(AND('Mapa final'!$AA$23="Media",'Mapa final'!$AC$23="Menor"),CONCATENATE("R3C",'Mapa final'!$Q$23),"")</f>
        <v/>
      </c>
      <c r="U28" s="70" t="str">
        <f>IF(AND('Mapa final'!$AA$24="Media",'Mapa final'!$AC$24="Menor"),CONCATENATE("R3C",'Mapa final'!$Q$24),"")</f>
        <v/>
      </c>
      <c r="V28" s="68" t="str">
        <f>IF(AND('Mapa final'!$AA$19="Media",'Mapa final'!$AC$19="Moderado"),CONCATENATE("R3C",'Mapa final'!$Q$19),"")</f>
        <v/>
      </c>
      <c r="W28" s="69" t="str">
        <f>IF(AND('Mapa final'!$AA$20="Media",'Mapa final'!$AC$20="Moderado"),CONCATENATE("R3C",'Mapa final'!$Q$20),"")</f>
        <v/>
      </c>
      <c r="X28" s="69" t="str">
        <f>IF(AND('Mapa final'!$AA$21="Media",'Mapa final'!$AC$21="Moderado"),CONCATENATE("R3C",'Mapa final'!$Q$21),"")</f>
        <v/>
      </c>
      <c r="Y28" s="69" t="str">
        <f>IF(AND('Mapa final'!$AA$22="Media",'Mapa final'!$AC$22="Moderado"),CONCATENATE("R3C",'Mapa final'!$Q$22),"")</f>
        <v/>
      </c>
      <c r="Z28" s="69" t="str">
        <f>IF(AND('Mapa final'!$AA$23="Media",'Mapa final'!$AC$23="Moderado"),CONCATENATE("R3C",'Mapa final'!$Q$23),"")</f>
        <v/>
      </c>
      <c r="AA28" s="70" t="str">
        <f>IF(AND('Mapa final'!$AA$24="Media",'Mapa final'!$AC$24="Moderado"),CONCATENATE("R3C",'Mapa final'!$Q$24),"")</f>
        <v/>
      </c>
      <c r="AB28" s="52" t="str">
        <f>IF(AND('Mapa final'!$AA$19="Media",'Mapa final'!$AC$19="Mayor"),CONCATENATE("R3C",'Mapa final'!$Q$19),"")</f>
        <v/>
      </c>
      <c r="AC28" s="53" t="str">
        <f>IF(AND('Mapa final'!$AA$20="Media",'Mapa final'!$AC$20="Mayor"),CONCATENATE("R3C",'Mapa final'!$Q$20),"")</f>
        <v/>
      </c>
      <c r="AD28" s="53" t="str">
        <f>IF(AND('Mapa final'!$AA$21="Media",'Mapa final'!$AC$21="Mayor"),CONCATENATE("R3C",'Mapa final'!$Q$21),"")</f>
        <v/>
      </c>
      <c r="AE28" s="53" t="str">
        <f>IF(AND('Mapa final'!$AA$22="Media",'Mapa final'!$AC$22="Mayor"),CONCATENATE("R3C",'Mapa final'!$Q$22),"")</f>
        <v/>
      </c>
      <c r="AF28" s="53" t="str">
        <f>IF(AND('Mapa final'!$AA$23="Media",'Mapa final'!$AC$23="Mayor"),CONCATENATE("R3C",'Mapa final'!$Q$23),"")</f>
        <v/>
      </c>
      <c r="AG28" s="54" t="str">
        <f>IF(AND('Mapa final'!$AA$24="Media",'Mapa final'!$AC$24="Mayor"),CONCATENATE("R3C",'Mapa final'!$Q$24),"")</f>
        <v/>
      </c>
      <c r="AH28" s="55" t="str">
        <f>IF(AND('Mapa final'!$AA$19="Media",'Mapa final'!$AC$19="Catastrófico"),CONCATENATE("R3C",'Mapa final'!$Q$19),"")</f>
        <v/>
      </c>
      <c r="AI28" s="56" t="str">
        <f>IF(AND('Mapa final'!$AA$20="Media",'Mapa final'!$AC$20="Catastrófico"),CONCATENATE("R3C",'Mapa final'!$Q$20),"")</f>
        <v/>
      </c>
      <c r="AJ28" s="56" t="str">
        <f>IF(AND('Mapa final'!$AA$21="Media",'Mapa final'!$AC$21="Catastrófico"),CONCATENATE("R3C",'Mapa final'!$Q$21),"")</f>
        <v/>
      </c>
      <c r="AK28" s="56" t="str">
        <f>IF(AND('Mapa final'!$AA$22="Media",'Mapa final'!$AC$22="Catastrófico"),CONCATENATE("R3C",'Mapa final'!$Q$22),"")</f>
        <v/>
      </c>
      <c r="AL28" s="56" t="str">
        <f>IF(AND('Mapa final'!$AA$23="Media",'Mapa final'!$AC$23="Catastrófico"),CONCATENATE("R3C",'Mapa final'!$Q$23),"")</f>
        <v/>
      </c>
      <c r="AM28" s="57" t="str">
        <f>IF(AND('Mapa final'!$AA$24="Media",'Mapa final'!$AC$24="Catastrófico"),CONCATENATE("R3C",'Mapa final'!$Q$24),"")</f>
        <v/>
      </c>
      <c r="AN28" s="84"/>
      <c r="AO28" s="391"/>
      <c r="AP28" s="392"/>
      <c r="AQ28" s="392"/>
      <c r="AR28" s="392"/>
      <c r="AS28" s="392"/>
      <c r="AT28" s="393"/>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x14ac:dyDescent="0.25">
      <c r="A29" s="84"/>
      <c r="B29" s="260"/>
      <c r="C29" s="260"/>
      <c r="D29" s="261"/>
      <c r="E29" s="361"/>
      <c r="F29" s="362"/>
      <c r="G29" s="362"/>
      <c r="H29" s="362"/>
      <c r="I29" s="377"/>
      <c r="J29" s="68" t="str">
        <f>IF(AND('Mapa final'!$AA$25="Media",'Mapa final'!$AC$25="Leve"),CONCATENATE("R4C",'Mapa final'!$Q$25),"")</f>
        <v/>
      </c>
      <c r="K29" s="69" t="str">
        <f>IF(AND('Mapa final'!$AA$26="Media",'Mapa final'!$AC$26="Leve"),CONCATENATE("R4C",'Mapa final'!$Q$26),"")</f>
        <v/>
      </c>
      <c r="L29" s="69" t="str">
        <f>IF(AND('Mapa final'!$AA$27="Media",'Mapa final'!$AC$27="Leve"),CONCATENATE("R4C",'Mapa final'!$Q$27),"")</f>
        <v/>
      </c>
      <c r="M29" s="69" t="str">
        <f>IF(AND('Mapa final'!$AA$28="Media",'Mapa final'!$AC$28="Leve"),CONCATENATE("R4C",'Mapa final'!$Q$28),"")</f>
        <v/>
      </c>
      <c r="N29" s="69" t="str">
        <f>IF(AND('Mapa final'!$AA$29="Media",'Mapa final'!$AC$29="Leve"),CONCATENATE("R4C",'Mapa final'!$Q$29),"")</f>
        <v/>
      </c>
      <c r="O29" s="70" t="str">
        <f>IF(AND('Mapa final'!$AA$30="Media",'Mapa final'!$AC$30="Leve"),CONCATENATE("R4C",'Mapa final'!$Q$30),"")</f>
        <v/>
      </c>
      <c r="P29" s="68" t="str">
        <f>IF(AND('Mapa final'!$AA$25="Media",'Mapa final'!$AC$25="Menor"),CONCATENATE("R4C",'Mapa final'!$Q$25),"")</f>
        <v/>
      </c>
      <c r="Q29" s="69" t="str">
        <f>IF(AND('Mapa final'!$AA$26="Media",'Mapa final'!$AC$26="Menor"),CONCATENATE("R4C",'Mapa final'!$Q$26),"")</f>
        <v/>
      </c>
      <c r="R29" s="69" t="str">
        <f>IF(AND('Mapa final'!$AA$27="Media",'Mapa final'!$AC$27="Menor"),CONCATENATE("R4C",'Mapa final'!$Q$27),"")</f>
        <v/>
      </c>
      <c r="S29" s="69" t="str">
        <f>IF(AND('Mapa final'!$AA$28="Media",'Mapa final'!$AC$28="Menor"),CONCATENATE("R4C",'Mapa final'!$Q$28),"")</f>
        <v/>
      </c>
      <c r="T29" s="69" t="str">
        <f>IF(AND('Mapa final'!$AA$29="Media",'Mapa final'!$AC$29="Menor"),CONCATENATE("R4C",'Mapa final'!$Q$29),"")</f>
        <v/>
      </c>
      <c r="U29" s="70" t="str">
        <f>IF(AND('Mapa final'!$AA$30="Media",'Mapa final'!$AC$30="Menor"),CONCATENATE("R4C",'Mapa final'!$Q$30),"")</f>
        <v/>
      </c>
      <c r="V29" s="68" t="str">
        <f>IF(AND('Mapa final'!$AA$25="Media",'Mapa final'!$AC$25="Moderado"),CONCATENATE("R4C",'Mapa final'!$Q$25),"")</f>
        <v/>
      </c>
      <c r="W29" s="69" t="str">
        <f>IF(AND('Mapa final'!$AA$26="Media",'Mapa final'!$AC$26="Moderado"),CONCATENATE("R4C",'Mapa final'!$Q$26),"")</f>
        <v/>
      </c>
      <c r="X29" s="69" t="str">
        <f>IF(AND('Mapa final'!$AA$27="Media",'Mapa final'!$AC$27="Moderado"),CONCATENATE("R4C",'Mapa final'!$Q$27),"")</f>
        <v/>
      </c>
      <c r="Y29" s="69" t="str">
        <f>IF(AND('Mapa final'!$AA$28="Media",'Mapa final'!$AC$28="Moderado"),CONCATENATE("R4C",'Mapa final'!$Q$28),"")</f>
        <v/>
      </c>
      <c r="Z29" s="69" t="str">
        <f>IF(AND('Mapa final'!$AA$29="Media",'Mapa final'!$AC$29="Moderado"),CONCATENATE("R4C",'Mapa final'!$Q$29),"")</f>
        <v/>
      </c>
      <c r="AA29" s="70" t="str">
        <f>IF(AND('Mapa final'!$AA$30="Media",'Mapa final'!$AC$30="Moderado"),CONCATENATE("R4C",'Mapa final'!$Q$30),"")</f>
        <v/>
      </c>
      <c r="AB29" s="52" t="str">
        <f>IF(AND('Mapa final'!$AA$25="Media",'Mapa final'!$AC$25="Mayor"),CONCATENATE("R4C",'Mapa final'!$Q$25),"")</f>
        <v/>
      </c>
      <c r="AC29" s="53" t="str">
        <f>IF(AND('Mapa final'!$AA$26="Media",'Mapa final'!$AC$26="Mayor"),CONCATENATE("R4C",'Mapa final'!$Q$26),"")</f>
        <v/>
      </c>
      <c r="AD29" s="58" t="str">
        <f>IF(AND('Mapa final'!$AA$27="Media",'Mapa final'!$AC$27="Mayor"),CONCATENATE("R4C",'Mapa final'!$Q$27),"")</f>
        <v/>
      </c>
      <c r="AE29" s="58" t="str">
        <f>IF(AND('Mapa final'!$AA$28="Media",'Mapa final'!$AC$28="Mayor"),CONCATENATE("R4C",'Mapa final'!$Q$28),"")</f>
        <v/>
      </c>
      <c r="AF29" s="58" t="str">
        <f>IF(AND('Mapa final'!$AA$29="Media",'Mapa final'!$AC$29="Mayor"),CONCATENATE("R4C",'Mapa final'!$Q$29),"")</f>
        <v/>
      </c>
      <c r="AG29" s="54" t="str">
        <f>IF(AND('Mapa final'!$AA$30="Media",'Mapa final'!$AC$30="Mayor"),CONCATENATE("R4C",'Mapa final'!$Q$30),"")</f>
        <v/>
      </c>
      <c r="AH29" s="55" t="str">
        <f>IF(AND('Mapa final'!$AA$25="Media",'Mapa final'!$AC$25="Catastrófico"),CONCATENATE("R4C",'Mapa final'!$Q$25),"")</f>
        <v/>
      </c>
      <c r="AI29" s="56" t="str">
        <f>IF(AND('Mapa final'!$AA$26="Media",'Mapa final'!$AC$26="Catastrófico"),CONCATENATE("R4C",'Mapa final'!$Q$26),"")</f>
        <v/>
      </c>
      <c r="AJ29" s="56" t="str">
        <f>IF(AND('Mapa final'!$AA$27="Media",'Mapa final'!$AC$27="Catastrófico"),CONCATENATE("R4C",'Mapa final'!$Q$27),"")</f>
        <v/>
      </c>
      <c r="AK29" s="56" t="str">
        <f>IF(AND('Mapa final'!$AA$28="Media",'Mapa final'!$AC$28="Catastrófico"),CONCATENATE("R4C",'Mapa final'!$Q$28),"")</f>
        <v/>
      </c>
      <c r="AL29" s="56" t="str">
        <f>IF(AND('Mapa final'!$AA$29="Media",'Mapa final'!$AC$29="Catastrófico"),CONCATENATE("R4C",'Mapa final'!$Q$29),"")</f>
        <v/>
      </c>
      <c r="AM29" s="57" t="str">
        <f>IF(AND('Mapa final'!$AA$30="Media",'Mapa final'!$AC$30="Catastrófico"),CONCATENATE("R4C",'Mapa final'!$Q$30),"")</f>
        <v/>
      </c>
      <c r="AN29" s="84"/>
      <c r="AO29" s="391"/>
      <c r="AP29" s="392"/>
      <c r="AQ29" s="392"/>
      <c r="AR29" s="392"/>
      <c r="AS29" s="392"/>
      <c r="AT29" s="393"/>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x14ac:dyDescent="0.25">
      <c r="A30" s="84"/>
      <c r="B30" s="260"/>
      <c r="C30" s="260"/>
      <c r="D30" s="261"/>
      <c r="E30" s="361"/>
      <c r="F30" s="362"/>
      <c r="G30" s="362"/>
      <c r="H30" s="362"/>
      <c r="I30" s="377"/>
      <c r="J30" s="68" t="str">
        <f>IF(AND('Mapa final'!$AA$31="Media",'Mapa final'!$AC$31="Leve"),CONCATENATE("R5C",'Mapa final'!$Q$31),"")</f>
        <v/>
      </c>
      <c r="K30" s="69" t="str">
        <f>IF(AND('Mapa final'!$AA$32="Media",'Mapa final'!$AC$32="Leve"),CONCATENATE("R5C",'Mapa final'!$Q$32),"")</f>
        <v/>
      </c>
      <c r="L30" s="69" t="str">
        <f>IF(AND('Mapa final'!$AA$33="Media",'Mapa final'!$AC$33="Leve"),CONCATENATE("R5C",'Mapa final'!$Q$33),"")</f>
        <v/>
      </c>
      <c r="M30" s="69" t="str">
        <f>IF(AND('Mapa final'!$AA$34="Media",'Mapa final'!$AC$34="Leve"),CONCATENATE("R5C",'Mapa final'!$Q$34),"")</f>
        <v/>
      </c>
      <c r="N30" s="69" t="str">
        <f>IF(AND('Mapa final'!$AA$35="Media",'Mapa final'!$AC$35="Leve"),CONCATENATE("R5C",'Mapa final'!$Q$35),"")</f>
        <v/>
      </c>
      <c r="O30" s="70" t="str">
        <f>IF(AND('Mapa final'!$AA$36="Media",'Mapa final'!$AC$36="Leve"),CONCATENATE("R5C",'Mapa final'!$Q$36),"")</f>
        <v/>
      </c>
      <c r="P30" s="68" t="str">
        <f>IF(AND('Mapa final'!$AA$31="Media",'Mapa final'!$AC$31="Menor"),CONCATENATE("R5C",'Mapa final'!$Q$31),"")</f>
        <v/>
      </c>
      <c r="Q30" s="69" t="str">
        <f>IF(AND('Mapa final'!$AA$32="Media",'Mapa final'!$AC$32="Menor"),CONCATENATE("R5C",'Mapa final'!$Q$32),"")</f>
        <v/>
      </c>
      <c r="R30" s="69" t="str">
        <f>IF(AND('Mapa final'!$AA$33="Media",'Mapa final'!$AC$33="Menor"),CONCATENATE("R5C",'Mapa final'!$Q$33),"")</f>
        <v/>
      </c>
      <c r="S30" s="69" t="str">
        <f>IF(AND('Mapa final'!$AA$34="Media",'Mapa final'!$AC$34="Menor"),CONCATENATE("R5C",'Mapa final'!$Q$34),"")</f>
        <v/>
      </c>
      <c r="T30" s="69" t="str">
        <f>IF(AND('Mapa final'!$AA$35="Media",'Mapa final'!$AC$35="Menor"),CONCATENATE("R5C",'Mapa final'!$Q$35),"")</f>
        <v/>
      </c>
      <c r="U30" s="70" t="str">
        <f>IF(AND('Mapa final'!$AA$36="Media",'Mapa final'!$AC$36="Menor"),CONCATENATE("R5C",'Mapa final'!$Q$36),"")</f>
        <v/>
      </c>
      <c r="V30" s="68" t="str">
        <f>IF(AND('Mapa final'!$AA$31="Media",'Mapa final'!$AC$31="Moderado"),CONCATENATE("R5C",'Mapa final'!$Q$31),"")</f>
        <v/>
      </c>
      <c r="W30" s="69" t="str">
        <f>IF(AND('Mapa final'!$AA$32="Media",'Mapa final'!$AC$32="Moderado"),CONCATENATE("R5C",'Mapa final'!$Q$32),"")</f>
        <v/>
      </c>
      <c r="X30" s="69" t="str">
        <f>IF(AND('Mapa final'!$AA$33="Media",'Mapa final'!$AC$33="Moderado"),CONCATENATE("R5C",'Mapa final'!$Q$33),"")</f>
        <v/>
      </c>
      <c r="Y30" s="69" t="str">
        <f>IF(AND('Mapa final'!$AA$34="Media",'Mapa final'!$AC$34="Moderado"),CONCATENATE("R5C",'Mapa final'!$Q$34),"")</f>
        <v/>
      </c>
      <c r="Z30" s="69" t="str">
        <f>IF(AND('Mapa final'!$AA$35="Media",'Mapa final'!$AC$35="Moderado"),CONCATENATE("R5C",'Mapa final'!$Q$35),"")</f>
        <v/>
      </c>
      <c r="AA30" s="70" t="str">
        <f>IF(AND('Mapa final'!$AA$36="Media",'Mapa final'!$AC$36="Moderado"),CONCATENATE("R5C",'Mapa final'!$Q$36),"")</f>
        <v/>
      </c>
      <c r="AB30" s="52" t="str">
        <f>IF(AND('Mapa final'!$AA$31="Media",'Mapa final'!$AC$31="Mayor"),CONCATENATE("R5C",'Mapa final'!$Q$31),"")</f>
        <v/>
      </c>
      <c r="AC30" s="53" t="str">
        <f>IF(AND('Mapa final'!$AA$32="Media",'Mapa final'!$AC$32="Mayor"),CONCATENATE("R5C",'Mapa final'!$Q$32),"")</f>
        <v/>
      </c>
      <c r="AD30" s="58" t="str">
        <f>IF(AND('Mapa final'!$AA$33="Media",'Mapa final'!$AC$33="Mayor"),CONCATENATE("R5C",'Mapa final'!$Q$33),"")</f>
        <v/>
      </c>
      <c r="AE30" s="58" t="str">
        <f>IF(AND('Mapa final'!$AA$34="Media",'Mapa final'!$AC$34="Mayor"),CONCATENATE("R5C",'Mapa final'!$Q$34),"")</f>
        <v/>
      </c>
      <c r="AF30" s="58" t="str">
        <f>IF(AND('Mapa final'!$AA$35="Media",'Mapa final'!$AC$35="Mayor"),CONCATENATE("R5C",'Mapa final'!$Q$35),"")</f>
        <v/>
      </c>
      <c r="AG30" s="54" t="str">
        <f>IF(AND('Mapa final'!$AA$36="Media",'Mapa final'!$AC$36="Mayor"),CONCATENATE("R5C",'Mapa final'!$Q$36),"")</f>
        <v/>
      </c>
      <c r="AH30" s="55" t="str">
        <f>IF(AND('Mapa final'!$AA$31="Media",'Mapa final'!$AC$31="Catastrófico"),CONCATENATE("R5C",'Mapa final'!$Q$31),"")</f>
        <v/>
      </c>
      <c r="AI30" s="56" t="str">
        <f>IF(AND('Mapa final'!$AA$32="Media",'Mapa final'!$AC$32="Catastrófico"),CONCATENATE("R5C",'Mapa final'!$Q$32),"")</f>
        <v/>
      </c>
      <c r="AJ30" s="56" t="str">
        <f>IF(AND('Mapa final'!$AA$33="Media",'Mapa final'!$AC$33="Catastrófico"),CONCATENATE("R5C",'Mapa final'!$Q$33),"")</f>
        <v/>
      </c>
      <c r="AK30" s="56" t="str">
        <f>IF(AND('Mapa final'!$AA$34="Media",'Mapa final'!$AC$34="Catastrófico"),CONCATENATE("R5C",'Mapa final'!$Q$34),"")</f>
        <v/>
      </c>
      <c r="AL30" s="56" t="str">
        <f>IF(AND('Mapa final'!$AA$35="Media",'Mapa final'!$AC$35="Catastrófico"),CONCATENATE("R5C",'Mapa final'!$Q$35),"")</f>
        <v/>
      </c>
      <c r="AM30" s="57" t="str">
        <f>IF(AND('Mapa final'!$AA$36="Media",'Mapa final'!$AC$36="Catastrófico"),CONCATENATE("R5C",'Mapa final'!$Q$36),"")</f>
        <v/>
      </c>
      <c r="AN30" s="84"/>
      <c r="AO30" s="391"/>
      <c r="AP30" s="392"/>
      <c r="AQ30" s="392"/>
      <c r="AR30" s="392"/>
      <c r="AS30" s="392"/>
      <c r="AT30" s="39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x14ac:dyDescent="0.25">
      <c r="A31" s="84"/>
      <c r="B31" s="260"/>
      <c r="C31" s="260"/>
      <c r="D31" s="261"/>
      <c r="E31" s="361"/>
      <c r="F31" s="362"/>
      <c r="G31" s="362"/>
      <c r="H31" s="362"/>
      <c r="I31" s="377"/>
      <c r="J31" s="68" t="str">
        <f>IF(AND('Mapa final'!$AA$37="Media",'Mapa final'!$AC$37="Leve"),CONCATENATE("R6C",'Mapa final'!$Q$37),"")</f>
        <v/>
      </c>
      <c r="K31" s="69" t="str">
        <f>IF(AND('Mapa final'!$AA$38="Media",'Mapa final'!$AC$38="Leve"),CONCATENATE("R6C",'Mapa final'!$Q$38),"")</f>
        <v/>
      </c>
      <c r="L31" s="69" t="str">
        <f>IF(AND('Mapa final'!$AA$39="Media",'Mapa final'!$AC$39="Leve"),CONCATENATE("R6C",'Mapa final'!$Q$39),"")</f>
        <v/>
      </c>
      <c r="M31" s="69" t="str">
        <f>IF(AND('Mapa final'!$AA$40="Media",'Mapa final'!$AC$40="Leve"),CONCATENATE("R6C",'Mapa final'!$Q$40),"")</f>
        <v/>
      </c>
      <c r="N31" s="69" t="str">
        <f>IF(AND('Mapa final'!$AA$41="Media",'Mapa final'!$AC$41="Leve"),CONCATENATE("R6C",'Mapa final'!$Q$41),"")</f>
        <v/>
      </c>
      <c r="O31" s="70" t="str">
        <f>IF(AND('Mapa final'!$AA$42="Media",'Mapa final'!$AC$42="Leve"),CONCATENATE("R6C",'Mapa final'!$Q$42),"")</f>
        <v/>
      </c>
      <c r="P31" s="68" t="str">
        <f>IF(AND('Mapa final'!$AA$37="Media",'Mapa final'!$AC$37="Menor"),CONCATENATE("R6C",'Mapa final'!$Q$37),"")</f>
        <v/>
      </c>
      <c r="Q31" s="69" t="str">
        <f>IF(AND('Mapa final'!$AA$38="Media",'Mapa final'!$AC$38="Menor"),CONCATENATE("R6C",'Mapa final'!$Q$38),"")</f>
        <v/>
      </c>
      <c r="R31" s="69" t="str">
        <f>IF(AND('Mapa final'!$AA$39="Media",'Mapa final'!$AC$39="Menor"),CONCATENATE("R6C",'Mapa final'!$Q$39),"")</f>
        <v/>
      </c>
      <c r="S31" s="69" t="str">
        <f>IF(AND('Mapa final'!$AA$40="Media",'Mapa final'!$AC$40="Menor"),CONCATENATE("R6C",'Mapa final'!$Q$40),"")</f>
        <v/>
      </c>
      <c r="T31" s="69" t="str">
        <f>IF(AND('Mapa final'!$AA$41="Media",'Mapa final'!$AC$41="Menor"),CONCATENATE("R6C",'Mapa final'!$Q$41),"")</f>
        <v/>
      </c>
      <c r="U31" s="70" t="str">
        <f>IF(AND('Mapa final'!$AA$42="Media",'Mapa final'!$AC$42="Menor"),CONCATENATE("R6C",'Mapa final'!$Q$42),"")</f>
        <v/>
      </c>
      <c r="V31" s="68" t="str">
        <f>IF(AND('Mapa final'!$AA$37="Media",'Mapa final'!$AC$37="Moderado"),CONCATENATE("R6C",'Mapa final'!$Q$37),"")</f>
        <v/>
      </c>
      <c r="W31" s="69" t="str">
        <f>IF(AND('Mapa final'!$AA$38="Media",'Mapa final'!$AC$38="Moderado"),CONCATENATE("R6C",'Mapa final'!$Q$38),"")</f>
        <v/>
      </c>
      <c r="X31" s="69" t="str">
        <f>IF(AND('Mapa final'!$AA$39="Media",'Mapa final'!$AC$39="Moderado"),CONCATENATE("R6C",'Mapa final'!$Q$39),"")</f>
        <v/>
      </c>
      <c r="Y31" s="69" t="str">
        <f>IF(AND('Mapa final'!$AA$40="Media",'Mapa final'!$AC$40="Moderado"),CONCATENATE("R6C",'Mapa final'!$Q$40),"")</f>
        <v/>
      </c>
      <c r="Z31" s="69" t="str">
        <f>IF(AND('Mapa final'!$AA$41="Media",'Mapa final'!$AC$41="Moderado"),CONCATENATE("R6C",'Mapa final'!$Q$41),"")</f>
        <v/>
      </c>
      <c r="AA31" s="70" t="str">
        <f>IF(AND('Mapa final'!$AA$42="Media",'Mapa final'!$AC$42="Moderado"),CONCATENATE("R6C",'Mapa final'!$Q$42),"")</f>
        <v/>
      </c>
      <c r="AB31" s="52" t="str">
        <f>IF(AND('Mapa final'!$AA$37="Media",'Mapa final'!$AC$37="Mayor"),CONCATENATE("R6C",'Mapa final'!$Q$37),"")</f>
        <v/>
      </c>
      <c r="AC31" s="53" t="str">
        <f>IF(AND('Mapa final'!$AA$38="Media",'Mapa final'!$AC$38="Mayor"),CONCATENATE("R6C",'Mapa final'!$Q$38),"")</f>
        <v/>
      </c>
      <c r="AD31" s="58" t="str">
        <f>IF(AND('Mapa final'!$AA$39="Media",'Mapa final'!$AC$39="Mayor"),CONCATENATE("R6C",'Mapa final'!$Q$39),"")</f>
        <v/>
      </c>
      <c r="AE31" s="58" t="str">
        <f>IF(AND('Mapa final'!$AA$40="Media",'Mapa final'!$AC$40="Mayor"),CONCATENATE("R6C",'Mapa final'!$Q$40),"")</f>
        <v/>
      </c>
      <c r="AF31" s="58" t="str">
        <f>IF(AND('Mapa final'!$AA$41="Media",'Mapa final'!$AC$41="Mayor"),CONCATENATE("R6C",'Mapa final'!$Q$41),"")</f>
        <v/>
      </c>
      <c r="AG31" s="54" t="str">
        <f>IF(AND('Mapa final'!$AA$42="Media",'Mapa final'!$AC$42="Mayor"),CONCATENATE("R6C",'Mapa final'!$Q$42),"")</f>
        <v/>
      </c>
      <c r="AH31" s="55" t="str">
        <f>IF(AND('Mapa final'!$AA$37="Media",'Mapa final'!$AC$37="Catastrófico"),CONCATENATE("R6C",'Mapa final'!$Q$37),"")</f>
        <v/>
      </c>
      <c r="AI31" s="56" t="str">
        <f>IF(AND('Mapa final'!$AA$38="Media",'Mapa final'!$AC$38="Catastrófico"),CONCATENATE("R6C",'Mapa final'!$Q$38),"")</f>
        <v/>
      </c>
      <c r="AJ31" s="56" t="str">
        <f>IF(AND('Mapa final'!$AA$39="Media",'Mapa final'!$AC$39="Catastrófico"),CONCATENATE("R6C",'Mapa final'!$Q$39),"")</f>
        <v/>
      </c>
      <c r="AK31" s="56" t="str">
        <f>IF(AND('Mapa final'!$AA$40="Media",'Mapa final'!$AC$40="Catastrófico"),CONCATENATE("R6C",'Mapa final'!$Q$40),"")</f>
        <v/>
      </c>
      <c r="AL31" s="56" t="str">
        <f>IF(AND('Mapa final'!$AA$41="Media",'Mapa final'!$AC$41="Catastrófico"),CONCATENATE("R6C",'Mapa final'!$Q$41),"")</f>
        <v/>
      </c>
      <c r="AM31" s="57" t="str">
        <f>IF(AND('Mapa final'!$AA$42="Media",'Mapa final'!$AC$42="Catastrófico"),CONCATENATE("R6C",'Mapa final'!$Q$42),"")</f>
        <v/>
      </c>
      <c r="AN31" s="84"/>
      <c r="AO31" s="391"/>
      <c r="AP31" s="392"/>
      <c r="AQ31" s="392"/>
      <c r="AR31" s="392"/>
      <c r="AS31" s="392"/>
      <c r="AT31" s="393"/>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x14ac:dyDescent="0.25">
      <c r="A32" s="84"/>
      <c r="B32" s="260"/>
      <c r="C32" s="260"/>
      <c r="D32" s="261"/>
      <c r="E32" s="361"/>
      <c r="F32" s="362"/>
      <c r="G32" s="362"/>
      <c r="H32" s="362"/>
      <c r="I32" s="377"/>
      <c r="J32" s="68" t="str">
        <f>IF(AND('Mapa final'!$AA$43="Media",'Mapa final'!$AC$43="Leve"),CONCATENATE("R7C",'Mapa final'!$Q$43),"")</f>
        <v/>
      </c>
      <c r="K32" s="69" t="str">
        <f>IF(AND('Mapa final'!$AA$44="Media",'Mapa final'!$AC$44="Leve"),CONCATENATE("R7C",'Mapa final'!$Q$44),"")</f>
        <v/>
      </c>
      <c r="L32" s="69" t="str">
        <f>IF(AND('Mapa final'!$AA$45="Media",'Mapa final'!$AC$45="Leve"),CONCATENATE("R7C",'Mapa final'!$Q$45),"")</f>
        <v/>
      </c>
      <c r="M32" s="69" t="str">
        <f>IF(AND('Mapa final'!$AA$46="Media",'Mapa final'!$AC$46="Leve"),CONCATENATE("R7C",'Mapa final'!$Q$46),"")</f>
        <v/>
      </c>
      <c r="N32" s="69" t="str">
        <f>IF(AND('Mapa final'!$AA$47="Media",'Mapa final'!$AC$47="Leve"),CONCATENATE("R7C",'Mapa final'!$Q$47),"")</f>
        <v/>
      </c>
      <c r="O32" s="70" t="str">
        <f>IF(AND('Mapa final'!$AA$48="Media",'Mapa final'!$AC$48="Leve"),CONCATENATE("R7C",'Mapa final'!$Q$48),"")</f>
        <v/>
      </c>
      <c r="P32" s="68" t="str">
        <f>IF(AND('Mapa final'!$AA$43="Media",'Mapa final'!$AC$43="Menor"),CONCATENATE("R7C",'Mapa final'!$Q$43),"")</f>
        <v/>
      </c>
      <c r="Q32" s="69" t="str">
        <f>IF(AND('Mapa final'!$AA$44="Media",'Mapa final'!$AC$44="Menor"),CONCATENATE("R7C",'Mapa final'!$Q$44),"")</f>
        <v/>
      </c>
      <c r="R32" s="69" t="str">
        <f>IF(AND('Mapa final'!$AA$45="Media",'Mapa final'!$AC$45="Menor"),CONCATENATE("R7C",'Mapa final'!$Q$45),"")</f>
        <v/>
      </c>
      <c r="S32" s="69" t="str">
        <f>IF(AND('Mapa final'!$AA$46="Media",'Mapa final'!$AC$46="Menor"),CONCATENATE("R7C",'Mapa final'!$Q$46),"")</f>
        <v/>
      </c>
      <c r="T32" s="69" t="str">
        <f>IF(AND('Mapa final'!$AA$47="Media",'Mapa final'!$AC$47="Menor"),CONCATENATE("R7C",'Mapa final'!$Q$47),"")</f>
        <v/>
      </c>
      <c r="U32" s="70" t="str">
        <f>IF(AND('Mapa final'!$AA$48="Media",'Mapa final'!$AC$48="Menor"),CONCATENATE("R7C",'Mapa final'!$Q$48),"")</f>
        <v/>
      </c>
      <c r="V32" s="68" t="str">
        <f>IF(AND('Mapa final'!$AA$43="Media",'Mapa final'!$AC$43="Moderado"),CONCATENATE("R7C",'Mapa final'!$Q$43),"")</f>
        <v/>
      </c>
      <c r="W32" s="69" t="str">
        <f>IF(AND('Mapa final'!$AA$44="Media",'Mapa final'!$AC$44="Moderado"),CONCATENATE("R7C",'Mapa final'!$Q$44),"")</f>
        <v/>
      </c>
      <c r="X32" s="69" t="str">
        <f>IF(AND('Mapa final'!$AA$45="Media",'Mapa final'!$AC$45="Moderado"),CONCATENATE("R7C",'Mapa final'!$Q$45),"")</f>
        <v/>
      </c>
      <c r="Y32" s="69" t="str">
        <f>IF(AND('Mapa final'!$AA$46="Media",'Mapa final'!$AC$46="Moderado"),CONCATENATE("R7C",'Mapa final'!$Q$46),"")</f>
        <v/>
      </c>
      <c r="Z32" s="69" t="str">
        <f>IF(AND('Mapa final'!$AA$47="Media",'Mapa final'!$AC$47="Moderado"),CONCATENATE("R7C",'Mapa final'!$Q$47),"")</f>
        <v/>
      </c>
      <c r="AA32" s="70" t="str">
        <f>IF(AND('Mapa final'!$AA$48="Media",'Mapa final'!$AC$48="Moderado"),CONCATENATE("R7C",'Mapa final'!$Q$48),"")</f>
        <v/>
      </c>
      <c r="AB32" s="52" t="str">
        <f>IF(AND('Mapa final'!$AA$43="Media",'Mapa final'!$AC$43="Mayor"),CONCATENATE("R7C",'Mapa final'!$Q$43),"")</f>
        <v/>
      </c>
      <c r="AC32" s="53" t="str">
        <f>IF(AND('Mapa final'!$AA$44="Media",'Mapa final'!$AC$44="Mayor"),CONCATENATE("R7C",'Mapa final'!$Q$44),"")</f>
        <v/>
      </c>
      <c r="AD32" s="58" t="str">
        <f>IF(AND('Mapa final'!$AA$45="Media",'Mapa final'!$AC$45="Mayor"),CONCATENATE("R7C",'Mapa final'!$Q$45),"")</f>
        <v/>
      </c>
      <c r="AE32" s="58" t="str">
        <f>IF(AND('Mapa final'!$AA$46="Media",'Mapa final'!$AC$46="Mayor"),CONCATENATE("R7C",'Mapa final'!$Q$46),"")</f>
        <v/>
      </c>
      <c r="AF32" s="58" t="str">
        <f>IF(AND('Mapa final'!$AA$47="Media",'Mapa final'!$AC$47="Mayor"),CONCATENATE("R7C",'Mapa final'!$Q$47),"")</f>
        <v/>
      </c>
      <c r="AG32" s="54" t="str">
        <f>IF(AND('Mapa final'!$AA$48="Media",'Mapa final'!$AC$48="Mayor"),CONCATENATE("R7C",'Mapa final'!$Q$48),"")</f>
        <v/>
      </c>
      <c r="AH32" s="55" t="str">
        <f>IF(AND('Mapa final'!$AA$43="Media",'Mapa final'!$AC$43="Catastrófico"),CONCATENATE("R7C",'Mapa final'!$Q$43),"")</f>
        <v/>
      </c>
      <c r="AI32" s="56" t="str">
        <f>IF(AND('Mapa final'!$AA$44="Media",'Mapa final'!$AC$44="Catastrófico"),CONCATENATE("R7C",'Mapa final'!$Q$44),"")</f>
        <v/>
      </c>
      <c r="AJ32" s="56" t="str">
        <f>IF(AND('Mapa final'!$AA$45="Media",'Mapa final'!$AC$45="Catastrófico"),CONCATENATE("R7C",'Mapa final'!$Q$45),"")</f>
        <v/>
      </c>
      <c r="AK32" s="56" t="str">
        <f>IF(AND('Mapa final'!$AA$46="Media",'Mapa final'!$AC$46="Catastrófico"),CONCATENATE("R7C",'Mapa final'!$Q$46),"")</f>
        <v/>
      </c>
      <c r="AL32" s="56" t="str">
        <f>IF(AND('Mapa final'!$AA$47="Media",'Mapa final'!$AC$47="Catastrófico"),CONCATENATE("R7C",'Mapa final'!$Q$47),"")</f>
        <v/>
      </c>
      <c r="AM32" s="57" t="str">
        <f>IF(AND('Mapa final'!$AA$48="Media",'Mapa final'!$AC$48="Catastrófico"),CONCATENATE("R7C",'Mapa final'!$Q$48),"")</f>
        <v/>
      </c>
      <c r="AN32" s="84"/>
      <c r="AO32" s="391"/>
      <c r="AP32" s="392"/>
      <c r="AQ32" s="392"/>
      <c r="AR32" s="392"/>
      <c r="AS32" s="392"/>
      <c r="AT32" s="393"/>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x14ac:dyDescent="0.25">
      <c r="A33" s="84"/>
      <c r="B33" s="260"/>
      <c r="C33" s="260"/>
      <c r="D33" s="261"/>
      <c r="E33" s="361"/>
      <c r="F33" s="362"/>
      <c r="G33" s="362"/>
      <c r="H33" s="362"/>
      <c r="I33" s="377"/>
      <c r="J33" s="68" t="str">
        <f>IF(AND('Mapa final'!$AA$49="Media",'Mapa final'!$AC$49="Leve"),CONCATENATE("R8C",'Mapa final'!$Q$49),"")</f>
        <v/>
      </c>
      <c r="K33" s="69" t="str">
        <f>IF(AND('Mapa final'!$AA$50="Media",'Mapa final'!$AC$50="Leve"),CONCATENATE("R8C",'Mapa final'!$Q$50),"")</f>
        <v/>
      </c>
      <c r="L33" s="69" t="str">
        <f>IF(AND('Mapa final'!$AA$51="Media",'Mapa final'!$AC$51="Leve"),CONCATENATE("R8C",'Mapa final'!$Q$51),"")</f>
        <v/>
      </c>
      <c r="M33" s="69" t="str">
        <f>IF(AND('Mapa final'!$AA$52="Media",'Mapa final'!$AC$52="Leve"),CONCATENATE("R8C",'Mapa final'!$Q$52),"")</f>
        <v/>
      </c>
      <c r="N33" s="69" t="str">
        <f>IF(AND('Mapa final'!$AA$53="Media",'Mapa final'!$AC$53="Leve"),CONCATENATE("R8C",'Mapa final'!$Q$53),"")</f>
        <v/>
      </c>
      <c r="O33" s="70" t="str">
        <f>IF(AND('Mapa final'!$AA$54="Media",'Mapa final'!$AC$54="Leve"),CONCATENATE("R8C",'Mapa final'!$Q$54),"")</f>
        <v/>
      </c>
      <c r="P33" s="68" t="str">
        <f>IF(AND('Mapa final'!$AA$49="Media",'Mapa final'!$AC$49="Menor"),CONCATENATE("R8C",'Mapa final'!$Q$49),"")</f>
        <v/>
      </c>
      <c r="Q33" s="69" t="str">
        <f>IF(AND('Mapa final'!$AA$50="Media",'Mapa final'!$AC$50="Menor"),CONCATENATE("R8C",'Mapa final'!$Q$50),"")</f>
        <v/>
      </c>
      <c r="R33" s="69" t="str">
        <f>IF(AND('Mapa final'!$AA$51="Media",'Mapa final'!$AC$51="Menor"),CONCATENATE("R8C",'Mapa final'!$Q$51),"")</f>
        <v/>
      </c>
      <c r="S33" s="69" t="str">
        <f>IF(AND('Mapa final'!$AA$52="Media",'Mapa final'!$AC$52="Menor"),CONCATENATE("R8C",'Mapa final'!$Q$52),"")</f>
        <v/>
      </c>
      <c r="T33" s="69" t="str">
        <f>IF(AND('Mapa final'!$AA$53="Media",'Mapa final'!$AC$53="Menor"),CONCATENATE("R8C",'Mapa final'!$Q$53),"")</f>
        <v/>
      </c>
      <c r="U33" s="70" t="str">
        <f>IF(AND('Mapa final'!$AA$54="Media",'Mapa final'!$AC$54="Menor"),CONCATENATE("R8C",'Mapa final'!$Q$54),"")</f>
        <v/>
      </c>
      <c r="V33" s="68" t="str">
        <f>IF(AND('Mapa final'!$AA$49="Media",'Mapa final'!$AC$49="Moderado"),CONCATENATE("R8C",'Mapa final'!$Q$49),"")</f>
        <v/>
      </c>
      <c r="W33" s="69" t="str">
        <f>IF(AND('Mapa final'!$AA$50="Media",'Mapa final'!$AC$50="Moderado"),CONCATENATE("R8C",'Mapa final'!$Q$50),"")</f>
        <v/>
      </c>
      <c r="X33" s="69" t="str">
        <f>IF(AND('Mapa final'!$AA$51="Media",'Mapa final'!$AC$51="Moderado"),CONCATENATE("R8C",'Mapa final'!$Q$51),"")</f>
        <v/>
      </c>
      <c r="Y33" s="69" t="str">
        <f>IF(AND('Mapa final'!$AA$52="Media",'Mapa final'!$AC$52="Moderado"),CONCATENATE("R8C",'Mapa final'!$Q$52),"")</f>
        <v/>
      </c>
      <c r="Z33" s="69" t="str">
        <f>IF(AND('Mapa final'!$AA$53="Media",'Mapa final'!$AC$53="Moderado"),CONCATENATE("R8C",'Mapa final'!$Q$53),"")</f>
        <v/>
      </c>
      <c r="AA33" s="70" t="str">
        <f>IF(AND('Mapa final'!$AA$54="Media",'Mapa final'!$AC$54="Moderado"),CONCATENATE("R8C",'Mapa final'!$Q$54),"")</f>
        <v/>
      </c>
      <c r="AB33" s="52" t="str">
        <f>IF(AND('Mapa final'!$AA$49="Media",'Mapa final'!$AC$49="Mayor"),CONCATENATE("R8C",'Mapa final'!$Q$49),"")</f>
        <v/>
      </c>
      <c r="AC33" s="53" t="str">
        <f>IF(AND('Mapa final'!$AA$50="Media",'Mapa final'!$AC$50="Mayor"),CONCATENATE("R8C",'Mapa final'!$Q$50),"")</f>
        <v/>
      </c>
      <c r="AD33" s="58" t="str">
        <f>IF(AND('Mapa final'!$AA$51="Media",'Mapa final'!$AC$51="Mayor"),CONCATENATE("R8C",'Mapa final'!$Q$51),"")</f>
        <v/>
      </c>
      <c r="AE33" s="58" t="str">
        <f>IF(AND('Mapa final'!$AA$52="Media",'Mapa final'!$AC$52="Mayor"),CONCATENATE("R8C",'Mapa final'!$Q$52),"")</f>
        <v/>
      </c>
      <c r="AF33" s="58" t="str">
        <f>IF(AND('Mapa final'!$AA$53="Media",'Mapa final'!$AC$53="Mayor"),CONCATENATE("R8C",'Mapa final'!$Q$53),"")</f>
        <v/>
      </c>
      <c r="AG33" s="54" t="str">
        <f>IF(AND('Mapa final'!$AA$54="Media",'Mapa final'!$AC$54="Mayor"),CONCATENATE("R8C",'Mapa final'!$Q$54),"")</f>
        <v/>
      </c>
      <c r="AH33" s="55" t="str">
        <f>IF(AND('Mapa final'!$AA$49="Media",'Mapa final'!$AC$49="Catastrófico"),CONCATENATE("R8C",'Mapa final'!$Q$49),"")</f>
        <v/>
      </c>
      <c r="AI33" s="56" t="str">
        <f>IF(AND('Mapa final'!$AA$50="Media",'Mapa final'!$AC$50="Catastrófico"),CONCATENATE("R8C",'Mapa final'!$Q$50),"")</f>
        <v/>
      </c>
      <c r="AJ33" s="56" t="str">
        <f>IF(AND('Mapa final'!$AA$51="Media",'Mapa final'!$AC$51="Catastrófico"),CONCATENATE("R8C",'Mapa final'!$Q$51),"")</f>
        <v/>
      </c>
      <c r="AK33" s="56" t="str">
        <f>IF(AND('Mapa final'!$AA$52="Media",'Mapa final'!$AC$52="Catastrófico"),CONCATENATE("R8C",'Mapa final'!$Q$52),"")</f>
        <v/>
      </c>
      <c r="AL33" s="56" t="str">
        <f>IF(AND('Mapa final'!$AA$53="Media",'Mapa final'!$AC$53="Catastrófico"),CONCATENATE("R8C",'Mapa final'!$Q$53),"")</f>
        <v/>
      </c>
      <c r="AM33" s="57" t="str">
        <f>IF(AND('Mapa final'!$AA$54="Media",'Mapa final'!$AC$54="Catastrófico"),CONCATENATE("R8C",'Mapa final'!$Q$54),"")</f>
        <v/>
      </c>
      <c r="AN33" s="84"/>
      <c r="AO33" s="391"/>
      <c r="AP33" s="392"/>
      <c r="AQ33" s="392"/>
      <c r="AR33" s="392"/>
      <c r="AS33" s="392"/>
      <c r="AT33" s="393"/>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x14ac:dyDescent="0.25">
      <c r="A34" s="84"/>
      <c r="B34" s="260"/>
      <c r="C34" s="260"/>
      <c r="D34" s="261"/>
      <c r="E34" s="361"/>
      <c r="F34" s="362"/>
      <c r="G34" s="362"/>
      <c r="H34" s="362"/>
      <c r="I34" s="377"/>
      <c r="J34" s="68" t="str">
        <f>IF(AND('Mapa final'!$AA$55="Media",'Mapa final'!$AC$55="Leve"),CONCATENATE("R9C",'Mapa final'!$Q$55),"")</f>
        <v/>
      </c>
      <c r="K34" s="69" t="str">
        <f>IF(AND('Mapa final'!$AA$56="Media",'Mapa final'!$AC$56="Leve"),CONCATENATE("R9C",'Mapa final'!$Q$56),"")</f>
        <v/>
      </c>
      <c r="L34" s="69" t="str">
        <f>IF(AND('Mapa final'!$AA$57="Media",'Mapa final'!$AC$57="Leve"),CONCATENATE("R9C",'Mapa final'!$Q$57),"")</f>
        <v/>
      </c>
      <c r="M34" s="69" t="str">
        <f>IF(AND('Mapa final'!$AA$58="Media",'Mapa final'!$AC$58="Leve"),CONCATENATE("R9C",'Mapa final'!$Q$58),"")</f>
        <v/>
      </c>
      <c r="N34" s="69" t="str">
        <f>IF(AND('Mapa final'!$AA$59="Media",'Mapa final'!$AC$59="Leve"),CONCATENATE("R9C",'Mapa final'!$Q$59),"")</f>
        <v/>
      </c>
      <c r="O34" s="70" t="str">
        <f>IF(AND('Mapa final'!$AA$60="Media",'Mapa final'!$AC$60="Leve"),CONCATENATE("R9C",'Mapa final'!$Q$60),"")</f>
        <v/>
      </c>
      <c r="P34" s="68" t="str">
        <f>IF(AND('Mapa final'!$AA$55="Media",'Mapa final'!$AC$55="Menor"),CONCATENATE("R9C",'Mapa final'!$Q$55),"")</f>
        <v/>
      </c>
      <c r="Q34" s="69" t="str">
        <f>IF(AND('Mapa final'!$AA$56="Media",'Mapa final'!$AC$56="Menor"),CONCATENATE("R9C",'Mapa final'!$Q$56),"")</f>
        <v/>
      </c>
      <c r="R34" s="69" t="str">
        <f>IF(AND('Mapa final'!$AA$57="Media",'Mapa final'!$AC$57="Menor"),CONCATENATE("R9C",'Mapa final'!$Q$57),"")</f>
        <v/>
      </c>
      <c r="S34" s="69" t="str">
        <f>IF(AND('Mapa final'!$AA$58="Media",'Mapa final'!$AC$58="Menor"),CONCATENATE("R9C",'Mapa final'!$Q$58),"")</f>
        <v/>
      </c>
      <c r="T34" s="69" t="str">
        <f>IF(AND('Mapa final'!$AA$59="Media",'Mapa final'!$AC$59="Menor"),CONCATENATE("R9C",'Mapa final'!$Q$59),"")</f>
        <v/>
      </c>
      <c r="U34" s="70" t="str">
        <f>IF(AND('Mapa final'!$AA$60="Media",'Mapa final'!$AC$60="Menor"),CONCATENATE("R9C",'Mapa final'!$Q$60),"")</f>
        <v/>
      </c>
      <c r="V34" s="68" t="str">
        <f>IF(AND('Mapa final'!$AA$55="Media",'Mapa final'!$AC$55="Moderado"),CONCATENATE("R9C",'Mapa final'!$Q$55),"")</f>
        <v/>
      </c>
      <c r="W34" s="69" t="str">
        <f>IF(AND('Mapa final'!$AA$56="Media",'Mapa final'!$AC$56="Moderado"),CONCATENATE("R9C",'Mapa final'!$Q$56),"")</f>
        <v/>
      </c>
      <c r="X34" s="69" t="str">
        <f>IF(AND('Mapa final'!$AA$57="Media",'Mapa final'!$AC$57="Moderado"),CONCATENATE("R9C",'Mapa final'!$Q$57),"")</f>
        <v/>
      </c>
      <c r="Y34" s="69" t="str">
        <f>IF(AND('Mapa final'!$AA$58="Media",'Mapa final'!$AC$58="Moderado"),CONCATENATE("R9C",'Mapa final'!$Q$58),"")</f>
        <v/>
      </c>
      <c r="Z34" s="69" t="str">
        <f>IF(AND('Mapa final'!$AA$59="Media",'Mapa final'!$AC$59="Moderado"),CONCATENATE("R9C",'Mapa final'!$Q$59),"")</f>
        <v/>
      </c>
      <c r="AA34" s="70" t="str">
        <f>IF(AND('Mapa final'!$AA$60="Media",'Mapa final'!$AC$60="Moderado"),CONCATENATE("R9C",'Mapa final'!$Q$60),"")</f>
        <v/>
      </c>
      <c r="AB34" s="52" t="str">
        <f>IF(AND('Mapa final'!$AA$55="Media",'Mapa final'!$AC$55="Mayor"),CONCATENATE("R9C",'Mapa final'!$Q$55),"")</f>
        <v/>
      </c>
      <c r="AC34" s="53" t="str">
        <f>IF(AND('Mapa final'!$AA$56="Media",'Mapa final'!$AC$56="Mayor"),CONCATENATE("R9C",'Mapa final'!$Q$56),"")</f>
        <v/>
      </c>
      <c r="AD34" s="58" t="str">
        <f>IF(AND('Mapa final'!$AA$57="Media",'Mapa final'!$AC$57="Mayor"),CONCATENATE("R9C",'Mapa final'!$Q$57),"")</f>
        <v/>
      </c>
      <c r="AE34" s="58" t="str">
        <f>IF(AND('Mapa final'!$AA$58="Media",'Mapa final'!$AC$58="Mayor"),CONCATENATE("R9C",'Mapa final'!$Q$58),"")</f>
        <v/>
      </c>
      <c r="AF34" s="58" t="str">
        <f>IF(AND('Mapa final'!$AA$59="Media",'Mapa final'!$AC$59="Mayor"),CONCATENATE("R9C",'Mapa final'!$Q$59),"")</f>
        <v/>
      </c>
      <c r="AG34" s="54" t="str">
        <f>IF(AND('Mapa final'!$AA$60="Media",'Mapa final'!$AC$60="Mayor"),CONCATENATE("R9C",'Mapa final'!$Q$60),"")</f>
        <v/>
      </c>
      <c r="AH34" s="55" t="str">
        <f>IF(AND('Mapa final'!$AA$55="Media",'Mapa final'!$AC$55="Catastrófico"),CONCATENATE("R9C",'Mapa final'!$Q$55),"")</f>
        <v/>
      </c>
      <c r="AI34" s="56" t="str">
        <f>IF(AND('Mapa final'!$AA$56="Media",'Mapa final'!$AC$56="Catastrófico"),CONCATENATE("R9C",'Mapa final'!$Q$56),"")</f>
        <v/>
      </c>
      <c r="AJ34" s="56" t="str">
        <f>IF(AND('Mapa final'!$AA$57="Media",'Mapa final'!$AC$57="Catastrófico"),CONCATENATE("R9C",'Mapa final'!$Q$57),"")</f>
        <v/>
      </c>
      <c r="AK34" s="56" t="str">
        <f>IF(AND('Mapa final'!$AA$58="Media",'Mapa final'!$AC$58="Catastrófico"),CONCATENATE("R9C",'Mapa final'!$Q$58),"")</f>
        <v/>
      </c>
      <c r="AL34" s="56" t="str">
        <f>IF(AND('Mapa final'!$AA$59="Media",'Mapa final'!$AC$59="Catastrófico"),CONCATENATE("R9C",'Mapa final'!$Q$59),"")</f>
        <v/>
      </c>
      <c r="AM34" s="57" t="str">
        <f>IF(AND('Mapa final'!$AA$60="Media",'Mapa final'!$AC$60="Catastrófico"),CONCATENATE("R9C",'Mapa final'!$Q$60),"")</f>
        <v/>
      </c>
      <c r="AN34" s="84"/>
      <c r="AO34" s="391"/>
      <c r="AP34" s="392"/>
      <c r="AQ34" s="392"/>
      <c r="AR34" s="392"/>
      <c r="AS34" s="392"/>
      <c r="AT34" s="393"/>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x14ac:dyDescent="0.3">
      <c r="A35" s="84"/>
      <c r="B35" s="260"/>
      <c r="C35" s="260"/>
      <c r="D35" s="261"/>
      <c r="E35" s="363"/>
      <c r="F35" s="364"/>
      <c r="G35" s="364"/>
      <c r="H35" s="364"/>
      <c r="I35" s="378"/>
      <c r="J35" s="68" t="str">
        <f>IF(AND('Mapa final'!$AA$61="Media",'Mapa final'!$AC$61="Leve"),CONCATENATE("R10C",'Mapa final'!$Q$61),"")</f>
        <v/>
      </c>
      <c r="K35" s="69" t="str">
        <f>IF(AND('Mapa final'!$AA$62="Media",'Mapa final'!$AC$62="Leve"),CONCATENATE("R10C",'Mapa final'!$Q$62),"")</f>
        <v/>
      </c>
      <c r="L35" s="69" t="str">
        <f>IF(AND('Mapa final'!$AA$63="Media",'Mapa final'!$AC$63="Leve"),CONCATENATE("R10C",'Mapa final'!$Q$63),"")</f>
        <v/>
      </c>
      <c r="M35" s="69" t="str">
        <f>IF(AND('Mapa final'!$AA$64="Media",'Mapa final'!$AC$64="Leve"),CONCATENATE("R10C",'Mapa final'!$Q$64),"")</f>
        <v/>
      </c>
      <c r="N35" s="69" t="str">
        <f>IF(AND('Mapa final'!$AA$65="Media",'Mapa final'!$AC$65="Leve"),CONCATENATE("R10C",'Mapa final'!$Q$65),"")</f>
        <v/>
      </c>
      <c r="O35" s="70" t="str">
        <f>IF(AND('Mapa final'!$AA$66="Media",'Mapa final'!$AC$66="Leve"),CONCATENATE("R10C",'Mapa final'!$Q$66),"")</f>
        <v/>
      </c>
      <c r="P35" s="68" t="str">
        <f>IF(AND('Mapa final'!$AA$61="Media",'Mapa final'!$AC$61="Menor"),CONCATENATE("R10C",'Mapa final'!$Q$61),"")</f>
        <v/>
      </c>
      <c r="Q35" s="69" t="str">
        <f>IF(AND('Mapa final'!$AA$62="Media",'Mapa final'!$AC$62="Menor"),CONCATENATE("R10C",'Mapa final'!$Q$62),"")</f>
        <v/>
      </c>
      <c r="R35" s="69" t="str">
        <f>IF(AND('Mapa final'!$AA$63="Media",'Mapa final'!$AC$63="Menor"),CONCATENATE("R10C",'Mapa final'!$Q$63),"")</f>
        <v/>
      </c>
      <c r="S35" s="69" t="str">
        <f>IF(AND('Mapa final'!$AA$64="Media",'Mapa final'!$AC$64="Menor"),CONCATENATE("R10C",'Mapa final'!$Q$64),"")</f>
        <v/>
      </c>
      <c r="T35" s="69" t="str">
        <f>IF(AND('Mapa final'!$AA$65="Media",'Mapa final'!$AC$65="Menor"),CONCATENATE("R10C",'Mapa final'!$Q$65),"")</f>
        <v/>
      </c>
      <c r="U35" s="70" t="str">
        <f>IF(AND('Mapa final'!$AA$66="Media",'Mapa final'!$AC$66="Menor"),CONCATENATE("R10C",'Mapa final'!$Q$66),"")</f>
        <v/>
      </c>
      <c r="V35" s="68" t="str">
        <f>IF(AND('Mapa final'!$AA$61="Media",'Mapa final'!$AC$61="Moderado"),CONCATENATE("R10C",'Mapa final'!$Q$61),"")</f>
        <v/>
      </c>
      <c r="W35" s="69" t="str">
        <f>IF(AND('Mapa final'!$AA$62="Media",'Mapa final'!$AC$62="Moderado"),CONCATENATE("R10C",'Mapa final'!$Q$62),"")</f>
        <v/>
      </c>
      <c r="X35" s="69" t="str">
        <f>IF(AND('Mapa final'!$AA$63="Media",'Mapa final'!$AC$63="Moderado"),CONCATENATE("R10C",'Mapa final'!$Q$63),"")</f>
        <v/>
      </c>
      <c r="Y35" s="69" t="str">
        <f>IF(AND('Mapa final'!$AA$64="Media",'Mapa final'!$AC$64="Moderado"),CONCATENATE("R10C",'Mapa final'!$Q$64),"")</f>
        <v/>
      </c>
      <c r="Z35" s="69" t="str">
        <f>IF(AND('Mapa final'!$AA$65="Media",'Mapa final'!$AC$65="Moderado"),CONCATENATE("R10C",'Mapa final'!$Q$65),"")</f>
        <v/>
      </c>
      <c r="AA35" s="70" t="str">
        <f>IF(AND('Mapa final'!$AA$66="Media",'Mapa final'!$AC$66="Moderado"),CONCATENATE("R10C",'Mapa final'!$Q$66),"")</f>
        <v/>
      </c>
      <c r="AB35" s="59" t="str">
        <f>IF(AND('Mapa final'!$AA$61="Media",'Mapa final'!$AC$61="Mayor"),CONCATENATE("R10C",'Mapa final'!$Q$61),"")</f>
        <v/>
      </c>
      <c r="AC35" s="60" t="str">
        <f>IF(AND('Mapa final'!$AA$62="Media",'Mapa final'!$AC$62="Mayor"),CONCATENATE("R10C",'Mapa final'!$Q$62),"")</f>
        <v/>
      </c>
      <c r="AD35" s="60" t="str">
        <f>IF(AND('Mapa final'!$AA$63="Media",'Mapa final'!$AC$63="Mayor"),CONCATENATE("R10C",'Mapa final'!$Q$63),"")</f>
        <v/>
      </c>
      <c r="AE35" s="60" t="str">
        <f>IF(AND('Mapa final'!$AA$64="Media",'Mapa final'!$AC$64="Mayor"),CONCATENATE("R10C",'Mapa final'!$Q$64),"")</f>
        <v/>
      </c>
      <c r="AF35" s="60" t="str">
        <f>IF(AND('Mapa final'!$AA$65="Media",'Mapa final'!$AC$65="Mayor"),CONCATENATE("R10C",'Mapa final'!$Q$65),"")</f>
        <v/>
      </c>
      <c r="AG35" s="61" t="str">
        <f>IF(AND('Mapa final'!$AA$66="Media",'Mapa final'!$AC$66="Mayor"),CONCATENATE("R10C",'Mapa final'!$Q$66),"")</f>
        <v/>
      </c>
      <c r="AH35" s="62" t="str">
        <f>IF(AND('Mapa final'!$AA$61="Media",'Mapa final'!$AC$61="Catastrófico"),CONCATENATE("R10C",'Mapa final'!$Q$61),"")</f>
        <v/>
      </c>
      <c r="AI35" s="63" t="str">
        <f>IF(AND('Mapa final'!$AA$62="Media",'Mapa final'!$AC$62="Catastrófico"),CONCATENATE("R10C",'Mapa final'!$Q$62),"")</f>
        <v/>
      </c>
      <c r="AJ35" s="63" t="str">
        <f>IF(AND('Mapa final'!$AA$63="Media",'Mapa final'!$AC$63="Catastrófico"),CONCATENATE("R10C",'Mapa final'!$Q$63),"")</f>
        <v/>
      </c>
      <c r="AK35" s="63" t="str">
        <f>IF(AND('Mapa final'!$AA$64="Media",'Mapa final'!$AC$64="Catastrófico"),CONCATENATE("R10C",'Mapa final'!$Q$64),"")</f>
        <v/>
      </c>
      <c r="AL35" s="63" t="str">
        <f>IF(AND('Mapa final'!$AA$65="Media",'Mapa final'!$AC$65="Catastrófico"),CONCATENATE("R10C",'Mapa final'!$Q$65),"")</f>
        <v/>
      </c>
      <c r="AM35" s="64" t="str">
        <f>IF(AND('Mapa final'!$AA$66="Media",'Mapa final'!$AC$66="Catastrófico"),CONCATENATE("R10C",'Mapa final'!$Q$66),"")</f>
        <v/>
      </c>
      <c r="AN35" s="84"/>
      <c r="AO35" s="394"/>
      <c r="AP35" s="395"/>
      <c r="AQ35" s="395"/>
      <c r="AR35" s="395"/>
      <c r="AS35" s="395"/>
      <c r="AT35" s="39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x14ac:dyDescent="0.25">
      <c r="A36" s="84"/>
      <c r="B36" s="260"/>
      <c r="C36" s="260"/>
      <c r="D36" s="261"/>
      <c r="E36" s="357" t="s">
        <v>114</v>
      </c>
      <c r="F36" s="358"/>
      <c r="G36" s="358"/>
      <c r="H36" s="358"/>
      <c r="I36" s="358"/>
      <c r="J36" s="74" t="str">
        <f ca="1">IF(AND('Mapa final'!$AA$10="Baja",'Mapa final'!$AC$10="Leve"),CONCATENATE("R1C",'Mapa final'!$Q$10),"")</f>
        <v/>
      </c>
      <c r="K36" s="75" t="str">
        <f ca="1">IF(AND('Mapa final'!$AA$11="Baja",'Mapa final'!$AC$11="Leve"),CONCATENATE("R1C",'Mapa final'!$Q$11),"")</f>
        <v/>
      </c>
      <c r="L36" s="75" t="str">
        <f ca="1">IF(AND('Mapa final'!$AA$12="Baja",'Mapa final'!$AC$12="Leve"),CONCATENATE("R1C",'Mapa final'!$Q$12),"")</f>
        <v/>
      </c>
      <c r="M36" s="75" t="e">
        <f>IF(AND('Mapa final'!#REF!="Baja",'Mapa final'!#REF!="Leve"),CONCATENATE("R1C",'Mapa final'!#REF!),"")</f>
        <v>#REF!</v>
      </c>
      <c r="N36" s="75" t="e">
        <f>IF(AND('Mapa final'!#REF!="Baja",'Mapa final'!#REF!="Leve"),CONCATENATE("R1C",'Mapa final'!#REF!),"")</f>
        <v>#REF!</v>
      </c>
      <c r="O36" s="76" t="e">
        <f>IF(AND('Mapa final'!#REF!="Baja",'Mapa final'!#REF!="Leve"),CONCATENATE("R1C",'Mapa final'!#REF!),"")</f>
        <v>#REF!</v>
      </c>
      <c r="P36" s="65" t="str">
        <f ca="1">IF(AND('Mapa final'!$AA$10="Baja",'Mapa final'!$AC$10="Menor"),CONCATENATE("R1C",'Mapa final'!$Q$10),"")</f>
        <v/>
      </c>
      <c r="Q36" s="66" t="str">
        <f ca="1">IF(AND('Mapa final'!$AA$11="Baja",'Mapa final'!$AC$11="Menor"),CONCATENATE("R1C",'Mapa final'!$Q$11),"")</f>
        <v/>
      </c>
      <c r="R36" s="66" t="str">
        <f ca="1">IF(AND('Mapa final'!$AA$12="Baja",'Mapa final'!$AC$12="Menor"),CONCATENATE("R1C",'Mapa final'!$Q$12),"")</f>
        <v/>
      </c>
      <c r="S36" s="66" t="e">
        <f>IF(AND('Mapa final'!#REF!="Baja",'Mapa final'!#REF!="Menor"),CONCATENATE("R1C",'Mapa final'!#REF!),"")</f>
        <v>#REF!</v>
      </c>
      <c r="T36" s="66" t="e">
        <f>IF(AND('Mapa final'!#REF!="Baja",'Mapa final'!#REF!="Menor"),CONCATENATE("R1C",'Mapa final'!#REF!),"")</f>
        <v>#REF!</v>
      </c>
      <c r="U36" s="67" t="e">
        <f>IF(AND('Mapa final'!#REF!="Baja",'Mapa final'!#REF!="Menor"),CONCATENATE("R1C",'Mapa final'!#REF!),"")</f>
        <v>#REF!</v>
      </c>
      <c r="V36" s="65" t="str">
        <f ca="1">IF(AND('Mapa final'!$AA$10="Baja",'Mapa final'!$AC$10="Moderado"),CONCATENATE("R1C",'Mapa final'!$Q$10),"")</f>
        <v/>
      </c>
      <c r="W36" s="66" t="str">
        <f ca="1">IF(AND('Mapa final'!$AA$11="Baja",'Mapa final'!$AC$11="Moderado"),CONCATENATE("R1C",'Mapa final'!$Q$11),"")</f>
        <v/>
      </c>
      <c r="X36" s="66" t="str">
        <f ca="1">IF(AND('Mapa final'!$AA$12="Baja",'Mapa final'!$AC$12="Moderado"),CONCATENATE("R1C",'Mapa final'!$Q$12),"")</f>
        <v/>
      </c>
      <c r="Y36" s="66" t="e">
        <f>IF(AND('Mapa final'!#REF!="Baja",'Mapa final'!#REF!="Moderado"),CONCATENATE("R1C",'Mapa final'!#REF!),"")</f>
        <v>#REF!</v>
      </c>
      <c r="Z36" s="66" t="e">
        <f>IF(AND('Mapa final'!#REF!="Baja",'Mapa final'!#REF!="Moderado"),CONCATENATE("R1C",'Mapa final'!#REF!),"")</f>
        <v>#REF!</v>
      </c>
      <c r="AA36" s="67" t="e">
        <f>IF(AND('Mapa final'!#REF!="Baja",'Mapa final'!#REF!="Moderado"),CONCATENATE("R1C",'Mapa final'!#REF!),"")</f>
        <v>#REF!</v>
      </c>
      <c r="AB36" s="46" t="str">
        <f ca="1">IF(AND('Mapa final'!$AA$10="Baja",'Mapa final'!$AC$10="Mayor"),CONCATENATE("R1C",'Mapa final'!$Q$10),"")</f>
        <v>R1C1</v>
      </c>
      <c r="AC36" s="47" t="str">
        <f ca="1">IF(AND('Mapa final'!$AA$11="Baja",'Mapa final'!$AC$11="Mayor"),CONCATENATE("R1C",'Mapa final'!$Q$11),"")</f>
        <v/>
      </c>
      <c r="AD36" s="47" t="str">
        <f ca="1">IF(AND('Mapa final'!$AA$12="Baja",'Mapa final'!$AC$12="Mayor"),CONCATENATE("R1C",'Mapa final'!$Q$12),"")</f>
        <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 ca="1">IF(AND('Mapa final'!$AA$10="Baja",'Mapa final'!$AC$10="Catastrófico"),CONCATENATE("R1C",'Mapa final'!$Q$10),"")</f>
        <v/>
      </c>
      <c r="AI36" s="50" t="str">
        <f ca="1">IF(AND('Mapa final'!$AA$11="Baja",'Mapa final'!$AC$11="Catastrófico"),CONCATENATE("R1C",'Mapa final'!$Q$11),"")</f>
        <v/>
      </c>
      <c r="AJ36" s="50" t="str">
        <f ca="1">IF(AND('Mapa final'!$AA$12="Baja",'Mapa final'!$AC$12="Catastrófico"),CONCATENATE("R1C",'Mapa final'!$Q$12),"")</f>
        <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4"/>
      <c r="AO36" s="379" t="s">
        <v>82</v>
      </c>
      <c r="AP36" s="380"/>
      <c r="AQ36" s="380"/>
      <c r="AR36" s="380"/>
      <c r="AS36" s="380"/>
      <c r="AT36" s="381"/>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x14ac:dyDescent="0.25">
      <c r="A37" s="84"/>
      <c r="B37" s="260"/>
      <c r="C37" s="260"/>
      <c r="D37" s="261"/>
      <c r="E37" s="359"/>
      <c r="F37" s="360"/>
      <c r="G37" s="360"/>
      <c r="H37" s="360"/>
      <c r="I37" s="360"/>
      <c r="J37" s="77" t="str">
        <f ca="1">IF(AND([1]Hoja1!$X$2="Baja",[1]Hoja1!$Z$2="Leve"),CONCATENATE("R2C",[1]Hoja1!$N$2),"")</f>
        <v/>
      </c>
      <c r="K37" s="78" t="str">
        <f ca="1">IF(AND([1]Hoja1!$X$3="Baja",[1]Hoja1!$Z$3="Leve"),CONCATENATE("R2C",[1]Hoja1!$N$3),"")</f>
        <v/>
      </c>
      <c r="L37" s="78" t="str">
        <f>IF(AND([1]Hoja1!$X$4="Baja",[1]Hoja1!$Z$4="Leve"),CONCATENATE("R2C",[1]Hoja1!$N$4),"")</f>
        <v/>
      </c>
      <c r="M37" s="78" t="str">
        <f>IF(AND([1]Hoja1!$X$5="Baja",[1]Hoja1!$Z$5="Leve"),CONCATENATE("R2C",[1]Hoja1!$N$5),"")</f>
        <v/>
      </c>
      <c r="N37" s="78" t="str">
        <f>IF(AND([1]Hoja1!$X$6="Baja",[1]Hoja1!$Z$6="Leve"),CONCATENATE("R2C",[1]Hoja1!$N$6),"")</f>
        <v/>
      </c>
      <c r="O37" s="79" t="str">
        <f>IF(AND([1]Hoja1!$X$7="Baja",[1]Hoja1!$Z$7="Leve"),CONCATENATE("R2C",[1]Hoja1!$N$7),"")</f>
        <v/>
      </c>
      <c r="P37" s="68" t="str">
        <f ca="1">IF(AND([1]Hoja1!$X$2="Baja",[1]Hoja1!$Z$2="Menor"),CONCATENATE("R2C",[1]Hoja1!$N$2),"")</f>
        <v/>
      </c>
      <c r="Q37" s="69" t="str">
        <f ca="1">IF(AND([1]Hoja1!$X$3="Baja",[1]Hoja1!$Z$3="Menor"),CONCATENATE("R2C",[1]Hoja1!$N$3),"")</f>
        <v/>
      </c>
      <c r="R37" s="69" t="str">
        <f>IF(AND([1]Hoja1!$X$4="Baja",[1]Hoja1!$Z$4="Menor"),CONCATENATE("R2C",[1]Hoja1!$N$4),"")</f>
        <v/>
      </c>
      <c r="S37" s="69" t="str">
        <f>IF(AND([1]Hoja1!$X$5="Baja",[1]Hoja1!$Z$5="Menor"),CONCATENATE("R2C",[1]Hoja1!$N$5),"")</f>
        <v/>
      </c>
      <c r="T37" s="69" t="str">
        <f>IF(AND([1]Hoja1!$X$6="Baja",[1]Hoja1!$Z$6="Menor"),CONCATENATE("R2C",[1]Hoja1!$N$6),"")</f>
        <v/>
      </c>
      <c r="U37" s="70" t="str">
        <f>IF(AND([1]Hoja1!$X$7="Baja",[1]Hoja1!$Z$7="Menor"),CONCATENATE("R2C",[1]Hoja1!$N$7),"")</f>
        <v/>
      </c>
      <c r="V37" s="68" t="str">
        <f ca="1">IF(AND([1]Hoja1!$X$2="Baja",[1]Hoja1!$Z$2="Moderado"),CONCATENATE("R2C",[1]Hoja1!$N$2),"")</f>
        <v/>
      </c>
      <c r="W37" s="69" t="str">
        <f ca="1">IF(AND([1]Hoja1!$X$3="Baja",[1]Hoja1!$Z$3="Moderado"),CONCATENATE("R2C",[1]Hoja1!$N$3),"")</f>
        <v/>
      </c>
      <c r="X37" s="69" t="str">
        <f>IF(AND([1]Hoja1!$X$4="Baja",[1]Hoja1!$Z$4="Moderado"),CONCATENATE("R2C",[1]Hoja1!$N$4),"")</f>
        <v/>
      </c>
      <c r="Y37" s="69" t="str">
        <f>IF(AND([1]Hoja1!$X$5="Baja",[1]Hoja1!$Z$5="Moderado"),CONCATENATE("R2C",[1]Hoja1!$N$5),"")</f>
        <v/>
      </c>
      <c r="Z37" s="69" t="str">
        <f>IF(AND([1]Hoja1!$X$6="Baja",[1]Hoja1!$Z$6="Moderado"),CONCATENATE("R2C",[1]Hoja1!$N$6),"")</f>
        <v/>
      </c>
      <c r="AA37" s="70" t="str">
        <f>IF(AND([1]Hoja1!$X$7="Baja",[1]Hoja1!$Z$7="Moderado"),CONCATENATE("R2C",[1]Hoja1!$N$7),"")</f>
        <v/>
      </c>
      <c r="AB37" s="52" t="str">
        <f ca="1">IF(AND([1]Hoja1!$X$2="Baja",[1]Hoja1!$Z$2="Mayor"),CONCATENATE("R2C",[1]Hoja1!$N$2),"")</f>
        <v>R2C1</v>
      </c>
      <c r="AC37" s="53" t="str">
        <f ca="1">IF(AND([1]Hoja1!$X$3="Baja",[1]Hoja1!$Z$3="Mayor"),CONCATENATE("R2C",[1]Hoja1!$N$3),"")</f>
        <v>R2C2</v>
      </c>
      <c r="AD37" s="53" t="str">
        <f>IF(AND([1]Hoja1!$X$4="Baja",[1]Hoja1!$Z$4="Mayor"),CONCATENATE("R2C",[1]Hoja1!$N$4),"")</f>
        <v/>
      </c>
      <c r="AE37" s="53" t="str">
        <f>IF(AND([1]Hoja1!$X$5="Baja",[1]Hoja1!$Z$5="Mayor"),CONCATENATE("R2C",[1]Hoja1!$N$5),"")</f>
        <v/>
      </c>
      <c r="AF37" s="53" t="str">
        <f>IF(AND([1]Hoja1!$X$6="Baja",[1]Hoja1!$Z$6="Mayor"),CONCATENATE("R2C",[1]Hoja1!$N$6),"")</f>
        <v/>
      </c>
      <c r="AG37" s="54" t="str">
        <f>IF(AND([1]Hoja1!$X$7="Baja",[1]Hoja1!$Z$7="Mayor"),CONCATENATE("R2C",[1]Hoja1!$N$7),"")</f>
        <v/>
      </c>
      <c r="AH37" s="55" t="str">
        <f ca="1">IF(AND([1]Hoja1!$X$2="Baja",[1]Hoja1!$Z$2="Catastrófico"),CONCATENATE("R2C",[1]Hoja1!$N$2),"")</f>
        <v/>
      </c>
      <c r="AI37" s="56" t="str">
        <f ca="1">IF(AND([1]Hoja1!$X$3="Baja",[1]Hoja1!$Z$3="Catastrófico"),CONCATENATE("R2C",[1]Hoja1!$N$3),"")</f>
        <v/>
      </c>
      <c r="AJ37" s="56" t="str">
        <f>IF(AND([1]Hoja1!$X$4="Baja",[1]Hoja1!$Z$4="Catastrófico"),CONCATENATE("R2C",[1]Hoja1!$N$4),"")</f>
        <v/>
      </c>
      <c r="AK37" s="56" t="str">
        <f>IF(AND([1]Hoja1!$X$5="Baja",[1]Hoja1!$Z$5="Catastrófico"),CONCATENATE("R2C",[1]Hoja1!$N$5),"")</f>
        <v/>
      </c>
      <c r="AL37" s="56" t="str">
        <f>IF(AND([1]Hoja1!$X$6="Baja",[1]Hoja1!$Z$6="Catastrófico"),CONCATENATE("R2C",[1]Hoja1!$N$6),"")</f>
        <v/>
      </c>
      <c r="AM37" s="57" t="str">
        <f>IF(AND([1]Hoja1!$X$7="Baja",[1]Hoja1!$Z$7="Catastrófico"),CONCATENATE("R2C",[1]Hoja1!$N$7),"")</f>
        <v/>
      </c>
      <c r="AN37" s="84"/>
      <c r="AO37" s="382"/>
      <c r="AP37" s="383"/>
      <c r="AQ37" s="383"/>
      <c r="AR37" s="383"/>
      <c r="AS37" s="383"/>
      <c r="AT37" s="3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x14ac:dyDescent="0.25">
      <c r="A38" s="84"/>
      <c r="B38" s="260"/>
      <c r="C38" s="260"/>
      <c r="D38" s="261"/>
      <c r="E38" s="361"/>
      <c r="F38" s="362"/>
      <c r="G38" s="362"/>
      <c r="H38" s="362"/>
      <c r="I38" s="360"/>
      <c r="J38" s="77" t="str">
        <f>IF(AND('Mapa final'!$AA$19="Baja",'Mapa final'!$AC$19="Leve"),CONCATENATE("R3C",'Mapa final'!$Q$19),"")</f>
        <v/>
      </c>
      <c r="K38" s="78" t="str">
        <f>IF(AND('Mapa final'!$AA$20="Baja",'Mapa final'!$AC$20="Leve"),CONCATENATE("R3C",'Mapa final'!$Q$20),"")</f>
        <v/>
      </c>
      <c r="L38" s="78" t="str">
        <f>IF(AND('Mapa final'!$AA$21="Baja",'Mapa final'!$AC$21="Leve"),CONCATENATE("R3C",'Mapa final'!$Q$21),"")</f>
        <v/>
      </c>
      <c r="M38" s="78" t="str">
        <f>IF(AND('Mapa final'!$AA$22="Baja",'Mapa final'!$AC$22="Leve"),CONCATENATE("R3C",'Mapa final'!$Q$22),"")</f>
        <v/>
      </c>
      <c r="N38" s="78" t="str">
        <f>IF(AND('Mapa final'!$AA$23="Baja",'Mapa final'!$AC$23="Leve"),CONCATENATE("R3C",'Mapa final'!$Q$23),"")</f>
        <v/>
      </c>
      <c r="O38" s="79" t="str">
        <f>IF(AND('Mapa final'!$AA$24="Baja",'Mapa final'!$AC$24="Leve"),CONCATENATE("R3C",'Mapa final'!$Q$24),"")</f>
        <v/>
      </c>
      <c r="P38" s="68" t="str">
        <f>IF(AND('Mapa final'!$AA$19="Baja",'Mapa final'!$AC$19="Menor"),CONCATENATE("R3C",'Mapa final'!$Q$19),"")</f>
        <v/>
      </c>
      <c r="Q38" s="69" t="str">
        <f>IF(AND('Mapa final'!$AA$20="Baja",'Mapa final'!$AC$20="Menor"),CONCATENATE("R3C",'Mapa final'!$Q$20),"")</f>
        <v/>
      </c>
      <c r="R38" s="69" t="str">
        <f>IF(AND('Mapa final'!$AA$21="Baja",'Mapa final'!$AC$21="Menor"),CONCATENATE("R3C",'Mapa final'!$Q$21),"")</f>
        <v/>
      </c>
      <c r="S38" s="69" t="str">
        <f>IF(AND('Mapa final'!$AA$22="Baja",'Mapa final'!$AC$22="Menor"),CONCATENATE("R3C",'Mapa final'!$Q$22),"")</f>
        <v/>
      </c>
      <c r="T38" s="69" t="str">
        <f>IF(AND('Mapa final'!$AA$23="Baja",'Mapa final'!$AC$23="Menor"),CONCATENATE("R3C",'Mapa final'!$Q$23),"")</f>
        <v/>
      </c>
      <c r="U38" s="70" t="str">
        <f>IF(AND('Mapa final'!$AA$24="Baja",'Mapa final'!$AC$24="Menor"),CONCATENATE("R3C",'Mapa final'!$Q$24),"")</f>
        <v/>
      </c>
      <c r="V38" s="68" t="str">
        <f>IF(AND('Mapa final'!$AA$19="Baja",'Mapa final'!$AC$19="Moderado"),CONCATENATE("R3C",'Mapa final'!$Q$19),"")</f>
        <v/>
      </c>
      <c r="W38" s="69" t="str">
        <f>IF(AND('Mapa final'!$AA$20="Baja",'Mapa final'!$AC$20="Moderado"),CONCATENATE("R3C",'Mapa final'!$Q$20),"")</f>
        <v/>
      </c>
      <c r="X38" s="69" t="str">
        <f>IF(AND('Mapa final'!$AA$21="Baja",'Mapa final'!$AC$21="Moderado"),CONCATENATE("R3C",'Mapa final'!$Q$21),"")</f>
        <v/>
      </c>
      <c r="Y38" s="69" t="str">
        <f>IF(AND('Mapa final'!$AA$22="Baja",'Mapa final'!$AC$22="Moderado"),CONCATENATE("R3C",'Mapa final'!$Q$22),"")</f>
        <v/>
      </c>
      <c r="Z38" s="69" t="str">
        <f>IF(AND('Mapa final'!$AA$23="Baja",'Mapa final'!$AC$23="Moderado"),CONCATENATE("R3C",'Mapa final'!$Q$23),"")</f>
        <v/>
      </c>
      <c r="AA38" s="70" t="str">
        <f>IF(AND('Mapa final'!$AA$24="Baja",'Mapa final'!$AC$24="Moderado"),CONCATENATE("R3C",'Mapa final'!$Q$24),"")</f>
        <v/>
      </c>
      <c r="AB38" s="52" t="str">
        <f>IF(AND('Mapa final'!$AA$19="Baja",'Mapa final'!$AC$19="Mayor"),CONCATENATE("R3C",'Mapa final'!$Q$19),"")</f>
        <v/>
      </c>
      <c r="AC38" s="53" t="str">
        <f>IF(AND('Mapa final'!$AA$20="Baja",'Mapa final'!$AC$20="Mayor"),CONCATENATE("R3C",'Mapa final'!$Q$20),"")</f>
        <v/>
      </c>
      <c r="AD38" s="53" t="str">
        <f>IF(AND('Mapa final'!$AA$21="Baja",'Mapa final'!$AC$21="Mayor"),CONCATENATE("R3C",'Mapa final'!$Q$21),"")</f>
        <v/>
      </c>
      <c r="AE38" s="53" t="str">
        <f>IF(AND('Mapa final'!$AA$22="Baja",'Mapa final'!$AC$22="Mayor"),CONCATENATE("R3C",'Mapa final'!$Q$22),"")</f>
        <v/>
      </c>
      <c r="AF38" s="53" t="str">
        <f>IF(AND('Mapa final'!$AA$23="Baja",'Mapa final'!$AC$23="Mayor"),CONCATENATE("R3C",'Mapa final'!$Q$23),"")</f>
        <v/>
      </c>
      <c r="AG38" s="54" t="str">
        <f>IF(AND('Mapa final'!$AA$24="Baja",'Mapa final'!$AC$24="Mayor"),CONCATENATE("R3C",'Mapa final'!$Q$24),"")</f>
        <v/>
      </c>
      <c r="AH38" s="55" t="str">
        <f>IF(AND('Mapa final'!$AA$19="Baja",'Mapa final'!$AC$19="Catastrófico"),CONCATENATE("R3C",'Mapa final'!$Q$19),"")</f>
        <v/>
      </c>
      <c r="AI38" s="56" t="str">
        <f>IF(AND('Mapa final'!$AA$20="Baja",'Mapa final'!$AC$20="Catastrófico"),CONCATENATE("R3C",'Mapa final'!$Q$20),"")</f>
        <v/>
      </c>
      <c r="AJ38" s="56" t="str">
        <f>IF(AND('Mapa final'!$AA$21="Baja",'Mapa final'!$AC$21="Catastrófico"),CONCATENATE("R3C",'Mapa final'!$Q$21),"")</f>
        <v/>
      </c>
      <c r="AK38" s="56" t="str">
        <f>IF(AND('Mapa final'!$AA$22="Baja",'Mapa final'!$AC$22="Catastrófico"),CONCATENATE("R3C",'Mapa final'!$Q$22),"")</f>
        <v/>
      </c>
      <c r="AL38" s="56" t="str">
        <f>IF(AND('Mapa final'!$AA$23="Baja",'Mapa final'!$AC$23="Catastrófico"),CONCATENATE("R3C",'Mapa final'!$Q$23),"")</f>
        <v/>
      </c>
      <c r="AM38" s="57" t="str">
        <f>IF(AND('Mapa final'!$AA$24="Baja",'Mapa final'!$AC$24="Catastrófico"),CONCATENATE("R3C",'Mapa final'!$Q$24),"")</f>
        <v/>
      </c>
      <c r="AN38" s="84"/>
      <c r="AO38" s="382"/>
      <c r="AP38" s="383"/>
      <c r="AQ38" s="383"/>
      <c r="AR38" s="383"/>
      <c r="AS38" s="383"/>
      <c r="AT38" s="3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x14ac:dyDescent="0.25">
      <c r="A39" s="84"/>
      <c r="B39" s="260"/>
      <c r="C39" s="260"/>
      <c r="D39" s="261"/>
      <c r="E39" s="361"/>
      <c r="F39" s="362"/>
      <c r="G39" s="362"/>
      <c r="H39" s="362"/>
      <c r="I39" s="360"/>
      <c r="J39" s="77" t="str">
        <f>IF(AND('Mapa final'!$AA$25="Baja",'Mapa final'!$AC$25="Leve"),CONCATENATE("R4C",'Mapa final'!$Q$25),"")</f>
        <v/>
      </c>
      <c r="K39" s="78" t="str">
        <f>IF(AND('Mapa final'!$AA$26="Baja",'Mapa final'!$AC$26="Leve"),CONCATENATE("R4C",'Mapa final'!$Q$26),"")</f>
        <v/>
      </c>
      <c r="L39" s="78" t="str">
        <f>IF(AND('Mapa final'!$AA$27="Baja",'Mapa final'!$AC$27="Leve"),CONCATENATE("R4C",'Mapa final'!$Q$27),"")</f>
        <v/>
      </c>
      <c r="M39" s="78" t="str">
        <f>IF(AND('Mapa final'!$AA$28="Baja",'Mapa final'!$AC$28="Leve"),CONCATENATE("R4C",'Mapa final'!$Q$28),"")</f>
        <v/>
      </c>
      <c r="N39" s="78" t="str">
        <f>IF(AND('Mapa final'!$AA$29="Baja",'Mapa final'!$AC$29="Leve"),CONCATENATE("R4C",'Mapa final'!$Q$29),"")</f>
        <v/>
      </c>
      <c r="O39" s="79" t="str">
        <f>IF(AND('Mapa final'!$AA$30="Baja",'Mapa final'!$AC$30="Leve"),CONCATENATE("R4C",'Mapa final'!$Q$30),"")</f>
        <v/>
      </c>
      <c r="P39" s="68" t="str">
        <f>IF(AND('Mapa final'!$AA$25="Baja",'Mapa final'!$AC$25="Menor"),CONCATENATE("R4C",'Mapa final'!$Q$25),"")</f>
        <v/>
      </c>
      <c r="Q39" s="69" t="str">
        <f>IF(AND('Mapa final'!$AA$26="Baja",'Mapa final'!$AC$26="Menor"),CONCATENATE("R4C",'Mapa final'!$Q$26),"")</f>
        <v/>
      </c>
      <c r="R39" s="69" t="str">
        <f>IF(AND('Mapa final'!$AA$27="Baja",'Mapa final'!$AC$27="Menor"),CONCATENATE("R4C",'Mapa final'!$Q$27),"")</f>
        <v/>
      </c>
      <c r="S39" s="69" t="str">
        <f>IF(AND('Mapa final'!$AA$28="Baja",'Mapa final'!$AC$28="Menor"),CONCATENATE("R4C",'Mapa final'!$Q$28),"")</f>
        <v/>
      </c>
      <c r="T39" s="69" t="str">
        <f>IF(AND('Mapa final'!$AA$29="Baja",'Mapa final'!$AC$29="Menor"),CONCATENATE("R4C",'Mapa final'!$Q$29),"")</f>
        <v/>
      </c>
      <c r="U39" s="70" t="str">
        <f>IF(AND('Mapa final'!$AA$30="Baja",'Mapa final'!$AC$30="Menor"),CONCATENATE("R4C",'Mapa final'!$Q$30),"")</f>
        <v/>
      </c>
      <c r="V39" s="68" t="str">
        <f>IF(AND('Mapa final'!$AA$25="Baja",'Mapa final'!$AC$25="Moderado"),CONCATENATE("R4C",'Mapa final'!$Q$25),"")</f>
        <v/>
      </c>
      <c r="W39" s="69" t="str">
        <f>IF(AND('Mapa final'!$AA$26="Baja",'Mapa final'!$AC$26="Moderado"),CONCATENATE("R4C",'Mapa final'!$Q$26),"")</f>
        <v/>
      </c>
      <c r="X39" s="69" t="str">
        <f>IF(AND('Mapa final'!$AA$27="Baja",'Mapa final'!$AC$27="Moderado"),CONCATENATE("R4C",'Mapa final'!$Q$27),"")</f>
        <v/>
      </c>
      <c r="Y39" s="69" t="str">
        <f>IF(AND('Mapa final'!$AA$28="Baja",'Mapa final'!$AC$28="Moderado"),CONCATENATE("R4C",'Mapa final'!$Q$28),"")</f>
        <v/>
      </c>
      <c r="Z39" s="69" t="str">
        <f>IF(AND('Mapa final'!$AA$29="Baja",'Mapa final'!$AC$29="Moderado"),CONCATENATE("R4C",'Mapa final'!$Q$29),"")</f>
        <v/>
      </c>
      <c r="AA39" s="70" t="str">
        <f>IF(AND('Mapa final'!$AA$30="Baja",'Mapa final'!$AC$30="Moderado"),CONCATENATE("R4C",'Mapa final'!$Q$30),"")</f>
        <v/>
      </c>
      <c r="AB39" s="52" t="str">
        <f>IF(AND('Mapa final'!$AA$25="Baja",'Mapa final'!$AC$25="Mayor"),CONCATENATE("R4C",'Mapa final'!$Q$25),"")</f>
        <v/>
      </c>
      <c r="AC39" s="53" t="str">
        <f>IF(AND('Mapa final'!$AA$26="Baja",'Mapa final'!$AC$26="Mayor"),CONCATENATE("R4C",'Mapa final'!$Q$26),"")</f>
        <v/>
      </c>
      <c r="AD39" s="53" t="str">
        <f>IF(AND('Mapa final'!$AA$27="Baja",'Mapa final'!$AC$27="Mayor"),CONCATENATE("R4C",'Mapa final'!$Q$27),"")</f>
        <v/>
      </c>
      <c r="AE39" s="53" t="str">
        <f>IF(AND('Mapa final'!$AA$28="Baja",'Mapa final'!$AC$28="Mayor"),CONCATENATE("R4C",'Mapa final'!$Q$28),"")</f>
        <v/>
      </c>
      <c r="AF39" s="53" t="str">
        <f>IF(AND('Mapa final'!$AA$29="Baja",'Mapa final'!$AC$29="Mayor"),CONCATENATE("R4C",'Mapa final'!$Q$29),"")</f>
        <v/>
      </c>
      <c r="AG39" s="54" t="str">
        <f>IF(AND('Mapa final'!$AA$30="Baja",'Mapa final'!$AC$30="Mayor"),CONCATENATE("R4C",'Mapa final'!$Q$30),"")</f>
        <v/>
      </c>
      <c r="AH39" s="55" t="str">
        <f>IF(AND('Mapa final'!$AA$25="Baja",'Mapa final'!$AC$25="Catastrófico"),CONCATENATE("R4C",'Mapa final'!$Q$25),"")</f>
        <v/>
      </c>
      <c r="AI39" s="56" t="str">
        <f>IF(AND('Mapa final'!$AA$26="Baja",'Mapa final'!$AC$26="Catastrófico"),CONCATENATE("R4C",'Mapa final'!$Q$26),"")</f>
        <v/>
      </c>
      <c r="AJ39" s="56" t="str">
        <f>IF(AND('Mapa final'!$AA$27="Baja",'Mapa final'!$AC$27="Catastrófico"),CONCATENATE("R4C",'Mapa final'!$Q$27),"")</f>
        <v/>
      </c>
      <c r="AK39" s="56" t="str">
        <f>IF(AND('Mapa final'!$AA$28="Baja",'Mapa final'!$AC$28="Catastrófico"),CONCATENATE("R4C",'Mapa final'!$Q$28),"")</f>
        <v/>
      </c>
      <c r="AL39" s="56" t="str">
        <f>IF(AND('Mapa final'!$AA$29="Baja",'Mapa final'!$AC$29="Catastrófico"),CONCATENATE("R4C",'Mapa final'!$Q$29),"")</f>
        <v/>
      </c>
      <c r="AM39" s="57" t="str">
        <f>IF(AND('Mapa final'!$AA$30="Baja",'Mapa final'!$AC$30="Catastrófico"),CONCATENATE("R4C",'Mapa final'!$Q$30),"")</f>
        <v/>
      </c>
      <c r="AN39" s="84"/>
      <c r="AO39" s="382"/>
      <c r="AP39" s="383"/>
      <c r="AQ39" s="383"/>
      <c r="AR39" s="383"/>
      <c r="AS39" s="383"/>
      <c r="AT39" s="3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x14ac:dyDescent="0.25">
      <c r="A40" s="84"/>
      <c r="B40" s="260"/>
      <c r="C40" s="260"/>
      <c r="D40" s="261"/>
      <c r="E40" s="361"/>
      <c r="F40" s="362"/>
      <c r="G40" s="362"/>
      <c r="H40" s="362"/>
      <c r="I40" s="360"/>
      <c r="J40" s="77" t="str">
        <f>IF(AND('Mapa final'!$AA$31="Baja",'Mapa final'!$AC$31="Leve"),CONCATENATE("R5C",'Mapa final'!$Q$31),"")</f>
        <v/>
      </c>
      <c r="K40" s="78" t="str">
        <f>IF(AND('Mapa final'!$AA$32="Baja",'Mapa final'!$AC$32="Leve"),CONCATENATE("R5C",'Mapa final'!$Q$32),"")</f>
        <v/>
      </c>
      <c r="L40" s="78" t="str">
        <f>IF(AND('Mapa final'!$AA$33="Baja",'Mapa final'!$AC$33="Leve"),CONCATENATE("R5C",'Mapa final'!$Q$33),"")</f>
        <v/>
      </c>
      <c r="M40" s="78" t="str">
        <f>IF(AND('Mapa final'!$AA$34="Baja",'Mapa final'!$AC$34="Leve"),CONCATENATE("R5C",'Mapa final'!$Q$34),"")</f>
        <v/>
      </c>
      <c r="N40" s="78" t="str">
        <f>IF(AND('Mapa final'!$AA$35="Baja",'Mapa final'!$AC$35="Leve"),CONCATENATE("R5C",'Mapa final'!$Q$35),"")</f>
        <v/>
      </c>
      <c r="O40" s="79" t="str">
        <f>IF(AND('Mapa final'!$AA$36="Baja",'Mapa final'!$AC$36="Leve"),CONCATENATE("R5C",'Mapa final'!$Q$36),"")</f>
        <v/>
      </c>
      <c r="P40" s="68" t="str">
        <f>IF(AND('Mapa final'!$AA$31="Baja",'Mapa final'!$AC$31="Menor"),CONCATENATE("R5C",'Mapa final'!$Q$31),"")</f>
        <v/>
      </c>
      <c r="Q40" s="69" t="str">
        <f>IF(AND('Mapa final'!$AA$32="Baja",'Mapa final'!$AC$32="Menor"),CONCATENATE("R5C",'Mapa final'!$Q$32),"")</f>
        <v/>
      </c>
      <c r="R40" s="69" t="str">
        <f>IF(AND('Mapa final'!$AA$33="Baja",'Mapa final'!$AC$33="Menor"),CONCATENATE("R5C",'Mapa final'!$Q$33),"")</f>
        <v/>
      </c>
      <c r="S40" s="69" t="str">
        <f>IF(AND('Mapa final'!$AA$34="Baja",'Mapa final'!$AC$34="Menor"),CONCATENATE("R5C",'Mapa final'!$Q$34),"")</f>
        <v/>
      </c>
      <c r="T40" s="69" t="str">
        <f>IF(AND('Mapa final'!$AA$35="Baja",'Mapa final'!$AC$35="Menor"),CONCATENATE("R5C",'Mapa final'!$Q$35),"")</f>
        <v/>
      </c>
      <c r="U40" s="70" t="str">
        <f>IF(AND('Mapa final'!$AA$36="Baja",'Mapa final'!$AC$36="Menor"),CONCATENATE("R5C",'Mapa final'!$Q$36),"")</f>
        <v/>
      </c>
      <c r="V40" s="68" t="str">
        <f>IF(AND('Mapa final'!$AA$31="Baja",'Mapa final'!$AC$31="Moderado"),CONCATENATE("R5C",'Mapa final'!$Q$31),"")</f>
        <v/>
      </c>
      <c r="W40" s="69" t="str">
        <f>IF(AND('Mapa final'!$AA$32="Baja",'Mapa final'!$AC$32="Moderado"),CONCATENATE("R5C",'Mapa final'!$Q$32),"")</f>
        <v/>
      </c>
      <c r="X40" s="69" t="str">
        <f>IF(AND('Mapa final'!$AA$33="Baja",'Mapa final'!$AC$33="Moderado"),CONCATENATE("R5C",'Mapa final'!$Q$33),"")</f>
        <v/>
      </c>
      <c r="Y40" s="69" t="str">
        <f>IF(AND('Mapa final'!$AA$34="Baja",'Mapa final'!$AC$34="Moderado"),CONCATENATE("R5C",'Mapa final'!$Q$34),"")</f>
        <v/>
      </c>
      <c r="Z40" s="69" t="str">
        <f>IF(AND('Mapa final'!$AA$35="Baja",'Mapa final'!$AC$35="Moderado"),CONCATENATE("R5C",'Mapa final'!$Q$35),"")</f>
        <v/>
      </c>
      <c r="AA40" s="70" t="str">
        <f>IF(AND('Mapa final'!$AA$36="Baja",'Mapa final'!$AC$36="Moderado"),CONCATENATE("R5C",'Mapa final'!$Q$36),"")</f>
        <v/>
      </c>
      <c r="AB40" s="52" t="str">
        <f>IF(AND('Mapa final'!$AA$31="Baja",'Mapa final'!$AC$31="Mayor"),CONCATENATE("R5C",'Mapa final'!$Q$31),"")</f>
        <v/>
      </c>
      <c r="AC40" s="53" t="str">
        <f>IF(AND('Mapa final'!$AA$32="Baja",'Mapa final'!$AC$32="Mayor"),CONCATENATE("R5C",'Mapa final'!$Q$32),"")</f>
        <v/>
      </c>
      <c r="AD40" s="58" t="str">
        <f>IF(AND('Mapa final'!$AA$33="Baja",'Mapa final'!$AC$33="Mayor"),CONCATENATE("R5C",'Mapa final'!$Q$33),"")</f>
        <v/>
      </c>
      <c r="AE40" s="58" t="str">
        <f>IF(AND('Mapa final'!$AA$34="Baja",'Mapa final'!$AC$34="Mayor"),CONCATENATE("R5C",'Mapa final'!$Q$34),"")</f>
        <v/>
      </c>
      <c r="AF40" s="58" t="str">
        <f>IF(AND('Mapa final'!$AA$35="Baja",'Mapa final'!$AC$35="Mayor"),CONCATENATE("R5C",'Mapa final'!$Q$35),"")</f>
        <v/>
      </c>
      <c r="AG40" s="54" t="str">
        <f>IF(AND('Mapa final'!$AA$36="Baja",'Mapa final'!$AC$36="Mayor"),CONCATENATE("R5C",'Mapa final'!$Q$36),"")</f>
        <v/>
      </c>
      <c r="AH40" s="55" t="str">
        <f>IF(AND('Mapa final'!$AA$31="Baja",'Mapa final'!$AC$31="Catastrófico"),CONCATENATE("R5C",'Mapa final'!$Q$31),"")</f>
        <v/>
      </c>
      <c r="AI40" s="56" t="str">
        <f>IF(AND('Mapa final'!$AA$32="Baja",'Mapa final'!$AC$32="Catastrófico"),CONCATENATE("R5C",'Mapa final'!$Q$32),"")</f>
        <v/>
      </c>
      <c r="AJ40" s="56" t="str">
        <f>IF(AND('Mapa final'!$AA$33="Baja",'Mapa final'!$AC$33="Catastrófico"),CONCATENATE("R5C",'Mapa final'!$Q$33),"")</f>
        <v/>
      </c>
      <c r="AK40" s="56" t="str">
        <f>IF(AND('Mapa final'!$AA$34="Baja",'Mapa final'!$AC$34="Catastrófico"),CONCATENATE("R5C",'Mapa final'!$Q$34),"")</f>
        <v/>
      </c>
      <c r="AL40" s="56" t="str">
        <f>IF(AND('Mapa final'!$AA$35="Baja",'Mapa final'!$AC$35="Catastrófico"),CONCATENATE("R5C",'Mapa final'!$Q$35),"")</f>
        <v/>
      </c>
      <c r="AM40" s="57" t="str">
        <f>IF(AND('Mapa final'!$AA$36="Baja",'Mapa final'!$AC$36="Catastrófico"),CONCATENATE("R5C",'Mapa final'!$Q$36),"")</f>
        <v/>
      </c>
      <c r="AN40" s="84"/>
      <c r="AO40" s="382"/>
      <c r="AP40" s="383"/>
      <c r="AQ40" s="383"/>
      <c r="AR40" s="383"/>
      <c r="AS40" s="383"/>
      <c r="AT40" s="3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x14ac:dyDescent="0.25">
      <c r="A41" s="84"/>
      <c r="B41" s="260"/>
      <c r="C41" s="260"/>
      <c r="D41" s="261"/>
      <c r="E41" s="361"/>
      <c r="F41" s="362"/>
      <c r="G41" s="362"/>
      <c r="H41" s="362"/>
      <c r="I41" s="360"/>
      <c r="J41" s="77" t="str">
        <f>IF(AND('Mapa final'!$AA$37="Baja",'Mapa final'!$AC$37="Leve"),CONCATENATE("R6C",'Mapa final'!$Q$37),"")</f>
        <v/>
      </c>
      <c r="K41" s="78" t="str">
        <f>IF(AND('Mapa final'!$AA$38="Baja",'Mapa final'!$AC$38="Leve"),CONCATENATE("R6C",'Mapa final'!$Q$38),"")</f>
        <v/>
      </c>
      <c r="L41" s="78" t="str">
        <f>IF(AND('Mapa final'!$AA$39="Baja",'Mapa final'!$AC$39="Leve"),CONCATENATE("R6C",'Mapa final'!$Q$39),"")</f>
        <v/>
      </c>
      <c r="M41" s="78" t="str">
        <f>IF(AND('Mapa final'!$AA$40="Baja",'Mapa final'!$AC$40="Leve"),CONCATENATE("R6C",'Mapa final'!$Q$40),"")</f>
        <v/>
      </c>
      <c r="N41" s="78" t="str">
        <f>IF(AND('Mapa final'!$AA$41="Baja",'Mapa final'!$AC$41="Leve"),CONCATENATE("R6C",'Mapa final'!$Q$41),"")</f>
        <v/>
      </c>
      <c r="O41" s="79" t="str">
        <f>IF(AND('Mapa final'!$AA$42="Baja",'Mapa final'!$AC$42="Leve"),CONCATENATE("R6C",'Mapa final'!$Q$42),"")</f>
        <v/>
      </c>
      <c r="P41" s="68" t="str">
        <f>IF(AND('Mapa final'!$AA$37="Baja",'Mapa final'!$AC$37="Menor"),CONCATENATE("R6C",'Mapa final'!$Q$37),"")</f>
        <v/>
      </c>
      <c r="Q41" s="69" t="str">
        <f>IF(AND('Mapa final'!$AA$38="Baja",'Mapa final'!$AC$38="Menor"),CONCATENATE("R6C",'Mapa final'!$Q$38),"")</f>
        <v/>
      </c>
      <c r="R41" s="69" t="str">
        <f>IF(AND('Mapa final'!$AA$39="Baja",'Mapa final'!$AC$39="Menor"),CONCATENATE("R6C",'Mapa final'!$Q$39),"")</f>
        <v/>
      </c>
      <c r="S41" s="69" t="str">
        <f>IF(AND('Mapa final'!$AA$40="Baja",'Mapa final'!$AC$40="Menor"),CONCATENATE("R6C",'Mapa final'!$Q$40),"")</f>
        <v/>
      </c>
      <c r="T41" s="69" t="str">
        <f>IF(AND('Mapa final'!$AA$41="Baja",'Mapa final'!$AC$41="Menor"),CONCATENATE("R6C",'Mapa final'!$Q$41),"")</f>
        <v/>
      </c>
      <c r="U41" s="70" t="str">
        <f>IF(AND('Mapa final'!$AA$42="Baja",'Mapa final'!$AC$42="Menor"),CONCATENATE("R6C",'Mapa final'!$Q$42),"")</f>
        <v/>
      </c>
      <c r="V41" s="68" t="str">
        <f>IF(AND('Mapa final'!$AA$37="Baja",'Mapa final'!$AC$37="Moderado"),CONCATENATE("R6C",'Mapa final'!$Q$37),"")</f>
        <v/>
      </c>
      <c r="W41" s="69" t="str">
        <f>IF(AND('Mapa final'!$AA$38="Baja",'Mapa final'!$AC$38="Moderado"),CONCATENATE("R6C",'Mapa final'!$Q$38),"")</f>
        <v/>
      </c>
      <c r="X41" s="69" t="str">
        <f>IF(AND('Mapa final'!$AA$39="Baja",'Mapa final'!$AC$39="Moderado"),CONCATENATE("R6C",'Mapa final'!$Q$39),"")</f>
        <v/>
      </c>
      <c r="Y41" s="69" t="str">
        <f>IF(AND('Mapa final'!$AA$40="Baja",'Mapa final'!$AC$40="Moderado"),CONCATENATE("R6C",'Mapa final'!$Q$40),"")</f>
        <v/>
      </c>
      <c r="Z41" s="69" t="str">
        <f>IF(AND('Mapa final'!$AA$41="Baja",'Mapa final'!$AC$41="Moderado"),CONCATENATE("R6C",'Mapa final'!$Q$41),"")</f>
        <v/>
      </c>
      <c r="AA41" s="70" t="str">
        <f>IF(AND('Mapa final'!$AA$42="Baja",'Mapa final'!$AC$42="Moderado"),CONCATENATE("R6C",'Mapa final'!$Q$42),"")</f>
        <v/>
      </c>
      <c r="AB41" s="52" t="str">
        <f>IF(AND('Mapa final'!$AA$37="Baja",'Mapa final'!$AC$37="Mayor"),CONCATENATE("R6C",'Mapa final'!$Q$37),"")</f>
        <v/>
      </c>
      <c r="AC41" s="53" t="str">
        <f>IF(AND('Mapa final'!$AA$38="Baja",'Mapa final'!$AC$38="Mayor"),CONCATENATE("R6C",'Mapa final'!$Q$38),"")</f>
        <v/>
      </c>
      <c r="AD41" s="58" t="str">
        <f>IF(AND('Mapa final'!$AA$39="Baja",'Mapa final'!$AC$39="Mayor"),CONCATENATE("R6C",'Mapa final'!$Q$39),"")</f>
        <v/>
      </c>
      <c r="AE41" s="58" t="str">
        <f>IF(AND('Mapa final'!$AA$40="Baja",'Mapa final'!$AC$40="Mayor"),CONCATENATE("R6C",'Mapa final'!$Q$40),"")</f>
        <v/>
      </c>
      <c r="AF41" s="58" t="str">
        <f>IF(AND('Mapa final'!$AA$41="Baja",'Mapa final'!$AC$41="Mayor"),CONCATENATE("R6C",'Mapa final'!$Q$41),"")</f>
        <v/>
      </c>
      <c r="AG41" s="54" t="str">
        <f>IF(AND('Mapa final'!$AA$42="Baja",'Mapa final'!$AC$42="Mayor"),CONCATENATE("R6C",'Mapa final'!$Q$42),"")</f>
        <v/>
      </c>
      <c r="AH41" s="55" t="str">
        <f>IF(AND('Mapa final'!$AA$37="Baja",'Mapa final'!$AC$37="Catastrófico"),CONCATENATE("R6C",'Mapa final'!$Q$37),"")</f>
        <v/>
      </c>
      <c r="AI41" s="56" t="str">
        <f>IF(AND('Mapa final'!$AA$38="Baja",'Mapa final'!$AC$38="Catastrófico"),CONCATENATE("R6C",'Mapa final'!$Q$38),"")</f>
        <v/>
      </c>
      <c r="AJ41" s="56" t="str">
        <f>IF(AND('Mapa final'!$AA$39="Baja",'Mapa final'!$AC$39="Catastrófico"),CONCATENATE("R6C",'Mapa final'!$Q$39),"")</f>
        <v/>
      </c>
      <c r="AK41" s="56" t="str">
        <f>IF(AND('Mapa final'!$AA$40="Baja",'Mapa final'!$AC$40="Catastrófico"),CONCATENATE("R6C",'Mapa final'!$Q$40),"")</f>
        <v/>
      </c>
      <c r="AL41" s="56" t="str">
        <f>IF(AND('Mapa final'!$AA$41="Baja",'Mapa final'!$AC$41="Catastrófico"),CONCATENATE("R6C",'Mapa final'!$Q$41),"")</f>
        <v/>
      </c>
      <c r="AM41" s="57" t="str">
        <f>IF(AND('Mapa final'!$AA$42="Baja",'Mapa final'!$AC$42="Catastrófico"),CONCATENATE("R6C",'Mapa final'!$Q$42),"")</f>
        <v/>
      </c>
      <c r="AN41" s="84"/>
      <c r="AO41" s="382"/>
      <c r="AP41" s="383"/>
      <c r="AQ41" s="383"/>
      <c r="AR41" s="383"/>
      <c r="AS41" s="383"/>
      <c r="AT41" s="3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x14ac:dyDescent="0.25">
      <c r="A42" s="84"/>
      <c r="B42" s="260"/>
      <c r="C42" s="260"/>
      <c r="D42" s="261"/>
      <c r="E42" s="361"/>
      <c r="F42" s="362"/>
      <c r="G42" s="362"/>
      <c r="H42" s="362"/>
      <c r="I42" s="360"/>
      <c r="J42" s="77" t="str">
        <f>IF(AND('Mapa final'!$AA$43="Baja",'Mapa final'!$AC$43="Leve"),CONCATENATE("R7C",'Mapa final'!$Q$43),"")</f>
        <v/>
      </c>
      <c r="K42" s="78" t="str">
        <f>IF(AND('Mapa final'!$AA$44="Baja",'Mapa final'!$AC$44="Leve"),CONCATENATE("R7C",'Mapa final'!$Q$44),"")</f>
        <v/>
      </c>
      <c r="L42" s="78" t="str">
        <f>IF(AND('Mapa final'!$AA$45="Baja",'Mapa final'!$AC$45="Leve"),CONCATENATE("R7C",'Mapa final'!$Q$45),"")</f>
        <v/>
      </c>
      <c r="M42" s="78" t="str">
        <f>IF(AND('Mapa final'!$AA$46="Baja",'Mapa final'!$AC$46="Leve"),CONCATENATE("R7C",'Mapa final'!$Q$46),"")</f>
        <v/>
      </c>
      <c r="N42" s="78" t="str">
        <f>IF(AND('Mapa final'!$AA$47="Baja",'Mapa final'!$AC$47="Leve"),CONCATENATE("R7C",'Mapa final'!$Q$47),"")</f>
        <v/>
      </c>
      <c r="O42" s="79" t="str">
        <f>IF(AND('Mapa final'!$AA$48="Baja",'Mapa final'!$AC$48="Leve"),CONCATENATE("R7C",'Mapa final'!$Q$48),"")</f>
        <v/>
      </c>
      <c r="P42" s="68" t="str">
        <f>IF(AND('Mapa final'!$AA$43="Baja",'Mapa final'!$AC$43="Menor"),CONCATENATE("R7C",'Mapa final'!$Q$43),"")</f>
        <v/>
      </c>
      <c r="Q42" s="69" t="str">
        <f>IF(AND('Mapa final'!$AA$44="Baja",'Mapa final'!$AC$44="Menor"),CONCATENATE("R7C",'Mapa final'!$Q$44),"")</f>
        <v/>
      </c>
      <c r="R42" s="69" t="str">
        <f>IF(AND('Mapa final'!$AA$45="Baja",'Mapa final'!$AC$45="Menor"),CONCATENATE("R7C",'Mapa final'!$Q$45),"")</f>
        <v/>
      </c>
      <c r="S42" s="69" t="str">
        <f>IF(AND('Mapa final'!$AA$46="Baja",'Mapa final'!$AC$46="Menor"),CONCATENATE("R7C",'Mapa final'!$Q$46),"")</f>
        <v/>
      </c>
      <c r="T42" s="69" t="str">
        <f>IF(AND('Mapa final'!$AA$47="Baja",'Mapa final'!$AC$47="Menor"),CONCATENATE("R7C",'Mapa final'!$Q$47),"")</f>
        <v/>
      </c>
      <c r="U42" s="70" t="str">
        <f>IF(AND('Mapa final'!$AA$48="Baja",'Mapa final'!$AC$48="Menor"),CONCATENATE("R7C",'Mapa final'!$Q$48),"")</f>
        <v/>
      </c>
      <c r="V42" s="68" t="str">
        <f>IF(AND('Mapa final'!$AA$43="Baja",'Mapa final'!$AC$43="Moderado"),CONCATENATE("R7C",'Mapa final'!$Q$43),"")</f>
        <v/>
      </c>
      <c r="W42" s="69" t="str">
        <f>IF(AND('Mapa final'!$AA$44="Baja",'Mapa final'!$AC$44="Moderado"),CONCATENATE("R7C",'Mapa final'!$Q$44),"")</f>
        <v/>
      </c>
      <c r="X42" s="69" t="str">
        <f>IF(AND('Mapa final'!$AA$45="Baja",'Mapa final'!$AC$45="Moderado"),CONCATENATE("R7C",'Mapa final'!$Q$45),"")</f>
        <v/>
      </c>
      <c r="Y42" s="69" t="str">
        <f>IF(AND('Mapa final'!$AA$46="Baja",'Mapa final'!$AC$46="Moderado"),CONCATENATE("R7C",'Mapa final'!$Q$46),"")</f>
        <v/>
      </c>
      <c r="Z42" s="69" t="str">
        <f>IF(AND('Mapa final'!$AA$47="Baja",'Mapa final'!$AC$47="Moderado"),CONCATENATE("R7C",'Mapa final'!$Q$47),"")</f>
        <v/>
      </c>
      <c r="AA42" s="70" t="str">
        <f>IF(AND('Mapa final'!$AA$48="Baja",'Mapa final'!$AC$48="Moderado"),CONCATENATE("R7C",'Mapa final'!$Q$48),"")</f>
        <v/>
      </c>
      <c r="AB42" s="52" t="str">
        <f>IF(AND('Mapa final'!$AA$43="Baja",'Mapa final'!$AC$43="Mayor"),CONCATENATE("R7C",'Mapa final'!$Q$43),"")</f>
        <v/>
      </c>
      <c r="AC42" s="53" t="str">
        <f>IF(AND('Mapa final'!$AA$44="Baja",'Mapa final'!$AC$44="Mayor"),CONCATENATE("R7C",'Mapa final'!$Q$44),"")</f>
        <v/>
      </c>
      <c r="AD42" s="58" t="str">
        <f>IF(AND('Mapa final'!$AA$45="Baja",'Mapa final'!$AC$45="Mayor"),CONCATENATE("R7C",'Mapa final'!$Q$45),"")</f>
        <v/>
      </c>
      <c r="AE42" s="58" t="str">
        <f>IF(AND('Mapa final'!$AA$46="Baja",'Mapa final'!$AC$46="Mayor"),CONCATENATE("R7C",'Mapa final'!$Q$46),"")</f>
        <v/>
      </c>
      <c r="AF42" s="58" t="str">
        <f>IF(AND('Mapa final'!$AA$47="Baja",'Mapa final'!$AC$47="Mayor"),CONCATENATE("R7C",'Mapa final'!$Q$47),"")</f>
        <v/>
      </c>
      <c r="AG42" s="54" t="str">
        <f>IF(AND('Mapa final'!$AA$48="Baja",'Mapa final'!$AC$48="Mayor"),CONCATENATE("R7C",'Mapa final'!$Q$48),"")</f>
        <v/>
      </c>
      <c r="AH42" s="55" t="str">
        <f>IF(AND('Mapa final'!$AA$43="Baja",'Mapa final'!$AC$43="Catastrófico"),CONCATENATE("R7C",'Mapa final'!$Q$43),"")</f>
        <v/>
      </c>
      <c r="AI42" s="56" t="str">
        <f>IF(AND('Mapa final'!$AA$44="Baja",'Mapa final'!$AC$44="Catastrófico"),CONCATENATE("R7C",'Mapa final'!$Q$44),"")</f>
        <v/>
      </c>
      <c r="AJ42" s="56" t="str">
        <f>IF(AND('Mapa final'!$AA$45="Baja",'Mapa final'!$AC$45="Catastrófico"),CONCATENATE("R7C",'Mapa final'!$Q$45),"")</f>
        <v/>
      </c>
      <c r="AK42" s="56" t="str">
        <f>IF(AND('Mapa final'!$AA$46="Baja",'Mapa final'!$AC$46="Catastrófico"),CONCATENATE("R7C",'Mapa final'!$Q$46),"")</f>
        <v/>
      </c>
      <c r="AL42" s="56" t="str">
        <f>IF(AND('Mapa final'!$AA$47="Baja",'Mapa final'!$AC$47="Catastrófico"),CONCATENATE("R7C",'Mapa final'!$Q$47),"")</f>
        <v/>
      </c>
      <c r="AM42" s="57" t="str">
        <f>IF(AND('Mapa final'!$AA$48="Baja",'Mapa final'!$AC$48="Catastrófico"),CONCATENATE("R7C",'Mapa final'!$Q$48),"")</f>
        <v/>
      </c>
      <c r="AN42" s="84"/>
      <c r="AO42" s="382"/>
      <c r="AP42" s="383"/>
      <c r="AQ42" s="383"/>
      <c r="AR42" s="383"/>
      <c r="AS42" s="383"/>
      <c r="AT42" s="3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x14ac:dyDescent="0.25">
      <c r="A43" s="84"/>
      <c r="B43" s="260"/>
      <c r="C43" s="260"/>
      <c r="D43" s="261"/>
      <c r="E43" s="361"/>
      <c r="F43" s="362"/>
      <c r="G43" s="362"/>
      <c r="H43" s="362"/>
      <c r="I43" s="360"/>
      <c r="J43" s="77" t="str">
        <f>IF(AND('Mapa final'!$AA$49="Baja",'Mapa final'!$AC$49="Leve"),CONCATENATE("R8C",'Mapa final'!$Q$49),"")</f>
        <v/>
      </c>
      <c r="K43" s="78" t="str">
        <f>IF(AND('Mapa final'!$AA$50="Baja",'Mapa final'!$AC$50="Leve"),CONCATENATE("R8C",'Mapa final'!$Q$50),"")</f>
        <v/>
      </c>
      <c r="L43" s="78" t="str">
        <f>IF(AND('Mapa final'!$AA$51="Baja",'Mapa final'!$AC$51="Leve"),CONCATENATE("R8C",'Mapa final'!$Q$51),"")</f>
        <v/>
      </c>
      <c r="M43" s="78" t="str">
        <f>IF(AND('Mapa final'!$AA$52="Baja",'Mapa final'!$AC$52="Leve"),CONCATENATE("R8C",'Mapa final'!$Q$52),"")</f>
        <v/>
      </c>
      <c r="N43" s="78" t="str">
        <f>IF(AND('Mapa final'!$AA$53="Baja",'Mapa final'!$AC$53="Leve"),CONCATENATE("R8C",'Mapa final'!$Q$53),"")</f>
        <v/>
      </c>
      <c r="O43" s="79" t="str">
        <f>IF(AND('Mapa final'!$AA$54="Baja",'Mapa final'!$AC$54="Leve"),CONCATENATE("R8C",'Mapa final'!$Q$54),"")</f>
        <v/>
      </c>
      <c r="P43" s="68" t="str">
        <f>IF(AND('Mapa final'!$AA$49="Baja",'Mapa final'!$AC$49="Menor"),CONCATENATE("R8C",'Mapa final'!$Q$49),"")</f>
        <v/>
      </c>
      <c r="Q43" s="69" t="str">
        <f>IF(AND('Mapa final'!$AA$50="Baja",'Mapa final'!$AC$50="Menor"),CONCATENATE("R8C",'Mapa final'!$Q$50),"")</f>
        <v/>
      </c>
      <c r="R43" s="69" t="str">
        <f>IF(AND('Mapa final'!$AA$51="Baja",'Mapa final'!$AC$51="Menor"),CONCATENATE("R8C",'Mapa final'!$Q$51),"")</f>
        <v/>
      </c>
      <c r="S43" s="69" t="str">
        <f>IF(AND('Mapa final'!$AA$52="Baja",'Mapa final'!$AC$52="Menor"),CONCATENATE("R8C",'Mapa final'!$Q$52),"")</f>
        <v/>
      </c>
      <c r="T43" s="69" t="str">
        <f>IF(AND('Mapa final'!$AA$53="Baja",'Mapa final'!$AC$53="Menor"),CONCATENATE("R8C",'Mapa final'!$Q$53),"")</f>
        <v/>
      </c>
      <c r="U43" s="70" t="str">
        <f>IF(AND('Mapa final'!$AA$54="Baja",'Mapa final'!$AC$54="Menor"),CONCATENATE("R8C",'Mapa final'!$Q$54),"")</f>
        <v/>
      </c>
      <c r="V43" s="68" t="str">
        <f>IF(AND('Mapa final'!$AA$49="Baja",'Mapa final'!$AC$49="Moderado"),CONCATENATE("R8C",'Mapa final'!$Q$49),"")</f>
        <v/>
      </c>
      <c r="W43" s="69" t="str">
        <f>IF(AND('Mapa final'!$AA$50="Baja",'Mapa final'!$AC$50="Moderado"),CONCATENATE("R8C",'Mapa final'!$Q$50),"")</f>
        <v/>
      </c>
      <c r="X43" s="69" t="str">
        <f>IF(AND('Mapa final'!$AA$51="Baja",'Mapa final'!$AC$51="Moderado"),CONCATENATE("R8C",'Mapa final'!$Q$51),"")</f>
        <v/>
      </c>
      <c r="Y43" s="69" t="str">
        <f>IF(AND('Mapa final'!$AA$52="Baja",'Mapa final'!$AC$52="Moderado"),CONCATENATE("R8C",'Mapa final'!$Q$52),"")</f>
        <v/>
      </c>
      <c r="Z43" s="69" t="str">
        <f>IF(AND('Mapa final'!$AA$53="Baja",'Mapa final'!$AC$53="Moderado"),CONCATENATE("R8C",'Mapa final'!$Q$53),"")</f>
        <v/>
      </c>
      <c r="AA43" s="70" t="str">
        <f>IF(AND('Mapa final'!$AA$54="Baja",'Mapa final'!$AC$54="Moderado"),CONCATENATE("R8C",'Mapa final'!$Q$54),"")</f>
        <v/>
      </c>
      <c r="AB43" s="52" t="str">
        <f>IF(AND('Mapa final'!$AA$49="Baja",'Mapa final'!$AC$49="Mayor"),CONCATENATE("R8C",'Mapa final'!$Q$49),"")</f>
        <v/>
      </c>
      <c r="AC43" s="53" t="str">
        <f>IF(AND('Mapa final'!$AA$50="Baja",'Mapa final'!$AC$50="Mayor"),CONCATENATE("R8C",'Mapa final'!$Q$50),"")</f>
        <v/>
      </c>
      <c r="AD43" s="58" t="str">
        <f>IF(AND('Mapa final'!$AA$51="Baja",'Mapa final'!$AC$51="Mayor"),CONCATENATE("R8C",'Mapa final'!$Q$51),"")</f>
        <v/>
      </c>
      <c r="AE43" s="58" t="str">
        <f>IF(AND('Mapa final'!$AA$52="Baja",'Mapa final'!$AC$52="Mayor"),CONCATENATE("R8C",'Mapa final'!$Q$52),"")</f>
        <v/>
      </c>
      <c r="AF43" s="58" t="str">
        <f>IF(AND('Mapa final'!$AA$53="Baja",'Mapa final'!$AC$53="Mayor"),CONCATENATE("R8C",'Mapa final'!$Q$53),"")</f>
        <v/>
      </c>
      <c r="AG43" s="54" t="str">
        <f>IF(AND('Mapa final'!$AA$54="Baja",'Mapa final'!$AC$54="Mayor"),CONCATENATE("R8C",'Mapa final'!$Q$54),"")</f>
        <v/>
      </c>
      <c r="AH43" s="55" t="str">
        <f>IF(AND('Mapa final'!$AA$49="Baja",'Mapa final'!$AC$49="Catastrófico"),CONCATENATE("R8C",'Mapa final'!$Q$49),"")</f>
        <v/>
      </c>
      <c r="AI43" s="56" t="str">
        <f>IF(AND('Mapa final'!$AA$50="Baja",'Mapa final'!$AC$50="Catastrófico"),CONCATENATE("R8C",'Mapa final'!$Q$50),"")</f>
        <v/>
      </c>
      <c r="AJ43" s="56" t="str">
        <f>IF(AND('Mapa final'!$AA$51="Baja",'Mapa final'!$AC$51="Catastrófico"),CONCATENATE("R8C",'Mapa final'!$Q$51),"")</f>
        <v/>
      </c>
      <c r="AK43" s="56" t="str">
        <f>IF(AND('Mapa final'!$AA$52="Baja",'Mapa final'!$AC$52="Catastrófico"),CONCATENATE("R8C",'Mapa final'!$Q$52),"")</f>
        <v/>
      </c>
      <c r="AL43" s="56" t="str">
        <f>IF(AND('Mapa final'!$AA$53="Baja",'Mapa final'!$AC$53="Catastrófico"),CONCATENATE("R8C",'Mapa final'!$Q$53),"")</f>
        <v/>
      </c>
      <c r="AM43" s="57" t="str">
        <f>IF(AND('Mapa final'!$AA$54="Baja",'Mapa final'!$AC$54="Catastrófico"),CONCATENATE("R8C",'Mapa final'!$Q$54),"")</f>
        <v/>
      </c>
      <c r="AN43" s="84"/>
      <c r="AO43" s="382"/>
      <c r="AP43" s="383"/>
      <c r="AQ43" s="383"/>
      <c r="AR43" s="383"/>
      <c r="AS43" s="383"/>
      <c r="AT43" s="3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x14ac:dyDescent="0.25">
      <c r="A44" s="84"/>
      <c r="B44" s="260"/>
      <c r="C44" s="260"/>
      <c r="D44" s="261"/>
      <c r="E44" s="361"/>
      <c r="F44" s="362"/>
      <c r="G44" s="362"/>
      <c r="H44" s="362"/>
      <c r="I44" s="360"/>
      <c r="J44" s="77" t="str">
        <f>IF(AND('Mapa final'!$AA$55="Baja",'Mapa final'!$AC$55="Leve"),CONCATENATE("R9C",'Mapa final'!$Q$55),"")</f>
        <v/>
      </c>
      <c r="K44" s="78" t="str">
        <f>IF(AND('Mapa final'!$AA$56="Baja",'Mapa final'!$AC$56="Leve"),CONCATENATE("R9C",'Mapa final'!$Q$56),"")</f>
        <v/>
      </c>
      <c r="L44" s="78" t="str">
        <f>IF(AND('Mapa final'!$AA$57="Baja",'Mapa final'!$AC$57="Leve"),CONCATENATE("R9C",'Mapa final'!$Q$57),"")</f>
        <v/>
      </c>
      <c r="M44" s="78" t="str">
        <f>IF(AND('Mapa final'!$AA$58="Baja",'Mapa final'!$AC$58="Leve"),CONCATENATE("R9C",'Mapa final'!$Q$58),"")</f>
        <v/>
      </c>
      <c r="N44" s="78" t="str">
        <f>IF(AND('Mapa final'!$AA$59="Baja",'Mapa final'!$AC$59="Leve"),CONCATENATE("R9C",'Mapa final'!$Q$59),"")</f>
        <v/>
      </c>
      <c r="O44" s="79" t="str">
        <f>IF(AND('Mapa final'!$AA$60="Baja",'Mapa final'!$AC$60="Leve"),CONCATENATE("R9C",'Mapa final'!$Q$60),"")</f>
        <v/>
      </c>
      <c r="P44" s="68" t="str">
        <f>IF(AND('Mapa final'!$AA$55="Baja",'Mapa final'!$AC$55="Menor"),CONCATENATE("R9C",'Mapa final'!$Q$55),"")</f>
        <v/>
      </c>
      <c r="Q44" s="69" t="str">
        <f>IF(AND('Mapa final'!$AA$56="Baja",'Mapa final'!$AC$56="Menor"),CONCATENATE("R9C",'Mapa final'!$Q$56),"")</f>
        <v/>
      </c>
      <c r="R44" s="69" t="str">
        <f>IF(AND('Mapa final'!$AA$57="Baja",'Mapa final'!$AC$57="Menor"),CONCATENATE("R9C",'Mapa final'!$Q$57),"")</f>
        <v/>
      </c>
      <c r="S44" s="69" t="str">
        <f>IF(AND('Mapa final'!$AA$58="Baja",'Mapa final'!$AC$58="Menor"),CONCATENATE("R9C",'Mapa final'!$Q$58),"")</f>
        <v/>
      </c>
      <c r="T44" s="69" t="str">
        <f>IF(AND('Mapa final'!$AA$59="Baja",'Mapa final'!$AC$59="Menor"),CONCATENATE("R9C",'Mapa final'!$Q$59),"")</f>
        <v/>
      </c>
      <c r="U44" s="70" t="str">
        <f>IF(AND('Mapa final'!$AA$60="Baja",'Mapa final'!$AC$60="Menor"),CONCATENATE("R9C",'Mapa final'!$Q$60),"")</f>
        <v/>
      </c>
      <c r="V44" s="68" t="str">
        <f>IF(AND('Mapa final'!$AA$55="Baja",'Mapa final'!$AC$55="Moderado"),CONCATENATE("R9C",'Mapa final'!$Q$55),"")</f>
        <v/>
      </c>
      <c r="W44" s="69" t="str">
        <f>IF(AND('Mapa final'!$AA$56="Baja",'Mapa final'!$AC$56="Moderado"),CONCATENATE("R9C",'Mapa final'!$Q$56),"")</f>
        <v/>
      </c>
      <c r="X44" s="69" t="str">
        <f>IF(AND('Mapa final'!$AA$57="Baja",'Mapa final'!$AC$57="Moderado"),CONCATENATE("R9C",'Mapa final'!$Q$57),"")</f>
        <v/>
      </c>
      <c r="Y44" s="69" t="str">
        <f>IF(AND('Mapa final'!$AA$58="Baja",'Mapa final'!$AC$58="Moderado"),CONCATENATE("R9C",'Mapa final'!$Q$58),"")</f>
        <v/>
      </c>
      <c r="Z44" s="69" t="str">
        <f>IF(AND('Mapa final'!$AA$59="Baja",'Mapa final'!$AC$59="Moderado"),CONCATENATE("R9C",'Mapa final'!$Q$59),"")</f>
        <v/>
      </c>
      <c r="AA44" s="70" t="str">
        <f>IF(AND('Mapa final'!$AA$60="Baja",'Mapa final'!$AC$60="Moderado"),CONCATENATE("R9C",'Mapa final'!$Q$60),"")</f>
        <v/>
      </c>
      <c r="AB44" s="52" t="str">
        <f>IF(AND('Mapa final'!$AA$55="Baja",'Mapa final'!$AC$55="Mayor"),CONCATENATE("R9C",'Mapa final'!$Q$55),"")</f>
        <v/>
      </c>
      <c r="AC44" s="53" t="str">
        <f>IF(AND('Mapa final'!$AA$56="Baja",'Mapa final'!$AC$56="Mayor"),CONCATENATE("R9C",'Mapa final'!$Q$56),"")</f>
        <v/>
      </c>
      <c r="AD44" s="58" t="str">
        <f>IF(AND('Mapa final'!$AA$57="Baja",'Mapa final'!$AC$57="Mayor"),CONCATENATE("R9C",'Mapa final'!$Q$57),"")</f>
        <v/>
      </c>
      <c r="AE44" s="58" t="str">
        <f>IF(AND('Mapa final'!$AA$58="Baja",'Mapa final'!$AC$58="Mayor"),CONCATENATE("R9C",'Mapa final'!$Q$58),"")</f>
        <v/>
      </c>
      <c r="AF44" s="58" t="str">
        <f>IF(AND('Mapa final'!$AA$59="Baja",'Mapa final'!$AC$59="Mayor"),CONCATENATE("R9C",'Mapa final'!$Q$59),"")</f>
        <v/>
      </c>
      <c r="AG44" s="54" t="str">
        <f>IF(AND('Mapa final'!$AA$60="Baja",'Mapa final'!$AC$60="Mayor"),CONCATENATE("R9C",'Mapa final'!$Q$60),"")</f>
        <v/>
      </c>
      <c r="AH44" s="55" t="str">
        <f>IF(AND('Mapa final'!$AA$55="Baja",'Mapa final'!$AC$55="Catastrófico"),CONCATENATE("R9C",'Mapa final'!$Q$55),"")</f>
        <v/>
      </c>
      <c r="AI44" s="56" t="str">
        <f>IF(AND('Mapa final'!$AA$56="Baja",'Mapa final'!$AC$56="Catastrófico"),CONCATENATE("R9C",'Mapa final'!$Q$56),"")</f>
        <v/>
      </c>
      <c r="AJ44" s="56" t="str">
        <f>IF(AND('Mapa final'!$AA$57="Baja",'Mapa final'!$AC$57="Catastrófico"),CONCATENATE("R9C",'Mapa final'!$Q$57),"")</f>
        <v/>
      </c>
      <c r="AK44" s="56" t="str">
        <f>IF(AND('Mapa final'!$AA$58="Baja",'Mapa final'!$AC$58="Catastrófico"),CONCATENATE("R9C",'Mapa final'!$Q$58),"")</f>
        <v/>
      </c>
      <c r="AL44" s="56" t="str">
        <f>IF(AND('Mapa final'!$AA$59="Baja",'Mapa final'!$AC$59="Catastrófico"),CONCATENATE("R9C",'Mapa final'!$Q$59),"")</f>
        <v/>
      </c>
      <c r="AM44" s="57" t="str">
        <f>IF(AND('Mapa final'!$AA$60="Baja",'Mapa final'!$AC$60="Catastrófico"),CONCATENATE("R9C",'Mapa final'!$Q$60),"")</f>
        <v/>
      </c>
      <c r="AN44" s="84"/>
      <c r="AO44" s="382"/>
      <c r="AP44" s="383"/>
      <c r="AQ44" s="383"/>
      <c r="AR44" s="383"/>
      <c r="AS44" s="383"/>
      <c r="AT44" s="3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x14ac:dyDescent="0.3">
      <c r="A45" s="84"/>
      <c r="B45" s="260"/>
      <c r="C45" s="260"/>
      <c r="D45" s="261"/>
      <c r="E45" s="363"/>
      <c r="F45" s="364"/>
      <c r="G45" s="364"/>
      <c r="H45" s="364"/>
      <c r="I45" s="364"/>
      <c r="J45" s="80" t="str">
        <f>IF(AND('Mapa final'!$AA$61="Baja",'Mapa final'!$AC$61="Leve"),CONCATENATE("R10C",'Mapa final'!$Q$61),"")</f>
        <v/>
      </c>
      <c r="K45" s="81" t="str">
        <f>IF(AND('Mapa final'!$AA$62="Baja",'Mapa final'!$AC$62="Leve"),CONCATENATE("R10C",'Mapa final'!$Q$62),"")</f>
        <v/>
      </c>
      <c r="L45" s="81" t="str">
        <f>IF(AND('Mapa final'!$AA$63="Baja",'Mapa final'!$AC$63="Leve"),CONCATENATE("R10C",'Mapa final'!$Q$63),"")</f>
        <v/>
      </c>
      <c r="M45" s="81" t="str">
        <f>IF(AND('Mapa final'!$AA$64="Baja",'Mapa final'!$AC$64="Leve"),CONCATENATE("R10C",'Mapa final'!$Q$64),"")</f>
        <v/>
      </c>
      <c r="N45" s="81" t="str">
        <f>IF(AND('Mapa final'!$AA$65="Baja",'Mapa final'!$AC$65="Leve"),CONCATENATE("R10C",'Mapa final'!$Q$65),"")</f>
        <v/>
      </c>
      <c r="O45" s="82" t="str">
        <f>IF(AND('Mapa final'!$AA$66="Baja",'Mapa final'!$AC$66="Leve"),CONCATENATE("R10C",'Mapa final'!$Q$66),"")</f>
        <v/>
      </c>
      <c r="P45" s="68" t="str">
        <f>IF(AND('Mapa final'!$AA$61="Baja",'Mapa final'!$AC$61="Menor"),CONCATENATE("R10C",'Mapa final'!$Q$61),"")</f>
        <v/>
      </c>
      <c r="Q45" s="69" t="str">
        <f>IF(AND('Mapa final'!$AA$62="Baja",'Mapa final'!$AC$62="Menor"),CONCATENATE("R10C",'Mapa final'!$Q$62),"")</f>
        <v/>
      </c>
      <c r="R45" s="69" t="str">
        <f>IF(AND('Mapa final'!$AA$63="Baja",'Mapa final'!$AC$63="Menor"),CONCATENATE("R10C",'Mapa final'!$Q$63),"")</f>
        <v/>
      </c>
      <c r="S45" s="69" t="str">
        <f>IF(AND('Mapa final'!$AA$64="Baja",'Mapa final'!$AC$64="Menor"),CONCATENATE("R10C",'Mapa final'!$Q$64),"")</f>
        <v/>
      </c>
      <c r="T45" s="69" t="str">
        <f>IF(AND('Mapa final'!$AA$65="Baja",'Mapa final'!$AC$65="Menor"),CONCATENATE("R10C",'Mapa final'!$Q$65),"")</f>
        <v/>
      </c>
      <c r="U45" s="70" t="str">
        <f>IF(AND('Mapa final'!$AA$66="Baja",'Mapa final'!$AC$66="Menor"),CONCATENATE("R10C",'Mapa final'!$Q$66),"")</f>
        <v/>
      </c>
      <c r="V45" s="71" t="str">
        <f>IF(AND('Mapa final'!$AA$61="Baja",'Mapa final'!$AC$61="Moderado"),CONCATENATE("R10C",'Mapa final'!$Q$61),"")</f>
        <v/>
      </c>
      <c r="W45" s="72" t="str">
        <f>IF(AND('Mapa final'!$AA$62="Baja",'Mapa final'!$AC$62="Moderado"),CONCATENATE("R10C",'Mapa final'!$Q$62),"")</f>
        <v/>
      </c>
      <c r="X45" s="72" t="str">
        <f>IF(AND('Mapa final'!$AA$63="Baja",'Mapa final'!$AC$63="Moderado"),CONCATENATE("R10C",'Mapa final'!$Q$63),"")</f>
        <v/>
      </c>
      <c r="Y45" s="72" t="str">
        <f>IF(AND('Mapa final'!$AA$64="Baja",'Mapa final'!$AC$64="Moderado"),CONCATENATE("R10C",'Mapa final'!$Q$64),"")</f>
        <v/>
      </c>
      <c r="Z45" s="72" t="str">
        <f>IF(AND('Mapa final'!$AA$65="Baja",'Mapa final'!$AC$65="Moderado"),CONCATENATE("R10C",'Mapa final'!$Q$65),"")</f>
        <v/>
      </c>
      <c r="AA45" s="73" t="str">
        <f>IF(AND('Mapa final'!$AA$66="Baja",'Mapa final'!$AC$66="Moderado"),CONCATENATE("R10C",'Mapa final'!$Q$66),"")</f>
        <v/>
      </c>
      <c r="AB45" s="59" t="str">
        <f>IF(AND('Mapa final'!$AA$61="Baja",'Mapa final'!$AC$61="Mayor"),CONCATENATE("R10C",'Mapa final'!$Q$61),"")</f>
        <v/>
      </c>
      <c r="AC45" s="60" t="str">
        <f>IF(AND('Mapa final'!$AA$62="Baja",'Mapa final'!$AC$62="Mayor"),CONCATENATE("R10C",'Mapa final'!$Q$62),"")</f>
        <v/>
      </c>
      <c r="AD45" s="60" t="str">
        <f>IF(AND('Mapa final'!$AA$63="Baja",'Mapa final'!$AC$63="Mayor"),CONCATENATE("R10C",'Mapa final'!$Q$63),"")</f>
        <v/>
      </c>
      <c r="AE45" s="60" t="str">
        <f>IF(AND('Mapa final'!$AA$64="Baja",'Mapa final'!$AC$64="Mayor"),CONCATENATE("R10C",'Mapa final'!$Q$64),"")</f>
        <v/>
      </c>
      <c r="AF45" s="60" t="str">
        <f>IF(AND('Mapa final'!$AA$65="Baja",'Mapa final'!$AC$65="Mayor"),CONCATENATE("R10C",'Mapa final'!$Q$65),"")</f>
        <v/>
      </c>
      <c r="AG45" s="61" t="str">
        <f>IF(AND('Mapa final'!$AA$66="Baja",'Mapa final'!$AC$66="Mayor"),CONCATENATE("R10C",'Mapa final'!$Q$66),"")</f>
        <v/>
      </c>
      <c r="AH45" s="62" t="str">
        <f>IF(AND('Mapa final'!$AA$61="Baja",'Mapa final'!$AC$61="Catastrófico"),CONCATENATE("R10C",'Mapa final'!$Q$61),"")</f>
        <v/>
      </c>
      <c r="AI45" s="63" t="str">
        <f>IF(AND('Mapa final'!$AA$62="Baja",'Mapa final'!$AC$62="Catastrófico"),CONCATENATE("R10C",'Mapa final'!$Q$62),"")</f>
        <v/>
      </c>
      <c r="AJ45" s="63" t="str">
        <f>IF(AND('Mapa final'!$AA$63="Baja",'Mapa final'!$AC$63="Catastrófico"),CONCATENATE("R10C",'Mapa final'!$Q$63),"")</f>
        <v/>
      </c>
      <c r="AK45" s="63" t="str">
        <f>IF(AND('Mapa final'!$AA$64="Baja",'Mapa final'!$AC$64="Catastrófico"),CONCATENATE("R10C",'Mapa final'!$Q$64),"")</f>
        <v/>
      </c>
      <c r="AL45" s="63" t="str">
        <f>IF(AND('Mapa final'!$AA$65="Baja",'Mapa final'!$AC$65="Catastrófico"),CONCATENATE("R10C",'Mapa final'!$Q$65),"")</f>
        <v/>
      </c>
      <c r="AM45" s="64" t="str">
        <f>IF(AND('Mapa final'!$AA$66="Baja",'Mapa final'!$AC$66="Catastrófico"),CONCATENATE("R10C",'Mapa final'!$Q$66),"")</f>
        <v/>
      </c>
      <c r="AN45" s="84"/>
      <c r="AO45" s="385"/>
      <c r="AP45" s="386"/>
      <c r="AQ45" s="386"/>
      <c r="AR45" s="386"/>
      <c r="AS45" s="386"/>
      <c r="AT45" s="387"/>
    </row>
    <row r="46" spans="1:80" ht="46.5" customHeight="1" x14ac:dyDescent="0.35">
      <c r="A46" s="84"/>
      <c r="B46" s="260"/>
      <c r="C46" s="260"/>
      <c r="D46" s="261"/>
      <c r="E46" s="357" t="s">
        <v>113</v>
      </c>
      <c r="F46" s="358"/>
      <c r="G46" s="358"/>
      <c r="H46" s="358"/>
      <c r="I46" s="376"/>
      <c r="J46" s="74" t="str">
        <f ca="1">IF(AND('Mapa final'!$AA$10="Muy Baja",'Mapa final'!$AC$10="Leve"),CONCATENATE("R1C",'Mapa final'!$Q$10),"")</f>
        <v/>
      </c>
      <c r="K46" s="75" t="str">
        <f ca="1">IF(AND('Mapa final'!$AA$11="Muy Baja",'Mapa final'!$AC$11="Leve"),CONCATENATE("R1C",'Mapa final'!$Q$11),"")</f>
        <v/>
      </c>
      <c r="L46" s="75" t="str">
        <f ca="1">IF(AND('Mapa final'!$AA$12="Muy Baja",'Mapa final'!$AC$12="Leve"),CONCATENATE("R1C",'Mapa final'!$Q$12),"")</f>
        <v/>
      </c>
      <c r="M46" s="75" t="e">
        <f>IF(AND('Mapa final'!#REF!="Muy Baja",'Mapa final'!#REF!="Leve"),CONCATENATE("R1C",'Mapa final'!#REF!),"")</f>
        <v>#REF!</v>
      </c>
      <c r="N46" s="75" t="e">
        <f>IF(AND('Mapa final'!#REF!="Muy Baja",'Mapa final'!#REF!="Leve"),CONCATENATE("R1C",'Mapa final'!#REF!),"")</f>
        <v>#REF!</v>
      </c>
      <c r="O46" s="76" t="e">
        <f>IF(AND('Mapa final'!#REF!="Muy Baja",'Mapa final'!#REF!="Leve"),CONCATENATE("R1C",'Mapa final'!#REF!),"")</f>
        <v>#REF!</v>
      </c>
      <c r="P46" s="74" t="str">
        <f ca="1">IF(AND('Mapa final'!$AA$10="Muy Baja",'Mapa final'!$AC$10="Menor"),CONCATENATE("R1C",'Mapa final'!$Q$10),"")</f>
        <v/>
      </c>
      <c r="Q46" s="75" t="str">
        <f ca="1">IF(AND('Mapa final'!$AA$11="Muy Baja",'Mapa final'!$AC$11="Menor"),CONCATENATE("R1C",'Mapa final'!$Q$11),"")</f>
        <v/>
      </c>
      <c r="R46" s="75" t="str">
        <f ca="1">IF(AND('Mapa final'!$AA$12="Muy Baja",'Mapa final'!$AC$12="Menor"),CONCATENATE("R1C",'Mapa final'!$Q$12),"")</f>
        <v/>
      </c>
      <c r="S46" s="75" t="e">
        <f>IF(AND('Mapa final'!#REF!="Muy Baja",'Mapa final'!#REF!="Menor"),CONCATENATE("R1C",'Mapa final'!#REF!),"")</f>
        <v>#REF!</v>
      </c>
      <c r="T46" s="75" t="e">
        <f>IF(AND('Mapa final'!#REF!="Muy Baja",'Mapa final'!#REF!="Menor"),CONCATENATE("R1C",'Mapa final'!#REF!),"")</f>
        <v>#REF!</v>
      </c>
      <c r="U46" s="76" t="e">
        <f>IF(AND('Mapa final'!#REF!="Muy Baja",'Mapa final'!#REF!="Menor"),CONCATENATE("R1C",'Mapa final'!#REF!),"")</f>
        <v>#REF!</v>
      </c>
      <c r="V46" s="65" t="str">
        <f ca="1">IF(AND('Mapa final'!$AA$10="Muy Baja",'Mapa final'!$AC$10="Moderado"),CONCATENATE("R1C",'Mapa final'!$Q$10),"")</f>
        <v/>
      </c>
      <c r="W46" s="83" t="str">
        <f ca="1">IF(AND('Mapa final'!$AA$11="Muy Baja",'Mapa final'!$AC$11="Moderado"),CONCATENATE("R1C",'Mapa final'!$Q$11),"")</f>
        <v/>
      </c>
      <c r="X46" s="66" t="str">
        <f ca="1">IF(AND('Mapa final'!$AA$12="Muy Baja",'Mapa final'!$AC$12="Moderado"),CONCATENATE("R1C",'Mapa final'!$Q$12),"")</f>
        <v/>
      </c>
      <c r="Y46" s="66" t="e">
        <f>IF(AND('Mapa final'!#REF!="Muy Baja",'Mapa final'!#REF!="Moderado"),CONCATENATE("R1C",'Mapa final'!#REF!),"")</f>
        <v>#REF!</v>
      </c>
      <c r="Z46" s="66" t="e">
        <f>IF(AND('Mapa final'!#REF!="Muy Baja",'Mapa final'!#REF!="Moderado"),CONCATENATE("R1C",'Mapa final'!#REF!),"")</f>
        <v>#REF!</v>
      </c>
      <c r="AA46" s="67" t="e">
        <f>IF(AND('Mapa final'!#REF!="Muy Baja",'Mapa final'!#REF!="Moderado"),CONCATENATE("R1C",'Mapa final'!#REF!),"")</f>
        <v>#REF!</v>
      </c>
      <c r="AB46" s="46" t="str">
        <f ca="1">IF(AND('Mapa final'!$AA$10="Muy Baja",'Mapa final'!$AC$10="Mayor"),CONCATENATE("R1C",'Mapa final'!$Q$10),"")</f>
        <v/>
      </c>
      <c r="AC46" s="47" t="str">
        <f ca="1">IF(AND('Mapa final'!$AA$11="Muy Baja",'Mapa final'!$AC$11="Mayor"),CONCATENATE("R1C",'Mapa final'!$Q$11),"")</f>
        <v>R1C2</v>
      </c>
      <c r="AD46" s="47" t="str">
        <f ca="1">IF(AND('Mapa final'!$AA$12="Muy Baja",'Mapa final'!$AC$12="Mayor"),CONCATENATE("R1C",'Mapa final'!$Q$12),"")</f>
        <v>R1C3</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 ca="1">IF(AND('Mapa final'!$AA$10="Muy Baja",'Mapa final'!$AC$10="Catastrófico"),CONCATENATE("R1C",'Mapa final'!$Q$10),"")</f>
        <v/>
      </c>
      <c r="AI46" s="50" t="str">
        <f ca="1">IF(AND('Mapa final'!$AA$11="Muy Baja",'Mapa final'!$AC$11="Catastrófico"),CONCATENATE("R1C",'Mapa final'!$Q$11),"")</f>
        <v/>
      </c>
      <c r="AJ46" s="50" t="str">
        <f ca="1">IF(AND('Mapa final'!$AA$12="Muy Baja",'Mapa final'!$AC$12="Catastrófico"),CONCATENATE("R1C",'Mapa final'!$Q$12),"")</f>
        <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x14ac:dyDescent="0.25">
      <c r="A47" s="84"/>
      <c r="B47" s="260"/>
      <c r="C47" s="260"/>
      <c r="D47" s="261"/>
      <c r="E47" s="359"/>
      <c r="F47" s="360"/>
      <c r="G47" s="360"/>
      <c r="H47" s="360"/>
      <c r="I47" s="377"/>
      <c r="J47" s="77" t="str">
        <f ca="1">IF(AND([1]Hoja1!$X$2="Muy Baja",[1]Hoja1!$Z$2="Leve"),CONCATENATE("R2C",[1]Hoja1!$N$2),"")</f>
        <v/>
      </c>
      <c r="K47" s="78" t="str">
        <f ca="1">IF(AND([1]Hoja1!$X$3="Muy Baja",[1]Hoja1!$Z$3="Leve"),CONCATENATE("R2C",[1]Hoja1!$N$3),"")</f>
        <v/>
      </c>
      <c r="L47" s="78" t="str">
        <f>IF(AND([1]Hoja1!$X$4="Muy Baja",[1]Hoja1!$Z$4="Leve"),CONCATENATE("R2C",[1]Hoja1!$N$4),"")</f>
        <v/>
      </c>
      <c r="M47" s="78" t="str">
        <f>IF(AND([1]Hoja1!$X$5="Muy Baja",[1]Hoja1!$Z$5="Leve"),CONCATENATE("R2C",[1]Hoja1!$N$5),"")</f>
        <v/>
      </c>
      <c r="N47" s="78" t="str">
        <f>IF(AND([1]Hoja1!$X$6="Muy Baja",[1]Hoja1!$Z$6="Leve"),CONCATENATE("R2C",[1]Hoja1!$N$6),"")</f>
        <v/>
      </c>
      <c r="O47" s="79" t="str">
        <f>IF(AND([1]Hoja1!$X$7="Muy Baja",[1]Hoja1!$Z$7="Leve"),CONCATENATE("R2C",[1]Hoja1!$N$7),"")</f>
        <v/>
      </c>
      <c r="P47" s="77" t="str">
        <f ca="1">IF(AND([1]Hoja1!$X$2="Muy Baja",[1]Hoja1!$Z$2="Menor"),CONCATENATE("R2C",[1]Hoja1!$N$2),"")</f>
        <v/>
      </c>
      <c r="Q47" s="78" t="str">
        <f ca="1">IF(AND([1]Hoja1!$X$3="Muy Baja",[1]Hoja1!$Z$3="Menor"),CONCATENATE("R2C",[1]Hoja1!$N$3),"")</f>
        <v/>
      </c>
      <c r="R47" s="78" t="str">
        <f>IF(AND([1]Hoja1!$X$4="Muy Baja",[1]Hoja1!$Z$4="Menor"),CONCATENATE("R2C",[1]Hoja1!$N$4),"")</f>
        <v/>
      </c>
      <c r="S47" s="78" t="str">
        <f>IF(AND([1]Hoja1!$X$5="Muy Baja",[1]Hoja1!$Z$5="Menor"),CONCATENATE("R2C",[1]Hoja1!$N$5),"")</f>
        <v/>
      </c>
      <c r="T47" s="78" t="str">
        <f>IF(AND([1]Hoja1!$X$6="Muy Baja",[1]Hoja1!$Z$6="Menor"),CONCATENATE("R2C",[1]Hoja1!$N$6),"")</f>
        <v/>
      </c>
      <c r="U47" s="79" t="str">
        <f>IF(AND([1]Hoja1!$X$7="Muy Baja",[1]Hoja1!$Z$7="Menor"),CONCATENATE("R2C",[1]Hoja1!$N$7),"")</f>
        <v/>
      </c>
      <c r="V47" s="68" t="str">
        <f ca="1">IF(AND([1]Hoja1!$X$2="Muy Baja",[1]Hoja1!$Z$2="Moderado"),CONCATENATE("R2C",[1]Hoja1!$N$2),"")</f>
        <v/>
      </c>
      <c r="W47" s="69" t="str">
        <f ca="1">IF(AND([1]Hoja1!$X$3="Muy Baja",[1]Hoja1!$Z$3="Moderado"),CONCATENATE("R2C",[1]Hoja1!$N$3),"")</f>
        <v/>
      </c>
      <c r="X47" s="69" t="str">
        <f>IF(AND([1]Hoja1!$X$4="Muy Baja",[1]Hoja1!$Z$4="Moderado"),CONCATENATE("R2C",[1]Hoja1!$N$4),"")</f>
        <v/>
      </c>
      <c r="Y47" s="69" t="str">
        <f>IF(AND([1]Hoja1!$X$5="Muy Baja",[1]Hoja1!$Z$5="Moderado"),CONCATENATE("R2C",[1]Hoja1!$N$5),"")</f>
        <v/>
      </c>
      <c r="Z47" s="69" t="str">
        <f>IF(AND([1]Hoja1!$X$6="Muy Baja",[1]Hoja1!$Z$6="Moderado"),CONCATENATE("R2C",[1]Hoja1!$N$6),"")</f>
        <v/>
      </c>
      <c r="AA47" s="70" t="str">
        <f>IF(AND([1]Hoja1!$X$7="Muy Baja",[1]Hoja1!$Z$7="Moderado"),CONCATENATE("R2C",[1]Hoja1!$N$7),"")</f>
        <v/>
      </c>
      <c r="AB47" s="52" t="str">
        <f ca="1">IF(AND([1]Hoja1!$X$2="Muy Baja",[1]Hoja1!$Z$2="Mayor"),CONCATENATE("R2C",[1]Hoja1!$N$2),"")</f>
        <v/>
      </c>
      <c r="AC47" s="53" t="str">
        <f ca="1">IF(AND([1]Hoja1!$X$3="Muy Baja",[1]Hoja1!$Z$3="Mayor"),CONCATENATE("R2C",[1]Hoja1!$N$3),"")</f>
        <v/>
      </c>
      <c r="AD47" s="53" t="str">
        <f>IF(AND([1]Hoja1!$X$4="Muy Baja",[1]Hoja1!$Z$4="Mayor"),CONCATENATE("R2C",[1]Hoja1!$N$4),"")</f>
        <v/>
      </c>
      <c r="AE47" s="53" t="str">
        <f>IF(AND([1]Hoja1!$X$5="Muy Baja",[1]Hoja1!$Z$5="Mayor"),CONCATENATE("R2C",[1]Hoja1!$N$5),"")</f>
        <v/>
      </c>
      <c r="AF47" s="53" t="str">
        <f>IF(AND([1]Hoja1!$X$6="Muy Baja",[1]Hoja1!$Z$6="Mayor"),CONCATENATE("R2C",[1]Hoja1!$N$6),"")</f>
        <v/>
      </c>
      <c r="AG47" s="54" t="str">
        <f>IF(AND([1]Hoja1!$X$7="Muy Baja",[1]Hoja1!$Z$7="Mayor"),CONCATENATE("R2C",[1]Hoja1!$N$7),"")</f>
        <v/>
      </c>
      <c r="AH47" s="55" t="str">
        <f ca="1">IF(AND([1]Hoja1!$X$2="Muy Baja",[1]Hoja1!$Z$2="Catastrófico"),CONCATENATE("R2C",[1]Hoja1!$N$2),"")</f>
        <v/>
      </c>
      <c r="AI47" s="56" t="str">
        <f ca="1">IF(AND([1]Hoja1!$X$3="Muy Baja",[1]Hoja1!$Z$3="Catastrófico"),CONCATENATE("R2C",[1]Hoja1!$N$3),"")</f>
        <v/>
      </c>
      <c r="AJ47" s="56" t="str">
        <f>IF(AND([1]Hoja1!$X$4="Muy Baja",[1]Hoja1!$Z$4="Catastrófico"),CONCATENATE("R2C",[1]Hoja1!$N$4),"")</f>
        <v/>
      </c>
      <c r="AK47" s="56" t="str">
        <f>IF(AND([1]Hoja1!$X$5="Muy Baja",[1]Hoja1!$Z$5="Catastrófico"),CONCATENATE("R2C",[1]Hoja1!$N$5),"")</f>
        <v/>
      </c>
      <c r="AL47" s="56" t="str">
        <f>IF(AND([1]Hoja1!$X$6="Muy Baja",[1]Hoja1!$Z$6="Catastrófico"),CONCATENATE("R2C",[1]Hoja1!$N$6),"")</f>
        <v/>
      </c>
      <c r="AM47" s="57" t="str">
        <f>IF(AND([1]Hoja1!$X$7="Muy Baja",[1]Hoja1!$Z$7="Catastrófico"),CONCATENATE("R2C",[1]Hoja1!$N$7),"")</f>
        <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x14ac:dyDescent="0.25">
      <c r="A48" s="84"/>
      <c r="B48" s="260"/>
      <c r="C48" s="260"/>
      <c r="D48" s="261"/>
      <c r="E48" s="359"/>
      <c r="F48" s="360"/>
      <c r="G48" s="360"/>
      <c r="H48" s="360"/>
      <c r="I48" s="377"/>
      <c r="J48" s="77" t="str">
        <f>IF(AND('Mapa final'!$AA$19="Muy Baja",'Mapa final'!$AC$19="Leve"),CONCATENATE("R3C",'Mapa final'!$Q$19),"")</f>
        <v/>
      </c>
      <c r="K48" s="78" t="str">
        <f>IF(AND('Mapa final'!$AA$20="Muy Baja",'Mapa final'!$AC$20="Leve"),CONCATENATE("R3C",'Mapa final'!$Q$20),"")</f>
        <v/>
      </c>
      <c r="L48" s="78" t="str">
        <f>IF(AND('Mapa final'!$AA$21="Muy Baja",'Mapa final'!$AC$21="Leve"),CONCATENATE("R3C",'Mapa final'!$Q$21),"")</f>
        <v/>
      </c>
      <c r="M48" s="78" t="str">
        <f>IF(AND('Mapa final'!$AA$22="Muy Baja",'Mapa final'!$AC$22="Leve"),CONCATENATE("R3C",'Mapa final'!$Q$22),"")</f>
        <v/>
      </c>
      <c r="N48" s="78" t="str">
        <f>IF(AND('Mapa final'!$AA$23="Muy Baja",'Mapa final'!$AC$23="Leve"),CONCATENATE("R3C",'Mapa final'!$Q$23),"")</f>
        <v/>
      </c>
      <c r="O48" s="79" t="str">
        <f>IF(AND('Mapa final'!$AA$24="Muy Baja",'Mapa final'!$AC$24="Leve"),CONCATENATE("R3C",'Mapa final'!$Q$24),"")</f>
        <v/>
      </c>
      <c r="P48" s="77" t="str">
        <f>IF(AND('Mapa final'!$AA$19="Muy Baja",'Mapa final'!$AC$19="Menor"),CONCATENATE("R3C",'Mapa final'!$Q$19),"")</f>
        <v/>
      </c>
      <c r="Q48" s="78" t="str">
        <f>IF(AND('Mapa final'!$AA$20="Muy Baja",'Mapa final'!$AC$20="Menor"),CONCATENATE("R3C",'Mapa final'!$Q$20),"")</f>
        <v/>
      </c>
      <c r="R48" s="78" t="str">
        <f>IF(AND('Mapa final'!$AA$21="Muy Baja",'Mapa final'!$AC$21="Menor"),CONCATENATE("R3C",'Mapa final'!$Q$21),"")</f>
        <v/>
      </c>
      <c r="S48" s="78" t="str">
        <f>IF(AND('Mapa final'!$AA$22="Muy Baja",'Mapa final'!$AC$22="Menor"),CONCATENATE("R3C",'Mapa final'!$Q$22),"")</f>
        <v/>
      </c>
      <c r="T48" s="78" t="str">
        <f>IF(AND('Mapa final'!$AA$23="Muy Baja",'Mapa final'!$AC$23="Menor"),CONCATENATE("R3C",'Mapa final'!$Q$23),"")</f>
        <v/>
      </c>
      <c r="U48" s="79" t="str">
        <f>IF(AND('Mapa final'!$AA$24="Muy Baja",'Mapa final'!$AC$24="Menor"),CONCATENATE("R3C",'Mapa final'!$Q$24),"")</f>
        <v/>
      </c>
      <c r="V48" s="68" t="str">
        <f>IF(AND('Mapa final'!$AA$19="Muy Baja",'Mapa final'!$AC$19="Moderado"),CONCATENATE("R3C",'Mapa final'!$Q$19),"")</f>
        <v/>
      </c>
      <c r="W48" s="69" t="str">
        <f>IF(AND('Mapa final'!$AA$20="Muy Baja",'Mapa final'!$AC$20="Moderado"),CONCATENATE("R3C",'Mapa final'!$Q$20),"")</f>
        <v/>
      </c>
      <c r="X48" s="69" t="str">
        <f>IF(AND('Mapa final'!$AA$21="Muy Baja",'Mapa final'!$AC$21="Moderado"),CONCATENATE("R3C",'Mapa final'!$Q$21),"")</f>
        <v/>
      </c>
      <c r="Y48" s="69" t="str">
        <f>IF(AND('Mapa final'!$AA$22="Muy Baja",'Mapa final'!$AC$22="Moderado"),CONCATENATE("R3C",'Mapa final'!$Q$22),"")</f>
        <v/>
      </c>
      <c r="Z48" s="69" t="str">
        <f>IF(AND('Mapa final'!$AA$23="Muy Baja",'Mapa final'!$AC$23="Moderado"),CONCATENATE("R3C",'Mapa final'!$Q$23),"")</f>
        <v/>
      </c>
      <c r="AA48" s="70" t="str">
        <f>IF(AND('Mapa final'!$AA$24="Muy Baja",'Mapa final'!$AC$24="Moderado"),CONCATENATE("R3C",'Mapa final'!$Q$24),"")</f>
        <v/>
      </c>
      <c r="AB48" s="52" t="str">
        <f>IF(AND('Mapa final'!$AA$19="Muy Baja",'Mapa final'!$AC$19="Mayor"),CONCATENATE("R3C",'Mapa final'!$Q$19),"")</f>
        <v/>
      </c>
      <c r="AC48" s="53" t="str">
        <f>IF(AND('Mapa final'!$AA$20="Muy Baja",'Mapa final'!$AC$20="Mayor"),CONCATENATE("R3C",'Mapa final'!$Q$20),"")</f>
        <v/>
      </c>
      <c r="AD48" s="53" t="str">
        <f>IF(AND('Mapa final'!$AA$21="Muy Baja",'Mapa final'!$AC$21="Mayor"),CONCATENATE("R3C",'Mapa final'!$Q$21),"")</f>
        <v/>
      </c>
      <c r="AE48" s="53" t="str">
        <f>IF(AND('Mapa final'!$AA$22="Muy Baja",'Mapa final'!$AC$22="Mayor"),CONCATENATE("R3C",'Mapa final'!$Q$22),"")</f>
        <v/>
      </c>
      <c r="AF48" s="53" t="str">
        <f>IF(AND('Mapa final'!$AA$23="Muy Baja",'Mapa final'!$AC$23="Mayor"),CONCATENATE("R3C",'Mapa final'!$Q$23),"")</f>
        <v/>
      </c>
      <c r="AG48" s="54" t="str">
        <f>IF(AND('Mapa final'!$AA$24="Muy Baja",'Mapa final'!$AC$24="Mayor"),CONCATENATE("R3C",'Mapa final'!$Q$24),"")</f>
        <v/>
      </c>
      <c r="AH48" s="55" t="str">
        <f>IF(AND('Mapa final'!$AA$19="Muy Baja",'Mapa final'!$AC$19="Catastrófico"),CONCATENATE("R3C",'Mapa final'!$Q$19),"")</f>
        <v/>
      </c>
      <c r="AI48" s="56" t="str">
        <f>IF(AND('Mapa final'!$AA$20="Muy Baja",'Mapa final'!$AC$20="Catastrófico"),CONCATENATE("R3C",'Mapa final'!$Q$20),"")</f>
        <v/>
      </c>
      <c r="AJ48" s="56" t="str">
        <f>IF(AND('Mapa final'!$AA$21="Muy Baja",'Mapa final'!$AC$21="Catastrófico"),CONCATENATE("R3C",'Mapa final'!$Q$21),"")</f>
        <v/>
      </c>
      <c r="AK48" s="56" t="str">
        <f>IF(AND('Mapa final'!$AA$22="Muy Baja",'Mapa final'!$AC$22="Catastrófico"),CONCATENATE("R3C",'Mapa final'!$Q$22),"")</f>
        <v/>
      </c>
      <c r="AL48" s="56" t="str">
        <f>IF(AND('Mapa final'!$AA$23="Muy Baja",'Mapa final'!$AC$23="Catastrófico"),CONCATENATE("R3C",'Mapa final'!$Q$23),"")</f>
        <v/>
      </c>
      <c r="AM48" s="57" t="str">
        <f>IF(AND('Mapa final'!$AA$24="Muy Baja",'Mapa final'!$AC$24="Catastrófico"),CONCATENATE("R3C",'Mapa final'!$Q$24),"")</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x14ac:dyDescent="0.25">
      <c r="A49" s="84"/>
      <c r="B49" s="260"/>
      <c r="C49" s="260"/>
      <c r="D49" s="261"/>
      <c r="E49" s="361"/>
      <c r="F49" s="362"/>
      <c r="G49" s="362"/>
      <c r="H49" s="362"/>
      <c r="I49" s="377"/>
      <c r="J49" s="77" t="str">
        <f>IF(AND('Mapa final'!$AA$25="Muy Baja",'Mapa final'!$AC$25="Leve"),CONCATENATE("R4C",'Mapa final'!$Q$25),"")</f>
        <v/>
      </c>
      <c r="K49" s="78" t="str">
        <f>IF(AND('Mapa final'!$AA$26="Muy Baja",'Mapa final'!$AC$26="Leve"),CONCATENATE("R4C",'Mapa final'!$Q$26),"")</f>
        <v/>
      </c>
      <c r="L49" s="78" t="str">
        <f>IF(AND('Mapa final'!$AA$27="Muy Baja",'Mapa final'!$AC$27="Leve"),CONCATENATE("R4C",'Mapa final'!$Q$27),"")</f>
        <v/>
      </c>
      <c r="M49" s="78" t="str">
        <f>IF(AND('Mapa final'!$AA$28="Muy Baja",'Mapa final'!$AC$28="Leve"),CONCATENATE("R4C",'Mapa final'!$Q$28),"")</f>
        <v/>
      </c>
      <c r="N49" s="78" t="str">
        <f>IF(AND('Mapa final'!$AA$29="Muy Baja",'Mapa final'!$AC$29="Leve"),CONCATENATE("R4C",'Mapa final'!$Q$29),"")</f>
        <v/>
      </c>
      <c r="O49" s="79" t="str">
        <f>IF(AND('Mapa final'!$AA$30="Muy Baja",'Mapa final'!$AC$30="Leve"),CONCATENATE("R4C",'Mapa final'!$Q$30),"")</f>
        <v/>
      </c>
      <c r="P49" s="77" t="str">
        <f>IF(AND('Mapa final'!$AA$25="Muy Baja",'Mapa final'!$AC$25="Menor"),CONCATENATE("R4C",'Mapa final'!$Q$25),"")</f>
        <v/>
      </c>
      <c r="Q49" s="78" t="str">
        <f>IF(AND('Mapa final'!$AA$26="Muy Baja",'Mapa final'!$AC$26="Menor"),CONCATENATE("R4C",'Mapa final'!$Q$26),"")</f>
        <v/>
      </c>
      <c r="R49" s="78" t="str">
        <f>IF(AND('Mapa final'!$AA$27="Muy Baja",'Mapa final'!$AC$27="Menor"),CONCATENATE("R4C",'Mapa final'!$Q$27),"")</f>
        <v/>
      </c>
      <c r="S49" s="78" t="str">
        <f>IF(AND('Mapa final'!$AA$28="Muy Baja",'Mapa final'!$AC$28="Menor"),CONCATENATE("R4C",'Mapa final'!$Q$28),"")</f>
        <v/>
      </c>
      <c r="T49" s="78" t="str">
        <f>IF(AND('Mapa final'!$AA$29="Muy Baja",'Mapa final'!$AC$29="Menor"),CONCATENATE("R4C",'Mapa final'!$Q$29),"")</f>
        <v/>
      </c>
      <c r="U49" s="79" t="str">
        <f>IF(AND('Mapa final'!$AA$30="Muy Baja",'Mapa final'!$AC$30="Menor"),CONCATENATE("R4C",'Mapa final'!$Q$30),"")</f>
        <v/>
      </c>
      <c r="V49" s="68" t="str">
        <f>IF(AND('Mapa final'!$AA$25="Muy Baja",'Mapa final'!$AC$25="Moderado"),CONCATENATE("R4C",'Mapa final'!$Q$25),"")</f>
        <v/>
      </c>
      <c r="W49" s="69" t="str">
        <f>IF(AND('Mapa final'!$AA$26="Muy Baja",'Mapa final'!$AC$26="Moderado"),CONCATENATE("R4C",'Mapa final'!$Q$26),"")</f>
        <v/>
      </c>
      <c r="X49" s="69" t="str">
        <f>IF(AND('Mapa final'!$AA$27="Muy Baja",'Mapa final'!$AC$27="Moderado"),CONCATENATE("R4C",'Mapa final'!$Q$27),"")</f>
        <v/>
      </c>
      <c r="Y49" s="69" t="str">
        <f>IF(AND('Mapa final'!$AA$28="Muy Baja",'Mapa final'!$AC$28="Moderado"),CONCATENATE("R4C",'Mapa final'!$Q$28),"")</f>
        <v/>
      </c>
      <c r="Z49" s="69" t="str">
        <f>IF(AND('Mapa final'!$AA$29="Muy Baja",'Mapa final'!$AC$29="Moderado"),CONCATENATE("R4C",'Mapa final'!$Q$29),"")</f>
        <v/>
      </c>
      <c r="AA49" s="70" t="str">
        <f>IF(AND('Mapa final'!$AA$30="Muy Baja",'Mapa final'!$AC$30="Moderado"),CONCATENATE("R4C",'Mapa final'!$Q$30),"")</f>
        <v/>
      </c>
      <c r="AB49" s="52" t="str">
        <f>IF(AND('Mapa final'!$AA$25="Muy Baja",'Mapa final'!$AC$25="Mayor"),CONCATENATE("R4C",'Mapa final'!$Q$25),"")</f>
        <v/>
      </c>
      <c r="AC49" s="53" t="str">
        <f>IF(AND('Mapa final'!$AA$26="Muy Baja",'Mapa final'!$AC$26="Mayor"),CONCATENATE("R4C",'Mapa final'!$Q$26),"")</f>
        <v/>
      </c>
      <c r="AD49" s="53" t="str">
        <f>IF(AND('Mapa final'!$AA$27="Muy Baja",'Mapa final'!$AC$27="Mayor"),CONCATENATE("R4C",'Mapa final'!$Q$27),"")</f>
        <v/>
      </c>
      <c r="AE49" s="53" t="str">
        <f>IF(AND('Mapa final'!$AA$28="Muy Baja",'Mapa final'!$AC$28="Mayor"),CONCATENATE("R4C",'Mapa final'!$Q$28),"")</f>
        <v/>
      </c>
      <c r="AF49" s="53" t="str">
        <f>IF(AND('Mapa final'!$AA$29="Muy Baja",'Mapa final'!$AC$29="Mayor"),CONCATENATE("R4C",'Mapa final'!$Q$29),"")</f>
        <v/>
      </c>
      <c r="AG49" s="54" t="str">
        <f>IF(AND('Mapa final'!$AA$30="Muy Baja",'Mapa final'!$AC$30="Mayor"),CONCATENATE("R4C",'Mapa final'!$Q$30),"")</f>
        <v/>
      </c>
      <c r="AH49" s="55" t="str">
        <f>IF(AND('Mapa final'!$AA$25="Muy Baja",'Mapa final'!$AC$25="Catastrófico"),CONCATENATE("R4C",'Mapa final'!$Q$25),"")</f>
        <v/>
      </c>
      <c r="AI49" s="56" t="str">
        <f>IF(AND('Mapa final'!$AA$26="Muy Baja",'Mapa final'!$AC$26="Catastrófico"),CONCATENATE("R4C",'Mapa final'!$Q$26),"")</f>
        <v/>
      </c>
      <c r="AJ49" s="56" t="str">
        <f>IF(AND('Mapa final'!$AA$27="Muy Baja",'Mapa final'!$AC$27="Catastrófico"),CONCATENATE("R4C",'Mapa final'!$Q$27),"")</f>
        <v/>
      </c>
      <c r="AK49" s="56" t="str">
        <f>IF(AND('Mapa final'!$AA$28="Muy Baja",'Mapa final'!$AC$28="Catastrófico"),CONCATENATE("R4C",'Mapa final'!$Q$28),"")</f>
        <v/>
      </c>
      <c r="AL49" s="56" t="str">
        <f>IF(AND('Mapa final'!$AA$29="Muy Baja",'Mapa final'!$AC$29="Catastrófico"),CONCATENATE("R4C",'Mapa final'!$Q$29),"")</f>
        <v/>
      </c>
      <c r="AM49" s="57" t="str">
        <f>IF(AND('Mapa final'!$AA$30="Muy Baja",'Mapa final'!$AC$30="Catastrófico"),CONCATENATE("R4C",'Mapa final'!$Q$30),"")</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x14ac:dyDescent="0.25">
      <c r="A50" s="84"/>
      <c r="B50" s="260"/>
      <c r="C50" s="260"/>
      <c r="D50" s="261"/>
      <c r="E50" s="361"/>
      <c r="F50" s="362"/>
      <c r="G50" s="362"/>
      <c r="H50" s="362"/>
      <c r="I50" s="377"/>
      <c r="J50" s="77" t="str">
        <f>IF(AND('Mapa final'!$AA$31="Muy Baja",'Mapa final'!$AC$31="Leve"),CONCATENATE("R5C",'Mapa final'!$Q$31),"")</f>
        <v/>
      </c>
      <c r="K50" s="78" t="str">
        <f>IF(AND('Mapa final'!$AA$32="Muy Baja",'Mapa final'!$AC$32="Leve"),CONCATENATE("R5C",'Mapa final'!$Q$32),"")</f>
        <v/>
      </c>
      <c r="L50" s="78" t="str">
        <f>IF(AND('Mapa final'!$AA$33="Muy Baja",'Mapa final'!$AC$33="Leve"),CONCATENATE("R5C",'Mapa final'!$Q$33),"")</f>
        <v/>
      </c>
      <c r="M50" s="78" t="str">
        <f>IF(AND('Mapa final'!$AA$34="Muy Baja",'Mapa final'!$AC$34="Leve"),CONCATENATE("R5C",'Mapa final'!$Q$34),"")</f>
        <v/>
      </c>
      <c r="N50" s="78" t="str">
        <f>IF(AND('Mapa final'!$AA$35="Muy Baja",'Mapa final'!$AC$35="Leve"),CONCATENATE("R5C",'Mapa final'!$Q$35),"")</f>
        <v/>
      </c>
      <c r="O50" s="79" t="str">
        <f>IF(AND('Mapa final'!$AA$36="Muy Baja",'Mapa final'!$AC$36="Leve"),CONCATENATE("R5C",'Mapa final'!$Q$36),"")</f>
        <v/>
      </c>
      <c r="P50" s="77" t="str">
        <f>IF(AND('Mapa final'!$AA$31="Muy Baja",'Mapa final'!$AC$31="Menor"),CONCATENATE("R5C",'Mapa final'!$Q$31),"")</f>
        <v/>
      </c>
      <c r="Q50" s="78" t="str">
        <f>IF(AND('Mapa final'!$AA$32="Muy Baja",'Mapa final'!$AC$32="Menor"),CONCATENATE("R5C",'Mapa final'!$Q$32),"")</f>
        <v/>
      </c>
      <c r="R50" s="78" t="str">
        <f>IF(AND('Mapa final'!$AA$33="Muy Baja",'Mapa final'!$AC$33="Menor"),CONCATENATE("R5C",'Mapa final'!$Q$33),"")</f>
        <v/>
      </c>
      <c r="S50" s="78" t="str">
        <f>IF(AND('Mapa final'!$AA$34="Muy Baja",'Mapa final'!$AC$34="Menor"),CONCATENATE("R5C",'Mapa final'!$Q$34),"")</f>
        <v/>
      </c>
      <c r="T50" s="78" t="str">
        <f>IF(AND('Mapa final'!$AA$35="Muy Baja",'Mapa final'!$AC$35="Menor"),CONCATENATE("R5C",'Mapa final'!$Q$35),"")</f>
        <v/>
      </c>
      <c r="U50" s="79" t="str">
        <f>IF(AND('Mapa final'!$AA$36="Muy Baja",'Mapa final'!$AC$36="Menor"),CONCATENATE("R5C",'Mapa final'!$Q$36),"")</f>
        <v/>
      </c>
      <c r="V50" s="68" t="str">
        <f>IF(AND('Mapa final'!$AA$31="Muy Baja",'Mapa final'!$AC$31="Moderado"),CONCATENATE("R5C",'Mapa final'!$Q$31),"")</f>
        <v/>
      </c>
      <c r="W50" s="69" t="str">
        <f>IF(AND('Mapa final'!$AA$32="Muy Baja",'Mapa final'!$AC$32="Moderado"),CONCATENATE("R5C",'Mapa final'!$Q$32),"")</f>
        <v/>
      </c>
      <c r="X50" s="69" t="str">
        <f>IF(AND('Mapa final'!$AA$33="Muy Baja",'Mapa final'!$AC$33="Moderado"),CONCATENATE("R5C",'Mapa final'!$Q$33),"")</f>
        <v/>
      </c>
      <c r="Y50" s="69" t="str">
        <f>IF(AND('Mapa final'!$AA$34="Muy Baja",'Mapa final'!$AC$34="Moderado"),CONCATENATE("R5C",'Mapa final'!$Q$34),"")</f>
        <v/>
      </c>
      <c r="Z50" s="69" t="str">
        <f>IF(AND('Mapa final'!$AA$35="Muy Baja",'Mapa final'!$AC$35="Moderado"),CONCATENATE("R5C",'Mapa final'!$Q$35),"")</f>
        <v/>
      </c>
      <c r="AA50" s="70" t="str">
        <f>IF(AND('Mapa final'!$AA$36="Muy Baja",'Mapa final'!$AC$36="Moderado"),CONCATENATE("R5C",'Mapa final'!$Q$36),"")</f>
        <v/>
      </c>
      <c r="AB50" s="52" t="str">
        <f>IF(AND('Mapa final'!$AA$31="Muy Baja",'Mapa final'!$AC$31="Mayor"),CONCATENATE("R5C",'Mapa final'!$Q$31),"")</f>
        <v/>
      </c>
      <c r="AC50" s="53" t="str">
        <f>IF(AND('Mapa final'!$AA$32="Muy Baja",'Mapa final'!$AC$32="Mayor"),CONCATENATE("R5C",'Mapa final'!$Q$32),"")</f>
        <v/>
      </c>
      <c r="AD50" s="58" t="str">
        <f>IF(AND('Mapa final'!$AA$33="Muy Baja",'Mapa final'!$AC$33="Mayor"),CONCATENATE("R5C",'Mapa final'!$Q$33),"")</f>
        <v/>
      </c>
      <c r="AE50" s="58" t="str">
        <f>IF(AND('Mapa final'!$AA$34="Muy Baja",'Mapa final'!$AC$34="Mayor"),CONCATENATE("R5C",'Mapa final'!$Q$34),"")</f>
        <v/>
      </c>
      <c r="AF50" s="58" t="str">
        <f>IF(AND('Mapa final'!$AA$35="Muy Baja",'Mapa final'!$AC$35="Mayor"),CONCATENATE("R5C",'Mapa final'!$Q$35),"")</f>
        <v/>
      </c>
      <c r="AG50" s="54" t="str">
        <f>IF(AND('Mapa final'!$AA$36="Muy Baja",'Mapa final'!$AC$36="Mayor"),CONCATENATE("R5C",'Mapa final'!$Q$36),"")</f>
        <v/>
      </c>
      <c r="AH50" s="55" t="str">
        <f>IF(AND('Mapa final'!$AA$31="Muy Baja",'Mapa final'!$AC$31="Catastrófico"),CONCATENATE("R5C",'Mapa final'!$Q$31),"")</f>
        <v/>
      </c>
      <c r="AI50" s="56" t="str">
        <f>IF(AND('Mapa final'!$AA$32="Muy Baja",'Mapa final'!$AC$32="Catastrófico"),CONCATENATE("R5C",'Mapa final'!$Q$32),"")</f>
        <v/>
      </c>
      <c r="AJ50" s="56" t="str">
        <f>IF(AND('Mapa final'!$AA$33="Muy Baja",'Mapa final'!$AC$33="Catastrófico"),CONCATENATE("R5C",'Mapa final'!$Q$33),"")</f>
        <v/>
      </c>
      <c r="AK50" s="56" t="str">
        <f>IF(AND('Mapa final'!$AA$34="Muy Baja",'Mapa final'!$AC$34="Catastrófico"),CONCATENATE("R5C",'Mapa final'!$Q$34),"")</f>
        <v/>
      </c>
      <c r="AL50" s="56" t="str">
        <f>IF(AND('Mapa final'!$AA$35="Muy Baja",'Mapa final'!$AC$35="Catastrófico"),CONCATENATE("R5C",'Mapa final'!$Q$35),"")</f>
        <v/>
      </c>
      <c r="AM50" s="57" t="str">
        <f>IF(AND('Mapa final'!$AA$36="Muy Baja",'Mapa final'!$AC$36="Catastrófico"),CONCATENATE("R5C",'Mapa final'!$Q$36),"")</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x14ac:dyDescent="0.25">
      <c r="A51" s="84"/>
      <c r="B51" s="260"/>
      <c r="C51" s="260"/>
      <c r="D51" s="261"/>
      <c r="E51" s="361"/>
      <c r="F51" s="362"/>
      <c r="G51" s="362"/>
      <c r="H51" s="362"/>
      <c r="I51" s="377"/>
      <c r="J51" s="77" t="str">
        <f>IF(AND('Mapa final'!$AA$37="Muy Baja",'Mapa final'!$AC$37="Leve"),CONCATENATE("R6C",'Mapa final'!$Q$37),"")</f>
        <v/>
      </c>
      <c r="K51" s="78" t="str">
        <f>IF(AND('Mapa final'!$AA$38="Muy Baja",'Mapa final'!$AC$38="Leve"),CONCATENATE("R6C",'Mapa final'!$Q$38),"")</f>
        <v/>
      </c>
      <c r="L51" s="78" t="str">
        <f>IF(AND('Mapa final'!$AA$39="Muy Baja",'Mapa final'!$AC$39="Leve"),CONCATENATE("R6C",'Mapa final'!$Q$39),"")</f>
        <v/>
      </c>
      <c r="M51" s="78" t="str">
        <f>IF(AND('Mapa final'!$AA$40="Muy Baja",'Mapa final'!$AC$40="Leve"),CONCATENATE("R6C",'Mapa final'!$Q$40),"")</f>
        <v/>
      </c>
      <c r="N51" s="78" t="str">
        <f>IF(AND('Mapa final'!$AA$41="Muy Baja",'Mapa final'!$AC$41="Leve"),CONCATENATE("R6C",'Mapa final'!$Q$41),"")</f>
        <v/>
      </c>
      <c r="O51" s="79" t="str">
        <f>IF(AND('Mapa final'!$AA$42="Muy Baja",'Mapa final'!$AC$42="Leve"),CONCATENATE("R6C",'Mapa final'!$Q$42),"")</f>
        <v/>
      </c>
      <c r="P51" s="77" t="str">
        <f>IF(AND('Mapa final'!$AA$37="Muy Baja",'Mapa final'!$AC$37="Menor"),CONCATENATE("R6C",'Mapa final'!$Q$37),"")</f>
        <v/>
      </c>
      <c r="Q51" s="78" t="str">
        <f>IF(AND('Mapa final'!$AA$38="Muy Baja",'Mapa final'!$AC$38="Menor"),CONCATENATE("R6C",'Mapa final'!$Q$38),"")</f>
        <v/>
      </c>
      <c r="R51" s="78" t="str">
        <f>IF(AND('Mapa final'!$AA$39="Muy Baja",'Mapa final'!$AC$39="Menor"),CONCATENATE("R6C",'Mapa final'!$Q$39),"")</f>
        <v/>
      </c>
      <c r="S51" s="78" t="str">
        <f>IF(AND('Mapa final'!$AA$40="Muy Baja",'Mapa final'!$AC$40="Menor"),CONCATENATE("R6C",'Mapa final'!$Q$40),"")</f>
        <v/>
      </c>
      <c r="T51" s="78" t="str">
        <f>IF(AND('Mapa final'!$AA$41="Muy Baja",'Mapa final'!$AC$41="Menor"),CONCATENATE("R6C",'Mapa final'!$Q$41),"")</f>
        <v/>
      </c>
      <c r="U51" s="79" t="str">
        <f>IF(AND('Mapa final'!$AA$42="Muy Baja",'Mapa final'!$AC$42="Menor"),CONCATENATE("R6C",'Mapa final'!$Q$42),"")</f>
        <v/>
      </c>
      <c r="V51" s="68" t="str">
        <f>IF(AND('Mapa final'!$AA$37="Muy Baja",'Mapa final'!$AC$37="Moderado"),CONCATENATE("R6C",'Mapa final'!$Q$37),"")</f>
        <v/>
      </c>
      <c r="W51" s="69" t="str">
        <f>IF(AND('Mapa final'!$AA$38="Muy Baja",'Mapa final'!$AC$38="Moderado"),CONCATENATE("R6C",'Mapa final'!$Q$38),"")</f>
        <v/>
      </c>
      <c r="X51" s="69" t="str">
        <f>IF(AND('Mapa final'!$AA$39="Muy Baja",'Mapa final'!$AC$39="Moderado"),CONCATENATE("R6C",'Mapa final'!$Q$39),"")</f>
        <v/>
      </c>
      <c r="Y51" s="69" t="str">
        <f>IF(AND('Mapa final'!$AA$40="Muy Baja",'Mapa final'!$AC$40="Moderado"),CONCATENATE("R6C",'Mapa final'!$Q$40),"")</f>
        <v/>
      </c>
      <c r="Z51" s="69" t="str">
        <f>IF(AND('Mapa final'!$AA$41="Muy Baja",'Mapa final'!$AC$41="Moderado"),CONCATENATE("R6C",'Mapa final'!$Q$41),"")</f>
        <v/>
      </c>
      <c r="AA51" s="70" t="str">
        <f>IF(AND('Mapa final'!$AA$42="Muy Baja",'Mapa final'!$AC$42="Moderado"),CONCATENATE("R6C",'Mapa final'!$Q$42),"")</f>
        <v/>
      </c>
      <c r="AB51" s="52" t="str">
        <f>IF(AND('Mapa final'!$AA$37="Muy Baja",'Mapa final'!$AC$37="Mayor"),CONCATENATE("R6C",'Mapa final'!$Q$37),"")</f>
        <v/>
      </c>
      <c r="AC51" s="53" t="str">
        <f>IF(AND('Mapa final'!$AA$38="Muy Baja",'Mapa final'!$AC$38="Mayor"),CONCATENATE("R6C",'Mapa final'!$Q$38),"")</f>
        <v/>
      </c>
      <c r="AD51" s="58" t="str">
        <f>IF(AND('Mapa final'!$AA$39="Muy Baja",'Mapa final'!$AC$39="Mayor"),CONCATENATE("R6C",'Mapa final'!$Q$39),"")</f>
        <v/>
      </c>
      <c r="AE51" s="58" t="str">
        <f>IF(AND('Mapa final'!$AA$40="Muy Baja",'Mapa final'!$AC$40="Mayor"),CONCATENATE("R6C",'Mapa final'!$Q$40),"")</f>
        <v/>
      </c>
      <c r="AF51" s="58" t="str">
        <f>IF(AND('Mapa final'!$AA$41="Muy Baja",'Mapa final'!$AC$41="Mayor"),CONCATENATE("R6C",'Mapa final'!$Q$41),"")</f>
        <v/>
      </c>
      <c r="AG51" s="54" t="str">
        <f>IF(AND('Mapa final'!$AA$42="Muy Baja",'Mapa final'!$AC$42="Mayor"),CONCATENATE("R6C",'Mapa final'!$Q$42),"")</f>
        <v/>
      </c>
      <c r="AH51" s="55" t="str">
        <f>IF(AND('Mapa final'!$AA$37="Muy Baja",'Mapa final'!$AC$37="Catastrófico"),CONCATENATE("R6C",'Mapa final'!$Q$37),"")</f>
        <v/>
      </c>
      <c r="AI51" s="56" t="str">
        <f>IF(AND('Mapa final'!$AA$38="Muy Baja",'Mapa final'!$AC$38="Catastrófico"),CONCATENATE("R6C",'Mapa final'!$Q$38),"")</f>
        <v/>
      </c>
      <c r="AJ51" s="56" t="str">
        <f>IF(AND('Mapa final'!$AA$39="Muy Baja",'Mapa final'!$AC$39="Catastrófico"),CONCATENATE("R6C",'Mapa final'!$Q$39),"")</f>
        <v/>
      </c>
      <c r="AK51" s="56" t="str">
        <f>IF(AND('Mapa final'!$AA$40="Muy Baja",'Mapa final'!$AC$40="Catastrófico"),CONCATENATE("R6C",'Mapa final'!$Q$40),"")</f>
        <v/>
      </c>
      <c r="AL51" s="56" t="str">
        <f>IF(AND('Mapa final'!$AA$41="Muy Baja",'Mapa final'!$AC$41="Catastrófico"),CONCATENATE("R6C",'Mapa final'!$Q$41),"")</f>
        <v/>
      </c>
      <c r="AM51" s="57" t="str">
        <f>IF(AND('Mapa final'!$AA$42="Muy Baja",'Mapa final'!$AC$42="Catastrófico"),CONCATENATE("R6C",'Mapa final'!$Q$42),"")</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x14ac:dyDescent="0.25">
      <c r="A52" s="84"/>
      <c r="B52" s="260"/>
      <c r="C52" s="260"/>
      <c r="D52" s="261"/>
      <c r="E52" s="361"/>
      <c r="F52" s="362"/>
      <c r="G52" s="362"/>
      <c r="H52" s="362"/>
      <c r="I52" s="377"/>
      <c r="J52" s="77" t="str">
        <f>IF(AND('Mapa final'!$AA$43="Muy Baja",'Mapa final'!$AC$43="Leve"),CONCATENATE("R7C",'Mapa final'!$Q$43),"")</f>
        <v/>
      </c>
      <c r="K52" s="78" t="str">
        <f>IF(AND('Mapa final'!$AA$44="Muy Baja",'Mapa final'!$AC$44="Leve"),CONCATENATE("R7C",'Mapa final'!$Q$44),"")</f>
        <v/>
      </c>
      <c r="L52" s="78" t="str">
        <f>IF(AND('Mapa final'!$AA$45="Muy Baja",'Mapa final'!$AC$45="Leve"),CONCATENATE("R7C",'Mapa final'!$Q$45),"")</f>
        <v/>
      </c>
      <c r="M52" s="78" t="str">
        <f>IF(AND('Mapa final'!$AA$46="Muy Baja",'Mapa final'!$AC$46="Leve"),CONCATENATE("R7C",'Mapa final'!$Q$46),"")</f>
        <v/>
      </c>
      <c r="N52" s="78" t="str">
        <f>IF(AND('Mapa final'!$AA$47="Muy Baja",'Mapa final'!$AC$47="Leve"),CONCATENATE("R7C",'Mapa final'!$Q$47),"")</f>
        <v/>
      </c>
      <c r="O52" s="79" t="str">
        <f>IF(AND('Mapa final'!$AA$48="Muy Baja",'Mapa final'!$AC$48="Leve"),CONCATENATE("R7C",'Mapa final'!$Q$48),"")</f>
        <v/>
      </c>
      <c r="P52" s="77" t="str">
        <f>IF(AND('Mapa final'!$AA$43="Muy Baja",'Mapa final'!$AC$43="Menor"),CONCATENATE("R7C",'Mapa final'!$Q$43),"")</f>
        <v/>
      </c>
      <c r="Q52" s="78" t="str">
        <f>IF(AND('Mapa final'!$AA$44="Muy Baja",'Mapa final'!$AC$44="Menor"),CONCATENATE("R7C",'Mapa final'!$Q$44),"")</f>
        <v/>
      </c>
      <c r="R52" s="78" t="str">
        <f>IF(AND('Mapa final'!$AA$45="Muy Baja",'Mapa final'!$AC$45="Menor"),CONCATENATE("R7C",'Mapa final'!$Q$45),"")</f>
        <v/>
      </c>
      <c r="S52" s="78" t="str">
        <f>IF(AND('Mapa final'!$AA$46="Muy Baja",'Mapa final'!$AC$46="Menor"),CONCATENATE("R7C",'Mapa final'!$Q$46),"")</f>
        <v/>
      </c>
      <c r="T52" s="78" t="str">
        <f>IF(AND('Mapa final'!$AA$47="Muy Baja",'Mapa final'!$AC$47="Menor"),CONCATENATE("R7C",'Mapa final'!$Q$47),"")</f>
        <v/>
      </c>
      <c r="U52" s="79" t="str">
        <f>IF(AND('Mapa final'!$AA$48="Muy Baja",'Mapa final'!$AC$48="Menor"),CONCATENATE("R7C",'Mapa final'!$Q$48),"")</f>
        <v/>
      </c>
      <c r="V52" s="68" t="str">
        <f>IF(AND('Mapa final'!$AA$43="Muy Baja",'Mapa final'!$AC$43="Moderado"),CONCATENATE("R7C",'Mapa final'!$Q$43),"")</f>
        <v/>
      </c>
      <c r="W52" s="69" t="str">
        <f>IF(AND('Mapa final'!$AA$44="Muy Baja",'Mapa final'!$AC$44="Moderado"),CONCATENATE("R7C",'Mapa final'!$Q$44),"")</f>
        <v/>
      </c>
      <c r="X52" s="69" t="str">
        <f>IF(AND('Mapa final'!$AA$45="Muy Baja",'Mapa final'!$AC$45="Moderado"),CONCATENATE("R7C",'Mapa final'!$Q$45),"")</f>
        <v/>
      </c>
      <c r="Y52" s="69" t="str">
        <f>IF(AND('Mapa final'!$AA$46="Muy Baja",'Mapa final'!$AC$46="Moderado"),CONCATENATE("R7C",'Mapa final'!$Q$46),"")</f>
        <v/>
      </c>
      <c r="Z52" s="69" t="str">
        <f>IF(AND('Mapa final'!$AA$47="Muy Baja",'Mapa final'!$AC$47="Moderado"),CONCATENATE("R7C",'Mapa final'!$Q$47),"")</f>
        <v/>
      </c>
      <c r="AA52" s="70" t="str">
        <f>IF(AND('Mapa final'!$AA$48="Muy Baja",'Mapa final'!$AC$48="Moderado"),CONCATENATE("R7C",'Mapa final'!$Q$48),"")</f>
        <v/>
      </c>
      <c r="AB52" s="52" t="str">
        <f>IF(AND('Mapa final'!$AA$43="Muy Baja",'Mapa final'!$AC$43="Mayor"),CONCATENATE("R7C",'Mapa final'!$Q$43),"")</f>
        <v/>
      </c>
      <c r="AC52" s="53" t="str">
        <f>IF(AND('Mapa final'!$AA$44="Muy Baja",'Mapa final'!$AC$44="Mayor"),CONCATENATE("R7C",'Mapa final'!$Q$44),"")</f>
        <v/>
      </c>
      <c r="AD52" s="58" t="str">
        <f>IF(AND('Mapa final'!$AA$45="Muy Baja",'Mapa final'!$AC$45="Mayor"),CONCATENATE("R7C",'Mapa final'!$Q$45),"")</f>
        <v/>
      </c>
      <c r="AE52" s="58" t="str">
        <f>IF(AND('Mapa final'!$AA$46="Muy Baja",'Mapa final'!$AC$46="Mayor"),CONCATENATE("R7C",'Mapa final'!$Q$46),"")</f>
        <v/>
      </c>
      <c r="AF52" s="58" t="str">
        <f>IF(AND('Mapa final'!$AA$47="Muy Baja",'Mapa final'!$AC$47="Mayor"),CONCATENATE("R7C",'Mapa final'!$Q$47),"")</f>
        <v/>
      </c>
      <c r="AG52" s="54" t="str">
        <f>IF(AND('Mapa final'!$AA$48="Muy Baja",'Mapa final'!$AC$48="Mayor"),CONCATENATE("R7C",'Mapa final'!$Q$48),"")</f>
        <v/>
      </c>
      <c r="AH52" s="55" t="str">
        <f>IF(AND('Mapa final'!$AA$43="Muy Baja",'Mapa final'!$AC$43="Catastrófico"),CONCATENATE("R7C",'Mapa final'!$Q$43),"")</f>
        <v/>
      </c>
      <c r="AI52" s="56" t="str">
        <f>IF(AND('Mapa final'!$AA$44="Muy Baja",'Mapa final'!$AC$44="Catastrófico"),CONCATENATE("R7C",'Mapa final'!$Q$44),"")</f>
        <v/>
      </c>
      <c r="AJ52" s="56" t="str">
        <f>IF(AND('Mapa final'!$AA$45="Muy Baja",'Mapa final'!$AC$45="Catastrófico"),CONCATENATE("R7C",'Mapa final'!$Q$45),"")</f>
        <v/>
      </c>
      <c r="AK52" s="56" t="str">
        <f>IF(AND('Mapa final'!$AA$46="Muy Baja",'Mapa final'!$AC$46="Catastrófico"),CONCATENATE("R7C",'Mapa final'!$Q$46),"")</f>
        <v/>
      </c>
      <c r="AL52" s="56" t="str">
        <f>IF(AND('Mapa final'!$AA$47="Muy Baja",'Mapa final'!$AC$47="Catastrófico"),CONCATENATE("R7C",'Mapa final'!$Q$47),"")</f>
        <v/>
      </c>
      <c r="AM52" s="57" t="str">
        <f>IF(AND('Mapa final'!$AA$48="Muy Baja",'Mapa final'!$AC$48="Catastrófico"),CONCATENATE("R7C",'Mapa final'!$Q$48),"")</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x14ac:dyDescent="0.25">
      <c r="A53" s="84"/>
      <c r="B53" s="260"/>
      <c r="C53" s="260"/>
      <c r="D53" s="261"/>
      <c r="E53" s="361"/>
      <c r="F53" s="362"/>
      <c r="G53" s="362"/>
      <c r="H53" s="362"/>
      <c r="I53" s="377"/>
      <c r="J53" s="77" t="str">
        <f>IF(AND('Mapa final'!$AA$49="Muy Baja",'Mapa final'!$AC$49="Leve"),CONCATENATE("R8C",'Mapa final'!$Q$49),"")</f>
        <v/>
      </c>
      <c r="K53" s="78" t="str">
        <f>IF(AND('Mapa final'!$AA$50="Muy Baja",'Mapa final'!$AC$50="Leve"),CONCATENATE("R8C",'Mapa final'!$Q$50),"")</f>
        <v/>
      </c>
      <c r="L53" s="78" t="str">
        <f>IF(AND('Mapa final'!$AA$51="Muy Baja",'Mapa final'!$AC$51="Leve"),CONCATENATE("R8C",'Mapa final'!$Q$51),"")</f>
        <v/>
      </c>
      <c r="M53" s="78" t="str">
        <f>IF(AND('Mapa final'!$AA$52="Muy Baja",'Mapa final'!$AC$52="Leve"),CONCATENATE("R8C",'Mapa final'!$Q$52),"")</f>
        <v/>
      </c>
      <c r="N53" s="78" t="str">
        <f>IF(AND('Mapa final'!$AA$53="Muy Baja",'Mapa final'!$AC$53="Leve"),CONCATENATE("R8C",'Mapa final'!$Q$53),"")</f>
        <v/>
      </c>
      <c r="O53" s="79" t="str">
        <f>IF(AND('Mapa final'!$AA$54="Muy Baja",'Mapa final'!$AC$54="Leve"),CONCATENATE("R8C",'Mapa final'!$Q$54),"")</f>
        <v/>
      </c>
      <c r="P53" s="77" t="str">
        <f>IF(AND('Mapa final'!$AA$49="Muy Baja",'Mapa final'!$AC$49="Menor"),CONCATENATE("R8C",'Mapa final'!$Q$49),"")</f>
        <v/>
      </c>
      <c r="Q53" s="78" t="str">
        <f>IF(AND('Mapa final'!$AA$50="Muy Baja",'Mapa final'!$AC$50="Menor"),CONCATENATE("R8C",'Mapa final'!$Q$50),"")</f>
        <v/>
      </c>
      <c r="R53" s="78" t="str">
        <f>IF(AND('Mapa final'!$AA$51="Muy Baja",'Mapa final'!$AC$51="Menor"),CONCATENATE("R8C",'Mapa final'!$Q$51),"")</f>
        <v/>
      </c>
      <c r="S53" s="78" t="str">
        <f>IF(AND('Mapa final'!$AA$52="Muy Baja",'Mapa final'!$AC$52="Menor"),CONCATENATE("R8C",'Mapa final'!$Q$52),"")</f>
        <v/>
      </c>
      <c r="T53" s="78" t="str">
        <f>IF(AND('Mapa final'!$AA$53="Muy Baja",'Mapa final'!$AC$53="Menor"),CONCATENATE("R8C",'Mapa final'!$Q$53),"")</f>
        <v/>
      </c>
      <c r="U53" s="79" t="str">
        <f>IF(AND('Mapa final'!$AA$54="Muy Baja",'Mapa final'!$AC$54="Menor"),CONCATENATE("R8C",'Mapa final'!$Q$54),"")</f>
        <v/>
      </c>
      <c r="V53" s="68" t="str">
        <f>IF(AND('Mapa final'!$AA$49="Muy Baja",'Mapa final'!$AC$49="Moderado"),CONCATENATE("R8C",'Mapa final'!$Q$49),"")</f>
        <v/>
      </c>
      <c r="W53" s="69" t="str">
        <f>IF(AND('Mapa final'!$AA$50="Muy Baja",'Mapa final'!$AC$50="Moderado"),CONCATENATE("R8C",'Mapa final'!$Q$50),"")</f>
        <v/>
      </c>
      <c r="X53" s="69" t="str">
        <f>IF(AND('Mapa final'!$AA$51="Muy Baja",'Mapa final'!$AC$51="Moderado"),CONCATENATE("R8C",'Mapa final'!$Q$51),"")</f>
        <v/>
      </c>
      <c r="Y53" s="69" t="str">
        <f>IF(AND('Mapa final'!$AA$52="Muy Baja",'Mapa final'!$AC$52="Moderado"),CONCATENATE("R8C",'Mapa final'!$Q$52),"")</f>
        <v/>
      </c>
      <c r="Z53" s="69" t="str">
        <f>IF(AND('Mapa final'!$AA$53="Muy Baja",'Mapa final'!$AC$53="Moderado"),CONCATENATE("R8C",'Mapa final'!$Q$53),"")</f>
        <v/>
      </c>
      <c r="AA53" s="70" t="str">
        <f>IF(AND('Mapa final'!$AA$54="Muy Baja",'Mapa final'!$AC$54="Moderado"),CONCATENATE("R8C",'Mapa final'!$Q$54),"")</f>
        <v/>
      </c>
      <c r="AB53" s="52" t="str">
        <f>IF(AND('Mapa final'!$AA$49="Muy Baja",'Mapa final'!$AC$49="Mayor"),CONCATENATE("R8C",'Mapa final'!$Q$49),"")</f>
        <v/>
      </c>
      <c r="AC53" s="53" t="str">
        <f>IF(AND('Mapa final'!$AA$50="Muy Baja",'Mapa final'!$AC$50="Mayor"),CONCATENATE("R8C",'Mapa final'!$Q$50),"")</f>
        <v/>
      </c>
      <c r="AD53" s="58" t="str">
        <f>IF(AND('Mapa final'!$AA$51="Muy Baja",'Mapa final'!$AC$51="Mayor"),CONCATENATE("R8C",'Mapa final'!$Q$51),"")</f>
        <v/>
      </c>
      <c r="AE53" s="58" t="str">
        <f>IF(AND('Mapa final'!$AA$52="Muy Baja",'Mapa final'!$AC$52="Mayor"),CONCATENATE("R8C",'Mapa final'!$Q$52),"")</f>
        <v/>
      </c>
      <c r="AF53" s="58" t="str">
        <f>IF(AND('Mapa final'!$AA$53="Muy Baja",'Mapa final'!$AC$53="Mayor"),CONCATENATE("R8C",'Mapa final'!$Q$53),"")</f>
        <v/>
      </c>
      <c r="AG53" s="54" t="str">
        <f>IF(AND('Mapa final'!$AA$54="Muy Baja",'Mapa final'!$AC$54="Mayor"),CONCATENATE("R8C",'Mapa final'!$Q$54),"")</f>
        <v/>
      </c>
      <c r="AH53" s="55" t="str">
        <f>IF(AND('Mapa final'!$AA$49="Muy Baja",'Mapa final'!$AC$49="Catastrófico"),CONCATENATE("R8C",'Mapa final'!$Q$49),"")</f>
        <v/>
      </c>
      <c r="AI53" s="56" t="str">
        <f>IF(AND('Mapa final'!$AA$50="Muy Baja",'Mapa final'!$AC$50="Catastrófico"),CONCATENATE("R8C",'Mapa final'!$Q$50),"")</f>
        <v/>
      </c>
      <c r="AJ53" s="56" t="str">
        <f>IF(AND('Mapa final'!$AA$51="Muy Baja",'Mapa final'!$AC$51="Catastrófico"),CONCATENATE("R8C",'Mapa final'!$Q$51),"")</f>
        <v/>
      </c>
      <c r="AK53" s="56" t="str">
        <f>IF(AND('Mapa final'!$AA$52="Muy Baja",'Mapa final'!$AC$52="Catastrófico"),CONCATENATE("R8C",'Mapa final'!$Q$52),"")</f>
        <v/>
      </c>
      <c r="AL53" s="56" t="str">
        <f>IF(AND('Mapa final'!$AA$53="Muy Baja",'Mapa final'!$AC$53="Catastrófico"),CONCATENATE("R8C",'Mapa final'!$Q$53),"")</f>
        <v/>
      </c>
      <c r="AM53" s="57" t="str">
        <f>IF(AND('Mapa final'!$AA$54="Muy Baja",'Mapa final'!$AC$54="Catastrófico"),CONCATENATE("R8C",'Mapa final'!$Q$54),"")</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x14ac:dyDescent="0.25">
      <c r="A54" s="84"/>
      <c r="B54" s="260"/>
      <c r="C54" s="260"/>
      <c r="D54" s="261"/>
      <c r="E54" s="361"/>
      <c r="F54" s="362"/>
      <c r="G54" s="362"/>
      <c r="H54" s="362"/>
      <c r="I54" s="377"/>
      <c r="J54" s="77" t="str">
        <f>IF(AND('Mapa final'!$AA$55="Muy Baja",'Mapa final'!$AC$55="Leve"),CONCATENATE("R9C",'Mapa final'!$Q$55),"")</f>
        <v/>
      </c>
      <c r="K54" s="78" t="str">
        <f>IF(AND('Mapa final'!$AA$56="Muy Baja",'Mapa final'!$AC$56="Leve"),CONCATENATE("R9C",'Mapa final'!$Q$56),"")</f>
        <v/>
      </c>
      <c r="L54" s="78" t="str">
        <f>IF(AND('Mapa final'!$AA$57="Muy Baja",'Mapa final'!$AC$57="Leve"),CONCATENATE("R9C",'Mapa final'!$Q$57),"")</f>
        <v/>
      </c>
      <c r="M54" s="78" t="str">
        <f>IF(AND('Mapa final'!$AA$58="Muy Baja",'Mapa final'!$AC$58="Leve"),CONCATENATE("R9C",'Mapa final'!$Q$58),"")</f>
        <v/>
      </c>
      <c r="N54" s="78" t="str">
        <f>IF(AND('Mapa final'!$AA$59="Muy Baja",'Mapa final'!$AC$59="Leve"),CONCATENATE("R9C",'Mapa final'!$Q$59),"")</f>
        <v/>
      </c>
      <c r="O54" s="79" t="str">
        <f>IF(AND('Mapa final'!$AA$60="Muy Baja",'Mapa final'!$AC$60="Leve"),CONCATENATE("R9C",'Mapa final'!$Q$60),"")</f>
        <v/>
      </c>
      <c r="P54" s="77" t="str">
        <f>IF(AND('Mapa final'!$AA$55="Muy Baja",'Mapa final'!$AC$55="Menor"),CONCATENATE("R9C",'Mapa final'!$Q$55),"")</f>
        <v/>
      </c>
      <c r="Q54" s="78" t="str">
        <f>IF(AND('Mapa final'!$AA$56="Muy Baja",'Mapa final'!$AC$56="Menor"),CONCATENATE("R9C",'Mapa final'!$Q$56),"")</f>
        <v/>
      </c>
      <c r="R54" s="78" t="str">
        <f>IF(AND('Mapa final'!$AA$57="Muy Baja",'Mapa final'!$AC$57="Menor"),CONCATENATE("R9C",'Mapa final'!$Q$57),"")</f>
        <v/>
      </c>
      <c r="S54" s="78" t="str">
        <f>IF(AND('Mapa final'!$AA$58="Muy Baja",'Mapa final'!$AC$58="Menor"),CONCATENATE("R9C",'Mapa final'!$Q$58),"")</f>
        <v/>
      </c>
      <c r="T54" s="78" t="str">
        <f>IF(AND('Mapa final'!$AA$59="Muy Baja",'Mapa final'!$AC$59="Menor"),CONCATENATE("R9C",'Mapa final'!$Q$59),"")</f>
        <v/>
      </c>
      <c r="U54" s="79" t="str">
        <f>IF(AND('Mapa final'!$AA$60="Muy Baja",'Mapa final'!$AC$60="Menor"),CONCATENATE("R9C",'Mapa final'!$Q$60),"")</f>
        <v/>
      </c>
      <c r="V54" s="68" t="str">
        <f>IF(AND('Mapa final'!$AA$55="Muy Baja",'Mapa final'!$AC$55="Moderado"),CONCATENATE("R9C",'Mapa final'!$Q$55),"")</f>
        <v/>
      </c>
      <c r="W54" s="69" t="str">
        <f>IF(AND('Mapa final'!$AA$56="Muy Baja",'Mapa final'!$AC$56="Moderado"),CONCATENATE("R9C",'Mapa final'!$Q$56),"")</f>
        <v/>
      </c>
      <c r="X54" s="69" t="str">
        <f>IF(AND('Mapa final'!$AA$57="Muy Baja",'Mapa final'!$AC$57="Moderado"),CONCATENATE("R9C",'Mapa final'!$Q$57),"")</f>
        <v/>
      </c>
      <c r="Y54" s="69" t="str">
        <f>IF(AND('Mapa final'!$AA$58="Muy Baja",'Mapa final'!$AC$58="Moderado"),CONCATENATE("R9C",'Mapa final'!$Q$58),"")</f>
        <v/>
      </c>
      <c r="Z54" s="69" t="str">
        <f>IF(AND('Mapa final'!$AA$59="Muy Baja",'Mapa final'!$AC$59="Moderado"),CONCATENATE("R9C",'Mapa final'!$Q$59),"")</f>
        <v/>
      </c>
      <c r="AA54" s="70" t="str">
        <f>IF(AND('Mapa final'!$AA$60="Muy Baja",'Mapa final'!$AC$60="Moderado"),CONCATENATE("R9C",'Mapa final'!$Q$60),"")</f>
        <v/>
      </c>
      <c r="AB54" s="52" t="str">
        <f>IF(AND('Mapa final'!$AA$55="Muy Baja",'Mapa final'!$AC$55="Mayor"),CONCATENATE("R9C",'Mapa final'!$Q$55),"")</f>
        <v/>
      </c>
      <c r="AC54" s="53" t="str">
        <f>IF(AND('Mapa final'!$AA$56="Muy Baja",'Mapa final'!$AC$56="Mayor"),CONCATENATE("R9C",'Mapa final'!$Q$56),"")</f>
        <v/>
      </c>
      <c r="AD54" s="58" t="str">
        <f>IF(AND('Mapa final'!$AA$57="Muy Baja",'Mapa final'!$AC$57="Mayor"),CONCATENATE("R9C",'Mapa final'!$Q$57),"")</f>
        <v/>
      </c>
      <c r="AE54" s="58" t="str">
        <f>IF(AND('Mapa final'!$AA$58="Muy Baja",'Mapa final'!$AC$58="Mayor"),CONCATENATE("R9C",'Mapa final'!$Q$58),"")</f>
        <v/>
      </c>
      <c r="AF54" s="58" t="str">
        <f>IF(AND('Mapa final'!$AA$59="Muy Baja",'Mapa final'!$AC$59="Mayor"),CONCATENATE("R9C",'Mapa final'!$Q$59),"")</f>
        <v/>
      </c>
      <c r="AG54" s="54" t="str">
        <f>IF(AND('Mapa final'!$AA$60="Muy Baja",'Mapa final'!$AC$60="Mayor"),CONCATENATE("R9C",'Mapa final'!$Q$60),"")</f>
        <v/>
      </c>
      <c r="AH54" s="55" t="str">
        <f>IF(AND('Mapa final'!$AA$55="Muy Baja",'Mapa final'!$AC$55="Catastrófico"),CONCATENATE("R9C",'Mapa final'!$Q$55),"")</f>
        <v/>
      </c>
      <c r="AI54" s="56" t="str">
        <f>IF(AND('Mapa final'!$AA$56="Muy Baja",'Mapa final'!$AC$56="Catastrófico"),CONCATENATE("R9C",'Mapa final'!$Q$56),"")</f>
        <v/>
      </c>
      <c r="AJ54" s="56" t="str">
        <f>IF(AND('Mapa final'!$AA$57="Muy Baja",'Mapa final'!$AC$57="Catastrófico"),CONCATENATE("R9C",'Mapa final'!$Q$57),"")</f>
        <v/>
      </c>
      <c r="AK54" s="56" t="str">
        <f>IF(AND('Mapa final'!$AA$58="Muy Baja",'Mapa final'!$AC$58="Catastrófico"),CONCATENATE("R9C",'Mapa final'!$Q$58),"")</f>
        <v/>
      </c>
      <c r="AL54" s="56" t="str">
        <f>IF(AND('Mapa final'!$AA$59="Muy Baja",'Mapa final'!$AC$59="Catastrófico"),CONCATENATE("R9C",'Mapa final'!$Q$59),"")</f>
        <v/>
      </c>
      <c r="AM54" s="57" t="str">
        <f>IF(AND('Mapa final'!$AA$60="Muy Baja",'Mapa final'!$AC$60="Catastrófico"),CONCATENATE("R9C",'Mapa final'!$Q$60),"")</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x14ac:dyDescent="0.3">
      <c r="A55" s="84"/>
      <c r="B55" s="260"/>
      <c r="C55" s="260"/>
      <c r="D55" s="261"/>
      <c r="E55" s="363"/>
      <c r="F55" s="364"/>
      <c r="G55" s="364"/>
      <c r="H55" s="364"/>
      <c r="I55" s="378"/>
      <c r="J55" s="80" t="str">
        <f>IF(AND('Mapa final'!$AA$61="Muy Baja",'Mapa final'!$AC$61="Leve"),CONCATENATE("R10C",'Mapa final'!$Q$61),"")</f>
        <v/>
      </c>
      <c r="K55" s="81" t="str">
        <f>IF(AND('Mapa final'!$AA$62="Muy Baja",'Mapa final'!$AC$62="Leve"),CONCATENATE("R10C",'Mapa final'!$Q$62),"")</f>
        <v/>
      </c>
      <c r="L55" s="81" t="str">
        <f>IF(AND('Mapa final'!$AA$63="Muy Baja",'Mapa final'!$AC$63="Leve"),CONCATENATE("R10C",'Mapa final'!$Q$63),"")</f>
        <v/>
      </c>
      <c r="M55" s="81" t="str">
        <f>IF(AND('Mapa final'!$AA$64="Muy Baja",'Mapa final'!$AC$64="Leve"),CONCATENATE("R10C",'Mapa final'!$Q$64),"")</f>
        <v/>
      </c>
      <c r="N55" s="81" t="str">
        <f>IF(AND('Mapa final'!$AA$65="Muy Baja",'Mapa final'!$AC$65="Leve"),CONCATENATE("R10C",'Mapa final'!$Q$65),"")</f>
        <v/>
      </c>
      <c r="O55" s="82" t="str">
        <f>IF(AND('Mapa final'!$AA$66="Muy Baja",'Mapa final'!$AC$66="Leve"),CONCATENATE("R10C",'Mapa final'!$Q$66),"")</f>
        <v/>
      </c>
      <c r="P55" s="80" t="str">
        <f>IF(AND('Mapa final'!$AA$61="Muy Baja",'Mapa final'!$AC$61="Menor"),CONCATENATE("R10C",'Mapa final'!$Q$61),"")</f>
        <v/>
      </c>
      <c r="Q55" s="81" t="str">
        <f>IF(AND('Mapa final'!$AA$62="Muy Baja",'Mapa final'!$AC$62="Menor"),CONCATENATE("R10C",'Mapa final'!$Q$62),"")</f>
        <v/>
      </c>
      <c r="R55" s="81" t="str">
        <f>IF(AND('Mapa final'!$AA$63="Muy Baja",'Mapa final'!$AC$63="Menor"),CONCATENATE("R10C",'Mapa final'!$Q$63),"")</f>
        <v/>
      </c>
      <c r="S55" s="81" t="str">
        <f>IF(AND('Mapa final'!$AA$64="Muy Baja",'Mapa final'!$AC$64="Menor"),CONCATENATE("R10C",'Mapa final'!$Q$64),"")</f>
        <v/>
      </c>
      <c r="T55" s="81" t="str">
        <f>IF(AND('Mapa final'!$AA$65="Muy Baja",'Mapa final'!$AC$65="Menor"),CONCATENATE("R10C",'Mapa final'!$Q$65),"")</f>
        <v/>
      </c>
      <c r="U55" s="82" t="str">
        <f>IF(AND('Mapa final'!$AA$66="Muy Baja",'Mapa final'!$AC$66="Menor"),CONCATENATE("R10C",'Mapa final'!$Q$66),"")</f>
        <v/>
      </c>
      <c r="V55" s="71" t="str">
        <f>IF(AND('Mapa final'!$AA$61="Muy Baja",'Mapa final'!$AC$61="Moderado"),CONCATENATE("R10C",'Mapa final'!$Q$61),"")</f>
        <v/>
      </c>
      <c r="W55" s="72" t="str">
        <f>IF(AND('Mapa final'!$AA$62="Muy Baja",'Mapa final'!$AC$62="Moderado"),CONCATENATE("R10C",'Mapa final'!$Q$62),"")</f>
        <v/>
      </c>
      <c r="X55" s="72" t="str">
        <f>IF(AND('Mapa final'!$AA$63="Muy Baja",'Mapa final'!$AC$63="Moderado"),CONCATENATE("R10C",'Mapa final'!$Q$63),"")</f>
        <v/>
      </c>
      <c r="Y55" s="72" t="str">
        <f>IF(AND('Mapa final'!$AA$64="Muy Baja",'Mapa final'!$AC$64="Moderado"),CONCATENATE("R10C",'Mapa final'!$Q$64),"")</f>
        <v/>
      </c>
      <c r="Z55" s="72" t="str">
        <f>IF(AND('Mapa final'!$AA$65="Muy Baja",'Mapa final'!$AC$65="Moderado"),CONCATENATE("R10C",'Mapa final'!$Q$65),"")</f>
        <v/>
      </c>
      <c r="AA55" s="73" t="str">
        <f>IF(AND('Mapa final'!$AA$66="Muy Baja",'Mapa final'!$AC$66="Moderado"),CONCATENATE("R10C",'Mapa final'!$Q$66),"")</f>
        <v/>
      </c>
      <c r="AB55" s="59" t="str">
        <f>IF(AND('Mapa final'!$AA$61="Muy Baja",'Mapa final'!$AC$61="Mayor"),CONCATENATE("R10C",'Mapa final'!$Q$61),"")</f>
        <v/>
      </c>
      <c r="AC55" s="60" t="str">
        <f>IF(AND('Mapa final'!$AA$62="Muy Baja",'Mapa final'!$AC$62="Mayor"),CONCATENATE("R10C",'Mapa final'!$Q$62),"")</f>
        <v/>
      </c>
      <c r="AD55" s="60" t="str">
        <f>IF(AND('Mapa final'!$AA$63="Muy Baja",'Mapa final'!$AC$63="Mayor"),CONCATENATE("R10C",'Mapa final'!$Q$63),"")</f>
        <v/>
      </c>
      <c r="AE55" s="60" t="str">
        <f>IF(AND('Mapa final'!$AA$64="Muy Baja",'Mapa final'!$AC$64="Mayor"),CONCATENATE("R10C",'Mapa final'!$Q$64),"")</f>
        <v/>
      </c>
      <c r="AF55" s="60" t="str">
        <f>IF(AND('Mapa final'!$AA$65="Muy Baja",'Mapa final'!$AC$65="Mayor"),CONCATENATE("R10C",'Mapa final'!$Q$65),"")</f>
        <v/>
      </c>
      <c r="AG55" s="61" t="str">
        <f>IF(AND('Mapa final'!$AA$66="Muy Baja",'Mapa final'!$AC$66="Mayor"),CONCATENATE("R10C",'Mapa final'!$Q$66),"")</f>
        <v/>
      </c>
      <c r="AH55" s="62" t="str">
        <f>IF(AND('Mapa final'!$AA$61="Muy Baja",'Mapa final'!$AC$61="Catastrófico"),CONCATENATE("R10C",'Mapa final'!$Q$61),"")</f>
        <v/>
      </c>
      <c r="AI55" s="63" t="str">
        <f>IF(AND('Mapa final'!$AA$62="Muy Baja",'Mapa final'!$AC$62="Catastrófico"),CONCATENATE("R10C",'Mapa final'!$Q$62),"")</f>
        <v/>
      </c>
      <c r="AJ55" s="63" t="str">
        <f>IF(AND('Mapa final'!$AA$63="Muy Baja",'Mapa final'!$AC$63="Catastrófico"),CONCATENATE("R10C",'Mapa final'!$Q$63),"")</f>
        <v/>
      </c>
      <c r="AK55" s="63" t="str">
        <f>IF(AND('Mapa final'!$AA$64="Muy Baja",'Mapa final'!$AC$64="Catastrófico"),CONCATENATE("R10C",'Mapa final'!$Q$64),"")</f>
        <v/>
      </c>
      <c r="AL55" s="63" t="str">
        <f>IF(AND('Mapa final'!$AA$65="Muy Baja",'Mapa final'!$AC$65="Catastrófico"),CONCATENATE("R10C",'Mapa final'!$Q$65),"")</f>
        <v/>
      </c>
      <c r="AM55" s="64" t="str">
        <f>IF(AND('Mapa final'!$AA$66="Muy Baja",'Mapa final'!$AC$66="Catastrófico"),CONCATENATE("R10C",'Mapa final'!$Q$66),"")</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x14ac:dyDescent="0.25">
      <c r="A56" s="84"/>
      <c r="B56" s="84"/>
      <c r="C56" s="84"/>
      <c r="D56" s="84"/>
      <c r="E56" s="84"/>
      <c r="F56" s="84"/>
      <c r="G56" s="84"/>
      <c r="H56" s="84"/>
      <c r="I56" s="84"/>
      <c r="J56" s="357" t="s">
        <v>112</v>
      </c>
      <c r="K56" s="358"/>
      <c r="L56" s="358"/>
      <c r="M56" s="358"/>
      <c r="N56" s="358"/>
      <c r="O56" s="376"/>
      <c r="P56" s="357" t="s">
        <v>111</v>
      </c>
      <c r="Q56" s="358"/>
      <c r="R56" s="358"/>
      <c r="S56" s="358"/>
      <c r="T56" s="358"/>
      <c r="U56" s="376"/>
      <c r="V56" s="357" t="s">
        <v>110</v>
      </c>
      <c r="W56" s="358"/>
      <c r="X56" s="358"/>
      <c r="Y56" s="358"/>
      <c r="Z56" s="358"/>
      <c r="AA56" s="376"/>
      <c r="AB56" s="357" t="s">
        <v>109</v>
      </c>
      <c r="AC56" s="397"/>
      <c r="AD56" s="358"/>
      <c r="AE56" s="358"/>
      <c r="AF56" s="358"/>
      <c r="AG56" s="376"/>
      <c r="AH56" s="357" t="s">
        <v>108</v>
      </c>
      <c r="AI56" s="358"/>
      <c r="AJ56" s="358"/>
      <c r="AK56" s="358"/>
      <c r="AL56" s="358"/>
      <c r="AM56" s="376"/>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x14ac:dyDescent="0.25">
      <c r="A57" s="84"/>
      <c r="B57" s="84"/>
      <c r="C57" s="84"/>
      <c r="D57" s="84"/>
      <c r="E57" s="84"/>
      <c r="F57" s="84"/>
      <c r="G57" s="84"/>
      <c r="H57" s="84"/>
      <c r="I57" s="84"/>
      <c r="J57" s="361"/>
      <c r="K57" s="362"/>
      <c r="L57" s="362"/>
      <c r="M57" s="362"/>
      <c r="N57" s="362"/>
      <c r="O57" s="377"/>
      <c r="P57" s="361"/>
      <c r="Q57" s="362"/>
      <c r="R57" s="362"/>
      <c r="S57" s="362"/>
      <c r="T57" s="362"/>
      <c r="U57" s="377"/>
      <c r="V57" s="361"/>
      <c r="W57" s="362"/>
      <c r="X57" s="362"/>
      <c r="Y57" s="362"/>
      <c r="Z57" s="362"/>
      <c r="AA57" s="377"/>
      <c r="AB57" s="361"/>
      <c r="AC57" s="362"/>
      <c r="AD57" s="362"/>
      <c r="AE57" s="362"/>
      <c r="AF57" s="362"/>
      <c r="AG57" s="377"/>
      <c r="AH57" s="361"/>
      <c r="AI57" s="362"/>
      <c r="AJ57" s="362"/>
      <c r="AK57" s="362"/>
      <c r="AL57" s="362"/>
      <c r="AM57" s="377"/>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x14ac:dyDescent="0.25">
      <c r="A58" s="84"/>
      <c r="B58" s="84"/>
      <c r="C58" s="84"/>
      <c r="D58" s="84"/>
      <c r="E58" s="84"/>
      <c r="F58" s="84"/>
      <c r="G58" s="84"/>
      <c r="H58" s="84"/>
      <c r="I58" s="84"/>
      <c r="J58" s="361"/>
      <c r="K58" s="362"/>
      <c r="L58" s="362"/>
      <c r="M58" s="362"/>
      <c r="N58" s="362"/>
      <c r="O58" s="377"/>
      <c r="P58" s="361"/>
      <c r="Q58" s="362"/>
      <c r="R58" s="362"/>
      <c r="S58" s="362"/>
      <c r="T58" s="362"/>
      <c r="U58" s="377"/>
      <c r="V58" s="361"/>
      <c r="W58" s="362"/>
      <c r="X58" s="362"/>
      <c r="Y58" s="362"/>
      <c r="Z58" s="362"/>
      <c r="AA58" s="377"/>
      <c r="AB58" s="361"/>
      <c r="AC58" s="362"/>
      <c r="AD58" s="362"/>
      <c r="AE58" s="362"/>
      <c r="AF58" s="362"/>
      <c r="AG58" s="377"/>
      <c r="AH58" s="361"/>
      <c r="AI58" s="362"/>
      <c r="AJ58" s="362"/>
      <c r="AK58" s="362"/>
      <c r="AL58" s="362"/>
      <c r="AM58" s="377"/>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x14ac:dyDescent="0.25">
      <c r="A59" s="84"/>
      <c r="B59" s="84"/>
      <c r="C59" s="84"/>
      <c r="D59" s="84"/>
      <c r="E59" s="84"/>
      <c r="F59" s="84"/>
      <c r="G59" s="84"/>
      <c r="H59" s="84"/>
      <c r="I59" s="84"/>
      <c r="J59" s="361"/>
      <c r="K59" s="362"/>
      <c r="L59" s="362"/>
      <c r="M59" s="362"/>
      <c r="N59" s="362"/>
      <c r="O59" s="377"/>
      <c r="P59" s="361"/>
      <c r="Q59" s="362"/>
      <c r="R59" s="362"/>
      <c r="S59" s="362"/>
      <c r="T59" s="362"/>
      <c r="U59" s="377"/>
      <c r="V59" s="361"/>
      <c r="W59" s="362"/>
      <c r="X59" s="362"/>
      <c r="Y59" s="362"/>
      <c r="Z59" s="362"/>
      <c r="AA59" s="377"/>
      <c r="AB59" s="361"/>
      <c r="AC59" s="362"/>
      <c r="AD59" s="362"/>
      <c r="AE59" s="362"/>
      <c r="AF59" s="362"/>
      <c r="AG59" s="377"/>
      <c r="AH59" s="361"/>
      <c r="AI59" s="362"/>
      <c r="AJ59" s="362"/>
      <c r="AK59" s="362"/>
      <c r="AL59" s="362"/>
      <c r="AM59" s="377"/>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x14ac:dyDescent="0.25">
      <c r="A60" s="84"/>
      <c r="B60" s="84"/>
      <c r="C60" s="84"/>
      <c r="D60" s="84"/>
      <c r="E60" s="84"/>
      <c r="F60" s="84"/>
      <c r="G60" s="84"/>
      <c r="H60" s="84"/>
      <c r="I60" s="84"/>
      <c r="J60" s="361"/>
      <c r="K60" s="362"/>
      <c r="L60" s="362"/>
      <c r="M60" s="362"/>
      <c r="N60" s="362"/>
      <c r="O60" s="377"/>
      <c r="P60" s="361"/>
      <c r="Q60" s="362"/>
      <c r="R60" s="362"/>
      <c r="S60" s="362"/>
      <c r="T60" s="362"/>
      <c r="U60" s="377"/>
      <c r="V60" s="361"/>
      <c r="W60" s="362"/>
      <c r="X60" s="362"/>
      <c r="Y60" s="362"/>
      <c r="Z60" s="362"/>
      <c r="AA60" s="377"/>
      <c r="AB60" s="361"/>
      <c r="AC60" s="362"/>
      <c r="AD60" s="362"/>
      <c r="AE60" s="362"/>
      <c r="AF60" s="362"/>
      <c r="AG60" s="377"/>
      <c r="AH60" s="361"/>
      <c r="AI60" s="362"/>
      <c r="AJ60" s="362"/>
      <c r="AK60" s="362"/>
      <c r="AL60" s="362"/>
      <c r="AM60" s="377"/>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x14ac:dyDescent="0.3">
      <c r="A61" s="84"/>
      <c r="B61" s="84"/>
      <c r="C61" s="84"/>
      <c r="D61" s="84"/>
      <c r="E61" s="84"/>
      <c r="F61" s="84"/>
      <c r="G61" s="84"/>
      <c r="H61" s="84"/>
      <c r="I61" s="84"/>
      <c r="J61" s="363"/>
      <c r="K61" s="364"/>
      <c r="L61" s="364"/>
      <c r="M61" s="364"/>
      <c r="N61" s="364"/>
      <c r="O61" s="378"/>
      <c r="P61" s="363"/>
      <c r="Q61" s="364"/>
      <c r="R61" s="364"/>
      <c r="S61" s="364"/>
      <c r="T61" s="364"/>
      <c r="U61" s="378"/>
      <c r="V61" s="363"/>
      <c r="W61" s="364"/>
      <c r="X61" s="364"/>
      <c r="Y61" s="364"/>
      <c r="Z61" s="364"/>
      <c r="AA61" s="378"/>
      <c r="AB61" s="363"/>
      <c r="AC61" s="364"/>
      <c r="AD61" s="364"/>
      <c r="AE61" s="364"/>
      <c r="AF61" s="364"/>
      <c r="AG61" s="378"/>
      <c r="AH61" s="363"/>
      <c r="AI61" s="364"/>
      <c r="AJ61" s="364"/>
      <c r="AK61" s="364"/>
      <c r="AL61" s="364"/>
      <c r="AM61" s="378"/>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x14ac:dyDescent="0.25">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x14ac:dyDescent="0.25">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x14ac:dyDescent="0.25">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x14ac:dyDescent="0.25">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x14ac:dyDescent="0.25">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x14ac:dyDescent="0.25">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x14ac:dyDescent="0.25">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x14ac:dyDescent="0.25">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x14ac:dyDescent="0.25">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x14ac:dyDescent="0.25">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x14ac:dyDescent="0.25">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x14ac:dyDescent="0.25">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x14ac:dyDescent="0.25">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x14ac:dyDescent="0.25">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x14ac:dyDescent="0.25">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x14ac:dyDescent="0.25">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x14ac:dyDescent="0.25">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x14ac:dyDescent="0.25">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x14ac:dyDescent="0.25">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x14ac:dyDescent="0.25">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x14ac:dyDescent="0.25">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x14ac:dyDescent="0.25">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x14ac:dyDescent="0.25">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x14ac:dyDescent="0.25">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x14ac:dyDescent="0.25">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x14ac:dyDescent="0.25">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x14ac:dyDescent="0.25">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x14ac:dyDescent="0.25">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x14ac:dyDescent="0.25">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x14ac:dyDescent="0.25">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x14ac:dyDescent="0.25">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x14ac:dyDescent="0.25">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x14ac:dyDescent="0.25">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x14ac:dyDescent="0.25">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x14ac:dyDescent="0.25">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x14ac:dyDescent="0.25">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x14ac:dyDescent="0.25">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x14ac:dyDescent="0.25">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x14ac:dyDescent="0.25">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x14ac:dyDescent="0.25">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x14ac:dyDescent="0.25">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x14ac:dyDescent="0.25">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x14ac:dyDescent="0.25">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x14ac:dyDescent="0.25">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x14ac:dyDescent="0.25">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x14ac:dyDescent="0.25">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x14ac:dyDescent="0.25">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x14ac:dyDescent="0.25">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x14ac:dyDescent="0.25">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x14ac:dyDescent="0.25">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x14ac:dyDescent="0.25">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x14ac:dyDescent="0.25">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x14ac:dyDescent="0.25">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x14ac:dyDescent="0.25">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x14ac:dyDescent="0.25">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x14ac:dyDescent="0.25">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x14ac:dyDescent="0.25">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x14ac:dyDescent="0.25">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x14ac:dyDescent="0.25">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x14ac:dyDescent="0.25">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x14ac:dyDescent="0.25">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x14ac:dyDescent="0.25">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x14ac:dyDescent="0.25">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x14ac:dyDescent="0.25">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x14ac:dyDescent="0.25">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x14ac:dyDescent="0.25">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x14ac:dyDescent="0.25">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x14ac:dyDescent="0.25">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x14ac:dyDescent="0.25">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x14ac:dyDescent="0.25">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x14ac:dyDescent="0.25">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x14ac:dyDescent="0.25">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x14ac:dyDescent="0.25">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x14ac:dyDescent="0.25">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x14ac:dyDescent="0.25">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x14ac:dyDescent="0.25">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x14ac:dyDescent="0.25">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x14ac:dyDescent="0.25">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x14ac:dyDescent="0.25">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x14ac:dyDescent="0.25">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x14ac:dyDescent="0.25">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x14ac:dyDescent="0.25">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x14ac:dyDescent="0.25">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x14ac:dyDescent="0.25">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x14ac:dyDescent="0.25">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x14ac:dyDescent="0.25">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x14ac:dyDescent="0.25">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x14ac:dyDescent="0.25">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x14ac:dyDescent="0.25">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x14ac:dyDescent="0.25">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x14ac:dyDescent="0.25">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x14ac:dyDescent="0.25">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x14ac:dyDescent="0.25">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x14ac:dyDescent="0.25">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x14ac:dyDescent="0.25">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x14ac:dyDescent="0.25">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x14ac:dyDescent="0.25">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x14ac:dyDescent="0.25">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x14ac:dyDescent="0.25">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x14ac:dyDescent="0.25">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x14ac:dyDescent="0.25">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x14ac:dyDescent="0.25">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x14ac:dyDescent="0.25">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x14ac:dyDescent="0.25">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x14ac:dyDescent="0.25">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x14ac:dyDescent="0.25">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x14ac:dyDescent="0.25">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x14ac:dyDescent="0.25">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x14ac:dyDescent="0.25">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x14ac:dyDescent="0.25">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x14ac:dyDescent="0.25">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x14ac:dyDescent="0.25">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x14ac:dyDescent="0.25">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x14ac:dyDescent="0.25">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x14ac:dyDescent="0.25">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x14ac:dyDescent="0.25">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x14ac:dyDescent="0.25">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x14ac:dyDescent="0.25">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x14ac:dyDescent="0.25">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x14ac:dyDescent="0.25">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x14ac:dyDescent="0.25">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x14ac:dyDescent="0.25">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x14ac:dyDescent="0.25">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x14ac:dyDescent="0.25">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x14ac:dyDescent="0.25">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x14ac:dyDescent="0.25">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x14ac:dyDescent="0.25">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x14ac:dyDescent="0.25">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x14ac:dyDescent="0.25">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x14ac:dyDescent="0.25">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x14ac:dyDescent="0.25">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x14ac:dyDescent="0.25">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x14ac:dyDescent="0.25">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x14ac:dyDescent="0.25">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x14ac:dyDescent="0.25">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x14ac:dyDescent="0.25">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x14ac:dyDescent="0.25">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x14ac:dyDescent="0.25">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x14ac:dyDescent="0.25">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x14ac:dyDescent="0.25">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x14ac:dyDescent="0.25">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x14ac:dyDescent="0.25">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x14ac:dyDescent="0.25">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x14ac:dyDescent="0.25">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x14ac:dyDescent="0.25">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x14ac:dyDescent="0.25">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x14ac:dyDescent="0.25">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x14ac:dyDescent="0.25">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x14ac:dyDescent="0.25">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x14ac:dyDescent="0.25">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x14ac:dyDescent="0.25">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x14ac:dyDescent="0.25">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x14ac:dyDescent="0.25">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x14ac:dyDescent="0.25">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x14ac:dyDescent="0.25">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x14ac:dyDescent="0.25">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x14ac:dyDescent="0.25">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x14ac:dyDescent="0.25">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x14ac:dyDescent="0.25">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x14ac:dyDescent="0.25">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x14ac:dyDescent="0.25">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x14ac:dyDescent="0.25">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x14ac:dyDescent="0.25">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x14ac:dyDescent="0.25">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x14ac:dyDescent="0.25">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x14ac:dyDescent="0.25">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x14ac:dyDescent="0.25">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x14ac:dyDescent="0.25">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x14ac:dyDescent="0.25">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x14ac:dyDescent="0.25">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x14ac:dyDescent="0.25">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x14ac:dyDescent="0.25">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x14ac:dyDescent="0.25">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x14ac:dyDescent="0.25">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x14ac:dyDescent="0.25">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x14ac:dyDescent="0.25">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x14ac:dyDescent="0.25">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x14ac:dyDescent="0.25">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x14ac:dyDescent="0.25">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x14ac:dyDescent="0.25">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x14ac:dyDescent="0.25">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x14ac:dyDescent="0.25">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x14ac:dyDescent="0.25">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x14ac:dyDescent="0.25">
      <c r="A245" s="84"/>
    </row>
    <row r="246" spans="1:60" x14ac:dyDescent="0.25">
      <c r="A246" s="84"/>
    </row>
    <row r="247" spans="1:60" x14ac:dyDescent="0.25">
      <c r="A247" s="84"/>
    </row>
    <row r="248" spans="1:60" x14ac:dyDescent="0.25">
      <c r="A248" s="84"/>
    </row>
  </sheetData>
  <sheetProtection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4"/>
      <c r="B1" s="398" t="s">
        <v>55</v>
      </c>
      <c r="C1" s="398"/>
      <c r="D1" s="398"/>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x14ac:dyDescent="0.25">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x14ac:dyDescent="0.2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x14ac:dyDescent="0.25">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x14ac:dyDescent="0.25">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x14ac:dyDescent="0.25">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x14ac:dyDescent="0.2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x14ac:dyDescent="0.25">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x14ac:dyDescent="0.25">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x14ac:dyDescent="0.2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x14ac:dyDescent="0.25">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x14ac:dyDescent="0.25">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x14ac:dyDescent="0.25">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x14ac:dyDescent="0.25">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x14ac:dyDescent="0.25">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x14ac:dyDescent="0.25">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x14ac:dyDescent="0.25">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x14ac:dyDescent="0.25">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x14ac:dyDescent="0.25">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x14ac:dyDescent="0.25">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x14ac:dyDescent="0.25">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x14ac:dyDescent="0.25">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x14ac:dyDescent="0.25">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x14ac:dyDescent="0.25">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x14ac:dyDescent="0.25">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x14ac:dyDescent="0.25">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x14ac:dyDescent="0.25">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x14ac:dyDescent="0.25">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x14ac:dyDescent="0.25">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x14ac:dyDescent="0.25">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x14ac:dyDescent="0.25">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x14ac:dyDescent="0.25">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x14ac:dyDescent="0.25">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x14ac:dyDescent="0.25">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x14ac:dyDescent="0.25">
      <c r="A35" s="84"/>
    </row>
    <row r="36" spans="1:31" x14ac:dyDescent="0.25">
      <c r="A36" s="84"/>
    </row>
    <row r="37" spans="1:31" x14ac:dyDescent="0.25">
      <c r="A37" s="84"/>
    </row>
    <row r="38" spans="1:31" x14ac:dyDescent="0.25">
      <c r="A38" s="84"/>
    </row>
    <row r="39" spans="1:31" x14ac:dyDescent="0.25">
      <c r="A39" s="84"/>
    </row>
    <row r="40" spans="1:31" x14ac:dyDescent="0.25">
      <c r="A40" s="84"/>
    </row>
    <row r="41" spans="1:31" x14ac:dyDescent="0.25">
      <c r="A41" s="84"/>
    </row>
    <row r="42" spans="1:31" x14ac:dyDescent="0.25">
      <c r="A42" s="84"/>
    </row>
    <row r="43" spans="1:31" x14ac:dyDescent="0.25">
      <c r="A43" s="84"/>
    </row>
    <row r="44" spans="1:31" x14ac:dyDescent="0.25">
      <c r="A44" s="84"/>
    </row>
    <row r="45" spans="1:31" x14ac:dyDescent="0.25">
      <c r="A45" s="84"/>
    </row>
    <row r="46" spans="1:31" x14ac:dyDescent="0.25">
      <c r="A46" s="84"/>
    </row>
    <row r="47" spans="1:31" x14ac:dyDescent="0.25">
      <c r="A47" s="84"/>
    </row>
    <row r="48" spans="1:31" x14ac:dyDescent="0.25">
      <c r="A48" s="84"/>
    </row>
    <row r="49" spans="1:1" x14ac:dyDescent="0.25">
      <c r="A49" s="84"/>
    </row>
    <row r="50" spans="1:1" x14ac:dyDescent="0.25">
      <c r="A50" s="84"/>
    </row>
    <row r="51" spans="1:1" x14ac:dyDescent="0.25">
      <c r="A51" s="84"/>
    </row>
    <row r="52" spans="1:1" x14ac:dyDescent="0.25">
      <c r="A52" s="84"/>
    </row>
    <row r="53" spans="1:1" x14ac:dyDescent="0.25">
      <c r="A53" s="84"/>
    </row>
    <row r="54" spans="1:1" x14ac:dyDescent="0.25">
      <c r="A54" s="84"/>
    </row>
    <row r="55" spans="1:1" x14ac:dyDescent="0.25">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A6" sqref="A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4"/>
      <c r="B1" s="399" t="s">
        <v>63</v>
      </c>
      <c r="C1" s="399"/>
      <c r="D1" s="399"/>
      <c r="E1" s="84"/>
      <c r="F1" s="84"/>
      <c r="G1" s="84"/>
      <c r="H1" s="84"/>
      <c r="I1" s="84"/>
      <c r="J1" s="84"/>
      <c r="K1" s="84"/>
      <c r="L1" s="84"/>
      <c r="M1" s="84"/>
      <c r="N1" s="84"/>
      <c r="O1" s="84"/>
      <c r="P1" s="84"/>
      <c r="Q1" s="84"/>
      <c r="R1" s="84"/>
      <c r="S1" s="84"/>
      <c r="T1" s="84"/>
      <c r="U1" s="84"/>
    </row>
    <row r="2" spans="1:21" x14ac:dyDescent="0.25">
      <c r="A2" s="84"/>
      <c r="B2" s="84"/>
      <c r="C2" s="84"/>
      <c r="D2" s="84"/>
      <c r="E2" s="84"/>
      <c r="F2" s="84"/>
      <c r="G2" s="84"/>
      <c r="H2" s="84"/>
      <c r="I2" s="84"/>
      <c r="J2" s="84"/>
      <c r="K2" s="84"/>
      <c r="L2" s="84"/>
      <c r="M2" s="84"/>
      <c r="N2" s="84"/>
      <c r="O2" s="84"/>
      <c r="P2" s="84"/>
      <c r="Q2" s="84"/>
      <c r="R2" s="84"/>
      <c r="S2" s="84"/>
      <c r="T2" s="84"/>
      <c r="U2" s="84"/>
    </row>
    <row r="3" spans="1:21" ht="30" x14ac:dyDescent="0.25">
      <c r="A3" s="84"/>
      <c r="B3" s="105"/>
      <c r="C3" s="36" t="s">
        <v>56</v>
      </c>
      <c r="D3" s="36" t="s">
        <v>57</v>
      </c>
      <c r="E3" s="84"/>
      <c r="F3" s="84"/>
      <c r="G3" s="84"/>
      <c r="H3" s="84"/>
      <c r="I3" s="84"/>
      <c r="J3" s="84"/>
      <c r="K3" s="84"/>
      <c r="L3" s="84"/>
      <c r="M3" s="84"/>
      <c r="N3" s="84"/>
      <c r="O3" s="84"/>
      <c r="P3" s="84"/>
      <c r="Q3" s="84"/>
      <c r="R3" s="84"/>
      <c r="S3" s="84"/>
      <c r="T3" s="84"/>
      <c r="U3" s="84"/>
    </row>
    <row r="4" spans="1:21" ht="33.75" x14ac:dyDescent="0.2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x14ac:dyDescent="0.25">
      <c r="A5" s="104" t="s">
        <v>84</v>
      </c>
      <c r="B5" s="40" t="s">
        <v>59</v>
      </c>
      <c r="C5" s="45" t="s">
        <v>93</v>
      </c>
      <c r="D5" s="38" t="s">
        <v>98</v>
      </c>
      <c r="E5" s="84"/>
      <c r="F5" s="84"/>
      <c r="G5" s="84"/>
      <c r="H5" s="84"/>
      <c r="I5" s="84"/>
      <c r="J5" s="84"/>
      <c r="K5" s="84"/>
      <c r="L5" s="84"/>
      <c r="M5" s="84"/>
      <c r="N5" s="84"/>
      <c r="O5" s="84"/>
      <c r="P5" s="84"/>
      <c r="Q5" s="84"/>
      <c r="R5" s="84"/>
      <c r="S5" s="84"/>
      <c r="T5" s="84"/>
      <c r="U5" s="84"/>
    </row>
    <row r="6" spans="1:21" ht="67.5" x14ac:dyDescent="0.2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x14ac:dyDescent="0.25">
      <c r="A7" s="104" t="s">
        <v>7</v>
      </c>
      <c r="B7" s="42" t="s">
        <v>61</v>
      </c>
      <c r="C7" s="45" t="s">
        <v>95</v>
      </c>
      <c r="D7" s="38" t="s">
        <v>99</v>
      </c>
      <c r="E7" s="84"/>
      <c r="F7" s="84"/>
      <c r="G7" s="84"/>
      <c r="H7" s="84"/>
      <c r="I7" s="84"/>
      <c r="J7" s="84"/>
      <c r="K7" s="84"/>
      <c r="L7" s="84"/>
      <c r="M7" s="84"/>
      <c r="N7" s="84"/>
      <c r="O7" s="84"/>
      <c r="P7" s="84"/>
      <c r="Q7" s="84"/>
      <c r="R7" s="84"/>
      <c r="S7" s="84"/>
      <c r="T7" s="84"/>
      <c r="U7" s="84"/>
    </row>
    <row r="8" spans="1:21" ht="67.5" x14ac:dyDescent="0.2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x14ac:dyDescent="0.25">
      <c r="A9" s="104"/>
      <c r="B9" s="104"/>
      <c r="C9" s="106"/>
      <c r="D9" s="106"/>
      <c r="E9" s="84"/>
      <c r="F9" s="84"/>
      <c r="G9" s="84"/>
      <c r="H9" s="84"/>
      <c r="I9" s="84"/>
      <c r="J9" s="84"/>
      <c r="K9" s="84"/>
      <c r="L9" s="84"/>
      <c r="M9" s="84"/>
      <c r="N9" s="84"/>
      <c r="O9" s="84"/>
      <c r="P9" s="84"/>
      <c r="Q9" s="84"/>
      <c r="R9" s="84"/>
      <c r="S9" s="84"/>
      <c r="T9" s="84"/>
      <c r="U9" s="84"/>
    </row>
    <row r="10" spans="1:21" ht="16.5" x14ac:dyDescent="0.25">
      <c r="A10" s="104"/>
      <c r="B10" s="107"/>
      <c r="C10" s="107"/>
      <c r="D10" s="107"/>
      <c r="E10" s="84"/>
      <c r="F10" s="84"/>
      <c r="G10" s="84"/>
      <c r="H10" s="84"/>
      <c r="I10" s="84"/>
      <c r="J10" s="84"/>
      <c r="K10" s="84"/>
      <c r="L10" s="84"/>
      <c r="M10" s="84"/>
      <c r="N10" s="84"/>
      <c r="O10" s="84"/>
      <c r="P10" s="84"/>
      <c r="Q10" s="84"/>
      <c r="R10" s="84"/>
      <c r="S10" s="84"/>
      <c r="T10" s="84"/>
      <c r="U10" s="84"/>
    </row>
    <row r="11" spans="1:21" x14ac:dyDescent="0.25">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x14ac:dyDescent="0.25">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x14ac:dyDescent="0.25">
      <c r="A13" s="104"/>
      <c r="B13" s="104"/>
      <c r="C13" s="104" t="s">
        <v>149</v>
      </c>
      <c r="D13" s="104" t="s">
        <v>155</v>
      </c>
      <c r="E13" s="84"/>
      <c r="F13" s="84"/>
      <c r="G13" s="84"/>
      <c r="H13" s="84"/>
      <c r="I13" s="84"/>
      <c r="J13" s="84"/>
      <c r="K13" s="84"/>
      <c r="L13" s="84"/>
      <c r="M13" s="84"/>
      <c r="N13" s="84"/>
      <c r="O13" s="84"/>
      <c r="P13" s="84"/>
      <c r="Q13" s="84"/>
      <c r="R13" s="84"/>
      <c r="S13" s="84"/>
      <c r="T13" s="84"/>
      <c r="U13" s="84"/>
    </row>
    <row r="14" spans="1:21" x14ac:dyDescent="0.25">
      <c r="A14" s="104"/>
      <c r="B14" s="104"/>
      <c r="C14" s="104" t="s">
        <v>151</v>
      </c>
      <c r="D14" s="104" t="s">
        <v>156</v>
      </c>
      <c r="E14" s="84"/>
      <c r="F14" s="84"/>
      <c r="G14" s="84"/>
      <c r="H14" s="84"/>
      <c r="I14" s="84"/>
      <c r="J14" s="84"/>
      <c r="K14" s="84"/>
      <c r="L14" s="84"/>
      <c r="M14" s="84"/>
      <c r="N14" s="84"/>
      <c r="O14" s="84"/>
      <c r="P14" s="84"/>
      <c r="Q14" s="84"/>
      <c r="R14" s="84"/>
      <c r="S14" s="84"/>
      <c r="T14" s="84"/>
      <c r="U14" s="84"/>
    </row>
    <row r="15" spans="1:21" x14ac:dyDescent="0.25">
      <c r="A15" s="104"/>
      <c r="B15" s="104"/>
      <c r="C15" s="104" t="s">
        <v>152</v>
      </c>
      <c r="D15" s="104" t="s">
        <v>157</v>
      </c>
      <c r="E15" s="84"/>
      <c r="F15" s="84"/>
      <c r="G15" s="84"/>
      <c r="H15" s="84"/>
      <c r="I15" s="84"/>
      <c r="J15" s="84"/>
      <c r="K15" s="84"/>
      <c r="L15" s="84"/>
      <c r="M15" s="84"/>
      <c r="N15" s="84"/>
      <c r="O15" s="84"/>
      <c r="P15" s="84"/>
      <c r="Q15" s="84"/>
      <c r="R15" s="84"/>
      <c r="S15" s="84"/>
      <c r="T15" s="84"/>
      <c r="U15" s="84"/>
    </row>
    <row r="16" spans="1:21" x14ac:dyDescent="0.25">
      <c r="A16" s="104"/>
      <c r="B16" s="104"/>
      <c r="C16" s="104"/>
      <c r="D16" s="104"/>
      <c r="E16" s="84"/>
      <c r="F16" s="84"/>
      <c r="G16" s="84"/>
      <c r="H16" s="84"/>
      <c r="I16" s="84"/>
      <c r="J16" s="84"/>
      <c r="K16" s="84"/>
      <c r="L16" s="84"/>
      <c r="M16" s="84"/>
      <c r="N16" s="84"/>
      <c r="O16" s="84"/>
    </row>
    <row r="17" spans="1:15" x14ac:dyDescent="0.25">
      <c r="A17" s="104"/>
      <c r="B17" s="104"/>
      <c r="C17" s="104"/>
      <c r="D17" s="104"/>
      <c r="E17" s="84"/>
      <c r="F17" s="84"/>
      <c r="G17" s="84"/>
      <c r="H17" s="84"/>
      <c r="I17" s="84"/>
      <c r="J17" s="84"/>
      <c r="K17" s="84"/>
      <c r="L17" s="84"/>
      <c r="M17" s="84"/>
      <c r="N17" s="84"/>
      <c r="O17" s="84"/>
    </row>
    <row r="18" spans="1:15" x14ac:dyDescent="0.25">
      <c r="A18" s="104"/>
      <c r="B18" s="108"/>
      <c r="C18" s="108"/>
      <c r="D18" s="108"/>
      <c r="E18" s="84"/>
      <c r="F18" s="84"/>
      <c r="G18" s="84"/>
      <c r="H18" s="84"/>
      <c r="I18" s="84"/>
      <c r="J18" s="84"/>
      <c r="K18" s="84"/>
      <c r="L18" s="84"/>
      <c r="M18" s="84"/>
      <c r="N18" s="84"/>
      <c r="O18" s="84"/>
    </row>
    <row r="19" spans="1:15" x14ac:dyDescent="0.25">
      <c r="A19" s="104"/>
      <c r="B19" s="108"/>
      <c r="C19" s="108"/>
      <c r="D19" s="108"/>
      <c r="E19" s="84"/>
      <c r="F19" s="84"/>
      <c r="G19" s="84"/>
      <c r="H19" s="84"/>
      <c r="I19" s="84"/>
      <c r="J19" s="84"/>
      <c r="K19" s="84"/>
      <c r="L19" s="84"/>
      <c r="M19" s="84"/>
      <c r="N19" s="84"/>
      <c r="O19" s="84"/>
    </row>
    <row r="20" spans="1:15" x14ac:dyDescent="0.25">
      <c r="A20" s="104"/>
      <c r="B20" s="108"/>
      <c r="C20" s="108"/>
      <c r="D20" s="108"/>
      <c r="E20" s="84"/>
      <c r="F20" s="84"/>
      <c r="G20" s="84"/>
      <c r="H20" s="84"/>
      <c r="I20" s="84"/>
      <c r="J20" s="84"/>
      <c r="K20" s="84"/>
      <c r="L20" s="84"/>
      <c r="M20" s="84"/>
      <c r="N20" s="84"/>
      <c r="O20" s="84"/>
    </row>
    <row r="21" spans="1:15" x14ac:dyDescent="0.25">
      <c r="A21" s="104"/>
      <c r="B21" s="108"/>
      <c r="C21" s="108"/>
      <c r="D21" s="108"/>
      <c r="E21" s="84"/>
      <c r="F21" s="84"/>
      <c r="G21" s="84"/>
      <c r="H21" s="84"/>
      <c r="I21" s="84"/>
      <c r="J21" s="84"/>
      <c r="K21" s="84"/>
      <c r="L21" s="84"/>
      <c r="M21" s="84"/>
      <c r="N21" s="84"/>
      <c r="O21" s="84"/>
    </row>
    <row r="22" spans="1:15" ht="20.25" x14ac:dyDescent="0.25">
      <c r="A22" s="104"/>
      <c r="B22" s="104"/>
      <c r="C22" s="106"/>
      <c r="D22" s="106"/>
      <c r="E22" s="84"/>
      <c r="F22" s="84"/>
      <c r="G22" s="84"/>
      <c r="H22" s="84"/>
      <c r="I22" s="84"/>
      <c r="J22" s="84"/>
      <c r="K22" s="84"/>
      <c r="L22" s="84"/>
      <c r="M22" s="84"/>
      <c r="N22" s="84"/>
      <c r="O22" s="84"/>
    </row>
    <row r="23" spans="1:15" ht="20.25" x14ac:dyDescent="0.25">
      <c r="A23" s="104"/>
      <c r="B23" s="104"/>
      <c r="C23" s="106"/>
      <c r="D23" s="106"/>
      <c r="E23" s="84"/>
      <c r="F23" s="84"/>
      <c r="G23" s="84"/>
      <c r="H23" s="84"/>
      <c r="I23" s="84"/>
      <c r="J23" s="84"/>
      <c r="K23" s="84"/>
      <c r="L23" s="84"/>
      <c r="M23" s="84"/>
      <c r="N23" s="84"/>
      <c r="O23" s="84"/>
    </row>
    <row r="24" spans="1:15" ht="20.25" x14ac:dyDescent="0.25">
      <c r="A24" s="104"/>
      <c r="B24" s="104"/>
      <c r="C24" s="106"/>
      <c r="D24" s="106"/>
      <c r="E24" s="84"/>
      <c r="F24" s="84"/>
      <c r="G24" s="84"/>
      <c r="H24" s="84"/>
      <c r="I24" s="84"/>
      <c r="J24" s="84"/>
      <c r="K24" s="84"/>
      <c r="L24" s="84"/>
      <c r="M24" s="84"/>
      <c r="N24" s="84"/>
      <c r="O24" s="84"/>
    </row>
    <row r="25" spans="1:15" ht="20.25" x14ac:dyDescent="0.25">
      <c r="A25" s="104"/>
      <c r="B25" s="104"/>
      <c r="C25" s="106"/>
      <c r="D25" s="106"/>
      <c r="E25" s="84"/>
      <c r="F25" s="84"/>
      <c r="G25" s="84"/>
      <c r="H25" s="84"/>
      <c r="I25" s="84"/>
      <c r="J25" s="84"/>
      <c r="K25" s="84"/>
      <c r="L25" s="84"/>
      <c r="M25" s="84"/>
      <c r="N25" s="84"/>
      <c r="O25" s="84"/>
    </row>
    <row r="26" spans="1:15" ht="20.25" x14ac:dyDescent="0.25">
      <c r="A26" s="104"/>
      <c r="B26" s="104"/>
      <c r="C26" s="106"/>
      <c r="D26" s="106"/>
      <c r="E26" s="84"/>
      <c r="F26" s="84"/>
      <c r="G26" s="84"/>
      <c r="H26" s="84"/>
      <c r="I26" s="84"/>
      <c r="J26" s="84"/>
      <c r="K26" s="84"/>
      <c r="L26" s="84"/>
      <c r="M26" s="84"/>
      <c r="N26" s="84"/>
      <c r="O26" s="84"/>
    </row>
    <row r="27" spans="1:15" ht="20.25" x14ac:dyDescent="0.25">
      <c r="A27" s="104"/>
      <c r="B27" s="104"/>
      <c r="C27" s="106"/>
      <c r="D27" s="106"/>
      <c r="E27" s="84"/>
      <c r="F27" s="84"/>
      <c r="G27" s="84"/>
      <c r="H27" s="84"/>
      <c r="I27" s="84"/>
      <c r="J27" s="84"/>
      <c r="K27" s="84"/>
      <c r="L27" s="84"/>
      <c r="M27" s="84"/>
      <c r="N27" s="84"/>
      <c r="O27" s="84"/>
    </row>
    <row r="28" spans="1:15" ht="20.25" x14ac:dyDescent="0.25">
      <c r="A28" s="104"/>
      <c r="B28" s="104"/>
      <c r="C28" s="106"/>
      <c r="D28" s="106"/>
      <c r="E28" s="84"/>
      <c r="F28" s="84"/>
      <c r="G28" s="84"/>
      <c r="H28" s="84"/>
      <c r="I28" s="84"/>
      <c r="J28" s="84"/>
      <c r="K28" s="84"/>
      <c r="L28" s="84"/>
      <c r="M28" s="84"/>
      <c r="N28" s="84"/>
      <c r="O28" s="84"/>
    </row>
    <row r="29" spans="1:15" ht="20.25" x14ac:dyDescent="0.25">
      <c r="A29" s="104"/>
      <c r="B29" s="104"/>
      <c r="C29" s="106"/>
      <c r="D29" s="106"/>
      <c r="E29" s="84"/>
      <c r="F29" s="84"/>
      <c r="G29" s="84"/>
      <c r="H29" s="84"/>
      <c r="I29" s="84"/>
      <c r="J29" s="84"/>
      <c r="K29" s="84"/>
      <c r="L29" s="84"/>
      <c r="M29" s="84"/>
      <c r="N29" s="84"/>
      <c r="O29" s="84"/>
    </row>
    <row r="30" spans="1:15" ht="20.25" x14ac:dyDescent="0.25">
      <c r="A30" s="104"/>
      <c r="B30" s="104"/>
      <c r="C30" s="106"/>
      <c r="D30" s="106"/>
      <c r="E30" s="84"/>
      <c r="F30" s="84"/>
      <c r="G30" s="84"/>
      <c r="H30" s="84"/>
      <c r="I30" s="84"/>
      <c r="J30" s="84"/>
      <c r="K30" s="84"/>
      <c r="L30" s="84"/>
      <c r="M30" s="84"/>
      <c r="N30" s="84"/>
      <c r="O30" s="84"/>
    </row>
    <row r="31" spans="1:15" ht="20.25" x14ac:dyDescent="0.25">
      <c r="A31" s="104"/>
      <c r="B31" s="104"/>
      <c r="C31" s="106"/>
      <c r="D31" s="106"/>
      <c r="E31" s="84"/>
      <c r="F31" s="84"/>
      <c r="G31" s="84"/>
      <c r="H31" s="84"/>
      <c r="I31" s="84"/>
      <c r="J31" s="84"/>
      <c r="K31" s="84"/>
      <c r="L31" s="84"/>
      <c r="M31" s="84"/>
      <c r="N31" s="84"/>
      <c r="O31" s="84"/>
    </row>
    <row r="32" spans="1:15" ht="20.25" x14ac:dyDescent="0.25">
      <c r="A32" s="104"/>
      <c r="B32" s="104"/>
      <c r="C32" s="106"/>
      <c r="D32" s="106"/>
      <c r="E32" s="84"/>
      <c r="F32" s="84"/>
      <c r="G32" s="84"/>
      <c r="H32" s="84"/>
      <c r="I32" s="84"/>
      <c r="J32" s="84"/>
      <c r="K32" s="84"/>
      <c r="L32" s="84"/>
      <c r="M32" s="84"/>
      <c r="N32" s="84"/>
      <c r="O32" s="84"/>
    </row>
    <row r="33" spans="1:15" ht="20.25" x14ac:dyDescent="0.25">
      <c r="A33" s="104"/>
      <c r="B33" s="104"/>
      <c r="C33" s="106"/>
      <c r="D33" s="106"/>
      <c r="E33" s="84"/>
      <c r="F33" s="84"/>
      <c r="G33" s="84"/>
      <c r="H33" s="84"/>
      <c r="I33" s="84"/>
      <c r="J33" s="84"/>
      <c r="K33" s="84"/>
      <c r="L33" s="84"/>
      <c r="M33" s="84"/>
      <c r="N33" s="84"/>
      <c r="O33" s="84"/>
    </row>
    <row r="34" spans="1:15" ht="20.25" x14ac:dyDescent="0.25">
      <c r="A34" s="104"/>
      <c r="B34" s="104"/>
      <c r="C34" s="106"/>
      <c r="D34" s="106"/>
      <c r="E34" s="84"/>
      <c r="F34" s="84"/>
      <c r="G34" s="84"/>
      <c r="H34" s="84"/>
      <c r="I34" s="84"/>
      <c r="J34" s="84"/>
      <c r="K34" s="84"/>
      <c r="L34" s="84"/>
      <c r="M34" s="84"/>
      <c r="N34" s="84"/>
      <c r="O34" s="84"/>
    </row>
    <row r="35" spans="1:15" ht="20.25" x14ac:dyDescent="0.25">
      <c r="A35" s="104"/>
      <c r="B35" s="104"/>
      <c r="C35" s="106"/>
      <c r="D35" s="106"/>
      <c r="E35" s="84"/>
      <c r="F35" s="84"/>
      <c r="G35" s="84"/>
      <c r="H35" s="84"/>
      <c r="I35" s="84"/>
      <c r="J35" s="84"/>
      <c r="K35" s="84"/>
      <c r="L35" s="84"/>
      <c r="M35" s="84"/>
      <c r="N35" s="84"/>
      <c r="O35" s="84"/>
    </row>
    <row r="36" spans="1:15" ht="20.25" x14ac:dyDescent="0.25">
      <c r="A36" s="104"/>
      <c r="B36" s="104"/>
      <c r="C36" s="106"/>
      <c r="D36" s="106"/>
      <c r="E36" s="84"/>
      <c r="F36" s="84"/>
      <c r="G36" s="84"/>
      <c r="H36" s="84"/>
      <c r="I36" s="84"/>
      <c r="J36" s="84"/>
      <c r="K36" s="84"/>
      <c r="L36" s="84"/>
      <c r="M36" s="84"/>
      <c r="N36" s="84"/>
      <c r="O36" s="84"/>
    </row>
    <row r="37" spans="1:15" ht="20.25" x14ac:dyDescent="0.25">
      <c r="A37" s="104"/>
      <c r="B37" s="104"/>
      <c r="C37" s="106"/>
      <c r="D37" s="106"/>
      <c r="E37" s="84"/>
      <c r="F37" s="84"/>
      <c r="G37" s="84"/>
      <c r="H37" s="84"/>
      <c r="I37" s="84"/>
      <c r="J37" s="84"/>
      <c r="K37" s="84"/>
      <c r="L37" s="84"/>
      <c r="M37" s="84"/>
      <c r="N37" s="84"/>
      <c r="O37" s="84"/>
    </row>
    <row r="38" spans="1:15" ht="20.25" x14ac:dyDescent="0.25">
      <c r="A38" s="104"/>
      <c r="B38" s="104"/>
      <c r="C38" s="106"/>
      <c r="D38" s="106"/>
      <c r="E38" s="84"/>
      <c r="F38" s="84"/>
      <c r="G38" s="84"/>
      <c r="H38" s="84"/>
      <c r="I38" s="84"/>
      <c r="J38" s="84"/>
      <c r="K38" s="84"/>
      <c r="L38" s="84"/>
      <c r="M38" s="84"/>
      <c r="N38" s="84"/>
      <c r="O38" s="84"/>
    </row>
    <row r="39" spans="1:15" ht="20.25" x14ac:dyDescent="0.25">
      <c r="A39" s="104"/>
      <c r="B39" s="104"/>
      <c r="C39" s="106"/>
      <c r="D39" s="106"/>
      <c r="E39" s="84"/>
      <c r="F39" s="84"/>
      <c r="G39" s="84"/>
      <c r="H39" s="84"/>
      <c r="I39" s="84"/>
      <c r="J39" s="84"/>
      <c r="K39" s="84"/>
      <c r="L39" s="84"/>
      <c r="M39" s="84"/>
      <c r="N39" s="84"/>
      <c r="O39" s="84"/>
    </row>
    <row r="40" spans="1:15" ht="20.25" x14ac:dyDescent="0.25">
      <c r="A40" s="104"/>
      <c r="B40" s="104"/>
      <c r="C40" s="106"/>
      <c r="D40" s="106"/>
      <c r="E40" s="84"/>
      <c r="F40" s="84"/>
      <c r="G40" s="84"/>
      <c r="H40" s="84"/>
      <c r="I40" s="84"/>
      <c r="J40" s="84"/>
      <c r="K40" s="84"/>
      <c r="L40" s="84"/>
      <c r="M40" s="84"/>
      <c r="N40" s="84"/>
      <c r="O40" s="84"/>
    </row>
    <row r="41" spans="1:15" ht="20.25" x14ac:dyDescent="0.25">
      <c r="A41" s="104"/>
      <c r="B41" s="104"/>
      <c r="C41" s="106"/>
      <c r="D41" s="106"/>
      <c r="E41" s="84"/>
      <c r="F41" s="84"/>
      <c r="G41" s="84"/>
      <c r="H41" s="84"/>
      <c r="I41" s="84"/>
      <c r="J41" s="84"/>
      <c r="K41" s="84"/>
      <c r="L41" s="84"/>
      <c r="M41" s="84"/>
      <c r="N41" s="84"/>
      <c r="O41" s="84"/>
    </row>
    <row r="42" spans="1:15" ht="20.25" x14ac:dyDescent="0.25">
      <c r="A42" s="104"/>
      <c r="B42" s="104"/>
      <c r="C42" s="106"/>
      <c r="D42" s="106"/>
      <c r="E42" s="84"/>
      <c r="F42" s="84"/>
      <c r="G42" s="84"/>
      <c r="H42" s="84"/>
      <c r="I42" s="84"/>
      <c r="J42" s="84"/>
      <c r="K42" s="84"/>
      <c r="L42" s="84"/>
      <c r="M42" s="84"/>
      <c r="N42" s="84"/>
      <c r="O42" s="84"/>
    </row>
    <row r="43" spans="1:15" ht="20.25" x14ac:dyDescent="0.25">
      <c r="A43" s="104"/>
      <c r="B43" s="104"/>
      <c r="C43" s="106"/>
      <c r="D43" s="106"/>
      <c r="E43" s="84"/>
      <c r="F43" s="84"/>
      <c r="G43" s="84"/>
      <c r="H43" s="84"/>
      <c r="I43" s="84"/>
      <c r="J43" s="84"/>
      <c r="K43" s="84"/>
      <c r="L43" s="84"/>
      <c r="M43" s="84"/>
      <c r="N43" s="84"/>
      <c r="O43" s="84"/>
    </row>
    <row r="44" spans="1:15" ht="20.25" x14ac:dyDescent="0.25">
      <c r="A44" s="104"/>
      <c r="B44" s="104"/>
      <c r="C44" s="106"/>
      <c r="D44" s="106"/>
      <c r="E44" s="84"/>
      <c r="F44" s="84"/>
      <c r="G44" s="84"/>
      <c r="H44" s="84"/>
      <c r="I44" s="84"/>
      <c r="J44" s="84"/>
      <c r="K44" s="84"/>
      <c r="L44" s="84"/>
      <c r="M44" s="84"/>
      <c r="N44" s="84"/>
      <c r="O44" s="84"/>
    </row>
    <row r="45" spans="1:15" ht="20.25" x14ac:dyDescent="0.25">
      <c r="A45" s="104"/>
      <c r="B45" s="104"/>
      <c r="C45" s="106"/>
      <c r="D45" s="106"/>
      <c r="E45" s="84"/>
      <c r="F45" s="84"/>
      <c r="G45" s="84"/>
      <c r="H45" s="84"/>
      <c r="I45" s="84"/>
      <c r="J45" s="84"/>
      <c r="K45" s="84"/>
      <c r="L45" s="84"/>
      <c r="M45" s="84"/>
      <c r="N45" s="84"/>
      <c r="O45" s="84"/>
    </row>
    <row r="46" spans="1:15" ht="20.25" x14ac:dyDescent="0.25">
      <c r="A46" s="104"/>
      <c r="B46" s="104"/>
      <c r="C46" s="106"/>
      <c r="D46" s="106"/>
      <c r="E46" s="84"/>
      <c r="F46" s="84"/>
      <c r="G46" s="84"/>
      <c r="H46" s="84"/>
      <c r="I46" s="84"/>
      <c r="J46" s="84"/>
      <c r="K46" s="84"/>
      <c r="L46" s="84"/>
      <c r="M46" s="84"/>
      <c r="N46" s="84"/>
      <c r="O46" s="84"/>
    </row>
    <row r="47" spans="1:15" ht="20.25" x14ac:dyDescent="0.25">
      <c r="A47" s="104"/>
      <c r="B47" s="104"/>
      <c r="C47" s="106"/>
      <c r="D47" s="106"/>
      <c r="E47" s="84"/>
      <c r="F47" s="84"/>
      <c r="G47" s="84"/>
      <c r="H47" s="84"/>
      <c r="I47" s="84"/>
      <c r="J47" s="84"/>
      <c r="K47" s="84"/>
      <c r="L47" s="84"/>
      <c r="M47" s="84"/>
      <c r="N47" s="84"/>
      <c r="O47" s="84"/>
    </row>
    <row r="48" spans="1:15" ht="20.25" x14ac:dyDescent="0.25">
      <c r="A48" s="104"/>
      <c r="B48" s="104"/>
      <c r="C48" s="106"/>
      <c r="D48" s="106"/>
      <c r="E48" s="84"/>
      <c r="F48" s="84"/>
      <c r="G48" s="84"/>
      <c r="H48" s="84"/>
      <c r="I48" s="84"/>
      <c r="J48" s="84"/>
      <c r="K48" s="84"/>
      <c r="L48" s="84"/>
      <c r="M48" s="84"/>
      <c r="N48" s="84"/>
      <c r="O48" s="84"/>
    </row>
    <row r="49" spans="1:15" ht="20.25" x14ac:dyDescent="0.25">
      <c r="A49" s="104"/>
      <c r="B49" s="104"/>
      <c r="C49" s="106"/>
      <c r="D49" s="106"/>
      <c r="E49" s="84"/>
      <c r="F49" s="84"/>
      <c r="G49" s="84"/>
      <c r="H49" s="84"/>
      <c r="I49" s="84"/>
      <c r="J49" s="84"/>
      <c r="K49" s="84"/>
      <c r="L49" s="84"/>
      <c r="M49" s="84"/>
      <c r="N49" s="84"/>
      <c r="O49" s="84"/>
    </row>
    <row r="50" spans="1:15" ht="20.25" x14ac:dyDescent="0.25">
      <c r="A50" s="104"/>
      <c r="B50" s="104"/>
      <c r="C50" s="106"/>
      <c r="D50" s="106"/>
      <c r="E50" s="84"/>
      <c r="F50" s="84"/>
      <c r="G50" s="84"/>
      <c r="H50" s="84"/>
      <c r="I50" s="84"/>
      <c r="J50" s="84"/>
      <c r="K50" s="84"/>
      <c r="L50" s="84"/>
      <c r="M50" s="84"/>
      <c r="N50" s="84"/>
      <c r="O50" s="84"/>
    </row>
    <row r="51" spans="1:15" ht="20.25" x14ac:dyDescent="0.25">
      <c r="A51" s="104"/>
      <c r="B51" s="104"/>
      <c r="C51" s="106"/>
      <c r="D51" s="106"/>
      <c r="E51" s="84"/>
      <c r="F51" s="84"/>
      <c r="G51" s="84"/>
      <c r="H51" s="84"/>
      <c r="I51" s="84"/>
      <c r="J51" s="84"/>
      <c r="K51" s="84"/>
      <c r="L51" s="84"/>
      <c r="M51" s="84"/>
      <c r="N51" s="84"/>
      <c r="O51" s="84"/>
    </row>
    <row r="52" spans="1:15" ht="20.25" x14ac:dyDescent="0.25">
      <c r="A52" s="104"/>
      <c r="B52" s="23"/>
      <c r="C52" s="34"/>
      <c r="D52" s="34"/>
    </row>
    <row r="53" spans="1:15" ht="20.25" x14ac:dyDescent="0.25">
      <c r="A53" s="104"/>
      <c r="B53" s="23"/>
      <c r="C53" s="34"/>
      <c r="D53" s="34"/>
    </row>
    <row r="54" spans="1:15" ht="20.25" x14ac:dyDescent="0.25">
      <c r="A54" s="104"/>
      <c r="B54" s="23"/>
      <c r="C54" s="34"/>
      <c r="D54" s="34"/>
    </row>
    <row r="55" spans="1:15" ht="20.25" x14ac:dyDescent="0.25">
      <c r="A55" s="104"/>
      <c r="B55" s="23"/>
      <c r="C55" s="34"/>
      <c r="D55" s="34"/>
    </row>
    <row r="56" spans="1:15" ht="20.25" x14ac:dyDescent="0.25">
      <c r="A56" s="104"/>
      <c r="B56" s="23"/>
      <c r="C56" s="34"/>
      <c r="D56" s="34"/>
    </row>
    <row r="57" spans="1:15" ht="20.25" x14ac:dyDescent="0.25">
      <c r="A57" s="104"/>
      <c r="B57" s="23"/>
      <c r="C57" s="34"/>
      <c r="D57" s="34"/>
    </row>
    <row r="58" spans="1:15" ht="20.25" x14ac:dyDescent="0.25">
      <c r="A58" s="104"/>
      <c r="B58" s="23"/>
      <c r="C58" s="34"/>
      <c r="D58" s="34"/>
    </row>
    <row r="59" spans="1:15" ht="20.25" x14ac:dyDescent="0.25">
      <c r="A59" s="104"/>
      <c r="B59" s="23"/>
      <c r="C59" s="34"/>
      <c r="D59" s="34"/>
    </row>
    <row r="60" spans="1:15" ht="20.25" x14ac:dyDescent="0.25">
      <c r="A60" s="104"/>
      <c r="B60" s="23"/>
      <c r="C60" s="34"/>
      <c r="D60" s="34"/>
    </row>
    <row r="61" spans="1:15" ht="20.25" x14ac:dyDescent="0.25">
      <c r="A61" s="104"/>
      <c r="B61" s="23"/>
      <c r="C61" s="34"/>
      <c r="D61" s="34"/>
    </row>
    <row r="62" spans="1:15" ht="20.25" x14ac:dyDescent="0.25">
      <c r="A62" s="104"/>
      <c r="B62" s="23"/>
      <c r="C62" s="34"/>
      <c r="D62" s="34"/>
    </row>
    <row r="63" spans="1:15" ht="20.25" x14ac:dyDescent="0.25">
      <c r="A63" s="104"/>
      <c r="B63" s="23"/>
      <c r="C63" s="34"/>
      <c r="D63" s="34"/>
    </row>
    <row r="64" spans="1:15" ht="20.25" x14ac:dyDescent="0.25">
      <c r="A64" s="104"/>
      <c r="B64" s="23"/>
      <c r="C64" s="34"/>
      <c r="D64" s="34"/>
    </row>
    <row r="65" spans="1:4" ht="20.25" x14ac:dyDescent="0.25">
      <c r="A65" s="104"/>
      <c r="B65" s="23"/>
      <c r="C65" s="34"/>
      <c r="D65" s="34"/>
    </row>
    <row r="66" spans="1:4" ht="20.25" x14ac:dyDescent="0.25">
      <c r="A66" s="104"/>
      <c r="B66" s="23"/>
      <c r="C66" s="34"/>
      <c r="D66" s="34"/>
    </row>
    <row r="67" spans="1:4" ht="20.25" x14ac:dyDescent="0.25">
      <c r="A67" s="104"/>
      <c r="B67" s="23"/>
      <c r="C67" s="34"/>
      <c r="D67" s="34"/>
    </row>
    <row r="68" spans="1:4" ht="20.25" x14ac:dyDescent="0.25">
      <c r="A68" s="104"/>
      <c r="B68" s="23"/>
      <c r="C68" s="34"/>
      <c r="D68" s="34"/>
    </row>
    <row r="69" spans="1:4" ht="20.25" x14ac:dyDescent="0.25">
      <c r="A69" s="104"/>
      <c r="B69" s="23"/>
      <c r="C69" s="34"/>
      <c r="D69" s="34"/>
    </row>
    <row r="70" spans="1:4" ht="20.25" x14ac:dyDescent="0.25">
      <c r="A70" s="104"/>
      <c r="B70" s="23"/>
      <c r="C70" s="34"/>
      <c r="D70" s="34"/>
    </row>
    <row r="71" spans="1:4" ht="20.25" x14ac:dyDescent="0.25">
      <c r="A71" s="104"/>
      <c r="B71" s="23"/>
      <c r="C71" s="34"/>
      <c r="D71" s="34"/>
    </row>
    <row r="72" spans="1:4" ht="20.25" x14ac:dyDescent="0.25">
      <c r="A72" s="104"/>
      <c r="B72" s="23"/>
      <c r="C72" s="34"/>
      <c r="D72" s="34"/>
    </row>
    <row r="73" spans="1:4" ht="20.25" x14ac:dyDescent="0.25">
      <c r="A73" s="104"/>
      <c r="B73" s="23"/>
      <c r="C73" s="34"/>
      <c r="D73" s="34"/>
    </row>
    <row r="74" spans="1:4" ht="20.25" x14ac:dyDescent="0.25">
      <c r="A74" s="104"/>
      <c r="B74" s="23"/>
      <c r="C74" s="34"/>
      <c r="D74" s="34"/>
    </row>
    <row r="75" spans="1:4" ht="20.25" x14ac:dyDescent="0.25">
      <c r="A75" s="104"/>
      <c r="B75" s="23"/>
      <c r="C75" s="34"/>
      <c r="D75" s="34"/>
    </row>
    <row r="76" spans="1:4" ht="20.25" x14ac:dyDescent="0.25">
      <c r="A76" s="104"/>
      <c r="B76" s="23"/>
      <c r="C76" s="34"/>
      <c r="D76" s="34"/>
    </row>
    <row r="77" spans="1:4" ht="20.25" x14ac:dyDescent="0.25">
      <c r="A77" s="104"/>
      <c r="B77" s="23"/>
      <c r="C77" s="34"/>
      <c r="D77" s="34"/>
    </row>
    <row r="78" spans="1:4" ht="20.25" x14ac:dyDescent="0.25">
      <c r="A78" s="104"/>
      <c r="B78" s="23"/>
      <c r="C78" s="34"/>
      <c r="D78" s="34"/>
    </row>
    <row r="79" spans="1:4" ht="20.25" x14ac:dyDescent="0.25">
      <c r="A79" s="104"/>
      <c r="B79" s="23"/>
      <c r="C79" s="34"/>
      <c r="D79" s="34"/>
    </row>
    <row r="80" spans="1:4" ht="20.25" x14ac:dyDescent="0.25">
      <c r="A80" s="104"/>
      <c r="B80" s="23"/>
      <c r="C80" s="34"/>
      <c r="D80" s="34"/>
    </row>
    <row r="81" spans="1:4" ht="20.25" x14ac:dyDescent="0.25">
      <c r="A81" s="104"/>
      <c r="B81" s="23"/>
      <c r="C81" s="34"/>
      <c r="D81" s="34"/>
    </row>
    <row r="82" spans="1:4" ht="20.25" x14ac:dyDescent="0.25">
      <c r="A82" s="104"/>
      <c r="B82" s="23"/>
      <c r="C82" s="34"/>
      <c r="D82" s="34"/>
    </row>
    <row r="83" spans="1:4" ht="20.25" x14ac:dyDescent="0.25">
      <c r="A83" s="104"/>
      <c r="B83" s="23"/>
      <c r="C83" s="34"/>
      <c r="D83" s="34"/>
    </row>
    <row r="84" spans="1:4" ht="20.25" x14ac:dyDescent="0.25">
      <c r="A84" s="104"/>
      <c r="B84" s="23"/>
      <c r="C84" s="34"/>
      <c r="D84" s="34"/>
    </row>
    <row r="85" spans="1:4" ht="20.25" x14ac:dyDescent="0.25">
      <c r="A85" s="104"/>
      <c r="B85" s="23"/>
      <c r="C85" s="34"/>
      <c r="D85" s="34"/>
    </row>
    <row r="86" spans="1:4" ht="20.25" x14ac:dyDescent="0.25">
      <c r="A86" s="104"/>
      <c r="B86" s="23"/>
      <c r="C86" s="34"/>
      <c r="D86" s="34"/>
    </row>
    <row r="87" spans="1:4" ht="20.25" x14ac:dyDescent="0.25">
      <c r="A87" s="104"/>
      <c r="B87" s="23"/>
      <c r="C87" s="34"/>
      <c r="D87" s="34"/>
    </row>
    <row r="88" spans="1:4" ht="20.25" x14ac:dyDescent="0.25">
      <c r="A88" s="104"/>
      <c r="B88" s="23"/>
      <c r="C88" s="34"/>
      <c r="D88" s="34"/>
    </row>
    <row r="89" spans="1:4" ht="20.25" x14ac:dyDescent="0.25">
      <c r="A89" s="104"/>
      <c r="B89" s="23"/>
      <c r="C89" s="34"/>
      <c r="D89" s="34"/>
    </row>
    <row r="90" spans="1:4" ht="20.25" x14ac:dyDescent="0.25">
      <c r="A90" s="104"/>
      <c r="B90" s="23"/>
      <c r="C90" s="34"/>
      <c r="D90" s="34"/>
    </row>
    <row r="91" spans="1:4" ht="20.25" x14ac:dyDescent="0.25">
      <c r="A91" s="104"/>
      <c r="B91" s="23"/>
      <c r="C91" s="34"/>
      <c r="D91" s="34"/>
    </row>
    <row r="92" spans="1:4" ht="20.25" x14ac:dyDescent="0.25">
      <c r="A92" s="104"/>
      <c r="B92" s="23"/>
      <c r="C92" s="34"/>
      <c r="D92" s="34"/>
    </row>
    <row r="93" spans="1:4" ht="20.25" x14ac:dyDescent="0.25">
      <c r="A93" s="104"/>
      <c r="B93" s="23"/>
      <c r="C93" s="34"/>
      <c r="D93" s="34"/>
    </row>
    <row r="94" spans="1:4" ht="20.25" x14ac:dyDescent="0.25">
      <c r="A94" s="104"/>
      <c r="B94" s="23"/>
      <c r="C94" s="34"/>
      <c r="D94" s="34"/>
    </row>
    <row r="95" spans="1:4" ht="20.25" x14ac:dyDescent="0.25">
      <c r="A95" s="104"/>
      <c r="B95" s="23"/>
      <c r="C95" s="34"/>
      <c r="D95" s="34"/>
    </row>
    <row r="96" spans="1:4" ht="20.25" x14ac:dyDescent="0.25">
      <c r="A96" s="104"/>
      <c r="B96" s="23"/>
      <c r="C96" s="34"/>
      <c r="D96" s="34"/>
    </row>
    <row r="97" spans="1:4" ht="20.25" x14ac:dyDescent="0.25">
      <c r="A97" s="104"/>
      <c r="B97" s="23"/>
      <c r="C97" s="34"/>
      <c r="D97" s="34"/>
    </row>
    <row r="98" spans="1:4" ht="20.25" x14ac:dyDescent="0.25">
      <c r="A98" s="104"/>
      <c r="B98" s="23"/>
      <c r="C98" s="34"/>
      <c r="D98" s="34"/>
    </row>
    <row r="99" spans="1:4" ht="20.25" x14ac:dyDescent="0.25">
      <c r="A99" s="104"/>
      <c r="B99" s="23"/>
      <c r="C99" s="34"/>
      <c r="D99" s="34"/>
    </row>
    <row r="100" spans="1:4" ht="20.25" x14ac:dyDescent="0.25">
      <c r="A100" s="104"/>
      <c r="B100" s="23"/>
      <c r="C100" s="34"/>
      <c r="D100" s="34"/>
    </row>
    <row r="101" spans="1:4" ht="20.25" x14ac:dyDescent="0.25">
      <c r="A101" s="104"/>
      <c r="B101" s="23"/>
      <c r="C101" s="34"/>
      <c r="D101" s="34"/>
    </row>
    <row r="102" spans="1:4" ht="20.25" x14ac:dyDescent="0.25">
      <c r="A102" s="104"/>
      <c r="B102" s="23"/>
      <c r="C102" s="34"/>
      <c r="D102" s="34"/>
    </row>
    <row r="103" spans="1:4" ht="20.25" x14ac:dyDescent="0.25">
      <c r="A103" s="104"/>
      <c r="B103" s="23"/>
      <c r="C103" s="34"/>
      <c r="D103" s="34"/>
    </row>
    <row r="104" spans="1:4" ht="20.25" x14ac:dyDescent="0.25">
      <c r="A104" s="104"/>
      <c r="B104" s="23"/>
      <c r="C104" s="34"/>
      <c r="D104" s="34"/>
    </row>
    <row r="105" spans="1:4" ht="20.25" x14ac:dyDescent="0.25">
      <c r="A105" s="104"/>
      <c r="B105" s="23"/>
      <c r="C105" s="34"/>
      <c r="D105" s="34"/>
    </row>
    <row r="106" spans="1:4" ht="20.25" x14ac:dyDescent="0.25">
      <c r="A106" s="104"/>
      <c r="B106" s="23"/>
      <c r="C106" s="34"/>
      <c r="D106" s="34"/>
    </row>
    <row r="107" spans="1:4" ht="20.25" x14ac:dyDescent="0.25">
      <c r="A107" s="104"/>
      <c r="B107" s="23"/>
      <c r="C107" s="34"/>
      <c r="D107" s="34"/>
    </row>
    <row r="108" spans="1:4" ht="20.25" x14ac:dyDescent="0.25">
      <c r="A108" s="104"/>
      <c r="B108" s="23"/>
      <c r="C108" s="34"/>
      <c r="D108" s="34"/>
    </row>
    <row r="109" spans="1:4" ht="20.25" x14ac:dyDescent="0.25">
      <c r="A109" s="104"/>
      <c r="B109" s="23"/>
      <c r="C109" s="34"/>
      <c r="D109" s="34"/>
    </row>
    <row r="110" spans="1:4" ht="20.25" x14ac:dyDescent="0.25">
      <c r="A110" s="104"/>
      <c r="B110" s="23"/>
      <c r="C110" s="34"/>
      <c r="D110" s="34"/>
    </row>
    <row r="111" spans="1:4" ht="20.25" x14ac:dyDescent="0.25">
      <c r="A111" s="104"/>
      <c r="B111" s="23"/>
      <c r="C111" s="34"/>
      <c r="D111" s="34"/>
    </row>
    <row r="112" spans="1:4" ht="20.25" x14ac:dyDescent="0.25">
      <c r="A112" s="104"/>
      <c r="B112" s="23"/>
      <c r="C112" s="34"/>
      <c r="D112" s="34"/>
    </row>
    <row r="113" spans="1:4" ht="20.25" x14ac:dyDescent="0.25">
      <c r="A113" s="104"/>
      <c r="B113" s="23"/>
      <c r="C113" s="34"/>
      <c r="D113" s="34"/>
    </row>
    <row r="114" spans="1:4" ht="20.25" x14ac:dyDescent="0.25">
      <c r="A114" s="104"/>
      <c r="B114" s="23"/>
      <c r="C114" s="34"/>
      <c r="D114" s="34"/>
    </row>
    <row r="115" spans="1:4" ht="20.25" x14ac:dyDescent="0.25">
      <c r="A115" s="104"/>
      <c r="B115" s="23"/>
      <c r="C115" s="34"/>
      <c r="D115" s="34"/>
    </row>
    <row r="116" spans="1:4" ht="20.25" x14ac:dyDescent="0.25">
      <c r="A116" s="104"/>
      <c r="B116" s="23"/>
      <c r="C116" s="34"/>
      <c r="D116" s="34"/>
    </row>
    <row r="117" spans="1:4" ht="20.25" x14ac:dyDescent="0.25">
      <c r="A117" s="104"/>
      <c r="B117" s="23"/>
      <c r="C117" s="34"/>
      <c r="D117" s="34"/>
    </row>
    <row r="118" spans="1:4" ht="20.25" x14ac:dyDescent="0.25">
      <c r="A118" s="104"/>
      <c r="B118" s="23"/>
      <c r="C118" s="34"/>
      <c r="D118" s="34"/>
    </row>
    <row r="119" spans="1:4" ht="20.25" x14ac:dyDescent="0.25">
      <c r="A119" s="104"/>
      <c r="B119" s="23"/>
      <c r="C119" s="34"/>
      <c r="D119" s="34"/>
    </row>
    <row r="120" spans="1:4" ht="20.25" x14ac:dyDescent="0.25">
      <c r="A120" s="104"/>
      <c r="B120" s="23"/>
      <c r="C120" s="34"/>
      <c r="D120" s="34"/>
    </row>
    <row r="121" spans="1:4" ht="20.25" x14ac:dyDescent="0.25">
      <c r="A121" s="104"/>
      <c r="B121" s="23"/>
      <c r="C121" s="34"/>
      <c r="D121" s="34"/>
    </row>
    <row r="122" spans="1:4" ht="20.25" x14ac:dyDescent="0.25">
      <c r="A122" s="104"/>
      <c r="B122" s="23"/>
      <c r="C122" s="34"/>
      <c r="D122" s="34"/>
    </row>
    <row r="123" spans="1:4" ht="20.25" x14ac:dyDescent="0.25">
      <c r="A123" s="104"/>
      <c r="B123" s="23"/>
      <c r="C123" s="34"/>
      <c r="D123" s="34"/>
    </row>
    <row r="124" spans="1:4" ht="20.25" x14ac:dyDescent="0.25">
      <c r="A124" s="104"/>
      <c r="B124" s="23"/>
      <c r="C124" s="34"/>
      <c r="D124" s="34"/>
    </row>
    <row r="125" spans="1:4" ht="20.25" x14ac:dyDescent="0.25">
      <c r="A125" s="104"/>
      <c r="B125" s="23"/>
      <c r="C125" s="34"/>
      <c r="D125" s="34"/>
    </row>
    <row r="126" spans="1:4" ht="20.25" x14ac:dyDescent="0.25">
      <c r="A126" s="104"/>
      <c r="B126" s="23"/>
      <c r="C126" s="34"/>
      <c r="D126" s="34"/>
    </row>
    <row r="127" spans="1:4" ht="20.25" x14ac:dyDescent="0.25">
      <c r="A127" s="104"/>
      <c r="B127" s="23"/>
      <c r="C127" s="34"/>
      <c r="D127" s="34"/>
    </row>
    <row r="128" spans="1:4" ht="20.25" x14ac:dyDescent="0.25">
      <c r="A128" s="104"/>
      <c r="B128" s="23"/>
      <c r="C128" s="34"/>
      <c r="D128" s="34"/>
    </row>
    <row r="129" spans="1:4" ht="20.25" x14ac:dyDescent="0.25">
      <c r="A129" s="104"/>
      <c r="B129" s="23"/>
      <c r="C129" s="34"/>
      <c r="D129" s="34"/>
    </row>
    <row r="130" spans="1:4" ht="20.25" x14ac:dyDescent="0.25">
      <c r="A130" s="104"/>
      <c r="B130" s="23"/>
      <c r="C130" s="34"/>
      <c r="D130" s="34"/>
    </row>
    <row r="131" spans="1:4" ht="20.25" x14ac:dyDescent="0.25">
      <c r="A131" s="104"/>
      <c r="B131" s="23"/>
      <c r="C131" s="34"/>
      <c r="D131" s="34"/>
    </row>
    <row r="132" spans="1:4" ht="20.25" x14ac:dyDescent="0.25">
      <c r="A132" s="104"/>
      <c r="B132" s="23"/>
      <c r="C132" s="34"/>
      <c r="D132" s="34"/>
    </row>
    <row r="133" spans="1:4" ht="20.25" x14ac:dyDescent="0.25">
      <c r="A133" s="104"/>
      <c r="B133" s="23"/>
      <c r="C133" s="34"/>
      <c r="D133" s="34"/>
    </row>
    <row r="134" spans="1:4" ht="20.25" x14ac:dyDescent="0.25">
      <c r="A134" s="104"/>
      <c r="B134" s="23"/>
      <c r="C134" s="34"/>
      <c r="D134" s="34"/>
    </row>
    <row r="135" spans="1:4" ht="20.25" x14ac:dyDescent="0.25">
      <c r="A135" s="104"/>
      <c r="B135" s="23"/>
      <c r="C135" s="34"/>
      <c r="D135" s="34"/>
    </row>
    <row r="136" spans="1:4" ht="20.25" x14ac:dyDescent="0.25">
      <c r="A136" s="104"/>
      <c r="B136" s="23"/>
      <c r="C136" s="34"/>
      <c r="D136" s="34"/>
    </row>
    <row r="137" spans="1:4" ht="20.25" x14ac:dyDescent="0.25">
      <c r="A137" s="104"/>
      <c r="B137" s="23"/>
      <c r="C137" s="34"/>
      <c r="D137" s="34"/>
    </row>
    <row r="138" spans="1:4" ht="20.25" x14ac:dyDescent="0.25">
      <c r="A138" s="104"/>
      <c r="B138" s="23"/>
      <c r="C138" s="34"/>
      <c r="D138" s="34"/>
    </row>
    <row r="139" spans="1:4" ht="20.25" x14ac:dyDescent="0.25">
      <c r="A139" s="104"/>
      <c r="B139" s="23"/>
      <c r="C139" s="34"/>
      <c r="D139" s="34"/>
    </row>
    <row r="140" spans="1:4" ht="20.25" x14ac:dyDescent="0.25">
      <c r="A140" s="104"/>
      <c r="B140" s="23"/>
      <c r="C140" s="34"/>
      <c r="D140" s="34"/>
    </row>
    <row r="141" spans="1:4" ht="20.25" x14ac:dyDescent="0.25">
      <c r="A141" s="104"/>
      <c r="B141" s="23"/>
      <c r="C141" s="34"/>
      <c r="D141" s="34"/>
    </row>
    <row r="142" spans="1:4" ht="20.25" x14ac:dyDescent="0.25">
      <c r="A142" s="104"/>
      <c r="B142" s="23"/>
      <c r="C142" s="34"/>
      <c r="D142" s="34"/>
    </row>
    <row r="143" spans="1:4" ht="20.25" x14ac:dyDescent="0.25">
      <c r="A143" s="104"/>
      <c r="B143" s="23"/>
      <c r="C143" s="34"/>
      <c r="D143" s="34"/>
    </row>
    <row r="144" spans="1:4" ht="20.25" x14ac:dyDescent="0.25">
      <c r="A144" s="104"/>
      <c r="B144" s="23"/>
      <c r="C144" s="34"/>
      <c r="D144" s="34"/>
    </row>
    <row r="145" spans="1:4" ht="20.25" x14ac:dyDescent="0.25">
      <c r="A145" s="104"/>
      <c r="B145" s="23"/>
      <c r="C145" s="34"/>
      <c r="D145" s="34"/>
    </row>
    <row r="146" spans="1:4" ht="20.25" x14ac:dyDescent="0.25">
      <c r="A146" s="104"/>
      <c r="B146" s="23"/>
      <c r="C146" s="34"/>
      <c r="D146" s="34"/>
    </row>
    <row r="147" spans="1:4" ht="20.25" x14ac:dyDescent="0.25">
      <c r="A147" s="104"/>
      <c r="B147" s="23"/>
      <c r="C147" s="34"/>
      <c r="D147" s="34"/>
    </row>
    <row r="148" spans="1:4" ht="20.25" x14ac:dyDescent="0.25">
      <c r="A148" s="104"/>
      <c r="B148" s="23"/>
      <c r="C148" s="34"/>
      <c r="D148" s="34"/>
    </row>
    <row r="149" spans="1:4" ht="20.25" x14ac:dyDescent="0.25">
      <c r="A149" s="104"/>
      <c r="B149" s="23"/>
      <c r="C149" s="34"/>
      <c r="D149" s="34"/>
    </row>
    <row r="150" spans="1:4" ht="20.25" x14ac:dyDescent="0.25">
      <c r="A150" s="104"/>
      <c r="B150" s="23"/>
      <c r="C150" s="34"/>
      <c r="D150" s="34"/>
    </row>
    <row r="151" spans="1:4" ht="20.25" x14ac:dyDescent="0.25">
      <c r="A151" s="104"/>
      <c r="B151" s="23"/>
      <c r="C151" s="34"/>
      <c r="D151" s="34"/>
    </row>
    <row r="152" spans="1:4" ht="20.25" x14ac:dyDescent="0.25">
      <c r="A152" s="104"/>
      <c r="B152" s="23"/>
      <c r="C152" s="34"/>
      <c r="D152" s="34"/>
    </row>
    <row r="153" spans="1:4" ht="20.25" x14ac:dyDescent="0.25">
      <c r="A153" s="104"/>
      <c r="B153" s="23"/>
      <c r="C153" s="34"/>
      <c r="D153" s="34"/>
    </row>
    <row r="154" spans="1:4" ht="20.25" x14ac:dyDescent="0.25">
      <c r="A154" s="104"/>
      <c r="B154" s="23"/>
      <c r="C154" s="34"/>
      <c r="D154" s="34"/>
    </row>
    <row r="155" spans="1:4" ht="20.25" x14ac:dyDescent="0.25">
      <c r="A155" s="104"/>
      <c r="B155" s="23"/>
      <c r="C155" s="34"/>
      <c r="D155" s="34"/>
    </row>
    <row r="156" spans="1:4" ht="20.25" x14ac:dyDescent="0.25">
      <c r="A156" s="104"/>
      <c r="B156" s="23"/>
      <c r="C156" s="34"/>
      <c r="D156" s="34"/>
    </row>
    <row r="157" spans="1:4" ht="20.25" x14ac:dyDescent="0.25">
      <c r="A157" s="104"/>
      <c r="B157" s="23"/>
      <c r="C157" s="34"/>
      <c r="D157" s="34"/>
    </row>
    <row r="158" spans="1:4" ht="20.25" x14ac:dyDescent="0.25">
      <c r="A158" s="104"/>
      <c r="B158" s="23"/>
      <c r="C158" s="34"/>
      <c r="D158" s="34"/>
    </row>
    <row r="159" spans="1:4" ht="20.25" x14ac:dyDescent="0.25">
      <c r="A159" s="104"/>
      <c r="B159" s="23"/>
      <c r="C159" s="34"/>
      <c r="D159" s="34"/>
    </row>
    <row r="160" spans="1:4" ht="20.25" x14ac:dyDescent="0.25">
      <c r="A160" s="104"/>
      <c r="B160" s="23"/>
      <c r="C160" s="34"/>
      <c r="D160" s="34"/>
    </row>
    <row r="161" spans="1:4" ht="20.25" x14ac:dyDescent="0.25">
      <c r="A161" s="104"/>
      <c r="B161" s="23"/>
      <c r="C161" s="34"/>
      <c r="D161" s="34"/>
    </row>
    <row r="162" spans="1:4" ht="20.25" x14ac:dyDescent="0.25">
      <c r="A162" s="104"/>
      <c r="B162" s="23"/>
      <c r="C162" s="34"/>
      <c r="D162" s="34"/>
    </row>
    <row r="163" spans="1:4" ht="20.25" x14ac:dyDescent="0.25">
      <c r="A163" s="104"/>
      <c r="B163" s="23"/>
      <c r="C163" s="34"/>
      <c r="D163" s="34"/>
    </row>
    <row r="164" spans="1:4" ht="20.25" x14ac:dyDescent="0.25">
      <c r="A164" s="104"/>
      <c r="B164" s="23"/>
      <c r="C164" s="34"/>
      <c r="D164" s="34"/>
    </row>
    <row r="165" spans="1:4" ht="20.25" x14ac:dyDescent="0.25">
      <c r="A165" s="104"/>
      <c r="B165" s="23"/>
      <c r="C165" s="34"/>
      <c r="D165" s="34"/>
    </row>
    <row r="166" spans="1:4" ht="20.25" x14ac:dyDescent="0.25">
      <c r="A166" s="104"/>
      <c r="B166" s="23"/>
      <c r="C166" s="34"/>
      <c r="D166" s="34"/>
    </row>
    <row r="167" spans="1:4" ht="20.25" x14ac:dyDescent="0.25">
      <c r="A167" s="104"/>
      <c r="B167" s="23"/>
      <c r="C167" s="34"/>
      <c r="D167" s="34"/>
    </row>
    <row r="168" spans="1:4" ht="20.25" x14ac:dyDescent="0.25">
      <c r="A168" s="104"/>
      <c r="B168" s="23"/>
      <c r="C168" s="34"/>
      <c r="D168" s="34"/>
    </row>
    <row r="169" spans="1:4" ht="20.25" x14ac:dyDescent="0.25">
      <c r="A169" s="104"/>
      <c r="B169" s="23"/>
      <c r="C169" s="34"/>
      <c r="D169" s="34"/>
    </row>
    <row r="170" spans="1:4" ht="20.25" x14ac:dyDescent="0.25">
      <c r="A170" s="104"/>
      <c r="B170" s="23"/>
      <c r="C170" s="34"/>
      <c r="D170" s="34"/>
    </row>
    <row r="171" spans="1:4" ht="20.25" x14ac:dyDescent="0.25">
      <c r="A171" s="104"/>
      <c r="B171" s="23"/>
      <c r="C171" s="34"/>
      <c r="D171" s="34"/>
    </row>
    <row r="172" spans="1:4" ht="20.25" x14ac:dyDescent="0.25">
      <c r="A172" s="104"/>
      <c r="B172" s="23"/>
      <c r="C172" s="34"/>
      <c r="D172" s="34"/>
    </row>
    <row r="173" spans="1:4" ht="20.25" x14ac:dyDescent="0.25">
      <c r="A173" s="104"/>
      <c r="B173" s="23"/>
      <c r="C173" s="34"/>
      <c r="D173" s="34"/>
    </row>
    <row r="174" spans="1:4" ht="20.25" x14ac:dyDescent="0.25">
      <c r="A174" s="104"/>
      <c r="B174" s="23"/>
      <c r="C174" s="34"/>
      <c r="D174" s="34"/>
    </row>
    <row r="175" spans="1:4" ht="20.25" x14ac:dyDescent="0.25">
      <c r="A175" s="104"/>
      <c r="B175" s="23"/>
      <c r="C175" s="34"/>
      <c r="D175" s="34"/>
    </row>
    <row r="176" spans="1:4" ht="20.25" x14ac:dyDescent="0.25">
      <c r="A176" s="104"/>
      <c r="B176" s="23"/>
      <c r="C176" s="34"/>
      <c r="D176" s="34"/>
    </row>
    <row r="177" spans="1:4" ht="20.25" x14ac:dyDescent="0.25">
      <c r="A177" s="104"/>
      <c r="B177" s="23"/>
      <c r="C177" s="34"/>
      <c r="D177" s="34"/>
    </row>
    <row r="178" spans="1:4" ht="20.25" x14ac:dyDescent="0.25">
      <c r="A178" s="104"/>
      <c r="B178" s="23"/>
      <c r="C178" s="34"/>
      <c r="D178" s="34"/>
    </row>
    <row r="179" spans="1:4" ht="20.25" x14ac:dyDescent="0.25">
      <c r="A179" s="104"/>
      <c r="B179" s="23"/>
      <c r="C179" s="34"/>
      <c r="D179" s="34"/>
    </row>
    <row r="180" spans="1:4" ht="20.25" x14ac:dyDescent="0.25">
      <c r="A180" s="104"/>
      <c r="B180" s="23"/>
      <c r="C180" s="34"/>
      <c r="D180" s="34"/>
    </row>
    <row r="181" spans="1:4" ht="20.25" x14ac:dyDescent="0.25">
      <c r="A181" s="104"/>
      <c r="B181" s="23"/>
      <c r="C181" s="34"/>
      <c r="D181" s="34"/>
    </row>
    <row r="182" spans="1:4" ht="20.25" x14ac:dyDescent="0.25">
      <c r="A182" s="104"/>
      <c r="B182" s="23"/>
      <c r="C182" s="34"/>
      <c r="D182" s="34"/>
    </row>
    <row r="183" spans="1:4" ht="20.25" x14ac:dyDescent="0.25">
      <c r="A183" s="104"/>
      <c r="B183" s="23"/>
      <c r="C183" s="34"/>
      <c r="D183" s="34"/>
    </row>
    <row r="184" spans="1:4" ht="20.25" x14ac:dyDescent="0.25">
      <c r="A184" s="104"/>
      <c r="B184" s="23"/>
      <c r="C184" s="34"/>
      <c r="D184" s="34"/>
    </row>
    <row r="185" spans="1:4" ht="20.25" x14ac:dyDescent="0.25">
      <c r="A185" s="104"/>
      <c r="B185" s="23"/>
      <c r="C185" s="34"/>
      <c r="D185" s="34"/>
    </row>
    <row r="186" spans="1:4" ht="20.25" x14ac:dyDescent="0.25">
      <c r="A186" s="104"/>
      <c r="B186" s="23"/>
      <c r="C186" s="34"/>
      <c r="D186" s="34"/>
    </row>
    <row r="187" spans="1:4" ht="20.25" x14ac:dyDescent="0.25">
      <c r="A187" s="104"/>
      <c r="B187" s="23"/>
      <c r="C187" s="34"/>
      <c r="D187" s="34"/>
    </row>
    <row r="188" spans="1:4" ht="20.25" x14ac:dyDescent="0.25">
      <c r="A188" s="104"/>
      <c r="B188" s="23"/>
      <c r="C188" s="34"/>
      <c r="D188" s="34"/>
    </row>
    <row r="189" spans="1:4" ht="20.25" x14ac:dyDescent="0.25">
      <c r="A189" s="104"/>
      <c r="B189" s="23"/>
      <c r="C189" s="34"/>
      <c r="D189" s="34"/>
    </row>
    <row r="190" spans="1:4" ht="20.25" x14ac:dyDescent="0.25">
      <c r="A190" s="104"/>
      <c r="B190" s="23"/>
      <c r="C190" s="34"/>
      <c r="D190" s="34"/>
    </row>
    <row r="191" spans="1:4" ht="20.25" x14ac:dyDescent="0.25">
      <c r="A191" s="104"/>
      <c r="B191" s="23"/>
      <c r="C191" s="34"/>
      <c r="D191" s="34"/>
    </row>
    <row r="192" spans="1:4" ht="20.25" x14ac:dyDescent="0.25">
      <c r="A192" s="104"/>
      <c r="B192" s="23"/>
      <c r="C192" s="34"/>
      <c r="D192" s="34"/>
    </row>
    <row r="193" spans="1:4" ht="20.25" x14ac:dyDescent="0.25">
      <c r="A193" s="104"/>
      <c r="B193" s="23"/>
      <c r="C193" s="34"/>
      <c r="D193" s="34"/>
    </row>
    <row r="194" spans="1:4" ht="20.25" x14ac:dyDescent="0.25">
      <c r="A194" s="104"/>
      <c r="B194" s="23"/>
      <c r="C194" s="34"/>
      <c r="D194" s="34"/>
    </row>
    <row r="195" spans="1:4" ht="20.25" x14ac:dyDescent="0.25">
      <c r="A195" s="104"/>
      <c r="B195" s="23"/>
      <c r="C195" s="34"/>
      <c r="D195" s="34"/>
    </row>
    <row r="196" spans="1:4" ht="20.25" x14ac:dyDescent="0.25">
      <c r="A196" s="104"/>
      <c r="B196" s="23"/>
      <c r="C196" s="34"/>
      <c r="D196" s="34"/>
    </row>
    <row r="197" spans="1:4" ht="20.25" x14ac:dyDescent="0.25">
      <c r="A197" s="104"/>
      <c r="B197" s="23"/>
      <c r="C197" s="34"/>
      <c r="D197" s="34"/>
    </row>
    <row r="198" spans="1:4" ht="20.25" x14ac:dyDescent="0.25">
      <c r="A198" s="104"/>
      <c r="B198" s="23"/>
      <c r="C198" s="34"/>
      <c r="D198" s="34"/>
    </row>
    <row r="199" spans="1:4" ht="20.25" x14ac:dyDescent="0.25">
      <c r="A199" s="104"/>
      <c r="B199" s="23"/>
      <c r="C199" s="34"/>
      <c r="D199" s="34"/>
    </row>
    <row r="200" spans="1:4" ht="20.25" x14ac:dyDescent="0.25">
      <c r="A200" s="104"/>
      <c r="B200" s="23"/>
      <c r="C200" s="34"/>
      <c r="D200" s="34"/>
    </row>
    <row r="201" spans="1:4" ht="20.25" x14ac:dyDescent="0.25">
      <c r="A201" s="104"/>
      <c r="B201" s="23"/>
      <c r="C201" s="34"/>
      <c r="D201" s="34"/>
    </row>
    <row r="202" spans="1:4" ht="20.25" x14ac:dyDescent="0.25">
      <c r="A202" s="104"/>
      <c r="B202" s="23"/>
      <c r="C202" s="34"/>
      <c r="D202" s="34"/>
    </row>
    <row r="203" spans="1:4" ht="20.25" x14ac:dyDescent="0.25">
      <c r="A203" s="104"/>
      <c r="B203" s="23"/>
      <c r="C203" s="34"/>
      <c r="D203" s="34"/>
    </row>
    <row r="204" spans="1:4" ht="20.25" x14ac:dyDescent="0.25">
      <c r="A204" s="104"/>
      <c r="B204" s="23"/>
      <c r="C204" s="34"/>
      <c r="D204" s="34"/>
    </row>
    <row r="205" spans="1:4" ht="20.25" x14ac:dyDescent="0.25">
      <c r="A205" s="104"/>
      <c r="B205" s="23"/>
      <c r="C205" s="34"/>
      <c r="D205" s="34"/>
    </row>
    <row r="206" spans="1:4" ht="20.25" x14ac:dyDescent="0.25">
      <c r="A206" s="104"/>
      <c r="B206" s="23"/>
      <c r="C206" s="34"/>
      <c r="D206" s="34"/>
    </row>
    <row r="207" spans="1:4" ht="20.25" x14ac:dyDescent="0.25">
      <c r="A207" s="104"/>
      <c r="B207" s="23"/>
      <c r="C207" s="34"/>
      <c r="D207" s="34"/>
    </row>
    <row r="208" spans="1:4" x14ac:dyDescent="0.25">
      <c r="A208" s="84"/>
      <c r="B208" s="23"/>
      <c r="C208" s="23"/>
      <c r="D208" s="23"/>
    </row>
    <row r="209" spans="1:8" ht="20.25" x14ac:dyDescent="0.25">
      <c r="A209" s="84"/>
      <c r="B209" s="30" t="s">
        <v>88</v>
      </c>
      <c r="C209" s="30" t="s">
        <v>145</v>
      </c>
      <c r="D209" s="33" t="s">
        <v>88</v>
      </c>
      <c r="E209" s="33" t="s">
        <v>145</v>
      </c>
    </row>
    <row r="210" spans="1:8" ht="21" x14ac:dyDescent="0.35">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4"/>
      <c r="B211" s="31" t="s">
        <v>90</v>
      </c>
      <c r="C211" s="31" t="s">
        <v>93</v>
      </c>
      <c r="E211" t="s">
        <v>58</v>
      </c>
      <c r="F211" t="str">
        <f t="shared" ref="F211:F221" si="0">IF(NOT(ISBLANK(D211)),D211,IF(NOT(ISBLANK(E211)),"     "&amp;E211,FALSE))</f>
        <v xml:space="preserve">     Afectación menor a 10 SMLMV .</v>
      </c>
    </row>
    <row r="212" spans="1:8" ht="21" x14ac:dyDescent="0.35">
      <c r="A212" s="84"/>
      <c r="B212" s="31" t="s">
        <v>90</v>
      </c>
      <c r="C212" s="31" t="s">
        <v>94</v>
      </c>
      <c r="E212" t="s">
        <v>93</v>
      </c>
      <c r="F212" t="str">
        <f t="shared" si="0"/>
        <v xml:space="preserve">     Entre 10 y 50 SMLMV </v>
      </c>
    </row>
    <row r="213" spans="1:8" ht="21" x14ac:dyDescent="0.35">
      <c r="A213" s="84"/>
      <c r="B213" s="31" t="s">
        <v>90</v>
      </c>
      <c r="C213" s="31" t="s">
        <v>95</v>
      </c>
      <c r="E213" t="s">
        <v>94</v>
      </c>
      <c r="F213" t="str">
        <f t="shared" si="0"/>
        <v xml:space="preserve">     Entre 50 y 100 SMLMV </v>
      </c>
    </row>
    <row r="214" spans="1:8" ht="21" x14ac:dyDescent="0.35">
      <c r="A214" s="84"/>
      <c r="B214" s="31" t="s">
        <v>90</v>
      </c>
      <c r="C214" s="31" t="s">
        <v>96</v>
      </c>
      <c r="E214" t="s">
        <v>95</v>
      </c>
      <c r="F214" t="str">
        <f t="shared" si="0"/>
        <v xml:space="preserve">     Entre 100 y 500 SMLMV </v>
      </c>
    </row>
    <row r="215" spans="1:8" ht="21" x14ac:dyDescent="0.35">
      <c r="A215" s="84"/>
      <c r="B215" s="31" t="s">
        <v>57</v>
      </c>
      <c r="C215" s="31" t="s">
        <v>97</v>
      </c>
      <c r="E215" t="s">
        <v>96</v>
      </c>
      <c r="F215" t="str">
        <f t="shared" si="0"/>
        <v xml:space="preserve">     Mayor a 500 SMLMV </v>
      </c>
    </row>
    <row r="216" spans="1:8" ht="21" x14ac:dyDescent="0.35">
      <c r="A216" s="84"/>
      <c r="B216" s="31" t="s">
        <v>57</v>
      </c>
      <c r="C216" s="31" t="s">
        <v>98</v>
      </c>
      <c r="D216" t="s">
        <v>57</v>
      </c>
      <c r="F216" t="str">
        <f t="shared" si="0"/>
        <v>Pérdida Reputacional</v>
      </c>
    </row>
    <row r="217" spans="1:8" ht="21" x14ac:dyDescent="0.35">
      <c r="A217" s="84"/>
      <c r="B217" s="31" t="s">
        <v>57</v>
      </c>
      <c r="C217" s="31" t="s">
        <v>100</v>
      </c>
      <c r="E217" t="s">
        <v>97</v>
      </c>
      <c r="F217" t="str">
        <f t="shared" si="0"/>
        <v xml:space="preserve">     El riesgo afecta la imagen de alguna área de la organización</v>
      </c>
    </row>
    <row r="218" spans="1:8" ht="21" x14ac:dyDescent="0.35">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4"/>
      <c r="B219" s="31" t="s">
        <v>57</v>
      </c>
      <c r="C219" s="31" t="s">
        <v>118</v>
      </c>
      <c r="E219" t="s">
        <v>100</v>
      </c>
      <c r="F219" t="str">
        <f t="shared" si="0"/>
        <v xml:space="preserve">     El riesgo afecta la imagen de la entidad con algunos usuarios de relevancia frente al logro de los objetivos</v>
      </c>
    </row>
    <row r="220" spans="1:8" x14ac:dyDescent="0.25">
      <c r="A220" s="84"/>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4"/>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9"/>
    <col min="3" max="3" width="17" style="89" customWidth="1"/>
    <col min="4" max="4" width="14.28515625" style="89"/>
    <col min="5" max="5" width="46" style="89" customWidth="1"/>
    <col min="6" max="16384" width="14.28515625" style="89"/>
  </cols>
  <sheetData>
    <row r="1" spans="2:6" ht="24" customHeight="1" thickBot="1" x14ac:dyDescent="0.25">
      <c r="B1" s="400" t="s">
        <v>78</v>
      </c>
      <c r="C1" s="401"/>
      <c r="D1" s="401"/>
      <c r="E1" s="401"/>
      <c r="F1" s="402"/>
    </row>
    <row r="2" spans="2:6" ht="16.5" thickBot="1" x14ac:dyDescent="0.3">
      <c r="B2" s="90"/>
      <c r="C2" s="90"/>
      <c r="D2" s="90"/>
      <c r="E2" s="90"/>
      <c r="F2" s="90"/>
    </row>
    <row r="3" spans="2:6" ht="16.5" thickBot="1" x14ac:dyDescent="0.25">
      <c r="B3" s="404" t="s">
        <v>64</v>
      </c>
      <c r="C3" s="405"/>
      <c r="D3" s="405"/>
      <c r="E3" s="102" t="s">
        <v>65</v>
      </c>
      <c r="F3" s="103" t="s">
        <v>66</v>
      </c>
    </row>
    <row r="4" spans="2:6" ht="31.5" x14ac:dyDescent="0.2">
      <c r="B4" s="406" t="s">
        <v>67</v>
      </c>
      <c r="C4" s="408" t="s">
        <v>13</v>
      </c>
      <c r="D4" s="91" t="s">
        <v>14</v>
      </c>
      <c r="E4" s="92" t="s">
        <v>68</v>
      </c>
      <c r="F4" s="93">
        <v>0.25</v>
      </c>
    </row>
    <row r="5" spans="2:6" ht="47.25" x14ac:dyDescent="0.2">
      <c r="B5" s="407"/>
      <c r="C5" s="409"/>
      <c r="D5" s="94" t="s">
        <v>15</v>
      </c>
      <c r="E5" s="95" t="s">
        <v>69</v>
      </c>
      <c r="F5" s="96">
        <v>0.15</v>
      </c>
    </row>
    <row r="6" spans="2:6" ht="47.25" x14ac:dyDescent="0.2">
      <c r="B6" s="407"/>
      <c r="C6" s="409"/>
      <c r="D6" s="94" t="s">
        <v>16</v>
      </c>
      <c r="E6" s="95" t="s">
        <v>70</v>
      </c>
      <c r="F6" s="96">
        <v>0.1</v>
      </c>
    </row>
    <row r="7" spans="2:6" ht="63" x14ac:dyDescent="0.2">
      <c r="B7" s="407"/>
      <c r="C7" s="409" t="s">
        <v>17</v>
      </c>
      <c r="D7" s="94" t="s">
        <v>10</v>
      </c>
      <c r="E7" s="95" t="s">
        <v>71</v>
      </c>
      <c r="F7" s="96">
        <v>0.25</v>
      </c>
    </row>
    <row r="8" spans="2:6" ht="31.5" x14ac:dyDescent="0.2">
      <c r="B8" s="407"/>
      <c r="C8" s="409"/>
      <c r="D8" s="94" t="s">
        <v>9</v>
      </c>
      <c r="E8" s="95" t="s">
        <v>72</v>
      </c>
      <c r="F8" s="96">
        <v>0.15</v>
      </c>
    </row>
    <row r="9" spans="2:6" ht="47.25" x14ac:dyDescent="0.2">
      <c r="B9" s="407" t="s">
        <v>162</v>
      </c>
      <c r="C9" s="409" t="s">
        <v>18</v>
      </c>
      <c r="D9" s="94" t="s">
        <v>19</v>
      </c>
      <c r="E9" s="95" t="s">
        <v>73</v>
      </c>
      <c r="F9" s="97" t="s">
        <v>74</v>
      </c>
    </row>
    <row r="10" spans="2:6" ht="63" x14ac:dyDescent="0.2">
      <c r="B10" s="407"/>
      <c r="C10" s="409"/>
      <c r="D10" s="94" t="s">
        <v>20</v>
      </c>
      <c r="E10" s="95" t="s">
        <v>75</v>
      </c>
      <c r="F10" s="97" t="s">
        <v>74</v>
      </c>
    </row>
    <row r="11" spans="2:6" ht="47.25" x14ac:dyDescent="0.2">
      <c r="B11" s="407"/>
      <c r="C11" s="409" t="s">
        <v>21</v>
      </c>
      <c r="D11" s="94" t="s">
        <v>22</v>
      </c>
      <c r="E11" s="95" t="s">
        <v>76</v>
      </c>
      <c r="F11" s="97" t="s">
        <v>74</v>
      </c>
    </row>
    <row r="12" spans="2:6" ht="47.25" x14ac:dyDescent="0.2">
      <c r="B12" s="407"/>
      <c r="C12" s="409"/>
      <c r="D12" s="94" t="s">
        <v>23</v>
      </c>
      <c r="E12" s="95" t="s">
        <v>77</v>
      </c>
      <c r="F12" s="97" t="s">
        <v>74</v>
      </c>
    </row>
    <row r="13" spans="2:6" ht="31.5" x14ac:dyDescent="0.2">
      <c r="B13" s="407"/>
      <c r="C13" s="409" t="s">
        <v>24</v>
      </c>
      <c r="D13" s="94" t="s">
        <v>119</v>
      </c>
      <c r="E13" s="95" t="s">
        <v>122</v>
      </c>
      <c r="F13" s="97" t="s">
        <v>74</v>
      </c>
    </row>
    <row r="14" spans="2:6" ht="32.25" thickBot="1" x14ac:dyDescent="0.25">
      <c r="B14" s="410"/>
      <c r="C14" s="411"/>
      <c r="D14" s="98" t="s">
        <v>120</v>
      </c>
      <c r="E14" s="99" t="s">
        <v>121</v>
      </c>
      <c r="F14" s="100" t="s">
        <v>74</v>
      </c>
    </row>
    <row r="15" spans="2:6" ht="49.5" customHeight="1" x14ac:dyDescent="0.2">
      <c r="B15" s="403" t="s">
        <v>159</v>
      </c>
      <c r="C15" s="403"/>
      <c r="D15" s="403"/>
      <c r="E15" s="403"/>
      <c r="F15" s="403"/>
    </row>
    <row r="16" spans="2:6" ht="27" customHeight="1" x14ac:dyDescent="0.25">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NORMA</cp:lastModifiedBy>
  <cp:lastPrinted>2020-05-13T01:12:22Z</cp:lastPrinted>
  <dcterms:created xsi:type="dcterms:W3CDTF">2020-03-24T23:12:47Z</dcterms:created>
  <dcterms:modified xsi:type="dcterms:W3CDTF">2022-01-27T17:26:43Z</dcterms:modified>
</cp:coreProperties>
</file>