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EQUIPO61\Downloads\"/>
    </mc:Choice>
  </mc:AlternateContent>
  <bookViews>
    <workbookView xWindow="0" yWindow="0" windowWidth="20490" windowHeight="7155"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52511"/>
  <pivotCaches>
    <pivotCache cacheId="2" r:id="rId11"/>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2" i="1" l="1"/>
  <c r="J18" i="1" l="1"/>
  <c r="K18" i="1" s="1"/>
  <c r="J24" i="1"/>
  <c r="J30" i="1"/>
  <c r="K30" i="1" s="1"/>
  <c r="J36" i="1"/>
  <c r="K36" i="1" s="1"/>
  <c r="J42" i="1"/>
  <c r="K42" i="1" s="1"/>
  <c r="J48" i="1"/>
  <c r="K48" i="1" s="1"/>
  <c r="J54" i="1"/>
  <c r="K54" i="1" s="1"/>
  <c r="J60" i="1"/>
  <c r="K60" i="1" s="1"/>
  <c r="V29" i="1"/>
  <c r="S29" i="1"/>
  <c r="V28" i="1"/>
  <c r="S28" i="1"/>
  <c r="V27" i="1"/>
  <c r="S27" i="1"/>
  <c r="AD28" i="1" s="1"/>
  <c r="AC28" i="1" s="1"/>
  <c r="V26" i="1"/>
  <c r="S26" i="1"/>
  <c r="V25" i="1"/>
  <c r="S25" i="1"/>
  <c r="V24" i="1"/>
  <c r="S24" i="1"/>
  <c r="V23" i="1"/>
  <c r="S23" i="1"/>
  <c r="V22" i="1"/>
  <c r="S22" i="1"/>
  <c r="V21" i="1"/>
  <c r="S21" i="1"/>
  <c r="V20" i="1"/>
  <c r="S20" i="1"/>
  <c r="V19" i="1"/>
  <c r="S19" i="1"/>
  <c r="AD20" i="1" s="1"/>
  <c r="AC20" i="1" s="1"/>
  <c r="V18" i="1"/>
  <c r="S18" i="1"/>
  <c r="V17" i="1"/>
  <c r="V16" i="1"/>
  <c r="V15" i="1"/>
  <c r="V14" i="1"/>
  <c r="V13" i="1"/>
  <c r="V12" i="1"/>
  <c r="V11" i="1"/>
  <c r="M43" i="1"/>
  <c r="M29" i="1"/>
  <c r="M47" i="1"/>
  <c r="M22" i="1"/>
  <c r="M59" i="1"/>
  <c r="M46" i="1"/>
  <c r="M33" i="1"/>
  <c r="M39" i="1"/>
  <c r="M32" i="1"/>
  <c r="M34" i="1"/>
  <c r="M50" i="1"/>
  <c r="M31" i="1"/>
  <c r="M44" i="1"/>
  <c r="M64" i="1"/>
  <c r="M23" i="1"/>
  <c r="M38" i="1"/>
  <c r="M28" i="1"/>
  <c r="M57" i="1"/>
  <c r="M45" i="1"/>
  <c r="M62" i="1"/>
  <c r="M21" i="1"/>
  <c r="M49" i="1"/>
  <c r="M27" i="1"/>
  <c r="M63" i="1"/>
  <c r="M35" i="1"/>
  <c r="M51" i="1"/>
  <c r="M61" i="1"/>
  <c r="M20" i="1"/>
  <c r="M40" i="1"/>
  <c r="M55" i="1"/>
  <c r="M37" i="1"/>
  <c r="M25" i="1"/>
  <c r="M56" i="1"/>
  <c r="M65" i="1"/>
  <c r="M41" i="1"/>
  <c r="M53" i="1"/>
  <c r="M19" i="1"/>
  <c r="M58" i="1"/>
  <c r="M52" i="1"/>
  <c r="M26" i="1"/>
  <c r="AD22" i="1" l="1"/>
  <c r="AC22" i="1" s="1"/>
  <c r="Z26" i="1"/>
  <c r="AA26" i="1" s="1"/>
  <c r="AD19" i="1"/>
  <c r="AC19" i="1" s="1"/>
  <c r="Z23" i="1"/>
  <c r="AB23" i="1" s="1"/>
  <c r="AD27" i="1"/>
  <c r="AC27" i="1" s="1"/>
  <c r="AD21" i="1"/>
  <c r="AC21" i="1" s="1"/>
  <c r="AD25" i="1"/>
  <c r="AC25" i="1" s="1"/>
  <c r="AD29" i="1"/>
  <c r="AC29" i="1" s="1"/>
  <c r="K24" i="1"/>
  <c r="AB26" i="1"/>
  <c r="Z24" i="1"/>
  <c r="Z28" i="1"/>
  <c r="AD24" i="1"/>
  <c r="AC24" i="1" s="1"/>
  <c r="AD26" i="1"/>
  <c r="AC26" i="1" s="1"/>
  <c r="Z25" i="1"/>
  <c r="Z27" i="1"/>
  <c r="Z29" i="1"/>
  <c r="Z20" i="1"/>
  <c r="Z18" i="1"/>
  <c r="Z22" i="1"/>
  <c r="AD18" i="1"/>
  <c r="AC18" i="1" s="1"/>
  <c r="Z21" i="1"/>
  <c r="Z19" i="1"/>
  <c r="AD23" i="1"/>
  <c r="AC23" i="1" s="1"/>
  <c r="AA23" i="1" l="1"/>
  <c r="AE23" i="1" s="1"/>
  <c r="AB28" i="1"/>
  <c r="AA28" i="1"/>
  <c r="AE28" i="1" s="1"/>
  <c r="AB27" i="1"/>
  <c r="AA27" i="1"/>
  <c r="AE27" i="1" s="1"/>
  <c r="AB24" i="1"/>
  <c r="AA24" i="1"/>
  <c r="AE24" i="1" s="1"/>
  <c r="AA29" i="1"/>
  <c r="AE29" i="1" s="1"/>
  <c r="AB29" i="1"/>
  <c r="AB25" i="1"/>
  <c r="AA25" i="1"/>
  <c r="AE25" i="1" s="1"/>
  <c r="AE26" i="1"/>
  <c r="AB19" i="1"/>
  <c r="AA19" i="1"/>
  <c r="AE19" i="1" s="1"/>
  <c r="AB18" i="1"/>
  <c r="AA18" i="1"/>
  <c r="AE18" i="1" s="1"/>
  <c r="AB21" i="1"/>
  <c r="AA21" i="1"/>
  <c r="AE21" i="1" s="1"/>
  <c r="AB22" i="1"/>
  <c r="AA22" i="1"/>
  <c r="AE22" i="1" s="1"/>
  <c r="AB20" i="1"/>
  <c r="AA20" i="1"/>
  <c r="AE20" i="1" s="1"/>
  <c r="S11" i="1" l="1"/>
  <c r="F217" i="13"/>
  <c r="V10" i="1" l="1"/>
  <c r="S10" i="1"/>
  <c r="J10" i="1" l="1"/>
  <c r="K10" i="1" s="1"/>
  <c r="M16" i="1"/>
  <c r="M14" i="1"/>
  <c r="M15" i="1"/>
  <c r="M17" i="1"/>
  <c r="F221" i="13" l="1"/>
  <c r="F211" i="13"/>
  <c r="F212" i="13"/>
  <c r="F213" i="13"/>
  <c r="F214" i="13"/>
  <c r="F215" i="13"/>
  <c r="F216" i="13"/>
  <c r="F218" i="13"/>
  <c r="F219" i="13"/>
  <c r="F220" i="13"/>
  <c r="F210" i="13"/>
  <c r="M12" i="1"/>
  <c r="M11" i="1"/>
  <c r="B221" i="13" a="1"/>
  <c r="B221" i="13" l="1"/>
  <c r="S4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5" i="1" l="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AD49" i="1" s="1"/>
  <c r="V48" i="1"/>
  <c r="J13" i="1"/>
  <c r="S17" i="1"/>
  <c r="S16" i="1"/>
  <c r="S15" i="1"/>
  <c r="S14" i="1"/>
  <c r="S13" i="1"/>
  <c r="AD16" i="1" l="1"/>
  <c r="AC16" i="1" s="1"/>
  <c r="Z16" i="1"/>
  <c r="AD17" i="1"/>
  <c r="AC17" i="1" s="1"/>
  <c r="Z17" i="1"/>
  <c r="AD61" i="1"/>
  <c r="AD55" i="1"/>
  <c r="K13" i="1"/>
  <c r="Z13" i="1" s="1"/>
  <c r="Z60" i="1"/>
  <c r="Z54" i="1"/>
  <c r="Z48" i="1"/>
  <c r="AA16" i="1" l="1"/>
  <c r="AE16" i="1" s="1"/>
  <c r="AB16" i="1"/>
  <c r="AB13" i="1"/>
  <c r="Z14" i="1" s="1"/>
  <c r="AA14" i="1" s="1"/>
  <c r="AA13" i="1"/>
  <c r="AB17" i="1"/>
  <c r="AA17" i="1"/>
  <c r="AE17" i="1" s="1"/>
  <c r="AB14" i="1"/>
  <c r="Z15" i="1" s="1"/>
  <c r="AB15" i="1" s="1"/>
  <c r="AA60" i="1"/>
  <c r="AB60" i="1"/>
  <c r="Z61" i="1" s="1"/>
  <c r="AA61" i="1" s="1"/>
  <c r="AA54" i="1"/>
  <c r="AB54" i="1"/>
  <c r="Z55" i="1" s="1"/>
  <c r="AB55" i="1" s="1"/>
  <c r="Z56" i="1" s="1"/>
  <c r="AA48" i="1"/>
  <c r="AB48" i="1"/>
  <c r="Z49" i="1" s="1"/>
  <c r="AB49" i="1" s="1"/>
  <c r="Z50" i="1" s="1"/>
  <c r="AA15" i="1" l="1"/>
  <c r="AA55" i="1"/>
  <c r="AA49" i="1"/>
  <c r="AB56" i="1"/>
  <c r="Z57" i="1" s="1"/>
  <c r="AA56" i="1"/>
  <c r="AB50" i="1"/>
  <c r="Z51" i="1" s="1"/>
  <c r="AA50" i="1"/>
  <c r="AB61" i="1"/>
  <c r="Z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57" i="1" l="1"/>
  <c r="AB57" i="1"/>
  <c r="AA51" i="1"/>
  <c r="AB51" i="1"/>
  <c r="Z52" i="1" s="1"/>
  <c r="AA62" i="1"/>
  <c r="AB62" i="1"/>
  <c r="Z63" i="1" s="1"/>
  <c r="AA52" i="1" l="1"/>
  <c r="AB52" i="1"/>
  <c r="Z53" i="1" s="1"/>
  <c r="Z58" i="1"/>
  <c r="Z59" i="1"/>
  <c r="AB63" i="1"/>
  <c r="AA63" i="1"/>
  <c r="AA59" i="1" l="1"/>
  <c r="AB59" i="1"/>
  <c r="AA58" i="1"/>
  <c r="AB58" i="1"/>
  <c r="AA53" i="1"/>
  <c r="AB53" i="1"/>
  <c r="Z64" i="1"/>
  <c r="Z65" i="1"/>
  <c r="Z10" i="1"/>
  <c r="AA10" i="1" s="1"/>
  <c r="AA65" i="1" l="1"/>
  <c r="AB65" i="1"/>
  <c r="AA64" i="1"/>
  <c r="AB64" i="1"/>
  <c r="AB10" i="1" l="1"/>
  <c r="Z11" i="1" s="1"/>
  <c r="AA11" i="1" l="1"/>
  <c r="AB11" i="1"/>
  <c r="Z12" i="1" s="1"/>
  <c r="AD60" i="1"/>
  <c r="AB12" i="1" l="1"/>
  <c r="AA12" i="1"/>
  <c r="AC60" i="1"/>
  <c r="AD62" i="1"/>
  <c r="AD54" i="1"/>
  <c r="AD48" i="1"/>
  <c r="AC48"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0" i="1"/>
  <c r="P25" i="19"/>
  <c r="V55" i="19"/>
  <c r="J15" i="19"/>
  <c r="AB15" i="19"/>
  <c r="J35" i="19"/>
  <c r="AB35" i="19"/>
  <c r="J55" i="19"/>
  <c r="AB25" i="19"/>
  <c r="P35" i="19"/>
  <c r="P55" i="19"/>
  <c r="AB45" i="19"/>
  <c r="P15" i="19"/>
  <c r="AE4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4" i="1"/>
  <c r="AC6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2" i="1"/>
  <c r="AD6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9" i="1"/>
  <c r="AD50" i="1"/>
  <c r="AC55" i="1"/>
  <c r="AD56" i="1"/>
  <c r="AC63" i="1" l="1"/>
  <c r="AD64" i="1"/>
  <c r="K35" i="19"/>
  <c r="AC25" i="19"/>
  <c r="K45" i="19"/>
  <c r="AI45" i="19"/>
  <c r="W45" i="19"/>
  <c r="Q35" i="19"/>
  <c r="K55" i="19"/>
  <c r="AC15" i="19"/>
  <c r="Q15" i="19"/>
  <c r="AC35" i="19"/>
  <c r="AI35" i="19"/>
  <c r="Q55" i="19"/>
  <c r="AI25" i="19"/>
  <c r="AE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0" i="1"/>
  <c r="AD5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6" i="1"/>
  <c r="AD5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1" i="1"/>
  <c r="AD52" i="1"/>
  <c r="AC64" i="1"/>
  <c r="AD65" i="1"/>
  <c r="AC65" i="1" s="1"/>
  <c r="AJ43" i="19"/>
  <c r="AD33" i="19"/>
  <c r="X33" i="19"/>
  <c r="X13" i="19"/>
  <c r="AD43" i="19"/>
  <c r="L43" i="19"/>
  <c r="AE50" i="1"/>
  <c r="X23" i="19"/>
  <c r="R33" i="19"/>
  <c r="R43" i="19"/>
  <c r="AD53" i="19"/>
  <c r="AJ13" i="19"/>
  <c r="R23" i="19"/>
  <c r="R13" i="19"/>
  <c r="AJ53" i="19"/>
  <c r="L33" i="19"/>
  <c r="L23" i="19"/>
  <c r="X43" i="19"/>
  <c r="X53" i="19"/>
  <c r="AD13" i="19"/>
  <c r="L53" i="19"/>
  <c r="L13" i="19"/>
  <c r="AD23" i="19"/>
  <c r="AJ33" i="19"/>
  <c r="AJ23" i="19"/>
  <c r="R53" i="19"/>
  <c r="M55" i="19"/>
  <c r="AK15" i="19"/>
  <c r="AE25" i="19"/>
  <c r="AE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7" i="1"/>
  <c r="AD58"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7"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2" i="1"/>
  <c r="AD53" i="1"/>
  <c r="AC53"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8" i="1"/>
  <c r="AD59" i="1"/>
  <c r="AC5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1"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9" i="1"/>
  <c r="AA14" i="19"/>
  <c r="O54" i="19"/>
  <c r="U44" i="19"/>
  <c r="U43" i="19"/>
  <c r="U13" i="19"/>
  <c r="AM53" i="19"/>
  <c r="AA53" i="19"/>
  <c r="AA43" i="19"/>
  <c r="O53" i="19"/>
  <c r="O23" i="19"/>
  <c r="O13" i="19"/>
  <c r="AG43" i="19"/>
  <c r="U33" i="19"/>
  <c r="U23" i="19"/>
  <c r="AM13" i="19"/>
  <c r="AM23" i="19"/>
  <c r="AG13" i="19"/>
  <c r="AA23" i="19"/>
  <c r="AG33" i="19"/>
  <c r="AA33" i="19"/>
  <c r="AM33" i="19"/>
  <c r="AA13" i="19"/>
  <c r="AE5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8" i="1"/>
  <c r="AF53" i="19"/>
  <c r="T43" i="19"/>
  <c r="Z53" i="19"/>
  <c r="N43" i="19"/>
  <c r="T23" i="19"/>
  <c r="AF43" i="19"/>
  <c r="Z13" i="19"/>
  <c r="Z43" i="19"/>
  <c r="AF23" i="19"/>
  <c r="AL13" i="19"/>
  <c r="Z23" i="19"/>
  <c r="AL43" i="19"/>
  <c r="AF13" i="19"/>
  <c r="AL23" i="19"/>
  <c r="N13" i="19"/>
  <c r="T33" i="19"/>
  <c r="AL53" i="19"/>
  <c r="N23" i="19"/>
  <c r="N53" i="19"/>
  <c r="AF33" i="19"/>
  <c r="N33" i="19"/>
  <c r="AE52"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M13" i="1"/>
  <c r="N13" i="1" s="1"/>
  <c r="M42" i="1"/>
  <c r="N42" i="1" s="1"/>
  <c r="M10" i="1"/>
  <c r="N10" i="1" s="1"/>
  <c r="M24" i="1"/>
  <c r="N24" i="1" s="1"/>
  <c r="M48" i="1"/>
  <c r="N48" i="1" s="1"/>
  <c r="M30" i="1"/>
  <c r="N30" i="1" s="1"/>
  <c r="M54" i="1"/>
  <c r="N54" i="1" s="1"/>
  <c r="M36" i="1"/>
  <c r="N36" i="1" s="1"/>
  <c r="M60" i="1"/>
  <c r="N60" i="1" s="1"/>
  <c r="O60" i="1" l="1"/>
  <c r="P60"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4" i="1"/>
  <c r="P54"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0" i="1"/>
  <c r="P30"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48" i="1"/>
  <c r="P48"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4" i="1"/>
  <c r="P24"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2" i="1"/>
  <c r="P42"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P13" i="1"/>
  <c r="AD22" i="18"/>
  <c r="O13" i="1"/>
  <c r="AD13" i="1" s="1"/>
  <c r="O36" i="1"/>
  <c r="P36"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O18" i="1"/>
  <c r="P18"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13" i="1" l="1"/>
  <c r="AE13" i="1" s="1"/>
  <c r="AD14" i="1"/>
  <c r="AC10" i="1"/>
  <c r="AE10" i="1" s="1"/>
  <c r="AD11" i="1"/>
  <c r="AH7" i="19" l="1"/>
  <c r="AB7" i="19"/>
  <c r="J37" i="19"/>
  <c r="J17" i="19"/>
  <c r="AB37" i="19"/>
  <c r="V37" i="19"/>
  <c r="AB17" i="19"/>
  <c r="P37" i="19"/>
  <c r="V17" i="19"/>
  <c r="P47" i="19"/>
  <c r="AB47" i="19"/>
  <c r="J47" i="19"/>
  <c r="P27" i="19"/>
  <c r="V7" i="19"/>
  <c r="AB27" i="19"/>
  <c r="J27" i="19"/>
  <c r="P17" i="19"/>
  <c r="AH47" i="19"/>
  <c r="P7" i="19"/>
  <c r="V27" i="19"/>
  <c r="V47" i="19"/>
  <c r="J7" i="19"/>
  <c r="AH27" i="19"/>
  <c r="AH17" i="19"/>
  <c r="AH37" i="19"/>
  <c r="AC14" i="1"/>
  <c r="AE14" i="1" s="1"/>
  <c r="AD15" i="1"/>
  <c r="AC11" i="1"/>
  <c r="AD12"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E11" i="1"/>
  <c r="AC12" i="1"/>
  <c r="AC15" i="1"/>
  <c r="L7" i="19" s="1"/>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E12" i="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E15" i="1"/>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<sst xmlns="http://schemas.openxmlformats.org/spreadsheetml/2006/main" count="534" uniqueCount="250">
  <si>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</si>
  <si>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</si>
  <si>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</si>
  <si>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</si>
  <si>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</si>
  <si>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</si>
  <si>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</si>
  <si>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</si>
  <si>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</si>
  <si>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</si>
  <si>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</si>
  <si>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</si>
  <si>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</si>
  <si>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</si>
  <si>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</si>
  <si>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</si>
  <si>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</si>
  <si>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</si>
  <si>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</si>
  <si>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</si>
  <si>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</si>
  <si>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</si>
  <si>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</si>
  <si>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</si>
  <si>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</si>
  <si>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</si>
  <si>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</si>
  <si>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</si>
  <si>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</si>
  <si>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</si>
  <si>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</si>
  <si>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</si>
  <si>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</si>
  <si>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</si>
  <si>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</si>
  <si>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</si>
  <si>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</si>
  <si>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</si>
  <si>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</si>
  <si>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</si>
  <si>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</si>
  <si>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</si>
  <si>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</si>
  <si>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</si>
  <si>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</si>
  <si>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</si>
  <si>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</si>
  <si>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</si>
  <si>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</si>
  <si>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</si>
  <si>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</si>
  <si>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</si>
  <si>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</si>
  <si>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</si>
  <si>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</si>
  <si>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</si>
  <si>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</si>
  <si>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</si>
  <si>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</si>
  <si>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</si>
  <si>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</si>
  <si>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</si>
  <si>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</si>
  <si>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</si>
  <si>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</si>
  <si>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</si>
  <si>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</si>
  <si>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</si>
  <si>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</si>
  <si>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</si>
  <si>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</si>
  <si>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</si>
  <si>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</si>
  <si>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</si>
  <si>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</si>
  <si>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</si>
  <si>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</si>
  <si>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</si>
  <si>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</si>
  <si>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</si>
  <si>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</si>
  <si>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</si>
  <si>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</si>
  <si>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</si>
  <si>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</si>
  <si>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</si>
  <si>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</si>
  <si>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</si>
  <si>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</si>
  <si>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</si>
  <si>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</si>
  <si>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</si>
  <si>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</si>
  <si>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</si>
  <si>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</si>
  <si>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</si>
  <si>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</si>
  <si>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</si>
  <si>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</si>
  <si>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</si>
  <si>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</si>
  <si>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</si>
  <si>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</si>
  <si>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</si>
  <si>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</si>
  <si>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</si>
  <si>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</si>
  <si>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</si>
  <si>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</si>
  <si>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</si>
  <si>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</si>
  <si>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</si>
  <si>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</si>
  <si>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</si>
  <si>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</si>
  <si>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</si>
  <si>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</si>
  <si>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</si>
  <si>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</si>
  <si>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</si>
  <si>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</si>
  <si>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</si>
  <si>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</si>
  <si>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</si>
  <si>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</si>
  <si>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</si>
  <si>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</si>
  <si>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</si>
  <si>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</si>
  <si>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</si>
  <si>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</si>
  <si>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</si>
  <si>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</si>
  <si>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</si>
  <si>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</si>
  <si>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</si>
  <si>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</si>
  <si>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</si>
  <si>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</si>
  <si>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</si>
  <si>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</si>
  <si>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</si>
  <si>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</si>
  <si>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</si>
  <si>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</si>
  <si>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</si>
  <si>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</si>
  <si>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</si>
  <si>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</si>
  <si>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</si>
  <si>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</si>
  <si>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</si>
  <si>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</si>
  <si>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</si>
  <si>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</si>
  <si>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</si>
  <si>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</si>
  <si>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</si>
  <si>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</si>
  <si>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</si>
  <si>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</si>
  <si>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</si>
  <si>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</si>
  <si>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</si>
  <si>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</si>
  <si>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</si>
  <si>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</si>
  <si>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</si>
  <si>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</si>
  <si>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</si>
  <si>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</si>
  <si>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</si>
  <si>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</si>
  <si>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</si>
  <si>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</si>
  <si>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</si>
  <si>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</si>
  <si>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</si>
  <si>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</si>
  <si>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</si>
  <si>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</si>
  <si>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</si>
  <si>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</si>
  <si>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</si>
  <si>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</si>
  <si>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</si>
  <si>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</si>
  <si>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</si>
  <si>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</si>
  <si>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</si>
  <si>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</si>
  <si>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</si>
  <si>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</si>
  <si>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</si>
  <si>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</si>
  <si>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</si>
  <si>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</si>
  <si>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</si>
  <si>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</si>
  <si>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</si>
  <si>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</si>
  <si>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</si>
  <si>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</si>
  <si>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</si>
  <si>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</si>
  <si>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</si>
  <si>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</si>
  <si>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</si>
  <si>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</si>
  <si>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</si>
  <si>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</si>
  <si>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</si>
  <si>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</si>
  <si>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</si>
  <si>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</si>
  <si>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</si>
  <si>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Inicia con la planeación del proceso e incluye las actividades relacionadas con la gestión de la infraestructura tecnológica (software y hardware), gestión de la seguridad de la información y culmina con el seguimiento y evaluación del proceso.</t>
  </si>
  <si>
    <t>GESTION DE INFRAESTRUCTURA TECNOLÓGICA</t>
  </si>
  <si>
    <t>perdida, daño o desaprovechamiento de  recurso tecnológico</t>
  </si>
  <si>
    <t>El personal no tiene apropiadas las políticas de seguridad física y tecnológica</t>
  </si>
  <si>
    <t xml:space="preserve"> Indisponibilidad  de  recurso tecnológico para el funcionamiento de los procesos</t>
  </si>
  <si>
    <t xml:space="preserve">Cambio de voltaje de energía o perdida de la misma </t>
  </si>
  <si>
    <t>Adquisición de recurso tecnológico sin cumplimiento de la política</t>
  </si>
  <si>
    <t xml:space="preserve">Uso de recurso Tecnológico </t>
  </si>
  <si>
    <t>Diaria</t>
  </si>
  <si>
    <t>Los técnicos de mantenimiento  de  la Secretaria de las TIC cada vez que realizan brigadas a las diferentes unidades administrativas de la Alcaldía, verifican de manera visual  el uso correcto de la energía regulada, es decir que no se encuentren conectados electrodomésticos, multitomas, regletas o equipos que puedan inducir variaciones en la corriente, a fin de evitar una descarga de corriente que pueda causar inestabilidad y daño al recurso Tecnológico. En caso de detectar conexiones inapropiadas, desconecta los elementos que no corresponden y registra en el servicio la actuación. La evidencia de esta actuación queda registrada en el software de soporte técnico.</t>
  </si>
  <si>
    <t>F6 A3. Divulgar el uso adecuado de la energía regulada y hacer  inspecciones en las brigadas de mantenimiento.</t>
  </si>
  <si>
    <t>Secretaría de las TIC</t>
  </si>
  <si>
    <t>La Secretaria de TIC,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</si>
  <si>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t>Posible perdida reputacional y económica por Indisponibilidad  de  recurso tecnológico para el funcionamiento de los procesos  debido a perdida, daño o desaprovechamiento de  recurso tecnológico.</t>
  </si>
  <si>
    <t xml:space="preserve">F2 A5, A12  Difundir y aplicar las políticas de seguridad de la información de control de accesos  a los sistemas de información </t>
  </si>
  <si>
    <t xml:space="preserve">F6 A12 Difundir la política de adquisición de recurso tecnológico para todo el personal </t>
  </si>
  <si>
    <t>La Dirección de Contratación cada vez que se inicie un proceso precontractual que incluya adquisición de recurso tecnológico, con el propósito de garantizar el cumplimiento de la política de seguridad, verifica que cuente con el aval de la Secretaria de las TIC, en caso de omisión  solicitará a la secretaria Ejecutora el aval técnico de la Secretaria de las TIC. La Secretaria de las TIC cuando identifique procesos contractuales sin el aval de la Secretaria, socializará nuevamente la política e interpondrá la queja ante la oficina de control único disciplinario. Las evidencias de estas acciones deben reposar en PISAMI Gestión Documental.</t>
  </si>
  <si>
    <t>Secretaria de las TIC</t>
  </si>
  <si>
    <t>Desactualización de PISAMI</t>
  </si>
  <si>
    <t>Indisponibilidad de la plataforma Tecnológica</t>
  </si>
  <si>
    <t>Personal de planta insuficiente o sin las competencias necesarias para el proceso</t>
  </si>
  <si>
    <t>Nuevas Directrices por Cambio de Gobierno</t>
  </si>
  <si>
    <t>Posibilidad de pérdida económica y reputacional por indisponibiidad de la plataforma tecnológica, debido a la desactualización de PISAMI</t>
  </si>
  <si>
    <t>La profesional especializada del proceso de Infraestructura tecnológica cada vez que revisa los avances del desarrollo de los módulos, verifica que se encuentren documentadas cada una de las fases del ciclo de vida del software,  que el código se encuentre documentado, manual técnico y manual de usuario, registros que se  encuentran indicados en el procedimiento de mantenimiento y desarrollo de software. Esto con el propósito de asegurar la conservación de la memoria institucional, y la retroalimentación. En caso de no evidenciar los documentos, se hace el requerimiento al Desarrollador ya que es una obligación contractual. Los soportes de estas actuaciones se encuentran en el correo de Desarrollo en el drive.</t>
  </si>
  <si>
    <t>La Secretaria de las TIC, en el momento de formular el plan de adquisiciones y evaluar la ejecución de las metas del plan de desarrollo, verifica las necesidades de contratación de personal para desarrollo, y registra dicha necesidad de recurso humano, a fin de garantizar que en el nuevo periodo de gobierno se  cuente con el personal  idóneo y suficiente que brinde soporte al software y se de continuidad al proceso. En caso de no ser tenido en cuenta esta necesidad en el plan de adquisiciones y no se haya adjudicado recursos presupuestales, en el mes de enero  se realizará la actualización respectiva al plan y se solicitará los recursos presupuestales. La evidencia reposa en el SECOP y Presupuesto</t>
  </si>
  <si>
    <t>El delegado por la Secretaria de las TIC al comité de Capacitación,  anualmente en el mes de enero verifica el Plan Institucional de Capacitación  para  establecer las necesidades de aprendizaje de los servidores del área de infraestructura tecnológica y presenta la solicitud de las temáticas requeridas para que el personal  asignado a la planta adquiera las competencias necesarias para el desempeño de las labores. En caso de no ejecutarse las capacitaciones requeridas, solicitar por escrito a la Dirección de Talento Humano reiterando la necesidad de la misma. Las evidencias reposan en el PISAMI.</t>
  </si>
  <si>
    <t xml:space="preserve">D1O6. Incluir en el Plan institucional de capacitación temáticas que fortalezcan las competencias de desarrollo de software del personal de planta </t>
  </si>
  <si>
    <t>Secretario de las TIC y Dir. Talento Humano</t>
  </si>
  <si>
    <t xml:space="preserve">D4   O8 Aplicar  la política de Gestión del conocimiento para hacer transferencia de conocimiento
</t>
  </si>
  <si>
    <t xml:space="preserve">F1.A8. A10 Definir controles que garanticen el uso adecuado, continuo y eficiente del software adquirido o desarrollado 
</t>
  </si>
  <si>
    <t>del 01/03/2022 al 31/12/2022</t>
  </si>
  <si>
    <t>del 01/02/2022 al 31/12/2022</t>
  </si>
  <si>
    <t>del 01/01/2022 al 31/12/2022</t>
  </si>
  <si>
    <t>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</si>
</sst>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27" fillId="3" borderId="75" xfId="0" applyFont="1" applyFill="1" applyBorder="1" applyAlignment="1">
      <alignment vertical="center"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75">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74">
      <pivotArea type="all" dataOnly="0" outline="0" fieldPosition="0"/>
    </format>
    <format dxfId="173">
      <pivotArea field="0" type="button" dataOnly="0" labelOnly="1" outline="0" axis="axisRow" fieldPosition="0"/>
    </format>
    <format dxfId="172">
      <pivotArea field="1" type="button" dataOnly="0" labelOnly="1" outline="0" axis="axisRow" fieldPosition="1"/>
    </format>
    <format dxfId="171">
      <pivotArea dataOnly="0" labelOnly="1" outline="0" fieldPosition="0">
        <references count="1">
          <reference field="0" count="0"/>
        </references>
      </pivotArea>
    </format>
    <format dxfId="170">
      <pivotArea dataOnly="0" labelOnly="1" outline="0" fieldPosition="0">
        <references count="2">
          <reference field="0" count="1" selected="0">
            <x v="0"/>
          </reference>
          <reference field="1" count="5">
            <x v="0"/>
            <x v="6"/>
            <x v="7"/>
            <x v="8"/>
            <x v="9"/>
          </reference>
        </references>
      </pivotArea>
    </format>
    <format dxfId="169">
      <pivotArea dataOnly="0" labelOnly="1" outline="0" fieldPosition="0">
        <references count="2">
          <reference field="0" count="1" selected="0">
            <x v="1"/>
          </reference>
          <reference field="1" count="5">
            <x v="1"/>
            <x v="2"/>
            <x v="3"/>
            <x v="4"/>
            <x v="5"/>
          </reference>
        </references>
      </pivotArea>
    </format>
    <format dxfId="168">
      <pivotArea type="all" dataOnly="0" outline="0" fieldPosition="0"/>
    </format>
    <format dxfId="167">
      <pivotArea field="0" type="button" dataOnly="0" labelOnly="1" outline="0" axis="axisRow" fieldPosition="0"/>
    </format>
    <format dxfId="166">
      <pivotArea field="1" type="button" dataOnly="0" labelOnly="1" outline="0" axis="axisRow" fieldPosition="1"/>
    </format>
    <format dxfId="165">
      <pivotArea dataOnly="0" labelOnly="1" outline="0" fieldPosition="0">
        <references count="1">
          <reference field="0" count="0"/>
        </references>
      </pivotArea>
    </format>
    <format dxfId="164">
      <pivotArea dataOnly="0" labelOnly="1" outline="0" fieldPosition="0">
        <references count="2">
          <reference field="0" count="1" selected="0">
            <x v="0"/>
          </reference>
          <reference field="1" count="5">
            <x v="10"/>
            <x v="11"/>
            <x v="12"/>
            <x v="13"/>
            <x v="14"/>
          </reference>
        </references>
      </pivotArea>
    </format>
    <format dxfId="16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162" dataDxfId="161">
  <autoFilter ref="B209:C219"/>
  <tableColumns count="2">
    <tableColumn id="1" name="Criterios" dataDxfId="160"/>
    <tableColumn id="2" name="Subcriterios" dataDxfId="15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8" workbookViewId="0">
      <selection activeCell="E36" sqref="E36:F36"/>
    </sheetView>
  </sheetViews>
  <sheetFormatPr baseColWidth="10"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85" t="s">
        <v>154</v>
      </c>
      <c r="C2" s="186"/>
      <c r="D2" s="186"/>
      <c r="E2" s="186"/>
      <c r="F2" s="186"/>
      <c r="G2" s="186"/>
      <c r="H2" s="187"/>
    </row>
    <row r="3" spans="2:8" x14ac:dyDescent="0.25">
      <c r="B3" s="69"/>
      <c r="C3" s="70"/>
      <c r="D3" s="70"/>
      <c r="E3" s="70"/>
      <c r="F3" s="70"/>
      <c r="G3" s="70"/>
      <c r="H3" s="71"/>
    </row>
    <row r="4" spans="2:8" ht="63" customHeight="1" x14ac:dyDescent="0.25">
      <c r="B4" s="188" t="s">
        <v>197</v>
      </c>
      <c r="C4" s="189"/>
      <c r="D4" s="189"/>
      <c r="E4" s="189"/>
      <c r="F4" s="189"/>
      <c r="G4" s="189"/>
      <c r="H4" s="190"/>
    </row>
    <row r="5" spans="2:8" ht="63" customHeight="1" x14ac:dyDescent="0.25">
      <c r="B5" s="191"/>
      <c r="C5" s="192"/>
      <c r="D5" s="192"/>
      <c r="E5" s="192"/>
      <c r="F5" s="192"/>
      <c r="G5" s="192"/>
      <c r="H5" s="193"/>
    </row>
    <row r="6" spans="2:8" ht="16.5" x14ac:dyDescent="0.25">
      <c r="B6" s="194" t="s">
        <v>152</v>
      </c>
      <c r="C6" s="195"/>
      <c r="D6" s="195"/>
      <c r="E6" s="195"/>
      <c r="F6" s="195"/>
      <c r="G6" s="195"/>
      <c r="H6" s="196"/>
    </row>
    <row r="7" spans="2:8" ht="95.25" customHeight="1" x14ac:dyDescent="0.25">
      <c r="B7" s="204" t="s">
        <v>157</v>
      </c>
      <c r="C7" s="205"/>
      <c r="D7" s="205"/>
      <c r="E7" s="205"/>
      <c r="F7" s="205"/>
      <c r="G7" s="205"/>
      <c r="H7" s="206"/>
    </row>
    <row r="8" spans="2:8" ht="16.5" x14ac:dyDescent="0.25">
      <c r="B8" s="104"/>
      <c r="C8" s="105"/>
      <c r="D8" s="105"/>
      <c r="E8" s="105"/>
      <c r="F8" s="105"/>
      <c r="G8" s="105"/>
      <c r="H8" s="106"/>
    </row>
    <row r="9" spans="2:8" ht="16.5" customHeight="1" x14ac:dyDescent="0.25">
      <c r="B9" s="197" t="s">
        <v>190</v>
      </c>
      <c r="C9" s="198"/>
      <c r="D9" s="198"/>
      <c r="E9" s="198"/>
      <c r="F9" s="198"/>
      <c r="G9" s="198"/>
      <c r="H9" s="199"/>
    </row>
    <row r="10" spans="2:8" ht="44.25" customHeight="1" x14ac:dyDescent="0.25">
      <c r="B10" s="197"/>
      <c r="C10" s="198"/>
      <c r="D10" s="198"/>
      <c r="E10" s="198"/>
      <c r="F10" s="198"/>
      <c r="G10" s="198"/>
      <c r="H10" s="199"/>
    </row>
    <row r="11" spans="2:8" ht="15.75" thickBot="1" x14ac:dyDescent="0.3">
      <c r="B11" s="92"/>
      <c r="C11" s="95"/>
      <c r="D11" s="100"/>
      <c r="E11" s="101"/>
      <c r="F11" s="101"/>
      <c r="G11" s="102"/>
      <c r="H11" s="103"/>
    </row>
    <row r="12" spans="2:8" ht="15.75" thickTop="1" x14ac:dyDescent="0.25">
      <c r="B12" s="92"/>
      <c r="C12" s="200" t="s">
        <v>153</v>
      </c>
      <c r="D12" s="201"/>
      <c r="E12" s="202" t="s">
        <v>191</v>
      </c>
      <c r="F12" s="203"/>
      <c r="G12" s="95"/>
      <c r="H12" s="96"/>
    </row>
    <row r="13" spans="2:8" ht="35.25" customHeight="1" x14ac:dyDescent="0.25">
      <c r="B13" s="92"/>
      <c r="C13" s="172" t="s">
        <v>184</v>
      </c>
      <c r="D13" s="173"/>
      <c r="E13" s="174" t="s">
        <v>189</v>
      </c>
      <c r="F13" s="175"/>
      <c r="G13" s="95"/>
      <c r="H13" s="96"/>
    </row>
    <row r="14" spans="2:8" ht="17.25" customHeight="1" x14ac:dyDescent="0.25">
      <c r="B14" s="92"/>
      <c r="C14" s="172" t="s">
        <v>185</v>
      </c>
      <c r="D14" s="173"/>
      <c r="E14" s="174" t="s">
        <v>187</v>
      </c>
      <c r="F14" s="175"/>
      <c r="G14" s="95"/>
      <c r="H14" s="96"/>
    </row>
    <row r="15" spans="2:8" ht="19.5" customHeight="1" x14ac:dyDescent="0.25">
      <c r="B15" s="92"/>
      <c r="C15" s="172" t="s">
        <v>186</v>
      </c>
      <c r="D15" s="173"/>
      <c r="E15" s="174" t="s">
        <v>188</v>
      </c>
      <c r="F15" s="175"/>
      <c r="G15" s="95"/>
      <c r="H15" s="96"/>
    </row>
    <row r="16" spans="2:8" ht="69.75" customHeight="1" x14ac:dyDescent="0.25">
      <c r="B16" s="92"/>
      <c r="C16" s="172" t="s">
        <v>155</v>
      </c>
      <c r="D16" s="173"/>
      <c r="E16" s="174" t="s">
        <v>156</v>
      </c>
      <c r="F16" s="175"/>
      <c r="G16" s="95"/>
      <c r="H16" s="96"/>
    </row>
    <row r="17" spans="2:8" ht="34.5" customHeight="1" x14ac:dyDescent="0.25">
      <c r="B17" s="92"/>
      <c r="C17" s="176" t="s">
        <v>2</v>
      </c>
      <c r="D17" s="177"/>
      <c r="E17" s="168" t="s">
        <v>198</v>
      </c>
      <c r="F17" s="169"/>
      <c r="G17" s="95"/>
      <c r="H17" s="96"/>
    </row>
    <row r="18" spans="2:8" ht="27.75" customHeight="1" x14ac:dyDescent="0.25">
      <c r="B18" s="92"/>
      <c r="C18" s="176" t="s">
        <v>3</v>
      </c>
      <c r="D18" s="177"/>
      <c r="E18" s="168" t="s">
        <v>199</v>
      </c>
      <c r="F18" s="169"/>
      <c r="G18" s="95"/>
      <c r="H18" s="96"/>
    </row>
    <row r="19" spans="2:8" ht="28.5" customHeight="1" x14ac:dyDescent="0.25">
      <c r="B19" s="92"/>
      <c r="C19" s="176" t="s">
        <v>41</v>
      </c>
      <c r="D19" s="177"/>
      <c r="E19" s="168" t="s">
        <v>200</v>
      </c>
      <c r="F19" s="169"/>
      <c r="G19" s="95"/>
      <c r="H19" s="96"/>
    </row>
    <row r="20" spans="2:8" ht="72.75" customHeight="1" x14ac:dyDescent="0.25">
      <c r="B20" s="92"/>
      <c r="C20" s="176" t="s">
        <v>1</v>
      </c>
      <c r="D20" s="177"/>
      <c r="E20" s="168" t="s">
        <v>201</v>
      </c>
      <c r="F20" s="169"/>
      <c r="G20" s="95"/>
      <c r="H20" s="96"/>
    </row>
    <row r="21" spans="2:8" ht="64.5" customHeight="1" x14ac:dyDescent="0.25">
      <c r="B21" s="92"/>
      <c r="C21" s="176" t="s">
        <v>49</v>
      </c>
      <c r="D21" s="177"/>
      <c r="E21" s="168" t="s">
        <v>159</v>
      </c>
      <c r="F21" s="169"/>
      <c r="G21" s="95"/>
      <c r="H21" s="96"/>
    </row>
    <row r="22" spans="2:8" ht="71.25" customHeight="1" x14ac:dyDescent="0.25">
      <c r="B22" s="92"/>
      <c r="C22" s="176" t="s">
        <v>158</v>
      </c>
      <c r="D22" s="177"/>
      <c r="E22" s="168" t="s">
        <v>160</v>
      </c>
      <c r="F22" s="169"/>
      <c r="G22" s="95"/>
      <c r="H22" s="96"/>
    </row>
    <row r="23" spans="2:8" ht="55.5" customHeight="1" x14ac:dyDescent="0.25">
      <c r="B23" s="92"/>
      <c r="C23" s="170" t="s">
        <v>161</v>
      </c>
      <c r="D23" s="171"/>
      <c r="E23" s="168" t="s">
        <v>162</v>
      </c>
      <c r="F23" s="169"/>
      <c r="G23" s="95"/>
      <c r="H23" s="96"/>
    </row>
    <row r="24" spans="2:8" ht="42" customHeight="1" x14ac:dyDescent="0.25">
      <c r="B24" s="92"/>
      <c r="C24" s="170" t="s">
        <v>47</v>
      </c>
      <c r="D24" s="171"/>
      <c r="E24" s="168" t="s">
        <v>163</v>
      </c>
      <c r="F24" s="169"/>
      <c r="G24" s="95"/>
      <c r="H24" s="96"/>
    </row>
    <row r="25" spans="2:8" ht="59.25" customHeight="1" x14ac:dyDescent="0.25">
      <c r="B25" s="92"/>
      <c r="C25" s="170" t="s">
        <v>151</v>
      </c>
      <c r="D25" s="171"/>
      <c r="E25" s="168" t="s">
        <v>164</v>
      </c>
      <c r="F25" s="169"/>
      <c r="G25" s="95"/>
      <c r="H25" s="96"/>
    </row>
    <row r="26" spans="2:8" ht="23.25" customHeight="1" x14ac:dyDescent="0.25">
      <c r="B26" s="92"/>
      <c r="C26" s="170" t="s">
        <v>12</v>
      </c>
      <c r="D26" s="171"/>
      <c r="E26" s="168" t="s">
        <v>165</v>
      </c>
      <c r="F26" s="169"/>
      <c r="G26" s="95"/>
      <c r="H26" s="96"/>
    </row>
    <row r="27" spans="2:8" ht="30.75" customHeight="1" x14ac:dyDescent="0.25">
      <c r="B27" s="92"/>
      <c r="C27" s="170" t="s">
        <v>169</v>
      </c>
      <c r="D27" s="171"/>
      <c r="E27" s="168" t="s">
        <v>166</v>
      </c>
      <c r="F27" s="169"/>
      <c r="G27" s="95"/>
      <c r="H27" s="96"/>
    </row>
    <row r="28" spans="2:8" ht="35.25" customHeight="1" x14ac:dyDescent="0.25">
      <c r="B28" s="92"/>
      <c r="C28" s="170" t="s">
        <v>170</v>
      </c>
      <c r="D28" s="171"/>
      <c r="E28" s="168" t="s">
        <v>167</v>
      </c>
      <c r="F28" s="169"/>
      <c r="G28" s="95"/>
      <c r="H28" s="96"/>
    </row>
    <row r="29" spans="2:8" ht="33" customHeight="1" x14ac:dyDescent="0.25">
      <c r="B29" s="92"/>
      <c r="C29" s="170" t="s">
        <v>170</v>
      </c>
      <c r="D29" s="171"/>
      <c r="E29" s="168" t="s">
        <v>167</v>
      </c>
      <c r="F29" s="169"/>
      <c r="G29" s="95"/>
      <c r="H29" s="96"/>
    </row>
    <row r="30" spans="2:8" ht="30" customHeight="1" x14ac:dyDescent="0.25">
      <c r="B30" s="92"/>
      <c r="C30" s="170" t="s">
        <v>171</v>
      </c>
      <c r="D30" s="171"/>
      <c r="E30" s="168" t="s">
        <v>168</v>
      </c>
      <c r="F30" s="169"/>
      <c r="G30" s="95"/>
      <c r="H30" s="96"/>
    </row>
    <row r="31" spans="2:8" ht="35.25" customHeight="1" x14ac:dyDescent="0.25">
      <c r="B31" s="92"/>
      <c r="C31" s="170" t="s">
        <v>172</v>
      </c>
      <c r="D31" s="171"/>
      <c r="E31" s="168" t="s">
        <v>173</v>
      </c>
      <c r="F31" s="169"/>
      <c r="G31" s="95"/>
      <c r="H31" s="96"/>
    </row>
    <row r="32" spans="2:8" ht="31.5" customHeight="1" x14ac:dyDescent="0.25">
      <c r="B32" s="92"/>
      <c r="C32" s="170" t="s">
        <v>174</v>
      </c>
      <c r="D32" s="171"/>
      <c r="E32" s="168" t="s">
        <v>175</v>
      </c>
      <c r="F32" s="169"/>
      <c r="G32" s="95"/>
      <c r="H32" s="96"/>
    </row>
    <row r="33" spans="2:8" ht="35.25" customHeight="1" x14ac:dyDescent="0.25">
      <c r="B33" s="92"/>
      <c r="C33" s="170" t="s">
        <v>176</v>
      </c>
      <c r="D33" s="171"/>
      <c r="E33" s="168" t="s">
        <v>177</v>
      </c>
      <c r="F33" s="169"/>
      <c r="G33" s="95"/>
      <c r="H33" s="96"/>
    </row>
    <row r="34" spans="2:8" ht="59.25" customHeight="1" x14ac:dyDescent="0.25">
      <c r="B34" s="92"/>
      <c r="C34" s="170" t="s">
        <v>178</v>
      </c>
      <c r="D34" s="171"/>
      <c r="E34" s="168" t="s">
        <v>179</v>
      </c>
      <c r="F34" s="169"/>
      <c r="G34" s="95"/>
      <c r="H34" s="96"/>
    </row>
    <row r="35" spans="2:8" ht="29.25" customHeight="1" x14ac:dyDescent="0.25">
      <c r="B35" s="92"/>
      <c r="C35" s="170" t="s">
        <v>29</v>
      </c>
      <c r="D35" s="171"/>
      <c r="E35" s="168" t="s">
        <v>180</v>
      </c>
      <c r="F35" s="169"/>
      <c r="G35" s="95"/>
      <c r="H35" s="96"/>
    </row>
    <row r="36" spans="2:8" ht="82.5" customHeight="1" x14ac:dyDescent="0.25">
      <c r="B36" s="92"/>
      <c r="C36" s="170" t="s">
        <v>182</v>
      </c>
      <c r="D36" s="171"/>
      <c r="E36" s="168" t="s">
        <v>181</v>
      </c>
      <c r="F36" s="169"/>
      <c r="G36" s="95"/>
      <c r="H36" s="96"/>
    </row>
    <row r="37" spans="2:8" ht="46.5" customHeight="1" x14ac:dyDescent="0.25">
      <c r="B37" s="92"/>
      <c r="C37" s="170" t="s">
        <v>38</v>
      </c>
      <c r="D37" s="171"/>
      <c r="E37" s="168" t="s">
        <v>183</v>
      </c>
      <c r="F37" s="169"/>
      <c r="G37" s="95"/>
      <c r="H37" s="96"/>
    </row>
    <row r="38" spans="2:8" ht="6.75" customHeight="1" thickBot="1" x14ac:dyDescent="0.3">
      <c r="B38" s="92"/>
      <c r="C38" s="181"/>
      <c r="D38" s="182"/>
      <c r="E38" s="183"/>
      <c r="F38" s="184"/>
      <c r="G38" s="95"/>
      <c r="H38" s="96"/>
    </row>
    <row r="39" spans="2:8" ht="15.75" thickTop="1" x14ac:dyDescent="0.25">
      <c r="B39" s="92"/>
      <c r="C39" s="93"/>
      <c r="D39" s="93"/>
      <c r="E39" s="94"/>
      <c r="F39" s="94"/>
      <c r="G39" s="95"/>
      <c r="H39" s="96"/>
    </row>
    <row r="40" spans="2:8" ht="21" customHeight="1" x14ac:dyDescent="0.25">
      <c r="B40" s="178" t="s">
        <v>192</v>
      </c>
      <c r="C40" s="179"/>
      <c r="D40" s="179"/>
      <c r="E40" s="179"/>
      <c r="F40" s="179"/>
      <c r="G40" s="179"/>
      <c r="H40" s="180"/>
    </row>
    <row r="41" spans="2:8" ht="20.25" customHeight="1" x14ac:dyDescent="0.25">
      <c r="B41" s="178" t="s">
        <v>193</v>
      </c>
      <c r="C41" s="179"/>
      <c r="D41" s="179"/>
      <c r="E41" s="179"/>
      <c r="F41" s="179"/>
      <c r="G41" s="179"/>
      <c r="H41" s="180"/>
    </row>
    <row r="42" spans="2:8" ht="20.25" customHeight="1" x14ac:dyDescent="0.25">
      <c r="B42" s="178" t="s">
        <v>194</v>
      </c>
      <c r="C42" s="179"/>
      <c r="D42" s="179"/>
      <c r="E42" s="179"/>
      <c r="F42" s="179"/>
      <c r="G42" s="179"/>
      <c r="H42" s="180"/>
    </row>
    <row r="43" spans="2:8" ht="20.25" customHeight="1" x14ac:dyDescent="0.25">
      <c r="B43" s="178" t="s">
        <v>195</v>
      </c>
      <c r="C43" s="179"/>
      <c r="D43" s="179"/>
      <c r="E43" s="179"/>
      <c r="F43" s="179"/>
      <c r="G43" s="179"/>
      <c r="H43" s="180"/>
    </row>
    <row r="44" spans="2:8" x14ac:dyDescent="0.25">
      <c r="B44" s="178" t="s">
        <v>196</v>
      </c>
      <c r="C44" s="179"/>
      <c r="D44" s="179"/>
      <c r="E44" s="179"/>
      <c r="F44" s="179"/>
      <c r="G44" s="179"/>
      <c r="H44" s="180"/>
    </row>
    <row r="45" spans="2:8" ht="15.75" thickBot="1" x14ac:dyDescent="0.3">
      <c r="B45" s="97"/>
      <c r="C45" s="98"/>
      <c r="D45" s="98"/>
      <c r="E45" s="98"/>
      <c r="F45" s="98"/>
      <c r="G45" s="98"/>
      <c r="H45" s="9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68"/>
  <sheetViews>
    <sheetView tabSelected="1" topLeftCell="AB6" zoomScale="78" zoomScaleNormal="78" workbookViewId="0">
      <selection activeCell="AK10" sqref="AK10"/>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7" style="1" customWidth="1"/>
    <col min="34" max="34" width="18.85546875" style="1" customWidth="1"/>
    <col min="35" max="35" width="16.85546875" style="1" customWidth="1"/>
    <col min="36" max="36" width="18.5703125" style="1" customWidth="1"/>
    <col min="37" max="37" width="46.42578125" style="1" customWidth="1"/>
    <col min="38" max="38" width="21" style="1" customWidth="1"/>
    <col min="39" max="16384" width="11.42578125" style="1"/>
  </cols>
  <sheetData>
    <row r="1" spans="1:70" ht="16.5" customHeight="1" x14ac:dyDescent="0.3">
      <c r="A1" s="209" t="s">
        <v>138</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12"/>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55" t="s">
        <v>42</v>
      </c>
      <c r="B4" s="256"/>
      <c r="C4" s="207" t="s">
        <v>217</v>
      </c>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50.25" customHeight="1" x14ac:dyDescent="0.3">
      <c r="A5" s="255" t="s">
        <v>124</v>
      </c>
      <c r="B5" s="256"/>
      <c r="C5" s="207" t="s">
        <v>215</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55" t="s">
        <v>43</v>
      </c>
      <c r="B6" s="256"/>
      <c r="C6" s="208" t="s">
        <v>216</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15" t="s">
        <v>133</v>
      </c>
      <c r="B7" s="216"/>
      <c r="C7" s="217"/>
      <c r="D7" s="217"/>
      <c r="E7" s="217"/>
      <c r="F7" s="217"/>
      <c r="G7" s="217"/>
      <c r="H7" s="217"/>
      <c r="I7" s="218"/>
      <c r="J7" s="219" t="s">
        <v>134</v>
      </c>
      <c r="K7" s="217"/>
      <c r="L7" s="217"/>
      <c r="M7" s="217"/>
      <c r="N7" s="217"/>
      <c r="O7" s="217"/>
      <c r="P7" s="218"/>
      <c r="Q7" s="219" t="s">
        <v>135</v>
      </c>
      <c r="R7" s="217"/>
      <c r="S7" s="217"/>
      <c r="T7" s="217"/>
      <c r="U7" s="217"/>
      <c r="V7" s="217"/>
      <c r="W7" s="217"/>
      <c r="X7" s="217"/>
      <c r="Y7" s="218"/>
      <c r="Z7" s="219" t="s">
        <v>136</v>
      </c>
      <c r="AA7" s="217"/>
      <c r="AB7" s="217"/>
      <c r="AC7" s="217"/>
      <c r="AD7" s="217"/>
      <c r="AE7" s="217"/>
      <c r="AF7" s="218"/>
      <c r="AG7" s="219" t="s">
        <v>34</v>
      </c>
      <c r="AH7" s="217"/>
      <c r="AI7" s="217"/>
      <c r="AJ7" s="217"/>
      <c r="AK7" s="217"/>
      <c r="AL7" s="21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57" t="s">
        <v>0</v>
      </c>
      <c r="B8" s="269" t="s">
        <v>2</v>
      </c>
      <c r="C8" s="260" t="s">
        <v>3</v>
      </c>
      <c r="D8" s="260" t="s">
        <v>41</v>
      </c>
      <c r="E8" s="259" t="s">
        <v>202</v>
      </c>
      <c r="F8" s="261" t="s">
        <v>1</v>
      </c>
      <c r="G8" s="150"/>
      <c r="H8" s="259" t="s">
        <v>49</v>
      </c>
      <c r="I8" s="260" t="s">
        <v>129</v>
      </c>
      <c r="J8" s="266" t="s">
        <v>33</v>
      </c>
      <c r="K8" s="267" t="s">
        <v>5</v>
      </c>
      <c r="L8" s="259" t="s">
        <v>85</v>
      </c>
      <c r="M8" s="259" t="s">
        <v>90</v>
      </c>
      <c r="N8" s="268" t="s">
        <v>44</v>
      </c>
      <c r="O8" s="267" t="s">
        <v>5</v>
      </c>
      <c r="P8" s="260" t="s">
        <v>47</v>
      </c>
      <c r="Q8" s="263" t="s">
        <v>11</v>
      </c>
      <c r="R8" s="254" t="s">
        <v>151</v>
      </c>
      <c r="S8" s="259" t="s">
        <v>12</v>
      </c>
      <c r="T8" s="254" t="s">
        <v>8</v>
      </c>
      <c r="U8" s="254"/>
      <c r="V8" s="254"/>
      <c r="W8" s="254"/>
      <c r="X8" s="254"/>
      <c r="Y8" s="254"/>
      <c r="Z8" s="265" t="s">
        <v>132</v>
      </c>
      <c r="AA8" s="265" t="s">
        <v>45</v>
      </c>
      <c r="AB8" s="265" t="s">
        <v>5</v>
      </c>
      <c r="AC8" s="265" t="s">
        <v>46</v>
      </c>
      <c r="AD8" s="265" t="s">
        <v>5</v>
      </c>
      <c r="AE8" s="265" t="s">
        <v>48</v>
      </c>
      <c r="AF8" s="263" t="s">
        <v>29</v>
      </c>
      <c r="AG8" s="254" t="s">
        <v>34</v>
      </c>
      <c r="AH8" s="254" t="s">
        <v>35</v>
      </c>
      <c r="AI8" s="254" t="s">
        <v>36</v>
      </c>
      <c r="AJ8" s="254" t="s">
        <v>37</v>
      </c>
      <c r="AK8" s="254" t="s">
        <v>249</v>
      </c>
      <c r="AL8" s="254"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121.5" customHeight="1" x14ac:dyDescent="0.25">
      <c r="A9" s="258"/>
      <c r="B9" s="269"/>
      <c r="C9" s="254"/>
      <c r="D9" s="254"/>
      <c r="E9" s="266"/>
      <c r="F9" s="262"/>
      <c r="G9" s="150" t="s">
        <v>203</v>
      </c>
      <c r="H9" s="260"/>
      <c r="I9" s="254"/>
      <c r="J9" s="260"/>
      <c r="K9" s="219"/>
      <c r="L9" s="260"/>
      <c r="M9" s="260"/>
      <c r="N9" s="219"/>
      <c r="O9" s="219"/>
      <c r="P9" s="254"/>
      <c r="Q9" s="264"/>
      <c r="R9" s="254"/>
      <c r="S9" s="260"/>
      <c r="T9" s="7" t="s">
        <v>13</v>
      </c>
      <c r="U9" s="7" t="s">
        <v>17</v>
      </c>
      <c r="V9" s="7" t="s">
        <v>28</v>
      </c>
      <c r="W9" s="7" t="s">
        <v>18</v>
      </c>
      <c r="X9" s="7" t="s">
        <v>21</v>
      </c>
      <c r="Y9" s="7" t="s">
        <v>24</v>
      </c>
      <c r="Z9" s="265"/>
      <c r="AA9" s="265"/>
      <c r="AB9" s="265"/>
      <c r="AC9" s="265"/>
      <c r="AD9" s="265"/>
      <c r="AE9" s="265"/>
      <c r="AF9" s="264"/>
      <c r="AG9" s="254"/>
      <c r="AH9" s="254"/>
      <c r="AI9" s="254"/>
      <c r="AJ9" s="254"/>
      <c r="AK9" s="254"/>
      <c r="AL9" s="254"/>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86.75" customHeight="1" x14ac:dyDescent="0.25">
      <c r="A10" s="229">
        <v>1</v>
      </c>
      <c r="B10" s="276" t="s">
        <v>128</v>
      </c>
      <c r="C10" s="276" t="s">
        <v>220</v>
      </c>
      <c r="D10" s="278" t="s">
        <v>218</v>
      </c>
      <c r="E10" s="167" t="s">
        <v>221</v>
      </c>
      <c r="F10" s="280" t="s">
        <v>229</v>
      </c>
      <c r="G10" s="288" t="s">
        <v>223</v>
      </c>
      <c r="H10" s="270" t="s">
        <v>123</v>
      </c>
      <c r="I10" s="272" t="s">
        <v>224</v>
      </c>
      <c r="J10" s="274" t="str">
        <f>IF(I10&lt;=0,"",IF(I10&lt;=2,"Muy Baja",IF(I10&lt;=24,"Baja",IF(I10&lt;=500,"Media",IF(I10&lt;=5000,"Alta","Muy Alta")))))</f>
        <v>Muy Alta</v>
      </c>
      <c r="K10" s="284">
        <f>IF(J10="","",IF(J10="Muy Baja",0.2,IF(J10="Baja",0.4,IF(J10="Media",0.6,IF(J10="Alta",0.8,IF(J10="Muy Alta",1,))))))</f>
        <v>1</v>
      </c>
      <c r="L10" s="286" t="s">
        <v>144</v>
      </c>
      <c r="M10" s="284"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74"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84">
        <f ca="1">IF(N10="","",IF(N10="Leve",0.2,IF(N10="Menor",0.4,IF(N10="Moderado",0.6,IF(N10="Mayor",0.8,IF(N10="Catastrófico",1,))))))</f>
        <v>0.6</v>
      </c>
      <c r="P10" s="282"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7">
        <v>1</v>
      </c>
      <c r="R10" s="122" t="s">
        <v>225</v>
      </c>
      <c r="S10" s="109" t="str">
        <f>IF(OR(T10="Preventivo",T10="Detectivo"),"Probabilidad",IF(T10="Correctivo","Impacto",""))</f>
        <v>Probabilidad</v>
      </c>
      <c r="T10" s="123" t="s">
        <v>14</v>
      </c>
      <c r="U10" s="123" t="s">
        <v>9</v>
      </c>
      <c r="V10" s="124" t="str">
        <f>IF(AND(T10="Preventivo",U10="Automático"),"50%",IF(AND(T10="Preventivo",U10="Manual"),"40%",IF(AND(T10="Detectivo",U10="Automático"),"40%",IF(AND(T10="Detectivo",U10="Manual"),"30%",IF(AND(T10="Correctivo",U10="Automático"),"35%",IF(AND(T10="Correctivo",U10="Manual"),"25%",""))))))</f>
        <v>40%</v>
      </c>
      <c r="W10" s="123" t="s">
        <v>19</v>
      </c>
      <c r="X10" s="123" t="s">
        <v>23</v>
      </c>
      <c r="Y10" s="123" t="s">
        <v>113</v>
      </c>
      <c r="Z10" s="112">
        <f>IFERROR(IF(S10="Probabilidad",(K10-(+K10*V10)),IF(S10="Impacto",K10,"")),"")</f>
        <v>0.6</v>
      </c>
      <c r="AA10" s="128" t="str">
        <f>IFERROR(IF(Z10="","",IF(Z10&lt;=0.2,"Muy Baja",IF(Z10&lt;=0.4,"Baja",IF(Z10&lt;=0.6,"Media",IF(Z10&lt;=0.8,"Alta","Muy Alta"))))),"")</f>
        <v>Media</v>
      </c>
      <c r="AB10" s="129">
        <f>+Z10</f>
        <v>0.6</v>
      </c>
      <c r="AC10" s="128" t="str">
        <f ca="1">IFERROR(IF(AD10="","",IF(AD10&lt;=0.2,"Leve",IF(AD10&lt;=0.4,"Menor",IF(AD10&lt;=0.6,"Moderado",IF(AD10&lt;=0.8,"Mayor","Catastrófico"))))),"")</f>
        <v>Moderado</v>
      </c>
      <c r="AD10" s="129">
        <f ca="1">IFERROR(IF(S10="Impacto",(O10-(+O10*V10)),IF(S10="Probabilidad",O10,"")),"")</f>
        <v>0.6</v>
      </c>
      <c r="AE10" s="130"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31" t="s">
        <v>130</v>
      </c>
      <c r="AG10" s="125" t="s">
        <v>226</v>
      </c>
      <c r="AH10" s="126" t="s">
        <v>227</v>
      </c>
      <c r="AI10" s="162" t="s">
        <v>246</v>
      </c>
      <c r="AJ10" s="127"/>
      <c r="AK10" s="166"/>
      <c r="AL10" s="1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218.25" customHeight="1" x14ac:dyDescent="0.3">
      <c r="A11" s="230"/>
      <c r="B11" s="277"/>
      <c r="C11" s="277"/>
      <c r="D11" s="279"/>
      <c r="E11" s="161" t="s">
        <v>219</v>
      </c>
      <c r="F11" s="281"/>
      <c r="G11" s="288"/>
      <c r="H11" s="271"/>
      <c r="I11" s="273"/>
      <c r="J11" s="275"/>
      <c r="K11" s="285"/>
      <c r="L11" s="287"/>
      <c r="M11" s="285">
        <f ca="1">IF(NOT(ISERROR(MATCH(L11,_xlfn.ANCHORARRAY(F18),0))),K20&amp;"Por favor no seleccionar los criterios de impacto",L11)</f>
        <v>0</v>
      </c>
      <c r="N11" s="275"/>
      <c r="O11" s="285"/>
      <c r="P11" s="283"/>
      <c r="Q11" s="107">
        <v>2</v>
      </c>
      <c r="R11" s="122" t="s">
        <v>228</v>
      </c>
      <c r="S11" s="109" t="str">
        <f>IF(OR(T11="Preventivo",T11="Detectivo"),"Probabilidad",IF(T11="Correctivo","Impacto",""))</f>
        <v>Probabilidad</v>
      </c>
      <c r="T11" s="123" t="s">
        <v>14</v>
      </c>
      <c r="U11" s="123" t="s">
        <v>9</v>
      </c>
      <c r="V11" s="124" t="str">
        <f t="shared" ref="V11" si="0">IF(AND(T11="Preventivo",U11="Automático"),"50%",IF(AND(T11="Preventivo",U11="Manual"),"40%",IF(AND(T11="Detectivo",U11="Automático"),"40%",IF(AND(T11="Detectivo",U11="Manual"),"30%",IF(AND(T11="Correctivo",U11="Automático"),"35%",IF(AND(T11="Correctivo",U11="Manual"),"25%",""))))))</f>
        <v>40%</v>
      </c>
      <c r="W11" s="123" t="s">
        <v>19</v>
      </c>
      <c r="X11" s="123" t="s">
        <v>23</v>
      </c>
      <c r="Y11" s="123" t="s">
        <v>113</v>
      </c>
      <c r="Z11" s="112">
        <f>IFERROR(IF(AND(S10="Probabilidad",S11="Probabilidad"),(AB10-(+AB10*V11)),IF(AND(S10="Impacto",S11="Probabilidad"),(AB9-(+AB9*V11)),IF(S11="Impacto",AB10,""))),"")</f>
        <v>0.36</v>
      </c>
      <c r="AA11" s="128" t="str">
        <f t="shared" ref="AA11" si="1">IFERROR(IF(Z11="","",IF(Z11&lt;=0.2,"Muy Baja",IF(Z11&lt;=0.4,"Baja",IF(Z11&lt;=0.6,"Media",IF(Z11&lt;=0.8,"Alta","Muy Alta"))))),"")</f>
        <v>Baja</v>
      </c>
      <c r="AB11" s="129">
        <f t="shared" ref="AB11" si="2">+Z11</f>
        <v>0.36</v>
      </c>
      <c r="AC11" s="128" t="str">
        <f t="shared" ref="AC11" ca="1" si="3">IFERROR(IF(AD11="","",IF(AD11&lt;=0.2,"Leve",IF(AD11&lt;=0.4,"Menor",IF(AD11&lt;=0.6,"Moderado",IF(AD11&lt;=0.8,"Mayor","Catastrófico"))))),"")</f>
        <v>Moderado</v>
      </c>
      <c r="AD11" s="132">
        <f ca="1">IFERROR(IF(AND(S10="Impacto",S11="Impacto"),(AD10-(+AD10*V11)),IF(AND(S10="Probabilidad",S11="Impacto"),(AD9-(+AD9*V11)),IF(S11="Probabilidad",AD10,""))),"")</f>
        <v>0.6</v>
      </c>
      <c r="AE11" s="130"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31" t="s">
        <v>130</v>
      </c>
      <c r="AG11" s="117" t="s">
        <v>230</v>
      </c>
      <c r="AH11" s="126" t="s">
        <v>227</v>
      </c>
      <c r="AI11" s="163" t="s">
        <v>247</v>
      </c>
      <c r="AJ11" s="119"/>
      <c r="AK11" s="165"/>
      <c r="AL11" s="11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66.5" customHeight="1" x14ac:dyDescent="0.3">
      <c r="A12" s="230"/>
      <c r="B12" s="277"/>
      <c r="C12" s="277"/>
      <c r="D12" s="279"/>
      <c r="E12" s="151" t="s">
        <v>222</v>
      </c>
      <c r="F12" s="281"/>
      <c r="G12" s="288"/>
      <c r="H12" s="271"/>
      <c r="I12" s="273"/>
      <c r="J12" s="275"/>
      <c r="K12" s="285"/>
      <c r="L12" s="287"/>
      <c r="M12" s="285">
        <f ca="1">IF(NOT(ISERROR(MATCH(L12,_xlfn.ANCHORARRAY(F19),0))),K21&amp;"Por favor no seleccionar los criterios de impacto",L12)</f>
        <v>0</v>
      </c>
      <c r="N12" s="275"/>
      <c r="O12" s="285"/>
      <c r="P12" s="283"/>
      <c r="Q12" s="107">
        <v>3</v>
      </c>
      <c r="R12" s="120" t="s">
        <v>232</v>
      </c>
      <c r="S12" s="109" t="str">
        <f>IF(OR(T12="Preventivo",T12="Detectivo"),"Probabilidad",IF(T12="Correctivo","Impacto",""))</f>
        <v>Probabilidad</v>
      </c>
      <c r="T12" s="123" t="s">
        <v>14</v>
      </c>
      <c r="U12" s="123" t="s">
        <v>9</v>
      </c>
      <c r="V12" s="124" t="str">
        <f t="shared" ref="V12" si="5">IF(AND(T12="Preventivo",U12="Automático"),"50%",IF(AND(T12="Preventivo",U12="Manual"),"40%",IF(AND(T12="Detectivo",U12="Automático"),"40%",IF(AND(T12="Detectivo",U12="Manual"),"30%",IF(AND(T12="Correctivo",U12="Automático"),"35%",IF(AND(T12="Correctivo",U12="Manual"),"25%",""))))))</f>
        <v>40%</v>
      </c>
      <c r="W12" s="123" t="s">
        <v>19</v>
      </c>
      <c r="X12" s="123" t="s">
        <v>23</v>
      </c>
      <c r="Y12" s="123" t="s">
        <v>113</v>
      </c>
      <c r="Z12" s="112">
        <f t="shared" ref="Z12" si="6">IFERROR(IF(AND(S11="Probabilidad",S12="Probabilidad"),(AB11-(+AB11*V12)),IF(AND(S11="Impacto",S12="Probabilidad"),(AB10-(+AB10*V12)),IF(S12="Impacto",AB11,""))),"")</f>
        <v>0.216</v>
      </c>
      <c r="AA12" s="128" t="str">
        <f t="shared" ref="AA12" si="7">IFERROR(IF(Z12="","",IF(Z12&lt;=0.2,"Muy Baja",IF(Z12&lt;=0.4,"Baja",IF(Z12&lt;=0.6,"Media",IF(Z12&lt;=0.8,"Alta","Muy Alta"))))),"")</f>
        <v>Baja</v>
      </c>
      <c r="AB12" s="129">
        <f t="shared" ref="AB12" si="8">+Z12</f>
        <v>0.216</v>
      </c>
      <c r="AC12" s="128" t="str">
        <f t="shared" ref="AC12" ca="1" si="9">IFERROR(IF(AD12="","",IF(AD12&lt;=0.2,"Leve",IF(AD12&lt;=0.4,"Menor",IF(AD12&lt;=0.6,"Moderado",IF(AD12&lt;=0.8,"Mayor","Catastrófico"))))),"")</f>
        <v>Moderado</v>
      </c>
      <c r="AD12" s="132">
        <f t="shared" ref="AD12" ca="1" si="10">IFERROR(IF(AND(S11="Impacto",S12="Impacto"),(AD11-(+AD11*V12)),IF(AND(S11="Probabilidad",S12="Impacto"),(AD10-(+AD10*V12)),IF(S12="Probabilidad",AD11,""))),"")</f>
        <v>0.6</v>
      </c>
      <c r="AE12" s="130" t="str">
        <f t="shared" ref="AE12" ca="1" si="11">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31" t="s">
        <v>130</v>
      </c>
      <c r="AG12" s="117" t="s">
        <v>231</v>
      </c>
      <c r="AH12" s="117" t="s">
        <v>233</v>
      </c>
      <c r="AI12" s="163" t="s">
        <v>248</v>
      </c>
      <c r="AJ12" s="119"/>
      <c r="AK12" s="165"/>
      <c r="AL12" s="11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87.5" customHeight="1" x14ac:dyDescent="0.3">
      <c r="A13" s="229">
        <v>2</v>
      </c>
      <c r="B13" s="232" t="s">
        <v>128</v>
      </c>
      <c r="C13" s="232" t="s">
        <v>235</v>
      </c>
      <c r="D13" s="247" t="s">
        <v>234</v>
      </c>
      <c r="E13" s="164" t="s">
        <v>236</v>
      </c>
      <c r="F13" s="250" t="s">
        <v>238</v>
      </c>
      <c r="G13" s="153" t="s">
        <v>223</v>
      </c>
      <c r="H13" s="251" t="s">
        <v>120</v>
      </c>
      <c r="I13" s="238" t="s">
        <v>224</v>
      </c>
      <c r="J13" s="241" t="str">
        <f>IF(I13&lt;=0,"",IF(I13&lt;=2,"Muy Baja",IF(I13&lt;=24,"Baja",IF(I13&lt;=500,"Media",IF(I13&lt;=5000,"Alta","Muy Alta")))))</f>
        <v>Muy Alta</v>
      </c>
      <c r="K13" s="223">
        <f>IF(J13="","",IF(J13="Muy Baja",0.2,IF(J13="Baja",0.4,IF(J13="Media",0.6,IF(J13="Alta",0.8,IF(J13="Muy Alta",1,))))))</f>
        <v>1</v>
      </c>
      <c r="L13" s="244" t="s">
        <v>212</v>
      </c>
      <c r="M13" s="223" t="str">
        <f ca="1">IF(NOT(ISERROR(MATCH(L13,'Tabla Impacto'!$B$221:$B$223,0))),'Tabla Impacto'!$F$223&amp;"Por favor no seleccionar los criterios de impacto(Afectación Económica o presupuestal y Pérdida Reputacional)",L13)</f>
        <v xml:space="preserve">     Mayor a 10000 SMLMV</v>
      </c>
      <c r="N13" s="241" t="str">
        <f ca="1">IF(OR(M13='Tabla Impacto'!$C$11,M13='Tabla Impacto'!$D$11),"Leve",IF(OR(M13='Tabla Impacto'!$C$12,M13='Tabla Impacto'!$D$12),"Menor",IF(OR(M13='Tabla Impacto'!$C$13,M13='Tabla Impacto'!$D$13),"Moderado",IF(OR(M13='Tabla Impacto'!$C$14,M13='Tabla Impacto'!$D$14),"Mayor",IF(OR(M13='Tabla Impacto'!$C$15,M13='Tabla Impacto'!$D$15),"Catastrófico","")))))</f>
        <v>Catastrófico</v>
      </c>
      <c r="O13" s="223">
        <f ca="1">IF(N13="","",IF(N13="Leve",0.2,IF(N13="Menor",0.4,IF(N13="Moderado",0.6,IF(N13="Mayor",0.8,IF(N13="Catastrófico",1,))))))</f>
        <v>1</v>
      </c>
      <c r="P13" s="226" t="str">
        <f ca="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Extremo</v>
      </c>
      <c r="Q13" s="107">
        <v>1</v>
      </c>
      <c r="R13" s="108" t="s">
        <v>239</v>
      </c>
      <c r="S13" s="109" t="str">
        <f>IF(OR(T13="Preventivo",T13="Detectivo"),"Probabilidad",IF(T13="Correctivo","Impacto",""))</f>
        <v>Probabilidad</v>
      </c>
      <c r="T13" s="123" t="s">
        <v>14</v>
      </c>
      <c r="U13" s="123" t="s">
        <v>9</v>
      </c>
      <c r="V13" s="124" t="str">
        <f>IF(AND(T13="Preventivo",U13="Automático"),"50%",IF(AND(T13="Preventivo",U13="Manual"),"40%",IF(AND(T13="Detectivo",U13="Automático"),"40%",IF(AND(T13="Detectivo",U13="Manual"),"30%",IF(AND(T13="Correctivo",U13="Automático"),"35%",IF(AND(T13="Correctivo",U13="Manual"),"25%",""))))))</f>
        <v>40%</v>
      </c>
      <c r="W13" s="123" t="s">
        <v>19</v>
      </c>
      <c r="X13" s="123" t="s">
        <v>23</v>
      </c>
      <c r="Y13" s="123" t="s">
        <v>113</v>
      </c>
      <c r="Z13" s="112">
        <f>IFERROR(IF(S13="Probabilidad",(K13-(+K13*V13)),IF(S13="Impacto",K13,"")),"")</f>
        <v>0.6</v>
      </c>
      <c r="AA13" s="128" t="str">
        <f>IFERROR(IF(Z13="","",IF(Z13&lt;=0.2,"Muy Baja",IF(Z13&lt;=0.4,"Baja",IF(Z13&lt;=0.6,"Media",IF(Z13&lt;=0.8,"Alta","Muy Alta"))))),"")</f>
        <v>Media</v>
      </c>
      <c r="AB13" s="129">
        <f>+Z13</f>
        <v>0.6</v>
      </c>
      <c r="AC13" s="128" t="str">
        <f ca="1">IFERROR(IF(AD13="","",IF(AD13&lt;=0.2,"Leve",IF(AD13&lt;=0.4,"Menor",IF(AD13&lt;=0.6,"Moderado",IF(AD13&lt;=0.8,"Mayor","Catastrófico"))))),"")</f>
        <v>Catastrófico</v>
      </c>
      <c r="AD13" s="129">
        <f ca="1">IFERROR(IF(S13="Impacto",(O13-(+O13*V13)),IF(S13="Probabilidad",O13,"")),"")</f>
        <v>1</v>
      </c>
      <c r="AE13" s="130" t="str">
        <f ca="1">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Extremo</v>
      </c>
      <c r="AF13" s="116" t="s">
        <v>130</v>
      </c>
      <c r="AG13" s="165" t="s">
        <v>244</v>
      </c>
      <c r="AH13" s="118" t="s">
        <v>227</v>
      </c>
      <c r="AI13" s="163" t="s">
        <v>246</v>
      </c>
      <c r="AJ13" s="119"/>
      <c r="AK13" s="165"/>
      <c r="AL13" s="11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218.25" customHeight="1" x14ac:dyDescent="0.3">
      <c r="A14" s="230"/>
      <c r="B14" s="233"/>
      <c r="C14" s="233"/>
      <c r="D14" s="248"/>
      <c r="E14" s="164" t="s">
        <v>237</v>
      </c>
      <c r="F14" s="250"/>
      <c r="H14" s="252"/>
      <c r="I14" s="239"/>
      <c r="J14" s="242"/>
      <c r="K14" s="224"/>
      <c r="L14" s="245"/>
      <c r="M14" s="224">
        <f ca="1">IF(NOT(ISERROR(MATCH(L14,_xlfn.ANCHORARRAY(F24),0))),K26&amp;"Por favor no seleccionar los criterios de impacto",L14)</f>
        <v>0</v>
      </c>
      <c r="N14" s="242"/>
      <c r="O14" s="224"/>
      <c r="P14" s="227"/>
      <c r="Q14" s="107">
        <v>2</v>
      </c>
      <c r="R14" s="108" t="s">
        <v>240</v>
      </c>
      <c r="S14" s="109" t="str">
        <f>IF(OR(T14="Preventivo",T14="Detectivo"),"Probabilidad",IF(T14="Correctivo","Impacto",""))</f>
        <v>Probabilidad</v>
      </c>
      <c r="T14" s="123" t="s">
        <v>14</v>
      </c>
      <c r="U14" s="123" t="s">
        <v>9</v>
      </c>
      <c r="V14" s="124" t="str">
        <f t="shared" ref="V14:V17" si="12">IF(AND(T14="Preventivo",U14="Automático"),"50%",IF(AND(T14="Preventivo",U14="Manual"),"40%",IF(AND(T14="Detectivo",U14="Automático"),"40%",IF(AND(T14="Detectivo",U14="Manual"),"30%",IF(AND(T14="Correctivo",U14="Automático"),"35%",IF(AND(T14="Correctivo",U14="Manual"),"25%",""))))))</f>
        <v>40%</v>
      </c>
      <c r="W14" s="123" t="s">
        <v>19</v>
      </c>
      <c r="X14" s="123" t="s">
        <v>23</v>
      </c>
      <c r="Y14" s="123" t="s">
        <v>113</v>
      </c>
      <c r="Z14" s="112">
        <f>IFERROR(IF(AND(S13="Probabilidad",S14="Probabilidad"),(AB13-(+AB13*V14)),IF(AND(S13="Impacto",S14="Probabilidad"),(#REF!-(+#REF!*V14)),IF(S14="Impacto",AB13,""))),"")</f>
        <v>0.36</v>
      </c>
      <c r="AA14" s="128" t="str">
        <f t="shared" ref="AA14:AA17" si="13">IFERROR(IF(Z14="","",IF(Z14&lt;=0.2,"Muy Baja",IF(Z14&lt;=0.4,"Baja",IF(Z14&lt;=0.6,"Media",IF(Z14&lt;=0.8,"Alta","Muy Alta"))))),"")</f>
        <v>Baja</v>
      </c>
      <c r="AB14" s="129">
        <f t="shared" ref="AB14:AB17" si="14">+Z14</f>
        <v>0.36</v>
      </c>
      <c r="AC14" s="128" t="str">
        <f t="shared" ref="AC14:AC17" ca="1" si="15">IFERROR(IF(AD14="","",IF(AD14&lt;=0.2,"Leve",IF(AD14&lt;=0.4,"Menor",IF(AD14&lt;=0.6,"Moderado",IF(AD14&lt;=0.8,"Mayor","Catastrófico"))))),"")</f>
        <v>Catastrófico</v>
      </c>
      <c r="AD14" s="132">
        <f ca="1">IFERROR(IF(AND(S13="Impacto",S14="Impacto"),(AD13-(+AD13*V14)),IF(AND(S13="Probabilidad",S14="Impacto"),(#REF!-(+#REF!*V14)),IF(S14="Probabilidad",AD13,""))),"")</f>
        <v>1</v>
      </c>
      <c r="AE14" s="130" t="str">
        <f t="shared" ref="AE14:AE17" ca="1" si="16">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Extremo</v>
      </c>
      <c r="AF14" s="116" t="s">
        <v>130</v>
      </c>
      <c r="AG14" s="117" t="s">
        <v>245</v>
      </c>
      <c r="AH14" s="118" t="s">
        <v>227</v>
      </c>
      <c r="AI14" s="163" t="s">
        <v>247</v>
      </c>
      <c r="AJ14" s="119"/>
      <c r="AK14" s="165"/>
      <c r="AL14" s="11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82.25" customHeight="1" x14ac:dyDescent="0.3">
      <c r="A15" s="230"/>
      <c r="B15" s="233"/>
      <c r="C15" s="233"/>
      <c r="D15" s="248"/>
      <c r="E15" s="152"/>
      <c r="F15" s="250"/>
      <c r="G15" s="153"/>
      <c r="H15" s="252"/>
      <c r="I15" s="239"/>
      <c r="J15" s="242"/>
      <c r="K15" s="224"/>
      <c r="L15" s="245"/>
      <c r="M15" s="224">
        <f ca="1">IF(NOT(ISERROR(MATCH(L15,_xlfn.ANCHORARRAY(F25),0))),K27&amp;"Por favor no seleccionar los criterios de impacto",L15)</f>
        <v>0</v>
      </c>
      <c r="N15" s="242"/>
      <c r="O15" s="224"/>
      <c r="P15" s="227"/>
      <c r="Q15" s="107">
        <v>3</v>
      </c>
      <c r="R15" s="120" t="s">
        <v>241</v>
      </c>
      <c r="S15" s="109" t="str">
        <f>IF(OR(T15="Preventivo",T15="Detectivo"),"Probabilidad",IF(T15="Correctivo","Impacto",""))</f>
        <v>Probabilidad</v>
      </c>
      <c r="T15" s="123" t="s">
        <v>14</v>
      </c>
      <c r="U15" s="123" t="s">
        <v>9</v>
      </c>
      <c r="V15" s="124" t="str">
        <f t="shared" si="12"/>
        <v>40%</v>
      </c>
      <c r="W15" s="123" t="s">
        <v>20</v>
      </c>
      <c r="X15" s="123" t="s">
        <v>23</v>
      </c>
      <c r="Y15" s="123" t="s">
        <v>113</v>
      </c>
      <c r="Z15" s="112">
        <f t="shared" ref="Z15" si="17">IFERROR(IF(AND(S14="Probabilidad",S15="Probabilidad"),(AB14-(+AB14*V15)),IF(AND(S14="Impacto",S15="Probabilidad"),(AB13-(+AB13*V15)),IF(S15="Impacto",AB14,""))),"")</f>
        <v>0.216</v>
      </c>
      <c r="AA15" s="128" t="str">
        <f t="shared" si="13"/>
        <v>Baja</v>
      </c>
      <c r="AB15" s="129">
        <f t="shared" si="14"/>
        <v>0.216</v>
      </c>
      <c r="AC15" s="128" t="str">
        <f t="shared" ca="1" si="15"/>
        <v>Catastrófico</v>
      </c>
      <c r="AD15" s="132">
        <f t="shared" ref="AD15" ca="1" si="18">IFERROR(IF(AND(S14="Impacto",S15="Impacto"),(AD14-(+AD14*V15)),IF(AND(S14="Probabilidad",S15="Impacto"),(AD13-(+AD13*V15)),IF(S15="Probabilidad",AD14,""))),"")</f>
        <v>1</v>
      </c>
      <c r="AE15" s="130" t="str">
        <f t="shared" ca="1" si="16"/>
        <v>Extremo</v>
      </c>
      <c r="AF15" s="116"/>
      <c r="AG15" s="117" t="s">
        <v>242</v>
      </c>
      <c r="AH15" s="117" t="s">
        <v>243</v>
      </c>
      <c r="AI15" s="163" t="s">
        <v>247</v>
      </c>
      <c r="AJ15" s="119"/>
      <c r="AK15" s="165"/>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4" customHeight="1" x14ac:dyDescent="0.3">
      <c r="A16" s="230"/>
      <c r="B16" s="233"/>
      <c r="C16" s="233"/>
      <c r="D16" s="248"/>
      <c r="E16" s="152"/>
      <c r="F16" s="250"/>
      <c r="G16" s="153"/>
      <c r="H16" s="252"/>
      <c r="I16" s="239"/>
      <c r="J16" s="242"/>
      <c r="K16" s="224"/>
      <c r="L16" s="245"/>
      <c r="M16" s="224">
        <f ca="1">IF(NOT(ISERROR(MATCH(L16,_xlfn.ANCHORARRAY(F27),0))),K29&amp;"Por favor no seleccionar los criterios de impacto",L16)</f>
        <v>0</v>
      </c>
      <c r="N16" s="242"/>
      <c r="O16" s="224"/>
      <c r="P16" s="227"/>
      <c r="Q16" s="107">
        <v>5</v>
      </c>
      <c r="R16" s="108"/>
      <c r="S16" s="109" t="str">
        <f t="shared" ref="S16:S17" si="19">IF(OR(T16="Preventivo",T16="Detectivo"),"Probabilidad",IF(T16="Correctivo","Impacto",""))</f>
        <v/>
      </c>
      <c r="T16" s="123"/>
      <c r="U16" s="123"/>
      <c r="V16" s="124" t="str">
        <f t="shared" si="12"/>
        <v/>
      </c>
      <c r="W16" s="123"/>
      <c r="X16" s="123"/>
      <c r="Y16" s="123"/>
      <c r="Z16" s="112" t="str">
        <f>IFERROR(IF(AND(#REF!="Probabilidad",S16="Probabilidad"),(#REF!-(+#REF!*V16)),IF(AND(#REF!="Impacto",S16="Probabilidad"),(AB15-(+AB15*V16)),IF(S16="Impacto",#REF!,""))),"")</f>
        <v/>
      </c>
      <c r="AA16" s="128" t="str">
        <f t="shared" si="13"/>
        <v/>
      </c>
      <c r="AB16" s="129" t="str">
        <f t="shared" si="14"/>
        <v/>
      </c>
      <c r="AC16" s="128" t="str">
        <f t="shared" si="15"/>
        <v/>
      </c>
      <c r="AD16" s="132" t="str">
        <f>IFERROR(IF(AND(#REF!="Impacto",S16="Impacto"),(#REF!-(+#REF!*V16)),IF(AND(#REF!="Probabilidad",S16="Impacto"),(AD15-(+AD15*V16)),IF(S16="Probabilidad",#REF!,""))),"")</f>
        <v/>
      </c>
      <c r="AE16" s="130" t="str">
        <f t="shared" si="16"/>
        <v/>
      </c>
      <c r="AF16" s="116"/>
      <c r="AG16" s="117"/>
      <c r="AH16" s="118"/>
      <c r="AI16" s="119"/>
      <c r="AJ16" s="119"/>
      <c r="AK16" s="117"/>
      <c r="AL16" s="11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5.5" customHeight="1" x14ac:dyDescent="0.3">
      <c r="A17" s="231"/>
      <c r="B17" s="234"/>
      <c r="C17" s="234"/>
      <c r="D17" s="249"/>
      <c r="E17" s="152"/>
      <c r="F17" s="250"/>
      <c r="G17" s="153"/>
      <c r="H17" s="253"/>
      <c r="I17" s="240"/>
      <c r="J17" s="243"/>
      <c r="K17" s="225"/>
      <c r="L17" s="246"/>
      <c r="M17" s="225">
        <f ca="1">IF(NOT(ISERROR(MATCH(L17,_xlfn.ANCHORARRAY(F28),0))),K30&amp;"Por favor no seleccionar los criterios de impacto",L17)</f>
        <v>0</v>
      </c>
      <c r="N17" s="243"/>
      <c r="O17" s="225"/>
      <c r="P17" s="228"/>
      <c r="Q17" s="107">
        <v>6</v>
      </c>
      <c r="R17" s="108"/>
      <c r="S17" s="109" t="str">
        <f t="shared" si="19"/>
        <v/>
      </c>
      <c r="T17" s="123"/>
      <c r="U17" s="123"/>
      <c r="V17" s="124" t="str">
        <f t="shared" si="12"/>
        <v/>
      </c>
      <c r="W17" s="123"/>
      <c r="X17" s="123"/>
      <c r="Y17" s="123"/>
      <c r="Z17" s="112" t="str">
        <f>IFERROR(IF(AND(S16="Probabilidad",S17="Probabilidad"),(AB16-(+AB16*V17)),IF(AND(S16="Impacto",S17="Probabilidad"),(#REF!-(+#REF!*V17)),IF(S17="Impacto",AB16,""))),"")</f>
        <v/>
      </c>
      <c r="AA17" s="128" t="str">
        <f t="shared" si="13"/>
        <v/>
      </c>
      <c r="AB17" s="129" t="str">
        <f t="shared" si="14"/>
        <v/>
      </c>
      <c r="AC17" s="128" t="str">
        <f t="shared" si="15"/>
        <v/>
      </c>
      <c r="AD17" s="132" t="str">
        <f>IFERROR(IF(AND(S16="Impacto",S17="Impacto"),(AD16-(+AD16*V17)),IF(AND(S16="Probabilidad",S17="Impacto"),(#REF!-(+#REF!*V17)),IF(S17="Probabilidad",AD16,""))),"")</f>
        <v/>
      </c>
      <c r="AE17" s="130" t="str">
        <f t="shared" si="16"/>
        <v/>
      </c>
      <c r="AF17" s="116"/>
      <c r="AG17" s="117"/>
      <c r="AH17" s="118"/>
      <c r="AI17" s="119"/>
      <c r="AJ17" s="119"/>
      <c r="AK17" s="117"/>
      <c r="AL17" s="11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30.75" customHeight="1" x14ac:dyDescent="0.3">
      <c r="A18" s="229">
        <v>3</v>
      </c>
      <c r="B18" s="232"/>
      <c r="C18" s="232"/>
      <c r="D18" s="247"/>
      <c r="E18" s="152"/>
      <c r="F18" s="250"/>
      <c r="G18" s="153"/>
      <c r="H18" s="251"/>
      <c r="I18" s="238"/>
      <c r="J18" s="241" t="str">
        <f t="shared" ref="J18" si="20">IF(I18&lt;=0,"",IF(I18&lt;=2,"Muy Baja",IF(I18&lt;=24,"Baja",IF(I18&lt;=500,"Media",IF(I18&lt;=5000,"Alta","Muy Alta")))))</f>
        <v/>
      </c>
      <c r="K18" s="223" t="str">
        <f t="shared" ref="K18" si="21">IF(J18="","",IF(J18="Muy Baja",0.2,IF(J18="Baja",0.4,IF(J18="Media",0.6,IF(J18="Alta",0.8,IF(J18="Muy Alta",1,))))))</f>
        <v/>
      </c>
      <c r="L18" s="244"/>
      <c r="M18" s="223">
        <f ca="1">IF(NOT(ISERROR(MATCH(L18,'Tabla Impacto'!$B$221:$B$223,0))),'Tabla Impacto'!$F$223&amp;"Por favor no seleccionar los criterios de impacto(Afectación Económica o presupuestal y Pérdida Reputacional)",L18)</f>
        <v>0</v>
      </c>
      <c r="N18" s="241" t="str">
        <f ca="1">IF(OR(M18='Tabla Impacto'!$C$11,M18='Tabla Impacto'!$D$11),"Leve",IF(OR(M18='Tabla Impacto'!$C$12,M18='Tabla Impacto'!$D$12),"Menor",IF(OR(M18='Tabla Impacto'!$C$13,M18='Tabla Impacto'!$D$13),"Moderado",IF(OR(M18='Tabla Impacto'!$C$14,M18='Tabla Impacto'!$D$14),"Mayor",IF(OR(M18='Tabla Impacto'!$C$15,M18='Tabla Impacto'!$D$15),"Catastrófico","")))))</f>
        <v/>
      </c>
      <c r="O18" s="223" t="str">
        <f t="shared" ref="O18" ca="1" si="22">IF(N18="","",IF(N18="Leve",0.2,IF(N18="Menor",0.4,IF(N18="Moderado",0.6,IF(N18="Mayor",0.8,IF(N18="Catastrófico",1,))))))</f>
        <v/>
      </c>
      <c r="P18" s="226" t="str">
        <f t="shared" ref="P18" ca="1" si="23">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07">
        <v>1</v>
      </c>
      <c r="R18" s="108"/>
      <c r="S18" s="109" t="str">
        <f>IF(OR(T18="Preventivo",T18="Detectivo"),"Probabilidad",IF(T18="Correctivo","Impacto",""))</f>
        <v/>
      </c>
      <c r="T18" s="110"/>
      <c r="U18" s="110"/>
      <c r="V18" s="111" t="str">
        <f>IF(AND(T18="Preventivo",U18="Automático"),"50%",IF(AND(T18="Preventivo",U18="Manual"),"40%",IF(AND(T18="Detectivo",U18="Automático"),"40%",IF(AND(T18="Detectivo",U18="Manual"),"30%",IF(AND(T18="Correctivo",U18="Automático"),"35%",IF(AND(T18="Correctivo",U18="Manual"),"25%",""))))))</f>
        <v/>
      </c>
      <c r="W18" s="110"/>
      <c r="X18" s="110"/>
      <c r="Y18" s="110"/>
      <c r="Z18" s="112" t="str">
        <f>IFERROR(IF(S18="Probabilidad",(K18-(+K18*V18)),IF(S18="Impacto",K18,"")),"")</f>
        <v/>
      </c>
      <c r="AA18" s="113" t="str">
        <f>IFERROR(IF(Z18="","",IF(Z18&lt;=0.2,"Muy Baja",IF(Z18&lt;=0.4,"Baja",IF(Z18&lt;=0.6,"Media",IF(Z18&lt;=0.8,"Alta","Muy Alta"))))),"")</f>
        <v/>
      </c>
      <c r="AB18" s="114" t="str">
        <f>+Z18</f>
        <v/>
      </c>
      <c r="AC18" s="113" t="str">
        <f>IFERROR(IF(AD18="","",IF(AD18&lt;=0.2,"Leve",IF(AD18&lt;=0.4,"Menor",IF(AD18&lt;=0.6,"Moderado",IF(AD18&lt;=0.8,"Mayor","Catastrófico"))))),"")</f>
        <v/>
      </c>
      <c r="AD18" s="121" t="str">
        <f>IFERROR(IF(S18="Impacto",(O18-(+O18*V18)),IF(S18="Probabilidad",O18,"")),"")</f>
        <v/>
      </c>
      <c r="AE18" s="115"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16"/>
      <c r="AG18" s="117"/>
      <c r="AH18" s="118"/>
      <c r="AI18" s="119"/>
      <c r="AJ18" s="119"/>
      <c r="AK18" s="117"/>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3">
      <c r="A19" s="230"/>
      <c r="B19" s="233"/>
      <c r="C19" s="233"/>
      <c r="D19" s="248"/>
      <c r="E19" s="152"/>
      <c r="F19" s="250"/>
      <c r="G19" s="153"/>
      <c r="H19" s="252"/>
      <c r="I19" s="239"/>
      <c r="J19" s="242"/>
      <c r="K19" s="224"/>
      <c r="L19" s="245"/>
      <c r="M19" s="224">
        <f ca="1">IF(NOT(ISERROR(MATCH(L19,_xlfn.ANCHORARRAY(F30),0))),K32&amp;"Por favor no seleccionar los criterios de impacto",L19)</f>
        <v>0</v>
      </c>
      <c r="N19" s="242"/>
      <c r="O19" s="224"/>
      <c r="P19" s="227"/>
      <c r="Q19" s="107">
        <v>2</v>
      </c>
      <c r="R19" s="108"/>
      <c r="S19" s="109" t="str">
        <f>IF(OR(T19="Preventivo",T19="Detectivo"),"Probabilidad",IF(T19="Correctivo","Impacto",""))</f>
        <v/>
      </c>
      <c r="T19" s="110"/>
      <c r="U19" s="110"/>
      <c r="V19" s="111" t="str">
        <f t="shared" ref="V19:V23" si="24">IF(AND(T19="Preventivo",U19="Automático"),"50%",IF(AND(T19="Preventivo",U19="Manual"),"40%",IF(AND(T19="Detectivo",U19="Automático"),"40%",IF(AND(T19="Detectivo",U19="Manual"),"30%",IF(AND(T19="Correctivo",U19="Automático"),"35%",IF(AND(T19="Correctivo",U19="Manual"),"25%",""))))))</f>
        <v/>
      </c>
      <c r="W19" s="110"/>
      <c r="X19" s="110"/>
      <c r="Y19" s="110"/>
      <c r="Z19" s="112" t="str">
        <f>IFERROR(IF(AND(S18="Probabilidad",S19="Probabilidad"),(AB18-(+AB18*V19)),IF(AND(S18="Impacto",S19="Probabilidad"),(AB17-(+AB17*V19)),IF(S19="Impacto",AB18,""))),"")</f>
        <v/>
      </c>
      <c r="AA19" s="113" t="str">
        <f t="shared" ref="AA19:AA23" si="25">IFERROR(IF(Z19="","",IF(Z19&lt;=0.2,"Muy Baja",IF(Z19&lt;=0.4,"Baja",IF(Z19&lt;=0.6,"Media",IF(Z19&lt;=0.8,"Alta","Muy Alta"))))),"")</f>
        <v/>
      </c>
      <c r="AB19" s="114" t="str">
        <f t="shared" ref="AB19:AB23" si="26">+Z19</f>
        <v/>
      </c>
      <c r="AC19" s="113" t="str">
        <f t="shared" ref="AC19:AC23" si="27">IFERROR(IF(AD19="","",IF(AD19&lt;=0.2,"Leve",IF(AD19&lt;=0.4,"Menor",IF(AD19&lt;=0.6,"Moderado",IF(AD19&lt;=0.8,"Mayor","Catastrófico"))))),"")</f>
        <v/>
      </c>
      <c r="AD19" s="121" t="str">
        <f>IFERROR(IF(AND(S18="Impacto",S19="Impacto"),(AD18-(+AD18*V19)),IF(AND(S18="Probabilidad",S19="Impacto"),(AD17-(+AD17*V19)),IF(S19="Probabilidad",AD18,""))),"")</f>
        <v/>
      </c>
      <c r="AE19" s="115" t="str">
        <f t="shared" ref="AE19:AE23" si="28">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16"/>
      <c r="AG19" s="117"/>
      <c r="AH19" s="118"/>
      <c r="AI19" s="119"/>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x14ac:dyDescent="0.3">
      <c r="A20" s="230"/>
      <c r="B20" s="233"/>
      <c r="C20" s="233"/>
      <c r="D20" s="248"/>
      <c r="E20" s="152"/>
      <c r="F20" s="250"/>
      <c r="G20" s="153"/>
      <c r="H20" s="252"/>
      <c r="I20" s="239"/>
      <c r="J20" s="242"/>
      <c r="K20" s="224"/>
      <c r="L20" s="245"/>
      <c r="M20" s="224">
        <f ca="1">IF(NOT(ISERROR(MATCH(L20,_xlfn.ANCHORARRAY(F31),0))),K33&amp;"Por favor no seleccionar los criterios de impacto",L20)</f>
        <v>0</v>
      </c>
      <c r="N20" s="242"/>
      <c r="O20" s="224"/>
      <c r="P20" s="227"/>
      <c r="Q20" s="107">
        <v>3</v>
      </c>
      <c r="R20" s="120"/>
      <c r="S20" s="109" t="str">
        <f>IF(OR(T20="Preventivo",T20="Detectivo"),"Probabilidad",IF(T20="Correctivo","Impacto",""))</f>
        <v/>
      </c>
      <c r="T20" s="110"/>
      <c r="U20" s="110"/>
      <c r="V20" s="111" t="str">
        <f t="shared" si="24"/>
        <v/>
      </c>
      <c r="W20" s="110"/>
      <c r="X20" s="110"/>
      <c r="Y20" s="110"/>
      <c r="Z20" s="112" t="str">
        <f t="shared" ref="Z20:Z23" si="29">IFERROR(IF(AND(S19="Probabilidad",S20="Probabilidad"),(AB19-(+AB19*V20)),IF(AND(S19="Impacto",S20="Probabilidad"),(AB18-(+AB18*V20)),IF(S20="Impacto",AB19,""))),"")</f>
        <v/>
      </c>
      <c r="AA20" s="113" t="str">
        <f t="shared" si="25"/>
        <v/>
      </c>
      <c r="AB20" s="114" t="str">
        <f t="shared" si="26"/>
        <v/>
      </c>
      <c r="AC20" s="113" t="str">
        <f t="shared" si="27"/>
        <v/>
      </c>
      <c r="AD20" s="121" t="str">
        <f t="shared" ref="AD20:AD23" si="30">IFERROR(IF(AND(S19="Impacto",S20="Impacto"),(AD19-(+AD19*V20)),IF(AND(S19="Probabilidad",S20="Impacto"),(AD18-(+AD18*V20)),IF(S20="Probabilidad",AD19,""))),"")</f>
        <v/>
      </c>
      <c r="AE20" s="115" t="str">
        <f t="shared" si="28"/>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x14ac:dyDescent="0.3">
      <c r="A21" s="230"/>
      <c r="B21" s="233"/>
      <c r="C21" s="233"/>
      <c r="D21" s="248"/>
      <c r="E21" s="152"/>
      <c r="F21" s="250"/>
      <c r="G21" s="153"/>
      <c r="H21" s="252"/>
      <c r="I21" s="239"/>
      <c r="J21" s="242"/>
      <c r="K21" s="224"/>
      <c r="L21" s="245"/>
      <c r="M21" s="224">
        <f ca="1">IF(NOT(ISERROR(MATCH(L21,_xlfn.ANCHORARRAY(F32),0))),K34&amp;"Por favor no seleccionar los criterios de impacto",L21)</f>
        <v>0</v>
      </c>
      <c r="N21" s="242"/>
      <c r="O21" s="224"/>
      <c r="P21" s="227"/>
      <c r="Q21" s="107">
        <v>4</v>
      </c>
      <c r="R21" s="108"/>
      <c r="S21" s="109" t="str">
        <f t="shared" ref="S21:S23" si="31">IF(OR(T21="Preventivo",T21="Detectivo"),"Probabilidad",IF(T21="Correctivo","Impacto",""))</f>
        <v/>
      </c>
      <c r="T21" s="110"/>
      <c r="U21" s="110"/>
      <c r="V21" s="111" t="str">
        <f t="shared" si="24"/>
        <v/>
      </c>
      <c r="W21" s="110"/>
      <c r="X21" s="110"/>
      <c r="Y21" s="110"/>
      <c r="Z21" s="112" t="str">
        <f t="shared" si="29"/>
        <v/>
      </c>
      <c r="AA21" s="113" t="str">
        <f t="shared" si="25"/>
        <v/>
      </c>
      <c r="AB21" s="114" t="str">
        <f t="shared" si="26"/>
        <v/>
      </c>
      <c r="AC21" s="113" t="str">
        <f t="shared" si="27"/>
        <v/>
      </c>
      <c r="AD21" s="121" t="str">
        <f t="shared" si="30"/>
        <v/>
      </c>
      <c r="AE21" s="115" t="str">
        <f t="shared" si="28"/>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x14ac:dyDescent="0.3">
      <c r="A22" s="230"/>
      <c r="B22" s="233"/>
      <c r="C22" s="233"/>
      <c r="D22" s="248"/>
      <c r="E22" s="152"/>
      <c r="F22" s="250"/>
      <c r="G22" s="153"/>
      <c r="H22" s="252"/>
      <c r="I22" s="239"/>
      <c r="J22" s="242"/>
      <c r="K22" s="224"/>
      <c r="L22" s="245"/>
      <c r="M22" s="224">
        <f ca="1">IF(NOT(ISERROR(MATCH(L22,_xlfn.ANCHORARRAY(F33),0))),K35&amp;"Por favor no seleccionar los criterios de impacto",L22)</f>
        <v>0</v>
      </c>
      <c r="N22" s="242"/>
      <c r="O22" s="224"/>
      <c r="P22" s="227"/>
      <c r="Q22" s="107">
        <v>5</v>
      </c>
      <c r="R22" s="108"/>
      <c r="S22" s="109" t="str">
        <f t="shared" si="31"/>
        <v/>
      </c>
      <c r="T22" s="110"/>
      <c r="U22" s="110"/>
      <c r="V22" s="111" t="str">
        <f t="shared" si="24"/>
        <v/>
      </c>
      <c r="W22" s="110"/>
      <c r="X22" s="110"/>
      <c r="Y22" s="110"/>
      <c r="Z22" s="112" t="str">
        <f t="shared" si="29"/>
        <v/>
      </c>
      <c r="AA22" s="113" t="str">
        <f t="shared" si="25"/>
        <v/>
      </c>
      <c r="AB22" s="114" t="str">
        <f t="shared" si="26"/>
        <v/>
      </c>
      <c r="AC22" s="113" t="str">
        <f t="shared" si="27"/>
        <v/>
      </c>
      <c r="AD22" s="121" t="str">
        <f t="shared" si="30"/>
        <v/>
      </c>
      <c r="AE22" s="115" t="str">
        <f t="shared" si="28"/>
        <v/>
      </c>
      <c r="AF22" s="116"/>
      <c r="AG22" s="117"/>
      <c r="AH22" s="118"/>
      <c r="AI22" s="119"/>
      <c r="AJ22" s="119"/>
      <c r="AK22" s="117"/>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31"/>
      <c r="B23" s="234"/>
      <c r="C23" s="234"/>
      <c r="D23" s="249"/>
      <c r="E23" s="152"/>
      <c r="F23" s="250"/>
      <c r="G23" s="153"/>
      <c r="H23" s="253"/>
      <c r="I23" s="240"/>
      <c r="J23" s="243"/>
      <c r="K23" s="225"/>
      <c r="L23" s="246"/>
      <c r="M23" s="225">
        <f ca="1">IF(NOT(ISERROR(MATCH(L23,_xlfn.ANCHORARRAY(F34),0))),K36&amp;"Por favor no seleccionar los criterios de impacto",L23)</f>
        <v>0</v>
      </c>
      <c r="N23" s="243"/>
      <c r="O23" s="225"/>
      <c r="P23" s="228"/>
      <c r="Q23" s="107">
        <v>6</v>
      </c>
      <c r="R23" s="108"/>
      <c r="S23" s="109" t="str">
        <f t="shared" si="31"/>
        <v/>
      </c>
      <c r="T23" s="110"/>
      <c r="U23" s="110"/>
      <c r="V23" s="111" t="str">
        <f t="shared" si="24"/>
        <v/>
      </c>
      <c r="W23" s="110"/>
      <c r="X23" s="110"/>
      <c r="Y23" s="110"/>
      <c r="Z23" s="112" t="str">
        <f t="shared" si="29"/>
        <v/>
      </c>
      <c r="AA23" s="113" t="str">
        <f t="shared" si="25"/>
        <v/>
      </c>
      <c r="AB23" s="114" t="str">
        <f t="shared" si="26"/>
        <v/>
      </c>
      <c r="AC23" s="113" t="str">
        <f t="shared" si="27"/>
        <v/>
      </c>
      <c r="AD23" s="121" t="str">
        <f t="shared" si="30"/>
        <v/>
      </c>
      <c r="AE23" s="115" t="str">
        <f t="shared" si="28"/>
        <v/>
      </c>
      <c r="AF23" s="116"/>
      <c r="AG23" s="117"/>
      <c r="AH23" s="118"/>
      <c r="AI23" s="119"/>
      <c r="AJ23" s="119"/>
      <c r="AK23" s="117"/>
      <c r="AL23" s="11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29">
        <v>4</v>
      </c>
      <c r="B24" s="232"/>
      <c r="C24" s="232"/>
      <c r="D24" s="247"/>
      <c r="E24" s="152"/>
      <c r="F24" s="250"/>
      <c r="G24" s="153"/>
      <c r="H24" s="251"/>
      <c r="I24" s="238"/>
      <c r="J24" s="241" t="str">
        <f t="shared" ref="J24" si="32">IF(I24&lt;=0,"",IF(I24&lt;=2,"Muy Baja",IF(I24&lt;=24,"Baja",IF(I24&lt;=500,"Media",IF(I24&lt;=5000,"Alta","Muy Alta")))))</f>
        <v/>
      </c>
      <c r="K24" s="223" t="str">
        <f t="shared" ref="K24" si="33">IF(J24="","",IF(J24="Muy Baja",0.2,IF(J24="Baja",0.4,IF(J24="Media",0.6,IF(J24="Alta",0.8,IF(J24="Muy Alta",1,))))))</f>
        <v/>
      </c>
      <c r="L24" s="244"/>
      <c r="M24" s="223">
        <f ca="1">IF(NOT(ISERROR(MATCH(L24,'Tabla Impacto'!$B$221:$B$223,0))),'Tabla Impacto'!$F$223&amp;"Por favor no seleccionar los criterios de impacto(Afectación Económica o presupuestal y Pérdida Reputacional)",L24)</f>
        <v>0</v>
      </c>
      <c r="N24" s="241" t="str">
        <f ca="1">IF(OR(M24='Tabla Impacto'!$C$11,M24='Tabla Impacto'!$D$11),"Leve",IF(OR(M24='Tabla Impacto'!$C$12,M24='Tabla Impacto'!$D$12),"Menor",IF(OR(M24='Tabla Impacto'!$C$13,M24='Tabla Impacto'!$D$13),"Moderado",IF(OR(M24='Tabla Impacto'!$C$14,M24='Tabla Impacto'!$D$14),"Mayor",IF(OR(M24='Tabla Impacto'!$C$15,M24='Tabla Impacto'!$D$15),"Catastrófico","")))))</f>
        <v/>
      </c>
      <c r="O24" s="223" t="str">
        <f t="shared" ref="O24" ca="1" si="34">IF(N24="","",IF(N24="Leve",0.2,IF(N24="Menor",0.4,IF(N24="Moderado",0.6,IF(N24="Mayor",0.8,IF(N24="Catastrófico",1,))))))</f>
        <v/>
      </c>
      <c r="P24" s="226" t="str">
        <f t="shared" ref="P24" ca="1" si="35">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07">
        <v>1</v>
      </c>
      <c r="R24" s="108"/>
      <c r="S24" s="109" t="str">
        <f>IF(OR(T24="Preventivo",T24="Detectivo"),"Probabilidad",IF(T24="Correctivo","Impacto",""))</f>
        <v/>
      </c>
      <c r="T24" s="110"/>
      <c r="U24" s="110"/>
      <c r="V24" s="111" t="str">
        <f>IF(AND(T24="Preventivo",U24="Automático"),"50%",IF(AND(T24="Preventivo",U24="Manual"),"40%",IF(AND(T24="Detectivo",U24="Automático"),"40%",IF(AND(T24="Detectivo",U24="Manual"),"30%",IF(AND(T24="Correctivo",U24="Automático"),"35%",IF(AND(T24="Correctivo",U24="Manual"),"25%",""))))))</f>
        <v/>
      </c>
      <c r="W24" s="110"/>
      <c r="X24" s="110"/>
      <c r="Y24" s="110"/>
      <c r="Z24" s="112" t="str">
        <f>IFERROR(IF(S24="Probabilidad",(K24-(+K24*V24)),IF(S24="Impacto",K24,"")),"")</f>
        <v/>
      </c>
      <c r="AA24" s="113" t="str">
        <f>IFERROR(IF(Z24="","",IF(Z24&lt;=0.2,"Muy Baja",IF(Z24&lt;=0.4,"Baja",IF(Z24&lt;=0.6,"Media",IF(Z24&lt;=0.8,"Alta","Muy Alta"))))),"")</f>
        <v/>
      </c>
      <c r="AB24" s="114" t="str">
        <f>+Z24</f>
        <v/>
      </c>
      <c r="AC24" s="113" t="str">
        <f>IFERROR(IF(AD24="","",IF(AD24&lt;=0.2,"Leve",IF(AD24&lt;=0.4,"Menor",IF(AD24&lt;=0.6,"Moderado",IF(AD24&lt;=0.8,"Mayor","Catastrófico"))))),"")</f>
        <v/>
      </c>
      <c r="AD24" s="121" t="str">
        <f>IFERROR(IF(S24="Impacto",(O24-(+O24*V24)),IF(S24="Probabilidad",O24,"")),"")</f>
        <v/>
      </c>
      <c r="AE24" s="115"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30"/>
      <c r="B25" s="233"/>
      <c r="C25" s="233"/>
      <c r="D25" s="248"/>
      <c r="E25" s="152"/>
      <c r="F25" s="250"/>
      <c r="G25" s="153"/>
      <c r="H25" s="252"/>
      <c r="I25" s="239"/>
      <c r="J25" s="242"/>
      <c r="K25" s="224"/>
      <c r="L25" s="245"/>
      <c r="M25" s="224">
        <f ca="1">IF(NOT(ISERROR(MATCH(L25,_xlfn.ANCHORARRAY(F36),0))),K38&amp;"Por favor no seleccionar los criterios de impacto",L25)</f>
        <v>0</v>
      </c>
      <c r="N25" s="242"/>
      <c r="O25" s="224"/>
      <c r="P25" s="227"/>
      <c r="Q25" s="107">
        <v>2</v>
      </c>
      <c r="R25" s="108"/>
      <c r="S25" s="109" t="str">
        <f>IF(OR(T25="Preventivo",T25="Detectivo"),"Probabilidad",IF(T25="Correctivo","Impacto",""))</f>
        <v/>
      </c>
      <c r="T25" s="110"/>
      <c r="U25" s="110"/>
      <c r="V25" s="111" t="str">
        <f t="shared" ref="V25:V29" si="36">IF(AND(T25="Preventivo",U25="Automático"),"50%",IF(AND(T25="Preventivo",U25="Manual"),"40%",IF(AND(T25="Detectivo",U25="Automático"),"40%",IF(AND(T25="Detectivo",U25="Manual"),"30%",IF(AND(T25="Correctivo",U25="Automático"),"35%",IF(AND(T25="Correctivo",U25="Manual"),"25%",""))))))</f>
        <v/>
      </c>
      <c r="W25" s="110"/>
      <c r="X25" s="110"/>
      <c r="Y25" s="110"/>
      <c r="Z25" s="112" t="str">
        <f>IFERROR(IF(AND(S24="Probabilidad",S25="Probabilidad"),(AB24-(+AB24*V25)),IF(AND(S24="Impacto",S25="Probabilidad"),(AB23-(+AB23*V25)),IF(S25="Impacto",AB24,""))),"")</f>
        <v/>
      </c>
      <c r="AA25" s="113" t="str">
        <f t="shared" ref="AA25:AA29" si="37">IFERROR(IF(Z25="","",IF(Z25&lt;=0.2,"Muy Baja",IF(Z25&lt;=0.4,"Baja",IF(Z25&lt;=0.6,"Media",IF(Z25&lt;=0.8,"Alta","Muy Alta"))))),"")</f>
        <v/>
      </c>
      <c r="AB25" s="114" t="str">
        <f t="shared" ref="AB25:AB29" si="38">+Z25</f>
        <v/>
      </c>
      <c r="AC25" s="113" t="str">
        <f t="shared" ref="AC25:AC29" si="39">IFERROR(IF(AD25="","",IF(AD25&lt;=0.2,"Leve",IF(AD25&lt;=0.4,"Menor",IF(AD25&lt;=0.6,"Moderado",IF(AD25&lt;=0.8,"Mayor","Catastrófico"))))),"")</f>
        <v/>
      </c>
      <c r="AD25" s="121" t="str">
        <f>IFERROR(IF(AND(S24="Impacto",S25="Impacto"),(AD24-(+AD24*V25)),IF(AND(S24="Probabilidad",S25="Impacto"),(AD23-(+AD23*V25)),IF(S25="Probabilidad",AD24,""))),"")</f>
        <v/>
      </c>
      <c r="AE25" s="115" t="str">
        <f t="shared" ref="AE25:AE29" si="40">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30"/>
      <c r="B26" s="233"/>
      <c r="C26" s="233"/>
      <c r="D26" s="248"/>
      <c r="E26" s="152"/>
      <c r="F26" s="250"/>
      <c r="G26" s="153"/>
      <c r="H26" s="252"/>
      <c r="I26" s="239"/>
      <c r="J26" s="242"/>
      <c r="K26" s="224"/>
      <c r="L26" s="245"/>
      <c r="M26" s="224">
        <f ca="1">IF(NOT(ISERROR(MATCH(L26,_xlfn.ANCHORARRAY(F37),0))),K39&amp;"Por favor no seleccionar los criterios de impacto",L26)</f>
        <v>0</v>
      </c>
      <c r="N26" s="242"/>
      <c r="O26" s="224"/>
      <c r="P26" s="227"/>
      <c r="Q26" s="107">
        <v>3</v>
      </c>
      <c r="R26" s="120"/>
      <c r="S26" s="109" t="str">
        <f>IF(OR(T26="Preventivo",T26="Detectivo"),"Probabilidad",IF(T26="Correctivo","Impacto",""))</f>
        <v/>
      </c>
      <c r="T26" s="110"/>
      <c r="U26" s="110"/>
      <c r="V26" s="111" t="str">
        <f t="shared" si="36"/>
        <v/>
      </c>
      <c r="W26" s="110"/>
      <c r="X26" s="110"/>
      <c r="Y26" s="110"/>
      <c r="Z26" s="112" t="str">
        <f t="shared" ref="Z26:Z29" si="41">IFERROR(IF(AND(S25="Probabilidad",S26="Probabilidad"),(AB25-(+AB25*V26)),IF(AND(S25="Impacto",S26="Probabilidad"),(AB24-(+AB24*V26)),IF(S26="Impacto",AB25,""))),"")</f>
        <v/>
      </c>
      <c r="AA26" s="113" t="str">
        <f t="shared" si="37"/>
        <v/>
      </c>
      <c r="AB26" s="114" t="str">
        <f t="shared" si="38"/>
        <v/>
      </c>
      <c r="AC26" s="113" t="str">
        <f t="shared" si="39"/>
        <v/>
      </c>
      <c r="AD26" s="121" t="str">
        <f t="shared" ref="AD26:AD29" si="42">IFERROR(IF(AND(S25="Impacto",S26="Impacto"),(AD25-(+AD25*V26)),IF(AND(S25="Probabilidad",S26="Impacto"),(AD24-(+AD24*V26)),IF(S26="Probabilidad",AD25,""))),"")</f>
        <v/>
      </c>
      <c r="AE26" s="115" t="str">
        <f t="shared" si="40"/>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30"/>
      <c r="B27" s="233"/>
      <c r="C27" s="233"/>
      <c r="D27" s="248"/>
      <c r="E27" s="152"/>
      <c r="F27" s="250"/>
      <c r="G27" s="153"/>
      <c r="H27" s="252"/>
      <c r="I27" s="239"/>
      <c r="J27" s="242"/>
      <c r="K27" s="224"/>
      <c r="L27" s="245"/>
      <c r="M27" s="224">
        <f ca="1">IF(NOT(ISERROR(MATCH(L27,_xlfn.ANCHORARRAY(F38),0))),K40&amp;"Por favor no seleccionar los criterios de impacto",L27)</f>
        <v>0</v>
      </c>
      <c r="N27" s="242"/>
      <c r="O27" s="224"/>
      <c r="P27" s="227"/>
      <c r="Q27" s="107">
        <v>4</v>
      </c>
      <c r="R27" s="108"/>
      <c r="S27" s="109" t="str">
        <f t="shared" ref="S27:S29" si="43">IF(OR(T27="Preventivo",T27="Detectivo"),"Probabilidad",IF(T27="Correctivo","Impacto",""))</f>
        <v/>
      </c>
      <c r="T27" s="110"/>
      <c r="U27" s="110"/>
      <c r="V27" s="111" t="str">
        <f t="shared" si="36"/>
        <v/>
      </c>
      <c r="W27" s="110"/>
      <c r="X27" s="110"/>
      <c r="Y27" s="110"/>
      <c r="Z27" s="112" t="str">
        <f t="shared" si="41"/>
        <v/>
      </c>
      <c r="AA27" s="113" t="str">
        <f t="shared" si="37"/>
        <v/>
      </c>
      <c r="AB27" s="114" t="str">
        <f t="shared" si="38"/>
        <v/>
      </c>
      <c r="AC27" s="113" t="str">
        <f t="shared" si="39"/>
        <v/>
      </c>
      <c r="AD27" s="121" t="str">
        <f t="shared" si="42"/>
        <v/>
      </c>
      <c r="AE27" s="115" t="str">
        <f t="shared" si="40"/>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30"/>
      <c r="B28" s="233"/>
      <c r="C28" s="233"/>
      <c r="D28" s="248"/>
      <c r="E28" s="152"/>
      <c r="F28" s="250"/>
      <c r="G28" s="153"/>
      <c r="H28" s="252"/>
      <c r="I28" s="239"/>
      <c r="J28" s="242"/>
      <c r="K28" s="224"/>
      <c r="L28" s="245"/>
      <c r="M28" s="224">
        <f ca="1">IF(NOT(ISERROR(MATCH(L28,_xlfn.ANCHORARRAY(F39),0))),K41&amp;"Por favor no seleccionar los criterios de impacto",L28)</f>
        <v>0</v>
      </c>
      <c r="N28" s="242"/>
      <c r="O28" s="224"/>
      <c r="P28" s="227"/>
      <c r="Q28" s="107">
        <v>5</v>
      </c>
      <c r="R28" s="108"/>
      <c r="S28" s="109" t="str">
        <f t="shared" si="43"/>
        <v/>
      </c>
      <c r="T28" s="110"/>
      <c r="U28" s="110"/>
      <c r="V28" s="111" t="str">
        <f t="shared" si="36"/>
        <v/>
      </c>
      <c r="W28" s="110"/>
      <c r="X28" s="110"/>
      <c r="Y28" s="110"/>
      <c r="Z28" s="112" t="str">
        <f t="shared" si="41"/>
        <v/>
      </c>
      <c r="AA28" s="113" t="str">
        <f t="shared" si="37"/>
        <v/>
      </c>
      <c r="AB28" s="114" t="str">
        <f t="shared" si="38"/>
        <v/>
      </c>
      <c r="AC28" s="113" t="str">
        <f t="shared" si="39"/>
        <v/>
      </c>
      <c r="AD28" s="121" t="str">
        <f t="shared" si="42"/>
        <v/>
      </c>
      <c r="AE28" s="115" t="str">
        <f t="shared" si="40"/>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31"/>
      <c r="B29" s="234"/>
      <c r="C29" s="234"/>
      <c r="D29" s="249"/>
      <c r="E29" s="152"/>
      <c r="F29" s="250"/>
      <c r="G29" s="153"/>
      <c r="H29" s="253"/>
      <c r="I29" s="240"/>
      <c r="J29" s="243"/>
      <c r="K29" s="225"/>
      <c r="L29" s="246"/>
      <c r="M29" s="225">
        <f ca="1">IF(NOT(ISERROR(MATCH(L29,_xlfn.ANCHORARRAY(F40),0))),K42&amp;"Por favor no seleccionar los criterios de impacto",L29)</f>
        <v>0</v>
      </c>
      <c r="N29" s="243"/>
      <c r="O29" s="225"/>
      <c r="P29" s="228"/>
      <c r="Q29" s="107">
        <v>6</v>
      </c>
      <c r="R29" s="108"/>
      <c r="S29" s="109" t="str">
        <f t="shared" si="43"/>
        <v/>
      </c>
      <c r="T29" s="110"/>
      <c r="U29" s="110"/>
      <c r="V29" s="111" t="str">
        <f t="shared" si="36"/>
        <v/>
      </c>
      <c r="W29" s="110"/>
      <c r="X29" s="110"/>
      <c r="Y29" s="110"/>
      <c r="Z29" s="112" t="str">
        <f t="shared" si="41"/>
        <v/>
      </c>
      <c r="AA29" s="113" t="str">
        <f t="shared" si="37"/>
        <v/>
      </c>
      <c r="AB29" s="114" t="str">
        <f t="shared" si="38"/>
        <v/>
      </c>
      <c r="AC29" s="113" t="str">
        <f t="shared" si="39"/>
        <v/>
      </c>
      <c r="AD29" s="121" t="str">
        <f t="shared" si="42"/>
        <v/>
      </c>
      <c r="AE29" s="115" t="str">
        <f t="shared" si="40"/>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29">
        <v>5</v>
      </c>
      <c r="B30" s="232"/>
      <c r="C30" s="232"/>
      <c r="D30" s="247"/>
      <c r="E30" s="152"/>
      <c r="F30" s="250"/>
      <c r="G30" s="153"/>
      <c r="H30" s="251"/>
      <c r="I30" s="238"/>
      <c r="J30" s="241" t="str">
        <f t="shared" ref="J30" si="44">IF(I30&lt;=0,"",IF(I30&lt;=2,"Muy Baja",IF(I30&lt;=24,"Baja",IF(I30&lt;=500,"Media",IF(I30&lt;=5000,"Alta","Muy Alta")))))</f>
        <v/>
      </c>
      <c r="K30" s="223" t="str">
        <f t="shared" ref="K30" si="45">IF(J30="","",IF(J30="Muy Baja",0.2,IF(J30="Baja",0.4,IF(J30="Media",0.6,IF(J30="Alta",0.8,IF(J30="Muy Alta",1,))))))</f>
        <v/>
      </c>
      <c r="L30" s="244"/>
      <c r="M30" s="223">
        <f ca="1">IF(NOT(ISERROR(MATCH(L30,'Tabla Impacto'!$B$221:$B$223,0))),'Tabla Impacto'!$F$223&amp;"Por favor no seleccionar los criterios de impacto(Afectación Económica o presupuestal y Pérdida Reputacional)",L30)</f>
        <v>0</v>
      </c>
      <c r="N30" s="241" t="str">
        <f ca="1">IF(OR(M30='Tabla Impacto'!$C$11,M30='Tabla Impacto'!$D$11),"Leve",IF(OR(M30='Tabla Impacto'!$C$12,M30='Tabla Impacto'!$D$12),"Menor",IF(OR(M30='Tabla Impacto'!$C$13,M30='Tabla Impacto'!$D$13),"Moderado",IF(OR(M30='Tabla Impacto'!$C$14,M30='Tabla Impacto'!$D$14),"Mayor",IF(OR(M30='Tabla Impacto'!$C$15,M30='Tabla Impacto'!$D$15),"Catastrófico","")))))</f>
        <v/>
      </c>
      <c r="O30" s="223" t="str">
        <f t="shared" ref="O30" ca="1" si="46">IF(N30="","",IF(N30="Leve",0.2,IF(N30="Menor",0.4,IF(N30="Moderado",0.6,IF(N30="Mayor",0.8,IF(N30="Catastrófico",1,))))))</f>
        <v/>
      </c>
      <c r="P30" s="226" t="str">
        <f t="shared" ref="P30" ca="1" si="47">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07">
        <v>1</v>
      </c>
      <c r="R30" s="108"/>
      <c r="S30" s="109" t="s">
        <v>214</v>
      </c>
      <c r="T30" s="110"/>
      <c r="U30" s="110"/>
      <c r="V30" s="111" t="s">
        <v>214</v>
      </c>
      <c r="W30" s="110"/>
      <c r="X30" s="110"/>
      <c r="Y30" s="110"/>
      <c r="Z30" s="112" t="s">
        <v>214</v>
      </c>
      <c r="AA30" s="113" t="s">
        <v>214</v>
      </c>
      <c r="AB30" s="114" t="s">
        <v>214</v>
      </c>
      <c r="AC30" s="113" t="s">
        <v>214</v>
      </c>
      <c r="AD30" s="121" t="s">
        <v>214</v>
      </c>
      <c r="AE30" s="115" t="s">
        <v>214</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30"/>
      <c r="B31" s="233"/>
      <c r="C31" s="233"/>
      <c r="D31" s="248"/>
      <c r="E31" s="152"/>
      <c r="F31" s="250"/>
      <c r="G31" s="153"/>
      <c r="H31" s="252"/>
      <c r="I31" s="239"/>
      <c r="J31" s="242"/>
      <c r="K31" s="224"/>
      <c r="L31" s="245"/>
      <c r="M31" s="224">
        <f ca="1">IF(NOT(ISERROR(MATCH(L31,_xlfn.ANCHORARRAY(F42),0))),K44&amp;"Por favor no seleccionar los criterios de impacto",L31)</f>
        <v>0</v>
      </c>
      <c r="N31" s="242"/>
      <c r="O31" s="224"/>
      <c r="P31" s="227"/>
      <c r="Q31" s="107">
        <v>2</v>
      </c>
      <c r="R31" s="108"/>
      <c r="S31" s="109" t="s">
        <v>214</v>
      </c>
      <c r="T31" s="110"/>
      <c r="U31" s="110"/>
      <c r="V31" s="111" t="s">
        <v>214</v>
      </c>
      <c r="W31" s="110"/>
      <c r="X31" s="110"/>
      <c r="Y31" s="110"/>
      <c r="Z31" s="112" t="s">
        <v>214</v>
      </c>
      <c r="AA31" s="113" t="s">
        <v>214</v>
      </c>
      <c r="AB31" s="114" t="s">
        <v>214</v>
      </c>
      <c r="AC31" s="113" t="s">
        <v>214</v>
      </c>
      <c r="AD31" s="121" t="s">
        <v>214</v>
      </c>
      <c r="AE31" s="115" t="s">
        <v>214</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30"/>
      <c r="B32" s="233"/>
      <c r="C32" s="233"/>
      <c r="D32" s="248"/>
      <c r="E32" s="152"/>
      <c r="F32" s="250"/>
      <c r="G32" s="153"/>
      <c r="H32" s="252"/>
      <c r="I32" s="239"/>
      <c r="J32" s="242"/>
      <c r="K32" s="224"/>
      <c r="L32" s="245"/>
      <c r="M32" s="224">
        <f ca="1">IF(NOT(ISERROR(MATCH(L32,_xlfn.ANCHORARRAY(F43),0))),K45&amp;"Por favor no seleccionar los criterios de impacto",L32)</f>
        <v>0</v>
      </c>
      <c r="N32" s="242"/>
      <c r="O32" s="224"/>
      <c r="P32" s="227"/>
      <c r="Q32" s="107">
        <v>3</v>
      </c>
      <c r="R32" s="120"/>
      <c r="S32" s="109" t="s">
        <v>214</v>
      </c>
      <c r="T32" s="110"/>
      <c r="U32" s="110"/>
      <c r="V32" s="111" t="s">
        <v>214</v>
      </c>
      <c r="W32" s="110"/>
      <c r="X32" s="110"/>
      <c r="Y32" s="110"/>
      <c r="Z32" s="112" t="s">
        <v>214</v>
      </c>
      <c r="AA32" s="113" t="s">
        <v>214</v>
      </c>
      <c r="AB32" s="114" t="s">
        <v>214</v>
      </c>
      <c r="AC32" s="113" t="s">
        <v>214</v>
      </c>
      <c r="AD32" s="121" t="s">
        <v>214</v>
      </c>
      <c r="AE32" s="115" t="s">
        <v>214</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30"/>
      <c r="B33" s="233"/>
      <c r="C33" s="233"/>
      <c r="D33" s="248"/>
      <c r="E33" s="152"/>
      <c r="F33" s="250"/>
      <c r="G33" s="153"/>
      <c r="H33" s="252"/>
      <c r="I33" s="239"/>
      <c r="J33" s="242"/>
      <c r="K33" s="224"/>
      <c r="L33" s="245"/>
      <c r="M33" s="224">
        <f ca="1">IF(NOT(ISERROR(MATCH(L33,_xlfn.ANCHORARRAY(F44),0))),K46&amp;"Por favor no seleccionar los criterios de impacto",L33)</f>
        <v>0</v>
      </c>
      <c r="N33" s="242"/>
      <c r="O33" s="224"/>
      <c r="P33" s="227"/>
      <c r="Q33" s="107">
        <v>4</v>
      </c>
      <c r="R33" s="108"/>
      <c r="S33" s="109" t="s">
        <v>214</v>
      </c>
      <c r="T33" s="110"/>
      <c r="U33" s="110"/>
      <c r="V33" s="111" t="s">
        <v>214</v>
      </c>
      <c r="W33" s="110"/>
      <c r="X33" s="110"/>
      <c r="Y33" s="110"/>
      <c r="Z33" s="112" t="s">
        <v>214</v>
      </c>
      <c r="AA33" s="113" t="s">
        <v>214</v>
      </c>
      <c r="AB33" s="114" t="s">
        <v>214</v>
      </c>
      <c r="AC33" s="113" t="s">
        <v>214</v>
      </c>
      <c r="AD33" s="121" t="s">
        <v>214</v>
      </c>
      <c r="AE33" s="115" t="s">
        <v>214</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30"/>
      <c r="B34" s="233"/>
      <c r="C34" s="233"/>
      <c r="D34" s="248"/>
      <c r="E34" s="152"/>
      <c r="F34" s="250"/>
      <c r="G34" s="153"/>
      <c r="H34" s="252"/>
      <c r="I34" s="239"/>
      <c r="J34" s="242"/>
      <c r="K34" s="224"/>
      <c r="L34" s="245"/>
      <c r="M34" s="224">
        <f ca="1">IF(NOT(ISERROR(MATCH(L34,_xlfn.ANCHORARRAY(F45),0))),K47&amp;"Por favor no seleccionar los criterios de impacto",L34)</f>
        <v>0</v>
      </c>
      <c r="N34" s="242"/>
      <c r="O34" s="224"/>
      <c r="P34" s="227"/>
      <c r="Q34" s="107">
        <v>5</v>
      </c>
      <c r="R34" s="108"/>
      <c r="S34" s="109" t="s">
        <v>214</v>
      </c>
      <c r="T34" s="110"/>
      <c r="U34" s="110"/>
      <c r="V34" s="111" t="s">
        <v>214</v>
      </c>
      <c r="W34" s="110"/>
      <c r="X34" s="110"/>
      <c r="Y34" s="110"/>
      <c r="Z34" s="112" t="s">
        <v>214</v>
      </c>
      <c r="AA34" s="113" t="s">
        <v>214</v>
      </c>
      <c r="AB34" s="114" t="s">
        <v>214</v>
      </c>
      <c r="AC34" s="113" t="s">
        <v>214</v>
      </c>
      <c r="AD34" s="121" t="s">
        <v>214</v>
      </c>
      <c r="AE34" s="115" t="s">
        <v>214</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31"/>
      <c r="B35" s="234"/>
      <c r="C35" s="234"/>
      <c r="D35" s="249"/>
      <c r="E35" s="152"/>
      <c r="F35" s="250"/>
      <c r="G35" s="153"/>
      <c r="H35" s="253"/>
      <c r="I35" s="240"/>
      <c r="J35" s="243"/>
      <c r="K35" s="225"/>
      <c r="L35" s="246"/>
      <c r="M35" s="225">
        <f ca="1">IF(NOT(ISERROR(MATCH(L35,_xlfn.ANCHORARRAY(F46),0))),K48&amp;"Por favor no seleccionar los criterios de impacto",L35)</f>
        <v>0</v>
      </c>
      <c r="N35" s="243"/>
      <c r="O35" s="225"/>
      <c r="P35" s="228"/>
      <c r="Q35" s="107">
        <v>6</v>
      </c>
      <c r="R35" s="108"/>
      <c r="S35" s="109" t="s">
        <v>214</v>
      </c>
      <c r="T35" s="110"/>
      <c r="U35" s="110"/>
      <c r="V35" s="111" t="s">
        <v>214</v>
      </c>
      <c r="W35" s="110"/>
      <c r="X35" s="110"/>
      <c r="Y35" s="110"/>
      <c r="Z35" s="112" t="s">
        <v>214</v>
      </c>
      <c r="AA35" s="113" t="s">
        <v>214</v>
      </c>
      <c r="AB35" s="114" t="s">
        <v>214</v>
      </c>
      <c r="AC35" s="113" t="s">
        <v>214</v>
      </c>
      <c r="AD35" s="121" t="s">
        <v>214</v>
      </c>
      <c r="AE35" s="115" t="s">
        <v>214</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29">
        <v>6</v>
      </c>
      <c r="B36" s="232"/>
      <c r="C36" s="232"/>
      <c r="D36" s="247"/>
      <c r="E36" s="152"/>
      <c r="F36" s="250"/>
      <c r="G36" s="153"/>
      <c r="H36" s="251"/>
      <c r="I36" s="238"/>
      <c r="J36" s="241" t="str">
        <f t="shared" ref="J36" si="48">IF(I36&lt;=0,"",IF(I36&lt;=2,"Muy Baja",IF(I36&lt;=24,"Baja",IF(I36&lt;=500,"Media",IF(I36&lt;=5000,"Alta","Muy Alta")))))</f>
        <v/>
      </c>
      <c r="K36" s="223" t="str">
        <f t="shared" ref="K36" si="49">IF(J36="","",IF(J36="Muy Baja",0.2,IF(J36="Baja",0.4,IF(J36="Media",0.6,IF(J36="Alta",0.8,IF(J36="Muy Alta",1,))))))</f>
        <v/>
      </c>
      <c r="L36" s="244"/>
      <c r="M36" s="223">
        <f ca="1">IF(NOT(ISERROR(MATCH(L36,'Tabla Impacto'!$B$221:$B$223,0))),'Tabla Impacto'!$F$223&amp;"Por favor no seleccionar los criterios de impacto(Afectación Económica o presupuestal y Pérdida Reputacional)",L36)</f>
        <v>0</v>
      </c>
      <c r="N36" s="241" t="str">
        <f ca="1">IF(OR(M36='Tabla Impacto'!$C$11,M36='Tabla Impacto'!$D$11),"Leve",IF(OR(M36='Tabla Impacto'!$C$12,M36='Tabla Impacto'!$D$12),"Menor",IF(OR(M36='Tabla Impacto'!$C$13,M36='Tabla Impacto'!$D$13),"Moderado",IF(OR(M36='Tabla Impacto'!$C$14,M36='Tabla Impacto'!$D$14),"Mayor",IF(OR(M36='Tabla Impacto'!$C$15,M36='Tabla Impacto'!$D$15),"Catastrófico","")))))</f>
        <v/>
      </c>
      <c r="O36" s="223" t="str">
        <f t="shared" ref="O36" ca="1" si="50">IF(N36="","",IF(N36="Leve",0.2,IF(N36="Menor",0.4,IF(N36="Moderado",0.6,IF(N36="Mayor",0.8,IF(N36="Catastrófico",1,))))))</f>
        <v/>
      </c>
      <c r="P36" s="226" t="str">
        <f t="shared" ref="P36" ca="1" si="51">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07">
        <v>1</v>
      </c>
      <c r="R36" s="108"/>
      <c r="S36" s="109" t="s">
        <v>214</v>
      </c>
      <c r="T36" s="110"/>
      <c r="U36" s="110"/>
      <c r="V36" s="111" t="s">
        <v>214</v>
      </c>
      <c r="W36" s="110"/>
      <c r="X36" s="110"/>
      <c r="Y36" s="110"/>
      <c r="Z36" s="112" t="s">
        <v>214</v>
      </c>
      <c r="AA36" s="113" t="s">
        <v>214</v>
      </c>
      <c r="AB36" s="114" t="s">
        <v>214</v>
      </c>
      <c r="AC36" s="113" t="s">
        <v>214</v>
      </c>
      <c r="AD36" s="121" t="s">
        <v>214</v>
      </c>
      <c r="AE36" s="115" t="s">
        <v>214</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30"/>
      <c r="B37" s="233"/>
      <c r="C37" s="233"/>
      <c r="D37" s="248"/>
      <c r="E37" s="152"/>
      <c r="F37" s="250"/>
      <c r="G37" s="153"/>
      <c r="H37" s="252"/>
      <c r="I37" s="239"/>
      <c r="J37" s="242"/>
      <c r="K37" s="224"/>
      <c r="L37" s="245"/>
      <c r="M37" s="224">
        <f ca="1">IF(NOT(ISERROR(MATCH(L37,_xlfn.ANCHORARRAY(F48),0))),K50&amp;"Por favor no seleccionar los criterios de impacto",L37)</f>
        <v>0</v>
      </c>
      <c r="N37" s="242"/>
      <c r="O37" s="224"/>
      <c r="P37" s="227"/>
      <c r="Q37" s="107">
        <v>2</v>
      </c>
      <c r="R37" s="108"/>
      <c r="S37" s="109" t="s">
        <v>214</v>
      </c>
      <c r="T37" s="110"/>
      <c r="U37" s="110"/>
      <c r="V37" s="111" t="s">
        <v>214</v>
      </c>
      <c r="W37" s="110"/>
      <c r="X37" s="110"/>
      <c r="Y37" s="110"/>
      <c r="Z37" s="112" t="s">
        <v>214</v>
      </c>
      <c r="AA37" s="113" t="s">
        <v>214</v>
      </c>
      <c r="AB37" s="114" t="s">
        <v>214</v>
      </c>
      <c r="AC37" s="113" t="s">
        <v>214</v>
      </c>
      <c r="AD37" s="121" t="s">
        <v>214</v>
      </c>
      <c r="AE37" s="115" t="s">
        <v>214</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30"/>
      <c r="B38" s="233"/>
      <c r="C38" s="233"/>
      <c r="D38" s="248"/>
      <c r="E38" s="152"/>
      <c r="F38" s="250"/>
      <c r="G38" s="153"/>
      <c r="H38" s="252"/>
      <c r="I38" s="239"/>
      <c r="J38" s="242"/>
      <c r="K38" s="224"/>
      <c r="L38" s="245"/>
      <c r="M38" s="224">
        <f ca="1">IF(NOT(ISERROR(MATCH(L38,_xlfn.ANCHORARRAY(F49),0))),K51&amp;"Por favor no seleccionar los criterios de impacto",L38)</f>
        <v>0</v>
      </c>
      <c r="N38" s="242"/>
      <c r="O38" s="224"/>
      <c r="P38" s="227"/>
      <c r="Q38" s="107">
        <v>3</v>
      </c>
      <c r="R38" s="120"/>
      <c r="S38" s="109" t="s">
        <v>214</v>
      </c>
      <c r="T38" s="110"/>
      <c r="U38" s="110"/>
      <c r="V38" s="111" t="s">
        <v>214</v>
      </c>
      <c r="W38" s="110"/>
      <c r="X38" s="110"/>
      <c r="Y38" s="110"/>
      <c r="Z38" s="112" t="s">
        <v>214</v>
      </c>
      <c r="AA38" s="113" t="s">
        <v>214</v>
      </c>
      <c r="AB38" s="114" t="s">
        <v>214</v>
      </c>
      <c r="AC38" s="113" t="s">
        <v>214</v>
      </c>
      <c r="AD38" s="121" t="s">
        <v>214</v>
      </c>
      <c r="AE38" s="115" t="s">
        <v>214</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30"/>
      <c r="B39" s="233"/>
      <c r="C39" s="233"/>
      <c r="D39" s="248"/>
      <c r="E39" s="152"/>
      <c r="F39" s="250"/>
      <c r="G39" s="153"/>
      <c r="H39" s="252"/>
      <c r="I39" s="239"/>
      <c r="J39" s="242"/>
      <c r="K39" s="224"/>
      <c r="L39" s="245"/>
      <c r="M39" s="224">
        <f ca="1">IF(NOT(ISERROR(MATCH(L39,_xlfn.ANCHORARRAY(F50),0))),K52&amp;"Por favor no seleccionar los criterios de impacto",L39)</f>
        <v>0</v>
      </c>
      <c r="N39" s="242"/>
      <c r="O39" s="224"/>
      <c r="P39" s="227"/>
      <c r="Q39" s="107">
        <v>4</v>
      </c>
      <c r="R39" s="108"/>
      <c r="S39" s="109" t="s">
        <v>214</v>
      </c>
      <c r="T39" s="110"/>
      <c r="U39" s="110"/>
      <c r="V39" s="111" t="s">
        <v>214</v>
      </c>
      <c r="W39" s="110"/>
      <c r="X39" s="110"/>
      <c r="Y39" s="110"/>
      <c r="Z39" s="112" t="s">
        <v>214</v>
      </c>
      <c r="AA39" s="113" t="s">
        <v>214</v>
      </c>
      <c r="AB39" s="114" t="s">
        <v>214</v>
      </c>
      <c r="AC39" s="113" t="s">
        <v>214</v>
      </c>
      <c r="AD39" s="121" t="s">
        <v>214</v>
      </c>
      <c r="AE39" s="115" t="s">
        <v>214</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30"/>
      <c r="B40" s="233"/>
      <c r="C40" s="233"/>
      <c r="D40" s="248"/>
      <c r="E40" s="152"/>
      <c r="F40" s="250"/>
      <c r="G40" s="153"/>
      <c r="H40" s="252"/>
      <c r="I40" s="239"/>
      <c r="J40" s="242"/>
      <c r="K40" s="224"/>
      <c r="L40" s="245"/>
      <c r="M40" s="224">
        <f ca="1">IF(NOT(ISERROR(MATCH(L40,_xlfn.ANCHORARRAY(F51),0))),K53&amp;"Por favor no seleccionar los criterios de impacto",L40)</f>
        <v>0</v>
      </c>
      <c r="N40" s="242"/>
      <c r="O40" s="224"/>
      <c r="P40" s="227"/>
      <c r="Q40" s="107">
        <v>5</v>
      </c>
      <c r="R40" s="108"/>
      <c r="S40" s="109" t="s">
        <v>214</v>
      </c>
      <c r="T40" s="110"/>
      <c r="U40" s="110"/>
      <c r="V40" s="111" t="s">
        <v>214</v>
      </c>
      <c r="W40" s="110"/>
      <c r="X40" s="110"/>
      <c r="Y40" s="110"/>
      <c r="Z40" s="112" t="s">
        <v>214</v>
      </c>
      <c r="AA40" s="113" t="s">
        <v>214</v>
      </c>
      <c r="AB40" s="114" t="s">
        <v>214</v>
      </c>
      <c r="AC40" s="113" t="s">
        <v>214</v>
      </c>
      <c r="AD40" s="121" t="s">
        <v>214</v>
      </c>
      <c r="AE40" s="115" t="s">
        <v>214</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31"/>
      <c r="B41" s="234"/>
      <c r="C41" s="234"/>
      <c r="D41" s="249"/>
      <c r="E41" s="152"/>
      <c r="F41" s="250"/>
      <c r="G41" s="153"/>
      <c r="H41" s="253"/>
      <c r="I41" s="240"/>
      <c r="J41" s="243"/>
      <c r="K41" s="225"/>
      <c r="L41" s="246"/>
      <c r="M41" s="225">
        <f ca="1">IF(NOT(ISERROR(MATCH(L41,_xlfn.ANCHORARRAY(F52),0))),K54&amp;"Por favor no seleccionar los criterios de impacto",L41)</f>
        <v>0</v>
      </c>
      <c r="N41" s="243"/>
      <c r="O41" s="225"/>
      <c r="P41" s="228"/>
      <c r="Q41" s="107">
        <v>6</v>
      </c>
      <c r="R41" s="108"/>
      <c r="S41" s="109" t="s">
        <v>214</v>
      </c>
      <c r="T41" s="110"/>
      <c r="U41" s="110"/>
      <c r="V41" s="111" t="s">
        <v>214</v>
      </c>
      <c r="W41" s="110"/>
      <c r="X41" s="110"/>
      <c r="Y41" s="110"/>
      <c r="Z41" s="112" t="s">
        <v>214</v>
      </c>
      <c r="AA41" s="113" t="s">
        <v>214</v>
      </c>
      <c r="AB41" s="114" t="s">
        <v>214</v>
      </c>
      <c r="AC41" s="113" t="s">
        <v>214</v>
      </c>
      <c r="AD41" s="121" t="s">
        <v>214</v>
      </c>
      <c r="AE41" s="115" t="s">
        <v>214</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29">
        <v>7</v>
      </c>
      <c r="B42" s="232"/>
      <c r="C42" s="232"/>
      <c r="D42" s="232"/>
      <c r="E42" s="136"/>
      <c r="F42" s="236"/>
      <c r="G42" s="138"/>
      <c r="H42" s="232"/>
      <c r="I42" s="238"/>
      <c r="J42" s="241" t="str">
        <f t="shared" ref="J42" si="52">IF(I42&lt;=0,"",IF(I42&lt;=2,"Muy Baja",IF(I42&lt;=24,"Baja",IF(I42&lt;=500,"Media",IF(I42&lt;=5000,"Alta","Muy Alta")))))</f>
        <v/>
      </c>
      <c r="K42" s="223" t="str">
        <f t="shared" ref="K42" si="53">IF(J42="","",IF(J42="Muy Baja",0.2,IF(J42="Baja",0.4,IF(J42="Media",0.6,IF(J42="Alta",0.8,IF(J42="Muy Alta",1,))))))</f>
        <v/>
      </c>
      <c r="L42" s="244"/>
      <c r="M42" s="223">
        <f ca="1">IF(NOT(ISERROR(MATCH(L42,'Tabla Impacto'!$B$221:$B$223,0))),'Tabla Impacto'!$F$223&amp;"Por favor no seleccionar los criterios de impacto(Afectación Económica o presupuestal y Pérdida Reputacional)",L42)</f>
        <v>0</v>
      </c>
      <c r="N42" s="241" t="str">
        <f ca="1">IF(OR(M42='Tabla Impacto'!$C$11,M42='Tabla Impacto'!$D$11),"Leve",IF(OR(M42='Tabla Impacto'!$C$12,M42='Tabla Impacto'!$D$12),"Menor",IF(OR(M42='Tabla Impacto'!$C$13,M42='Tabla Impacto'!$D$13),"Moderado",IF(OR(M42='Tabla Impacto'!$C$14,M42='Tabla Impacto'!$D$14),"Mayor",IF(OR(M42='Tabla Impacto'!$C$15,M42='Tabla Impacto'!$D$15),"Catastrófico","")))))</f>
        <v/>
      </c>
      <c r="O42" s="223" t="str">
        <f t="shared" ref="O42" ca="1" si="54">IF(N42="","",IF(N42="Leve",0.2,IF(N42="Menor",0.4,IF(N42="Moderado",0.6,IF(N42="Mayor",0.8,IF(N42="Catastrófico",1,))))))</f>
        <v/>
      </c>
      <c r="P42" s="226" t="str">
        <f t="shared" ref="P42" ca="1" si="55">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07">
        <v>1</v>
      </c>
      <c r="R42" s="108"/>
      <c r="S42" s="109" t="s">
        <v>214</v>
      </c>
      <c r="T42" s="110"/>
      <c r="U42" s="110"/>
      <c r="V42" s="111" t="s">
        <v>214</v>
      </c>
      <c r="W42" s="110"/>
      <c r="X42" s="110"/>
      <c r="Y42" s="110"/>
      <c r="Z42" s="112" t="s">
        <v>214</v>
      </c>
      <c r="AA42" s="113" t="s">
        <v>214</v>
      </c>
      <c r="AB42" s="114" t="s">
        <v>214</v>
      </c>
      <c r="AC42" s="113" t="s">
        <v>214</v>
      </c>
      <c r="AD42" s="121" t="s">
        <v>214</v>
      </c>
      <c r="AE42" s="115" t="s">
        <v>214</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30"/>
      <c r="B43" s="233"/>
      <c r="C43" s="233"/>
      <c r="D43" s="233"/>
      <c r="E43" s="134"/>
      <c r="F43" s="236"/>
      <c r="G43" s="138"/>
      <c r="H43" s="233"/>
      <c r="I43" s="239"/>
      <c r="J43" s="242"/>
      <c r="K43" s="224"/>
      <c r="L43" s="245"/>
      <c r="M43" s="224">
        <f ca="1">IF(NOT(ISERROR(MATCH(L43,_xlfn.ANCHORARRAY(F54),0))),K56&amp;"Por favor no seleccionar los criterios de impacto",L43)</f>
        <v>0</v>
      </c>
      <c r="N43" s="242"/>
      <c r="O43" s="224"/>
      <c r="P43" s="227"/>
      <c r="Q43" s="107">
        <v>2</v>
      </c>
      <c r="R43" s="108"/>
      <c r="S43" s="109" t="s">
        <v>214</v>
      </c>
      <c r="T43" s="110"/>
      <c r="U43" s="110"/>
      <c r="V43" s="111" t="s">
        <v>214</v>
      </c>
      <c r="W43" s="110"/>
      <c r="X43" s="110"/>
      <c r="Y43" s="110"/>
      <c r="Z43" s="112" t="s">
        <v>214</v>
      </c>
      <c r="AA43" s="113" t="s">
        <v>214</v>
      </c>
      <c r="AB43" s="114" t="s">
        <v>214</v>
      </c>
      <c r="AC43" s="113" t="s">
        <v>214</v>
      </c>
      <c r="AD43" s="121" t="s">
        <v>214</v>
      </c>
      <c r="AE43" s="115" t="s">
        <v>214</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30"/>
      <c r="B44" s="233"/>
      <c r="C44" s="233"/>
      <c r="D44" s="233"/>
      <c r="E44" s="134"/>
      <c r="F44" s="236"/>
      <c r="G44" s="138"/>
      <c r="H44" s="233"/>
      <c r="I44" s="239"/>
      <c r="J44" s="242"/>
      <c r="K44" s="224"/>
      <c r="L44" s="245"/>
      <c r="M44" s="224">
        <f ca="1">IF(NOT(ISERROR(MATCH(L44,_xlfn.ANCHORARRAY(F55),0))),K57&amp;"Por favor no seleccionar los criterios de impacto",L44)</f>
        <v>0</v>
      </c>
      <c r="N44" s="242"/>
      <c r="O44" s="224"/>
      <c r="P44" s="227"/>
      <c r="Q44" s="107">
        <v>3</v>
      </c>
      <c r="R44" s="120"/>
      <c r="S44" s="109" t="s">
        <v>214</v>
      </c>
      <c r="T44" s="110"/>
      <c r="U44" s="110"/>
      <c r="V44" s="111" t="s">
        <v>214</v>
      </c>
      <c r="W44" s="110"/>
      <c r="X44" s="110"/>
      <c r="Y44" s="110"/>
      <c r="Z44" s="112" t="s">
        <v>214</v>
      </c>
      <c r="AA44" s="113" t="s">
        <v>214</v>
      </c>
      <c r="AB44" s="114" t="s">
        <v>214</v>
      </c>
      <c r="AC44" s="113" t="s">
        <v>214</v>
      </c>
      <c r="AD44" s="121" t="s">
        <v>214</v>
      </c>
      <c r="AE44" s="115" t="s">
        <v>214</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30"/>
      <c r="B45" s="233"/>
      <c r="C45" s="233"/>
      <c r="D45" s="233"/>
      <c r="E45" s="134"/>
      <c r="F45" s="236"/>
      <c r="G45" s="138"/>
      <c r="H45" s="233"/>
      <c r="I45" s="239"/>
      <c r="J45" s="242"/>
      <c r="K45" s="224"/>
      <c r="L45" s="245"/>
      <c r="M45" s="224">
        <f ca="1">IF(NOT(ISERROR(MATCH(L45,_xlfn.ANCHORARRAY(F56),0))),K58&amp;"Por favor no seleccionar los criterios de impacto",L45)</f>
        <v>0</v>
      </c>
      <c r="N45" s="242"/>
      <c r="O45" s="224"/>
      <c r="P45" s="227"/>
      <c r="Q45" s="107">
        <v>4</v>
      </c>
      <c r="R45" s="108"/>
      <c r="S45" s="109" t="s">
        <v>214</v>
      </c>
      <c r="T45" s="110"/>
      <c r="U45" s="110"/>
      <c r="V45" s="111" t="s">
        <v>214</v>
      </c>
      <c r="W45" s="110"/>
      <c r="X45" s="110"/>
      <c r="Y45" s="110"/>
      <c r="Z45" s="112" t="s">
        <v>214</v>
      </c>
      <c r="AA45" s="113" t="s">
        <v>214</v>
      </c>
      <c r="AB45" s="114" t="s">
        <v>214</v>
      </c>
      <c r="AC45" s="113" t="s">
        <v>214</v>
      </c>
      <c r="AD45" s="121" t="s">
        <v>214</v>
      </c>
      <c r="AE45" s="115" t="s">
        <v>214</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30"/>
      <c r="B46" s="233"/>
      <c r="C46" s="233"/>
      <c r="D46" s="233"/>
      <c r="E46" s="134"/>
      <c r="F46" s="236"/>
      <c r="G46" s="138"/>
      <c r="H46" s="233"/>
      <c r="I46" s="239"/>
      <c r="J46" s="242"/>
      <c r="K46" s="224"/>
      <c r="L46" s="245"/>
      <c r="M46" s="224">
        <f ca="1">IF(NOT(ISERROR(MATCH(L46,_xlfn.ANCHORARRAY(F57),0))),K59&amp;"Por favor no seleccionar los criterios de impacto",L46)</f>
        <v>0</v>
      </c>
      <c r="N46" s="242"/>
      <c r="O46" s="224"/>
      <c r="P46" s="227"/>
      <c r="Q46" s="107">
        <v>5</v>
      </c>
      <c r="R46" s="108"/>
      <c r="S46" s="109" t="s">
        <v>214</v>
      </c>
      <c r="T46" s="110"/>
      <c r="U46" s="110"/>
      <c r="V46" s="111" t="s">
        <v>214</v>
      </c>
      <c r="W46" s="110"/>
      <c r="X46" s="110"/>
      <c r="Y46" s="110"/>
      <c r="Z46" s="112" t="s">
        <v>214</v>
      </c>
      <c r="AA46" s="113" t="s">
        <v>214</v>
      </c>
      <c r="AB46" s="114" t="s">
        <v>214</v>
      </c>
      <c r="AC46" s="113" t="s">
        <v>214</v>
      </c>
      <c r="AD46" s="121" t="s">
        <v>214</v>
      </c>
      <c r="AE46" s="115" t="s">
        <v>214</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31"/>
      <c r="B47" s="234"/>
      <c r="C47" s="234"/>
      <c r="D47" s="234"/>
      <c r="E47" s="135"/>
      <c r="F47" s="237"/>
      <c r="G47" s="139"/>
      <c r="H47" s="234"/>
      <c r="I47" s="240"/>
      <c r="J47" s="243"/>
      <c r="K47" s="225"/>
      <c r="L47" s="246"/>
      <c r="M47" s="225">
        <f ca="1">IF(NOT(ISERROR(MATCH(L47,_xlfn.ANCHORARRAY(F58),0))),K60&amp;"Por favor no seleccionar los criterios de impacto",L47)</f>
        <v>0</v>
      </c>
      <c r="N47" s="243"/>
      <c r="O47" s="225"/>
      <c r="P47" s="228"/>
      <c r="Q47" s="107">
        <v>6</v>
      </c>
      <c r="R47" s="108"/>
      <c r="S47" s="109" t="s">
        <v>214</v>
      </c>
      <c r="T47" s="110"/>
      <c r="U47" s="110"/>
      <c r="V47" s="111" t="s">
        <v>214</v>
      </c>
      <c r="W47" s="110"/>
      <c r="X47" s="110"/>
      <c r="Y47" s="110"/>
      <c r="Z47" s="112" t="s">
        <v>214</v>
      </c>
      <c r="AA47" s="113" t="s">
        <v>214</v>
      </c>
      <c r="AB47" s="114" t="s">
        <v>214</v>
      </c>
      <c r="AC47" s="113" t="s">
        <v>214</v>
      </c>
      <c r="AD47" s="121" t="s">
        <v>214</v>
      </c>
      <c r="AE47" s="115" t="s">
        <v>214</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29">
        <v>8</v>
      </c>
      <c r="B48" s="232"/>
      <c r="C48" s="232"/>
      <c r="D48" s="232"/>
      <c r="E48" s="133"/>
      <c r="F48" s="235"/>
      <c r="G48" s="137"/>
      <c r="H48" s="232"/>
      <c r="I48" s="238"/>
      <c r="J48" s="241" t="str">
        <f t="shared" ref="J48" si="56">IF(I48&lt;=0,"",IF(I48&lt;=2,"Muy Baja",IF(I48&lt;=24,"Baja",IF(I48&lt;=500,"Media",IF(I48&lt;=5000,"Alta","Muy Alta")))))</f>
        <v/>
      </c>
      <c r="K48" s="223" t="str">
        <f t="shared" ref="K48" si="57">IF(J48="","",IF(J48="Muy Baja",0.2,IF(J48="Baja",0.4,IF(J48="Media",0.6,IF(J48="Alta",0.8,IF(J48="Muy Alta",1,))))))</f>
        <v/>
      </c>
      <c r="L48" s="244"/>
      <c r="M48" s="223">
        <f ca="1">IF(NOT(ISERROR(MATCH(L48,'Tabla Impacto'!$B$221:$B$223,0))),'Tabla Impacto'!$F$223&amp;"Por favor no seleccionar los criterios de impacto(Afectación Económica o presupuestal y Pérdida Reputacional)",L48)</f>
        <v>0</v>
      </c>
      <c r="N48" s="241" t="str">
        <f ca="1">IF(OR(M48='Tabla Impacto'!$C$11,M48='Tabla Impacto'!$D$11),"Leve",IF(OR(M48='Tabla Impacto'!$C$12,M48='Tabla Impacto'!$D$12),"Menor",IF(OR(M48='Tabla Impacto'!$C$13,M48='Tabla Impacto'!$D$13),"Moderado",IF(OR(M48='Tabla Impacto'!$C$14,M48='Tabla Impacto'!$D$14),"Mayor",IF(OR(M48='Tabla Impacto'!$C$15,M48='Tabla Impacto'!$D$15),"Catastrófico","")))))</f>
        <v/>
      </c>
      <c r="O48" s="223" t="str">
        <f t="shared" ref="O48" ca="1" si="58">IF(N48="","",IF(N48="Leve",0.2,IF(N48="Menor",0.4,IF(N48="Moderado",0.6,IF(N48="Mayor",0.8,IF(N48="Catastrófico",1,))))))</f>
        <v/>
      </c>
      <c r="P48" s="226" t="str">
        <f t="shared" ref="P48" ca="1" si="59">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07">
        <v>1</v>
      </c>
      <c r="R48" s="108"/>
      <c r="S48" s="109" t="str">
        <f>IF(OR(T48="Preventivo",T48="Detectivo"),"Probabilidad",IF(T48="Correctivo","Impacto",""))</f>
        <v/>
      </c>
      <c r="T48" s="110"/>
      <c r="U48" s="110"/>
      <c r="V48" s="111" t="str">
        <f>IF(AND(T48="Preventivo",U48="Automático"),"50%",IF(AND(T48="Preventivo",U48="Manual"),"40%",IF(AND(T48="Detectivo",U48="Automático"),"40%",IF(AND(T48="Detectivo",U48="Manual"),"30%",IF(AND(T48="Correctivo",U48="Automático"),"35%",IF(AND(T48="Correctivo",U48="Manual"),"25%",""))))))</f>
        <v/>
      </c>
      <c r="W48" s="110"/>
      <c r="X48" s="110"/>
      <c r="Y48" s="110"/>
      <c r="Z48" s="112" t="str">
        <f>IFERROR(IF(S48="Probabilidad",(K48-(+K48*V48)),IF(S48="Impacto",K48,"")),"")</f>
        <v/>
      </c>
      <c r="AA48" s="113" t="str">
        <f>IFERROR(IF(Z48="","",IF(Z48&lt;=0.2,"Muy Baja",IF(Z48&lt;=0.4,"Baja",IF(Z48&lt;=0.6,"Media",IF(Z48&lt;=0.8,"Alta","Muy Alta"))))),"")</f>
        <v/>
      </c>
      <c r="AB48" s="114" t="str">
        <f>+Z48</f>
        <v/>
      </c>
      <c r="AC48" s="113" t="str">
        <f>IFERROR(IF(AD48="","",IF(AD48&lt;=0.2,"Leve",IF(AD48&lt;=0.4,"Menor",IF(AD48&lt;=0.6,"Moderado",IF(AD48&lt;=0.8,"Mayor","Catastrófico"))))),"")</f>
        <v/>
      </c>
      <c r="AD48" s="121" t="str">
        <f>IFERROR(IF(S48="Impacto",(O48-(+O48*V48)),IF(S48="Probabilidad",O48,"")),"")</f>
        <v/>
      </c>
      <c r="AE48" s="115"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30"/>
      <c r="B49" s="233"/>
      <c r="C49" s="233"/>
      <c r="D49" s="233"/>
      <c r="E49" s="134"/>
      <c r="F49" s="236"/>
      <c r="G49" s="138"/>
      <c r="H49" s="233"/>
      <c r="I49" s="239"/>
      <c r="J49" s="242"/>
      <c r="K49" s="224"/>
      <c r="L49" s="245"/>
      <c r="M49" s="224">
        <f ca="1">IF(NOT(ISERROR(MATCH(L49,_xlfn.ANCHORARRAY(F60),0))),K62&amp;"Por favor no seleccionar los criterios de impacto",L49)</f>
        <v>0</v>
      </c>
      <c r="N49" s="242"/>
      <c r="O49" s="224"/>
      <c r="P49" s="227"/>
      <c r="Q49" s="107">
        <v>2</v>
      </c>
      <c r="R49" s="108"/>
      <c r="S49" s="109" t="str">
        <f>IF(OR(T49="Preventivo",T49="Detectivo"),"Probabilidad",IF(T49="Correctivo","Impacto",""))</f>
        <v/>
      </c>
      <c r="T49" s="110"/>
      <c r="U49" s="110"/>
      <c r="V49" s="111" t="str">
        <f t="shared" ref="V49:V53" si="60">IF(AND(T49="Preventivo",U49="Automático"),"50%",IF(AND(T49="Preventivo",U49="Manual"),"40%",IF(AND(T49="Detectivo",U49="Automático"),"40%",IF(AND(T49="Detectivo",U49="Manual"),"30%",IF(AND(T49="Correctivo",U49="Automático"),"35%",IF(AND(T49="Correctivo",U49="Manual"),"25%",""))))))</f>
        <v/>
      </c>
      <c r="W49" s="110"/>
      <c r="X49" s="110"/>
      <c r="Y49" s="110"/>
      <c r="Z49" s="112" t="str">
        <f>IFERROR(IF(AND(S48="Probabilidad",S49="Probabilidad"),(AB48-(+AB48*V49)),IF(S49="Probabilidad",(K48-(+K48*V49)),IF(S49="Impacto",AB48,""))),"")</f>
        <v/>
      </c>
      <c r="AA49" s="113" t="str">
        <f t="shared" ref="AA49:AA65" si="61">IFERROR(IF(Z49="","",IF(Z49&lt;=0.2,"Muy Baja",IF(Z49&lt;=0.4,"Baja",IF(Z49&lt;=0.6,"Media",IF(Z49&lt;=0.8,"Alta","Muy Alta"))))),"")</f>
        <v/>
      </c>
      <c r="AB49" s="114" t="str">
        <f t="shared" ref="AB49:AB53" si="62">+Z49</f>
        <v/>
      </c>
      <c r="AC49" s="113" t="str">
        <f t="shared" ref="AC49:AC65" si="63">IFERROR(IF(AD49="","",IF(AD49&lt;=0.2,"Leve",IF(AD49&lt;=0.4,"Menor",IF(AD49&lt;=0.6,"Moderado",IF(AD49&lt;=0.8,"Mayor","Catastrófico"))))),"")</f>
        <v/>
      </c>
      <c r="AD49" s="121" t="str">
        <f>IFERROR(IF(AND(S48="Impacto",S49="Impacto"),(AD48-(+AD48*V49)),IF(S49="Impacto",(O48-(+O48*V49)),IF(S49="Probabilidad",AD48,""))),"")</f>
        <v/>
      </c>
      <c r="AE49" s="115" t="str">
        <f t="shared" ref="AE49:AE50" si="64">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30"/>
      <c r="B50" s="233"/>
      <c r="C50" s="233"/>
      <c r="D50" s="233"/>
      <c r="E50" s="134"/>
      <c r="F50" s="236"/>
      <c r="G50" s="138"/>
      <c r="H50" s="233"/>
      <c r="I50" s="239"/>
      <c r="J50" s="242"/>
      <c r="K50" s="224"/>
      <c r="L50" s="245"/>
      <c r="M50" s="224">
        <f ca="1">IF(NOT(ISERROR(MATCH(L50,_xlfn.ANCHORARRAY(F61),0))),K63&amp;"Por favor no seleccionar los criterios de impacto",L50)</f>
        <v>0</v>
      </c>
      <c r="N50" s="242"/>
      <c r="O50" s="224"/>
      <c r="P50" s="227"/>
      <c r="Q50" s="107">
        <v>3</v>
      </c>
      <c r="R50" s="120"/>
      <c r="S50" s="109" t="str">
        <f>IF(OR(T50="Preventivo",T50="Detectivo"),"Probabilidad",IF(T50="Correctivo","Impacto",""))</f>
        <v/>
      </c>
      <c r="T50" s="110"/>
      <c r="U50" s="110"/>
      <c r="V50" s="111" t="str">
        <f t="shared" si="60"/>
        <v/>
      </c>
      <c r="W50" s="110"/>
      <c r="X50" s="110"/>
      <c r="Y50" s="110"/>
      <c r="Z50" s="112" t="str">
        <f>IFERROR(IF(AND(S49="Probabilidad",S50="Probabilidad"),(AB49-(+AB49*V50)),IF(AND(S49="Impacto",S50="Probabilidad"),(AB48-(+AB48*V50)),IF(S50="Impacto",AB49,""))),"")</f>
        <v/>
      </c>
      <c r="AA50" s="113" t="str">
        <f t="shared" si="61"/>
        <v/>
      </c>
      <c r="AB50" s="114" t="str">
        <f t="shared" si="62"/>
        <v/>
      </c>
      <c r="AC50" s="113" t="str">
        <f t="shared" si="63"/>
        <v/>
      </c>
      <c r="AD50" s="121" t="str">
        <f>IFERROR(IF(AND(S49="Impacto",S50="Impacto"),(AD49-(+AD49*V50)),IF(AND(S49="Probabilidad",S50="Impacto"),(AD48-(+AD48*V50)),IF(S50="Probabilidad",AD49,""))),"")</f>
        <v/>
      </c>
      <c r="AE50" s="115" t="str">
        <f t="shared" si="64"/>
        <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30"/>
      <c r="B51" s="233"/>
      <c r="C51" s="233"/>
      <c r="D51" s="233"/>
      <c r="E51" s="134"/>
      <c r="F51" s="236"/>
      <c r="G51" s="138"/>
      <c r="H51" s="233"/>
      <c r="I51" s="239"/>
      <c r="J51" s="242"/>
      <c r="K51" s="224"/>
      <c r="L51" s="245"/>
      <c r="M51" s="224">
        <f ca="1">IF(NOT(ISERROR(MATCH(L51,_xlfn.ANCHORARRAY(F62),0))),K64&amp;"Por favor no seleccionar los criterios de impacto",L51)</f>
        <v>0</v>
      </c>
      <c r="N51" s="242"/>
      <c r="O51" s="224"/>
      <c r="P51" s="227"/>
      <c r="Q51" s="107">
        <v>4</v>
      </c>
      <c r="R51" s="108"/>
      <c r="S51" s="109" t="str">
        <f t="shared" ref="S51:S53" si="65">IF(OR(T51="Preventivo",T51="Detectivo"),"Probabilidad",IF(T51="Correctivo","Impacto",""))</f>
        <v/>
      </c>
      <c r="T51" s="110"/>
      <c r="U51" s="110"/>
      <c r="V51" s="111" t="str">
        <f t="shared" si="60"/>
        <v/>
      </c>
      <c r="W51" s="110"/>
      <c r="X51" s="110"/>
      <c r="Y51" s="110"/>
      <c r="Z51" s="112" t="str">
        <f t="shared" ref="Z51:Z53" si="66">IFERROR(IF(AND(S50="Probabilidad",S51="Probabilidad"),(AB50-(+AB50*V51)),IF(AND(S50="Impacto",S51="Probabilidad"),(AB49-(+AB49*V51)),IF(S51="Impacto",AB50,""))),"")</f>
        <v/>
      </c>
      <c r="AA51" s="113" t="str">
        <f t="shared" si="61"/>
        <v/>
      </c>
      <c r="AB51" s="114" t="str">
        <f t="shared" si="62"/>
        <v/>
      </c>
      <c r="AC51" s="113" t="str">
        <f t="shared" si="63"/>
        <v/>
      </c>
      <c r="AD51" s="121" t="str">
        <f t="shared" ref="AD51:AD53" si="67">IFERROR(IF(AND(S50="Impacto",S51="Impacto"),(AD50-(+AD50*V51)),IF(AND(S50="Probabilidad",S51="Impacto"),(AD49-(+AD49*V51)),IF(S51="Probabilidad",AD50,""))),"")</f>
        <v/>
      </c>
      <c r="AE51" s="115"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30"/>
      <c r="B52" s="233"/>
      <c r="C52" s="233"/>
      <c r="D52" s="233"/>
      <c r="E52" s="134"/>
      <c r="F52" s="236"/>
      <c r="G52" s="138"/>
      <c r="H52" s="233"/>
      <c r="I52" s="239"/>
      <c r="J52" s="242"/>
      <c r="K52" s="224"/>
      <c r="L52" s="245"/>
      <c r="M52" s="224">
        <f ca="1">IF(NOT(ISERROR(MATCH(L52,_xlfn.ANCHORARRAY(F63),0))),K65&amp;"Por favor no seleccionar los criterios de impacto",L52)</f>
        <v>0</v>
      </c>
      <c r="N52" s="242"/>
      <c r="O52" s="224"/>
      <c r="P52" s="227"/>
      <c r="Q52" s="107">
        <v>5</v>
      </c>
      <c r="R52" s="108"/>
      <c r="S52" s="109" t="str">
        <f t="shared" si="65"/>
        <v/>
      </c>
      <c r="T52" s="110"/>
      <c r="U52" s="110"/>
      <c r="V52" s="111" t="str">
        <f t="shared" si="60"/>
        <v/>
      </c>
      <c r="W52" s="110"/>
      <c r="X52" s="110"/>
      <c r="Y52" s="110"/>
      <c r="Z52" s="112" t="str">
        <f t="shared" si="66"/>
        <v/>
      </c>
      <c r="AA52" s="113" t="str">
        <f t="shared" si="61"/>
        <v/>
      </c>
      <c r="AB52" s="114" t="str">
        <f t="shared" si="62"/>
        <v/>
      </c>
      <c r="AC52" s="113" t="str">
        <f t="shared" si="63"/>
        <v/>
      </c>
      <c r="AD52" s="121" t="str">
        <f t="shared" si="67"/>
        <v/>
      </c>
      <c r="AE52" s="115" t="str">
        <f t="shared" ref="AE52:AE53" si="68">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31"/>
      <c r="B53" s="234"/>
      <c r="C53" s="234"/>
      <c r="D53" s="234"/>
      <c r="E53" s="135"/>
      <c r="F53" s="237"/>
      <c r="G53" s="139"/>
      <c r="H53" s="234"/>
      <c r="I53" s="240"/>
      <c r="J53" s="243"/>
      <c r="K53" s="225"/>
      <c r="L53" s="246"/>
      <c r="M53" s="225">
        <f ca="1">IF(NOT(ISERROR(MATCH(L53,_xlfn.ANCHORARRAY(F64),0))),K66&amp;"Por favor no seleccionar los criterios de impacto",L53)</f>
        <v>0</v>
      </c>
      <c r="N53" s="243"/>
      <c r="O53" s="225"/>
      <c r="P53" s="228"/>
      <c r="Q53" s="107">
        <v>6</v>
      </c>
      <c r="R53" s="108"/>
      <c r="S53" s="109" t="str">
        <f t="shared" si="65"/>
        <v/>
      </c>
      <c r="T53" s="110"/>
      <c r="U53" s="110"/>
      <c r="V53" s="111" t="str">
        <f t="shared" si="60"/>
        <v/>
      </c>
      <c r="W53" s="110"/>
      <c r="X53" s="110"/>
      <c r="Y53" s="110"/>
      <c r="Z53" s="112" t="str">
        <f t="shared" si="66"/>
        <v/>
      </c>
      <c r="AA53" s="113" t="str">
        <f t="shared" si="61"/>
        <v/>
      </c>
      <c r="AB53" s="114" t="str">
        <f t="shared" si="62"/>
        <v/>
      </c>
      <c r="AC53" s="113" t="str">
        <f t="shared" si="63"/>
        <v/>
      </c>
      <c r="AD53" s="121" t="str">
        <f t="shared" si="67"/>
        <v/>
      </c>
      <c r="AE53" s="115" t="str">
        <f t="shared" si="68"/>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29">
        <v>9</v>
      </c>
      <c r="B54" s="232"/>
      <c r="C54" s="232"/>
      <c r="D54" s="232"/>
      <c r="E54" s="133"/>
      <c r="F54" s="235"/>
      <c r="G54" s="137"/>
      <c r="H54" s="232"/>
      <c r="I54" s="238"/>
      <c r="J54" s="241" t="str">
        <f t="shared" ref="J54" si="69">IF(I54&lt;=0,"",IF(I54&lt;=2,"Muy Baja",IF(I54&lt;=24,"Baja",IF(I54&lt;=500,"Media",IF(I54&lt;=5000,"Alta","Muy Alta")))))</f>
        <v/>
      </c>
      <c r="K54" s="223" t="str">
        <f t="shared" ref="K54" si="70">IF(J54="","",IF(J54="Muy Baja",0.2,IF(J54="Baja",0.4,IF(J54="Media",0.6,IF(J54="Alta",0.8,IF(J54="Muy Alta",1,))))))</f>
        <v/>
      </c>
      <c r="L54" s="244"/>
      <c r="M54" s="223">
        <f ca="1">IF(NOT(ISERROR(MATCH(L54,'Tabla Impacto'!$B$221:$B$223,0))),'Tabla Impacto'!$F$223&amp;"Por favor no seleccionar los criterios de impacto(Afectación Económica o presupuestal y Pérdida Reputacional)",L54)</f>
        <v>0</v>
      </c>
      <c r="N54" s="241" t="str">
        <f ca="1">IF(OR(M54='Tabla Impacto'!$C$11,M54='Tabla Impacto'!$D$11),"Leve",IF(OR(M54='Tabla Impacto'!$C$12,M54='Tabla Impacto'!$D$12),"Menor",IF(OR(M54='Tabla Impacto'!$C$13,M54='Tabla Impacto'!$D$13),"Moderado",IF(OR(M54='Tabla Impacto'!$C$14,M54='Tabla Impacto'!$D$14),"Mayor",IF(OR(M54='Tabla Impacto'!$C$15,M54='Tabla Impacto'!$D$15),"Catastrófico","")))))</f>
        <v/>
      </c>
      <c r="O54" s="223" t="str">
        <f t="shared" ref="O54" ca="1" si="71">IF(N54="","",IF(N54="Leve",0.2,IF(N54="Menor",0.4,IF(N54="Moderado",0.6,IF(N54="Mayor",0.8,IF(N54="Catastrófico",1,))))))</f>
        <v/>
      </c>
      <c r="P54" s="226" t="str">
        <f t="shared" ref="P54" ca="1" si="72">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07">
        <v>1</v>
      </c>
      <c r="R54" s="108"/>
      <c r="S54" s="109" t="str">
        <f>IF(OR(T54="Preventivo",T54="Detectivo"),"Probabilidad",IF(T54="Correctivo","Impacto",""))</f>
        <v/>
      </c>
      <c r="T54" s="110"/>
      <c r="U54" s="110"/>
      <c r="V54" s="111" t="str">
        <f>IF(AND(T54="Preventivo",U54="Automático"),"50%",IF(AND(T54="Preventivo",U54="Manual"),"40%",IF(AND(T54="Detectivo",U54="Automático"),"40%",IF(AND(T54="Detectivo",U54="Manual"),"30%",IF(AND(T54="Correctivo",U54="Automático"),"35%",IF(AND(T54="Correctivo",U54="Manual"),"25%",""))))))</f>
        <v/>
      </c>
      <c r="W54" s="110"/>
      <c r="X54" s="110"/>
      <c r="Y54" s="110"/>
      <c r="Z54" s="112" t="str">
        <f>IFERROR(IF(S54="Probabilidad",(K54-(+K54*V54)),IF(S54="Impacto",K54,"")),"")</f>
        <v/>
      </c>
      <c r="AA54" s="113" t="str">
        <f>IFERROR(IF(Z54="","",IF(Z54&lt;=0.2,"Muy Baja",IF(Z54&lt;=0.4,"Baja",IF(Z54&lt;=0.6,"Media",IF(Z54&lt;=0.8,"Alta","Muy Alta"))))),"")</f>
        <v/>
      </c>
      <c r="AB54" s="114" t="str">
        <f>+Z54</f>
        <v/>
      </c>
      <c r="AC54" s="113" t="str">
        <f>IFERROR(IF(AD54="","",IF(AD54&lt;=0.2,"Leve",IF(AD54&lt;=0.4,"Menor",IF(AD54&lt;=0.6,"Moderado",IF(AD54&lt;=0.8,"Mayor","Catastrófico"))))),"")</f>
        <v/>
      </c>
      <c r="AD54" s="121" t="str">
        <f>IFERROR(IF(S54="Impacto",(O54-(+O54*V54)),IF(S54="Probabilidad",O54,"")),"")</f>
        <v/>
      </c>
      <c r="AE54" s="115"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30"/>
      <c r="B55" s="233"/>
      <c r="C55" s="233"/>
      <c r="D55" s="233"/>
      <c r="E55" s="134"/>
      <c r="F55" s="236"/>
      <c r="G55" s="138"/>
      <c r="H55" s="233"/>
      <c r="I55" s="239"/>
      <c r="J55" s="242"/>
      <c r="K55" s="224"/>
      <c r="L55" s="245"/>
      <c r="M55" s="224">
        <f ca="1">IF(NOT(ISERROR(MATCH(L55,_xlfn.ANCHORARRAY(F66),0))),K68&amp;"Por favor no seleccionar los criterios de impacto",L55)</f>
        <v>0</v>
      </c>
      <c r="N55" s="242"/>
      <c r="O55" s="224"/>
      <c r="P55" s="227"/>
      <c r="Q55" s="107">
        <v>2</v>
      </c>
      <c r="R55" s="108"/>
      <c r="S55" s="109" t="str">
        <f>IF(OR(T55="Preventivo",T55="Detectivo"),"Probabilidad",IF(T55="Correctivo","Impacto",""))</f>
        <v/>
      </c>
      <c r="T55" s="110"/>
      <c r="U55" s="110"/>
      <c r="V55" s="111" t="str">
        <f t="shared" ref="V55:V59" si="73">IF(AND(T55="Preventivo",U55="Automático"),"50%",IF(AND(T55="Preventivo",U55="Manual"),"40%",IF(AND(T55="Detectivo",U55="Automático"),"40%",IF(AND(T55="Detectivo",U55="Manual"),"30%",IF(AND(T55="Correctivo",U55="Automático"),"35%",IF(AND(T55="Correctivo",U55="Manual"),"25%",""))))))</f>
        <v/>
      </c>
      <c r="W55" s="110"/>
      <c r="X55" s="110"/>
      <c r="Y55" s="110"/>
      <c r="Z55" s="112" t="str">
        <f>IFERROR(IF(AND(S54="Probabilidad",S55="Probabilidad"),(AB54-(+AB54*V55)),IF(S55="Probabilidad",(K54-(+K54*V55)),IF(S55="Impacto",AB54,""))),"")</f>
        <v/>
      </c>
      <c r="AA55" s="113" t="str">
        <f t="shared" si="61"/>
        <v/>
      </c>
      <c r="AB55" s="114" t="str">
        <f t="shared" ref="AB55:AB59" si="74">+Z55</f>
        <v/>
      </c>
      <c r="AC55" s="113" t="str">
        <f t="shared" si="63"/>
        <v/>
      </c>
      <c r="AD55" s="121" t="str">
        <f>IFERROR(IF(AND(S54="Impacto",S55="Impacto"),(AD54-(+AD54*V55)),IF(S55="Impacto",(O54-(+O54*V55)),IF(S55="Probabilidad",AD54,""))),"")</f>
        <v/>
      </c>
      <c r="AE55" s="115" t="str">
        <f t="shared" ref="AE55:AE56" si="75">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30"/>
      <c r="B56" s="233"/>
      <c r="C56" s="233"/>
      <c r="D56" s="233"/>
      <c r="E56" s="134"/>
      <c r="F56" s="236"/>
      <c r="G56" s="138"/>
      <c r="H56" s="233"/>
      <c r="I56" s="239"/>
      <c r="J56" s="242"/>
      <c r="K56" s="224"/>
      <c r="L56" s="245"/>
      <c r="M56" s="224">
        <f ca="1">IF(NOT(ISERROR(MATCH(L56,_xlfn.ANCHORARRAY(F67),0))),K69&amp;"Por favor no seleccionar los criterios de impacto",L56)</f>
        <v>0</v>
      </c>
      <c r="N56" s="242"/>
      <c r="O56" s="224"/>
      <c r="P56" s="227"/>
      <c r="Q56" s="107">
        <v>3</v>
      </c>
      <c r="R56" s="120"/>
      <c r="S56" s="109" t="str">
        <f>IF(OR(T56="Preventivo",T56="Detectivo"),"Probabilidad",IF(T56="Correctivo","Impacto",""))</f>
        <v/>
      </c>
      <c r="T56" s="110"/>
      <c r="U56" s="110"/>
      <c r="V56" s="111" t="str">
        <f t="shared" si="73"/>
        <v/>
      </c>
      <c r="W56" s="110"/>
      <c r="X56" s="110"/>
      <c r="Y56" s="110"/>
      <c r="Z56" s="112" t="str">
        <f>IFERROR(IF(AND(S55="Probabilidad",S56="Probabilidad"),(AB55-(+AB55*V56)),IF(AND(S55="Impacto",S56="Probabilidad"),(AB54-(+AB54*V56)),IF(S56="Impacto",AB55,""))),"")</f>
        <v/>
      </c>
      <c r="AA56" s="113" t="str">
        <f t="shared" si="61"/>
        <v/>
      </c>
      <c r="AB56" s="114" t="str">
        <f t="shared" si="74"/>
        <v/>
      </c>
      <c r="AC56" s="113" t="str">
        <f t="shared" si="63"/>
        <v/>
      </c>
      <c r="AD56" s="121" t="str">
        <f>IFERROR(IF(AND(S55="Impacto",S56="Impacto"),(AD55-(+AD55*V56)),IF(AND(S55="Probabilidad",S56="Impacto"),(AD54-(+AD54*V56)),IF(S56="Probabilidad",AD55,""))),"")</f>
        <v/>
      </c>
      <c r="AE56" s="115" t="str">
        <f t="shared" si="75"/>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30"/>
      <c r="B57" s="233"/>
      <c r="C57" s="233"/>
      <c r="D57" s="233"/>
      <c r="E57" s="134"/>
      <c r="F57" s="236"/>
      <c r="G57" s="138"/>
      <c r="H57" s="233"/>
      <c r="I57" s="239"/>
      <c r="J57" s="242"/>
      <c r="K57" s="224"/>
      <c r="L57" s="245"/>
      <c r="M57" s="224">
        <f ca="1">IF(NOT(ISERROR(MATCH(L57,_xlfn.ANCHORARRAY(F68),0))),K70&amp;"Por favor no seleccionar los criterios de impacto",L57)</f>
        <v>0</v>
      </c>
      <c r="N57" s="242"/>
      <c r="O57" s="224"/>
      <c r="P57" s="227"/>
      <c r="Q57" s="107">
        <v>4</v>
      </c>
      <c r="R57" s="108"/>
      <c r="S57" s="109" t="str">
        <f t="shared" ref="S57:S59" si="76">IF(OR(T57="Preventivo",T57="Detectivo"),"Probabilidad",IF(T57="Correctivo","Impacto",""))</f>
        <v/>
      </c>
      <c r="T57" s="110"/>
      <c r="U57" s="110"/>
      <c r="V57" s="111" t="str">
        <f t="shared" si="73"/>
        <v/>
      </c>
      <c r="W57" s="110"/>
      <c r="X57" s="110"/>
      <c r="Y57" s="110"/>
      <c r="Z57" s="112" t="str">
        <f t="shared" ref="Z57:Z59" si="77">IFERROR(IF(AND(S56="Probabilidad",S57="Probabilidad"),(AB56-(+AB56*V57)),IF(AND(S56="Impacto",S57="Probabilidad"),(AB55-(+AB55*V57)),IF(S57="Impacto",AB56,""))),"")</f>
        <v/>
      </c>
      <c r="AA57" s="113" t="str">
        <f t="shared" si="61"/>
        <v/>
      </c>
      <c r="AB57" s="114" t="str">
        <f t="shared" si="74"/>
        <v/>
      </c>
      <c r="AC57" s="113" t="str">
        <f t="shared" si="63"/>
        <v/>
      </c>
      <c r="AD57" s="121" t="str">
        <f t="shared" ref="AD57:AD59" si="78">IFERROR(IF(AND(S56="Impacto",S57="Impacto"),(AD56-(+AD56*V57)),IF(AND(S56="Probabilidad",S57="Impacto"),(AD55-(+AD55*V57)),IF(S57="Probabilidad",AD56,""))),"")</f>
        <v/>
      </c>
      <c r="AE57" s="115"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30"/>
      <c r="B58" s="233"/>
      <c r="C58" s="233"/>
      <c r="D58" s="233"/>
      <c r="E58" s="134"/>
      <c r="F58" s="236"/>
      <c r="G58" s="138"/>
      <c r="H58" s="233"/>
      <c r="I58" s="239"/>
      <c r="J58" s="242"/>
      <c r="K58" s="224"/>
      <c r="L58" s="245"/>
      <c r="M58" s="224">
        <f ca="1">IF(NOT(ISERROR(MATCH(L58,_xlfn.ANCHORARRAY(F69),0))),K71&amp;"Por favor no seleccionar los criterios de impacto",L58)</f>
        <v>0</v>
      </c>
      <c r="N58" s="242"/>
      <c r="O58" s="224"/>
      <c r="P58" s="227"/>
      <c r="Q58" s="107">
        <v>5</v>
      </c>
      <c r="R58" s="108"/>
      <c r="S58" s="109" t="str">
        <f t="shared" si="76"/>
        <v/>
      </c>
      <c r="T58" s="110"/>
      <c r="U58" s="110"/>
      <c r="V58" s="111" t="str">
        <f t="shared" si="73"/>
        <v/>
      </c>
      <c r="W58" s="110"/>
      <c r="X58" s="110"/>
      <c r="Y58" s="110"/>
      <c r="Z58" s="112" t="str">
        <f t="shared" si="77"/>
        <v/>
      </c>
      <c r="AA58" s="113" t="str">
        <f t="shared" si="61"/>
        <v/>
      </c>
      <c r="AB58" s="114" t="str">
        <f t="shared" si="74"/>
        <v/>
      </c>
      <c r="AC58" s="113" t="str">
        <f t="shared" si="63"/>
        <v/>
      </c>
      <c r="AD58" s="121" t="str">
        <f t="shared" si="78"/>
        <v/>
      </c>
      <c r="AE58" s="115" t="str">
        <f t="shared" ref="AE58:AE59" si="79">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31"/>
      <c r="B59" s="234"/>
      <c r="C59" s="234"/>
      <c r="D59" s="234"/>
      <c r="E59" s="135"/>
      <c r="F59" s="237"/>
      <c r="G59" s="139"/>
      <c r="H59" s="234"/>
      <c r="I59" s="240"/>
      <c r="J59" s="243"/>
      <c r="K59" s="225"/>
      <c r="L59" s="246"/>
      <c r="M59" s="225">
        <f ca="1">IF(NOT(ISERROR(MATCH(L59,_xlfn.ANCHORARRAY(F70),0))),K72&amp;"Por favor no seleccionar los criterios de impacto",L59)</f>
        <v>0</v>
      </c>
      <c r="N59" s="243"/>
      <c r="O59" s="225"/>
      <c r="P59" s="228"/>
      <c r="Q59" s="107">
        <v>6</v>
      </c>
      <c r="R59" s="108"/>
      <c r="S59" s="109" t="str">
        <f t="shared" si="76"/>
        <v/>
      </c>
      <c r="T59" s="110"/>
      <c r="U59" s="110"/>
      <c r="V59" s="111" t="str">
        <f t="shared" si="73"/>
        <v/>
      </c>
      <c r="W59" s="110"/>
      <c r="X59" s="110"/>
      <c r="Y59" s="110"/>
      <c r="Z59" s="112" t="str">
        <f t="shared" si="77"/>
        <v/>
      </c>
      <c r="AA59" s="113" t="str">
        <f t="shared" si="61"/>
        <v/>
      </c>
      <c r="AB59" s="114" t="str">
        <f t="shared" si="74"/>
        <v/>
      </c>
      <c r="AC59" s="113" t="str">
        <f t="shared" si="63"/>
        <v/>
      </c>
      <c r="AD59" s="121" t="str">
        <f t="shared" si="78"/>
        <v/>
      </c>
      <c r="AE59" s="115" t="str">
        <f t="shared" si="79"/>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3">
      <c r="A60" s="229">
        <v>10</v>
      </c>
      <c r="B60" s="232"/>
      <c r="C60" s="232"/>
      <c r="D60" s="232"/>
      <c r="E60" s="133"/>
      <c r="F60" s="235"/>
      <c r="G60" s="137"/>
      <c r="H60" s="232"/>
      <c r="I60" s="238"/>
      <c r="J60" s="241" t="str">
        <f t="shared" ref="J60" si="80">IF(I60&lt;=0,"",IF(I60&lt;=2,"Muy Baja",IF(I60&lt;=24,"Baja",IF(I60&lt;=500,"Media",IF(I60&lt;=5000,"Alta","Muy Alta")))))</f>
        <v/>
      </c>
      <c r="K60" s="223" t="str">
        <f t="shared" ref="K60" si="81">IF(J60="","",IF(J60="Muy Baja",0.2,IF(J60="Baja",0.4,IF(J60="Media",0.6,IF(J60="Alta",0.8,IF(J60="Muy Alta",1,))))))</f>
        <v/>
      </c>
      <c r="L60" s="244"/>
      <c r="M60" s="223">
        <f ca="1">IF(NOT(ISERROR(MATCH(L60,'Tabla Impacto'!$B$221:$B$223,0))),'Tabla Impacto'!$F$223&amp;"Por favor no seleccionar los criterios de impacto(Afectación Económica o presupuestal y Pérdida Reputacional)",L60)</f>
        <v>0</v>
      </c>
      <c r="N60" s="241" t="str">
        <f ca="1">IF(OR(M60='Tabla Impacto'!$C$11,M60='Tabla Impacto'!$D$11),"Leve",IF(OR(M60='Tabla Impacto'!$C$12,M60='Tabla Impacto'!$D$12),"Menor",IF(OR(M60='Tabla Impacto'!$C$13,M60='Tabla Impacto'!$D$13),"Moderado",IF(OR(M60='Tabla Impacto'!$C$14,M60='Tabla Impacto'!$D$14),"Mayor",IF(OR(M60='Tabla Impacto'!$C$15,M60='Tabla Impacto'!$D$15),"Catastrófico","")))))</f>
        <v/>
      </c>
      <c r="O60" s="223" t="str">
        <f t="shared" ref="O60" ca="1" si="82">IF(N60="","",IF(N60="Leve",0.2,IF(N60="Menor",0.4,IF(N60="Moderado",0.6,IF(N60="Mayor",0.8,IF(N60="Catastrófico",1,))))))</f>
        <v/>
      </c>
      <c r="P60" s="226" t="str">
        <f t="shared" ref="P60" ca="1" si="83">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07">
        <v>1</v>
      </c>
      <c r="R60" s="108"/>
      <c r="S60" s="109" t="str">
        <f>IF(OR(T60="Preventivo",T60="Detectivo"),"Probabilidad",IF(T60="Correctivo","Impacto",""))</f>
        <v/>
      </c>
      <c r="T60" s="110"/>
      <c r="U60" s="110"/>
      <c r="V60" s="111" t="str">
        <f>IF(AND(T60="Preventivo",U60="Automático"),"50%",IF(AND(T60="Preventivo",U60="Manual"),"40%",IF(AND(T60="Detectivo",U60="Automático"),"40%",IF(AND(T60="Detectivo",U60="Manual"),"30%",IF(AND(T60="Correctivo",U60="Automático"),"35%",IF(AND(T60="Correctivo",U60="Manual"),"25%",""))))))</f>
        <v/>
      </c>
      <c r="W60" s="110"/>
      <c r="X60" s="110"/>
      <c r="Y60" s="110"/>
      <c r="Z60" s="112" t="str">
        <f>IFERROR(IF(S60="Probabilidad",(K60-(+K60*V60)),IF(S60="Impacto",K60,"")),"")</f>
        <v/>
      </c>
      <c r="AA60" s="113" t="str">
        <f>IFERROR(IF(Z60="","",IF(Z60&lt;=0.2,"Muy Baja",IF(Z60&lt;=0.4,"Baja",IF(Z60&lt;=0.6,"Media",IF(Z60&lt;=0.8,"Alta","Muy Alta"))))),"")</f>
        <v/>
      </c>
      <c r="AB60" s="114" t="str">
        <f>+Z60</f>
        <v/>
      </c>
      <c r="AC60" s="113" t="str">
        <f>IFERROR(IF(AD60="","",IF(AD60&lt;=0.2,"Leve",IF(AD60&lt;=0.4,"Menor",IF(AD60&lt;=0.6,"Moderado",IF(AD60&lt;=0.8,"Mayor","Catastrófico"))))),"")</f>
        <v/>
      </c>
      <c r="AD60" s="121" t="str">
        <f>IFERROR(IF(S60="Impacto",(O60-(+O60*V60)),IF(S60="Probabilidad",O60,"")),"")</f>
        <v/>
      </c>
      <c r="AE60" s="115"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x14ac:dyDescent="0.3">
      <c r="A61" s="230"/>
      <c r="B61" s="233"/>
      <c r="C61" s="233"/>
      <c r="D61" s="233"/>
      <c r="E61" s="134"/>
      <c r="F61" s="236"/>
      <c r="G61" s="138"/>
      <c r="H61" s="233"/>
      <c r="I61" s="239"/>
      <c r="J61" s="242"/>
      <c r="K61" s="224"/>
      <c r="L61" s="245"/>
      <c r="M61" s="224">
        <f ca="1">IF(NOT(ISERROR(MATCH(L61,_xlfn.ANCHORARRAY(F72),0))),K74&amp;"Por favor no seleccionar los criterios de impacto",L61)</f>
        <v>0</v>
      </c>
      <c r="N61" s="242"/>
      <c r="O61" s="224"/>
      <c r="P61" s="227"/>
      <c r="Q61" s="107">
        <v>2</v>
      </c>
      <c r="R61" s="108"/>
      <c r="S61" s="109" t="str">
        <f>IF(OR(T61="Preventivo",T61="Detectivo"),"Probabilidad",IF(T61="Correctivo","Impacto",""))</f>
        <v/>
      </c>
      <c r="T61" s="110"/>
      <c r="U61" s="110"/>
      <c r="V61" s="111" t="str">
        <f t="shared" ref="V61:V65" si="84">IF(AND(T61="Preventivo",U61="Automático"),"50%",IF(AND(T61="Preventivo",U61="Manual"),"40%",IF(AND(T61="Detectivo",U61="Automático"),"40%",IF(AND(T61="Detectivo",U61="Manual"),"30%",IF(AND(T61="Correctivo",U61="Automático"),"35%",IF(AND(T61="Correctivo",U61="Manual"),"25%",""))))))</f>
        <v/>
      </c>
      <c r="W61" s="110"/>
      <c r="X61" s="110"/>
      <c r="Y61" s="110"/>
      <c r="Z61" s="112" t="str">
        <f>IFERROR(IF(AND(S60="Probabilidad",S61="Probabilidad"),(AB60-(+AB60*V61)),IF(S61="Probabilidad",(K60-(+K60*V61)),IF(S61="Impacto",AB60,""))),"")</f>
        <v/>
      </c>
      <c r="AA61" s="113" t="str">
        <f t="shared" si="61"/>
        <v/>
      </c>
      <c r="AB61" s="114" t="str">
        <f t="shared" ref="AB61:AB65" si="85">+Z61</f>
        <v/>
      </c>
      <c r="AC61" s="113" t="str">
        <f t="shared" si="63"/>
        <v/>
      </c>
      <c r="AD61" s="121" t="str">
        <f>IFERROR(IF(AND(S60="Impacto",S61="Impacto"),(AD60-(+AD60*V61)),IF(S61="Impacto",(O60-(+O60*V61)),IF(S61="Probabilidad",AD60,""))),"")</f>
        <v/>
      </c>
      <c r="AE61" s="115" t="str">
        <f t="shared" ref="AE61:AE62" si="86">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row>
    <row r="62" spans="1:70" ht="19.5" customHeight="1" x14ac:dyDescent="0.3">
      <c r="A62" s="230"/>
      <c r="B62" s="233"/>
      <c r="C62" s="233"/>
      <c r="D62" s="233"/>
      <c r="E62" s="134"/>
      <c r="F62" s="236"/>
      <c r="G62" s="138"/>
      <c r="H62" s="233"/>
      <c r="I62" s="239"/>
      <c r="J62" s="242"/>
      <c r="K62" s="224"/>
      <c r="L62" s="245"/>
      <c r="M62" s="224">
        <f ca="1">IF(NOT(ISERROR(MATCH(L62,_xlfn.ANCHORARRAY(F73),0))),K75&amp;"Por favor no seleccionar los criterios de impacto",L62)</f>
        <v>0</v>
      </c>
      <c r="N62" s="242"/>
      <c r="O62" s="224"/>
      <c r="P62" s="227"/>
      <c r="Q62" s="107">
        <v>3</v>
      </c>
      <c r="R62" s="120"/>
      <c r="S62" s="109" t="str">
        <f>IF(OR(T62="Preventivo",T62="Detectivo"),"Probabilidad",IF(T62="Correctivo","Impacto",""))</f>
        <v/>
      </c>
      <c r="T62" s="110"/>
      <c r="U62" s="110"/>
      <c r="V62" s="111" t="str">
        <f t="shared" si="84"/>
        <v/>
      </c>
      <c r="W62" s="110"/>
      <c r="X62" s="110"/>
      <c r="Y62" s="110"/>
      <c r="Z62" s="112" t="str">
        <f>IFERROR(IF(AND(S61="Probabilidad",S62="Probabilidad"),(AB61-(+AB61*V62)),IF(AND(S61="Impacto",S62="Probabilidad"),(AB60-(+AB60*V62)),IF(S62="Impacto",AB61,""))),"")</f>
        <v/>
      </c>
      <c r="AA62" s="113" t="str">
        <f t="shared" si="61"/>
        <v/>
      </c>
      <c r="AB62" s="114" t="str">
        <f t="shared" si="85"/>
        <v/>
      </c>
      <c r="AC62" s="113" t="str">
        <f t="shared" si="63"/>
        <v/>
      </c>
      <c r="AD62" s="121" t="str">
        <f>IFERROR(IF(AND(S61="Impacto",S62="Impacto"),(AD61-(+AD61*V62)),IF(AND(S61="Probabilidad",S62="Impacto"),(AD60-(+AD60*V62)),IF(S62="Probabilidad",AD61,""))),"")</f>
        <v/>
      </c>
      <c r="AE62" s="115" t="str">
        <f t="shared" si="86"/>
        <v/>
      </c>
      <c r="AF62" s="116"/>
      <c r="AG62" s="117"/>
      <c r="AH62" s="118"/>
      <c r="AI62" s="119"/>
      <c r="AJ62" s="119"/>
      <c r="AK62" s="117"/>
      <c r="AL62" s="118"/>
    </row>
    <row r="63" spans="1:70" ht="19.5" customHeight="1" x14ac:dyDescent="0.3">
      <c r="A63" s="230"/>
      <c r="B63" s="233"/>
      <c r="C63" s="233"/>
      <c r="D63" s="233"/>
      <c r="E63" s="134"/>
      <c r="F63" s="236"/>
      <c r="G63" s="138"/>
      <c r="H63" s="233"/>
      <c r="I63" s="239"/>
      <c r="J63" s="242"/>
      <c r="K63" s="224"/>
      <c r="L63" s="245"/>
      <c r="M63" s="224">
        <f ca="1">IF(NOT(ISERROR(MATCH(L63,_xlfn.ANCHORARRAY(F74),0))),K76&amp;"Por favor no seleccionar los criterios de impacto",L63)</f>
        <v>0</v>
      </c>
      <c r="N63" s="242"/>
      <c r="O63" s="224"/>
      <c r="P63" s="227"/>
      <c r="Q63" s="107">
        <v>4</v>
      </c>
      <c r="R63" s="108"/>
      <c r="S63" s="109" t="str">
        <f t="shared" ref="S63:S65" si="87">IF(OR(T63="Preventivo",T63="Detectivo"),"Probabilidad",IF(T63="Correctivo","Impacto",""))</f>
        <v/>
      </c>
      <c r="T63" s="110"/>
      <c r="U63" s="110"/>
      <c r="V63" s="111" t="str">
        <f t="shared" si="84"/>
        <v/>
      </c>
      <c r="W63" s="110"/>
      <c r="X63" s="110"/>
      <c r="Y63" s="110"/>
      <c r="Z63" s="112" t="str">
        <f t="shared" ref="Z63:Z65" si="88">IFERROR(IF(AND(S62="Probabilidad",S63="Probabilidad"),(AB62-(+AB62*V63)),IF(AND(S62="Impacto",S63="Probabilidad"),(AB61-(+AB61*V63)),IF(S63="Impacto",AB62,""))),"")</f>
        <v/>
      </c>
      <c r="AA63" s="113" t="str">
        <f t="shared" si="61"/>
        <v/>
      </c>
      <c r="AB63" s="114" t="str">
        <f t="shared" si="85"/>
        <v/>
      </c>
      <c r="AC63" s="113" t="str">
        <f t="shared" si="63"/>
        <v/>
      </c>
      <c r="AD63" s="121" t="str">
        <f t="shared" ref="AD63:AD65" si="89">IFERROR(IF(AND(S62="Impacto",S63="Impacto"),(AD62-(+AD62*V63)),IF(AND(S62="Probabilidad",S63="Impacto"),(AD61-(+AD61*V63)),IF(S63="Probabilidad",AD62,""))),"")</f>
        <v/>
      </c>
      <c r="AE63" s="115"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6"/>
      <c r="AG63" s="117"/>
      <c r="AH63" s="118"/>
      <c r="AI63" s="119"/>
      <c r="AJ63" s="119"/>
      <c r="AK63" s="117"/>
      <c r="AL63" s="118"/>
    </row>
    <row r="64" spans="1:70" ht="19.5" customHeight="1" x14ac:dyDescent="0.3">
      <c r="A64" s="230"/>
      <c r="B64" s="233"/>
      <c r="C64" s="233"/>
      <c r="D64" s="233"/>
      <c r="E64" s="134"/>
      <c r="F64" s="236"/>
      <c r="G64" s="138"/>
      <c r="H64" s="233"/>
      <c r="I64" s="239"/>
      <c r="J64" s="242"/>
      <c r="K64" s="224"/>
      <c r="L64" s="245"/>
      <c r="M64" s="224">
        <f ca="1">IF(NOT(ISERROR(MATCH(L64,_xlfn.ANCHORARRAY(F75),0))),K77&amp;"Por favor no seleccionar los criterios de impacto",L64)</f>
        <v>0</v>
      </c>
      <c r="N64" s="242"/>
      <c r="O64" s="224"/>
      <c r="P64" s="227"/>
      <c r="Q64" s="107">
        <v>5</v>
      </c>
      <c r="R64" s="108"/>
      <c r="S64" s="109" t="str">
        <f t="shared" si="87"/>
        <v/>
      </c>
      <c r="T64" s="110"/>
      <c r="U64" s="110"/>
      <c r="V64" s="111" t="str">
        <f t="shared" si="84"/>
        <v/>
      </c>
      <c r="W64" s="110"/>
      <c r="X64" s="110"/>
      <c r="Y64" s="110"/>
      <c r="Z64" s="112" t="str">
        <f t="shared" si="88"/>
        <v/>
      </c>
      <c r="AA64" s="113" t="str">
        <f t="shared" si="61"/>
        <v/>
      </c>
      <c r="AB64" s="114" t="str">
        <f t="shared" si="85"/>
        <v/>
      </c>
      <c r="AC64" s="113" t="str">
        <f t="shared" si="63"/>
        <v/>
      </c>
      <c r="AD64" s="121" t="str">
        <f t="shared" si="89"/>
        <v/>
      </c>
      <c r="AE64" s="115" t="str">
        <f t="shared" ref="AE64:AE65" si="90">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row>
    <row r="65" spans="1:38" ht="19.5" customHeight="1" x14ac:dyDescent="0.3">
      <c r="A65" s="231"/>
      <c r="B65" s="234"/>
      <c r="C65" s="234"/>
      <c r="D65" s="234"/>
      <c r="E65" s="135"/>
      <c r="F65" s="237"/>
      <c r="G65" s="139"/>
      <c r="H65" s="234"/>
      <c r="I65" s="240"/>
      <c r="J65" s="243"/>
      <c r="K65" s="225"/>
      <c r="L65" s="246"/>
      <c r="M65" s="225">
        <f ca="1">IF(NOT(ISERROR(MATCH(L65,_xlfn.ANCHORARRAY(F76),0))),K78&amp;"Por favor no seleccionar los criterios de impacto",L65)</f>
        <v>0</v>
      </c>
      <c r="N65" s="243"/>
      <c r="O65" s="225"/>
      <c r="P65" s="228"/>
      <c r="Q65" s="107">
        <v>6</v>
      </c>
      <c r="R65" s="108"/>
      <c r="S65" s="109" t="str">
        <f t="shared" si="87"/>
        <v/>
      </c>
      <c r="T65" s="110"/>
      <c r="U65" s="110"/>
      <c r="V65" s="111" t="str">
        <f t="shared" si="84"/>
        <v/>
      </c>
      <c r="W65" s="110"/>
      <c r="X65" s="110"/>
      <c r="Y65" s="110"/>
      <c r="Z65" s="112" t="str">
        <f t="shared" si="88"/>
        <v/>
      </c>
      <c r="AA65" s="113" t="str">
        <f t="shared" si="61"/>
        <v/>
      </c>
      <c r="AB65" s="114" t="str">
        <f t="shared" si="85"/>
        <v/>
      </c>
      <c r="AC65" s="113" t="str">
        <f t="shared" si="63"/>
        <v/>
      </c>
      <c r="AD65" s="121" t="str">
        <f t="shared" si="89"/>
        <v/>
      </c>
      <c r="AE65" s="115" t="str">
        <f t="shared" si="90"/>
        <v/>
      </c>
      <c r="AF65" s="116"/>
      <c r="AG65" s="117"/>
      <c r="AH65" s="118"/>
      <c r="AI65" s="119"/>
      <c r="AJ65" s="119"/>
      <c r="AK65" s="117"/>
      <c r="AL65" s="118"/>
    </row>
    <row r="66" spans="1:38" ht="49.5" customHeight="1" x14ac:dyDescent="0.3">
      <c r="A66" s="6"/>
      <c r="B66" s="220" t="s">
        <v>125</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2"/>
    </row>
    <row r="68" spans="1:38" x14ac:dyDescent="0.3">
      <c r="A68" s="1"/>
      <c r="B68" s="24" t="s">
        <v>137</v>
      </c>
      <c r="C68" s="1"/>
      <c r="D68" s="1"/>
      <c r="E68" s="1"/>
      <c r="H68" s="1"/>
    </row>
  </sheetData>
  <dataConsolidate/>
  <mergeCells count="186">
    <mergeCell ref="H10:H12"/>
    <mergeCell ref="I10:I12"/>
    <mergeCell ref="J10:J12"/>
    <mergeCell ref="A10:A12"/>
    <mergeCell ref="B10:B12"/>
    <mergeCell ref="C10:C12"/>
    <mergeCell ref="D10:D12"/>
    <mergeCell ref="F10:F12"/>
    <mergeCell ref="P10:P12"/>
    <mergeCell ref="K10:K12"/>
    <mergeCell ref="L10:L12"/>
    <mergeCell ref="M10:M12"/>
    <mergeCell ref="N10:N12"/>
    <mergeCell ref="O10:O12"/>
    <mergeCell ref="G10:G12"/>
    <mergeCell ref="AB8:AB9"/>
    <mergeCell ref="I8:I9"/>
    <mergeCell ref="J8:J9"/>
    <mergeCell ref="K8:K9"/>
    <mergeCell ref="N8:N9"/>
    <mergeCell ref="O8:O9"/>
    <mergeCell ref="B8:B9"/>
    <mergeCell ref="P8:P9"/>
    <mergeCell ref="L8:L9"/>
    <mergeCell ref="M8:M9"/>
    <mergeCell ref="S8:S9"/>
    <mergeCell ref="T8:Y8"/>
    <mergeCell ref="E8:E9"/>
    <mergeCell ref="D13:D17"/>
    <mergeCell ref="F13:F17"/>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M13:M17"/>
    <mergeCell ref="N13:N17"/>
    <mergeCell ref="O13:O17"/>
    <mergeCell ref="P13:P17"/>
    <mergeCell ref="A18:A23"/>
    <mergeCell ref="B18:B23"/>
    <mergeCell ref="C18:C23"/>
    <mergeCell ref="D18:D23"/>
    <mergeCell ref="F18:F23"/>
    <mergeCell ref="H18:H23"/>
    <mergeCell ref="I18:I23"/>
    <mergeCell ref="J18:J23"/>
    <mergeCell ref="K18:K23"/>
    <mergeCell ref="L18:L23"/>
    <mergeCell ref="M18:M23"/>
    <mergeCell ref="N18:N23"/>
    <mergeCell ref="H13:H17"/>
    <mergeCell ref="I13:I17"/>
    <mergeCell ref="J13:J17"/>
    <mergeCell ref="K13:K17"/>
    <mergeCell ref="L13:L17"/>
    <mergeCell ref="A13:A17"/>
    <mergeCell ref="B13:B17"/>
    <mergeCell ref="C13:C17"/>
    <mergeCell ref="O18:O23"/>
    <mergeCell ref="P18:P23"/>
    <mergeCell ref="A24:A29"/>
    <mergeCell ref="B24:B29"/>
    <mergeCell ref="C24:C29"/>
    <mergeCell ref="D24:D29"/>
    <mergeCell ref="F24:F29"/>
    <mergeCell ref="H24:H29"/>
    <mergeCell ref="I24:I29"/>
    <mergeCell ref="J24:J29"/>
    <mergeCell ref="K24:K29"/>
    <mergeCell ref="L24:L29"/>
    <mergeCell ref="M24:M29"/>
    <mergeCell ref="N24:N29"/>
    <mergeCell ref="O24:O29"/>
    <mergeCell ref="P24:P29"/>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C4:AL4"/>
    <mergeCell ref="C5:AL5"/>
    <mergeCell ref="C6:AL6"/>
    <mergeCell ref="A1:AL2"/>
    <mergeCell ref="A7:I7"/>
    <mergeCell ref="J7:P7"/>
    <mergeCell ref="Q7:Y7"/>
    <mergeCell ref="Z7:AF7"/>
    <mergeCell ref="AG7:AL7"/>
  </mergeCells>
  <conditionalFormatting sqref="J10 J13 J18 J24 J30 J36 J42 J48 J54 J60 AA11:AA12 AA14:AA17">
    <cfRule type="cellIs" dxfId="158" priority="361" operator="equal">
      <formula>"Muy Alta"</formula>
    </cfRule>
    <cfRule type="cellIs" dxfId="157" priority="362" operator="equal">
      <formula>"Alta"</formula>
    </cfRule>
    <cfRule type="cellIs" dxfId="156" priority="363" operator="equal">
      <formula>"Media"</formula>
    </cfRule>
    <cfRule type="cellIs" dxfId="155" priority="364" operator="equal">
      <formula>"Baja"</formula>
    </cfRule>
    <cfRule type="cellIs" dxfId="154" priority="365" operator="equal">
      <formula>"Muy Baja"</formula>
    </cfRule>
  </conditionalFormatting>
  <conditionalFormatting sqref="N10 N13 N18 N24 N30 N36 N42 N48 N54 N60 AC11:AC12 AC14:AC17">
    <cfRule type="cellIs" dxfId="153" priority="356" operator="equal">
      <formula>"Catastrófico"</formula>
    </cfRule>
    <cfRule type="cellIs" dxfId="152" priority="357" operator="equal">
      <formula>"Mayor"</formula>
    </cfRule>
    <cfRule type="cellIs" dxfId="151" priority="358" operator="equal">
      <formula>"Moderado"</formula>
    </cfRule>
    <cfRule type="cellIs" dxfId="150" priority="359" operator="equal">
      <formula>"Menor"</formula>
    </cfRule>
    <cfRule type="cellIs" dxfId="149" priority="360" operator="equal">
      <formula>"Leve"</formula>
    </cfRule>
  </conditionalFormatting>
  <conditionalFormatting sqref="P10 AE11:AE12 AE14:AE17">
    <cfRule type="cellIs" dxfId="148" priority="352" operator="equal">
      <formula>"Extremo"</formula>
    </cfRule>
    <cfRule type="cellIs" dxfId="147" priority="353" operator="equal">
      <formula>"Alto"</formula>
    </cfRule>
    <cfRule type="cellIs" dxfId="146" priority="354" operator="equal">
      <formula>"Moderado"</formula>
    </cfRule>
    <cfRule type="cellIs" dxfId="145" priority="355" operator="equal">
      <formula>"Bajo"</formula>
    </cfRule>
  </conditionalFormatting>
  <conditionalFormatting sqref="AA10">
    <cfRule type="cellIs" dxfId="144" priority="347" operator="equal">
      <formula>"Muy Alta"</formula>
    </cfRule>
    <cfRule type="cellIs" dxfId="143" priority="348" operator="equal">
      <formula>"Alta"</formula>
    </cfRule>
    <cfRule type="cellIs" dxfId="142" priority="349" operator="equal">
      <formula>"Media"</formula>
    </cfRule>
    <cfRule type="cellIs" dxfId="141" priority="350" operator="equal">
      <formula>"Baja"</formula>
    </cfRule>
    <cfRule type="cellIs" dxfId="140" priority="351" operator="equal">
      <formula>"Muy Baja"</formula>
    </cfRule>
  </conditionalFormatting>
  <conditionalFormatting sqref="AC10">
    <cfRule type="cellIs" dxfId="139" priority="342" operator="equal">
      <formula>"Catastrófico"</formula>
    </cfRule>
    <cfRule type="cellIs" dxfId="138" priority="343" operator="equal">
      <formula>"Mayor"</formula>
    </cfRule>
    <cfRule type="cellIs" dxfId="137" priority="344" operator="equal">
      <formula>"Moderado"</formula>
    </cfRule>
    <cfRule type="cellIs" dxfId="136" priority="345" operator="equal">
      <formula>"Menor"</formula>
    </cfRule>
    <cfRule type="cellIs" dxfId="135" priority="346" operator="equal">
      <formula>"Leve"</formula>
    </cfRule>
  </conditionalFormatting>
  <conditionalFormatting sqref="AE10">
    <cfRule type="cellIs" dxfId="134" priority="338" operator="equal">
      <formula>"Extremo"</formula>
    </cfRule>
    <cfRule type="cellIs" dxfId="133" priority="339" operator="equal">
      <formula>"Alto"</formula>
    </cfRule>
    <cfRule type="cellIs" dxfId="132" priority="340" operator="equal">
      <formula>"Moderado"</formula>
    </cfRule>
    <cfRule type="cellIs" dxfId="131" priority="341" operator="equal">
      <formula>"Bajo"</formula>
    </cfRule>
  </conditionalFormatting>
  <conditionalFormatting sqref="P13 P18 P24 P30 P36 P42 P48 P54 P60">
    <cfRule type="cellIs" dxfId="130" priority="282" operator="equal">
      <formula>"Extremo"</formula>
    </cfRule>
    <cfRule type="cellIs" dxfId="129" priority="283" operator="equal">
      <formula>"Alto"</formula>
    </cfRule>
    <cfRule type="cellIs" dxfId="128" priority="284" operator="equal">
      <formula>"Moderado"</formula>
    </cfRule>
    <cfRule type="cellIs" dxfId="127" priority="285" operator="equal">
      <formula>"Bajo"</formula>
    </cfRule>
  </conditionalFormatting>
  <conditionalFormatting sqref="AA18:AA23">
    <cfRule type="cellIs" dxfId="126" priority="249" operator="equal">
      <formula>"Muy Alta"</formula>
    </cfRule>
    <cfRule type="cellIs" dxfId="125" priority="250" operator="equal">
      <formula>"Alta"</formula>
    </cfRule>
    <cfRule type="cellIs" dxfId="124" priority="251" operator="equal">
      <formula>"Media"</formula>
    </cfRule>
    <cfRule type="cellIs" dxfId="123" priority="252" operator="equal">
      <formula>"Baja"</formula>
    </cfRule>
    <cfRule type="cellIs" dxfId="122" priority="253" operator="equal">
      <formula>"Muy Baja"</formula>
    </cfRule>
  </conditionalFormatting>
  <conditionalFormatting sqref="AC18:AC23">
    <cfRule type="cellIs" dxfId="121" priority="244" operator="equal">
      <formula>"Catastrófico"</formula>
    </cfRule>
    <cfRule type="cellIs" dxfId="120" priority="245" operator="equal">
      <formula>"Mayor"</formula>
    </cfRule>
    <cfRule type="cellIs" dxfId="119" priority="246" operator="equal">
      <formula>"Moderado"</formula>
    </cfRule>
    <cfRule type="cellIs" dxfId="118" priority="247" operator="equal">
      <formula>"Menor"</formula>
    </cfRule>
    <cfRule type="cellIs" dxfId="117" priority="248" operator="equal">
      <formula>"Leve"</formula>
    </cfRule>
  </conditionalFormatting>
  <conditionalFormatting sqref="AE18:AE23">
    <cfRule type="cellIs" dxfId="116" priority="240" operator="equal">
      <formula>"Extremo"</formula>
    </cfRule>
    <cfRule type="cellIs" dxfId="115" priority="241" operator="equal">
      <formula>"Alto"</formula>
    </cfRule>
    <cfRule type="cellIs" dxfId="114" priority="242" operator="equal">
      <formula>"Moderado"</formula>
    </cfRule>
    <cfRule type="cellIs" dxfId="113" priority="243" operator="equal">
      <formula>"Bajo"</formula>
    </cfRule>
  </conditionalFormatting>
  <conditionalFormatting sqref="AA24:AA29">
    <cfRule type="cellIs" dxfId="112" priority="221" operator="equal">
      <formula>"Muy Alta"</formula>
    </cfRule>
    <cfRule type="cellIs" dxfId="111" priority="222" operator="equal">
      <formula>"Alta"</formula>
    </cfRule>
    <cfRule type="cellIs" dxfId="110" priority="223" operator="equal">
      <formula>"Media"</formula>
    </cfRule>
    <cfRule type="cellIs" dxfId="109" priority="224" operator="equal">
      <formula>"Baja"</formula>
    </cfRule>
    <cfRule type="cellIs" dxfId="108" priority="225" operator="equal">
      <formula>"Muy Baja"</formula>
    </cfRule>
  </conditionalFormatting>
  <conditionalFormatting sqref="AC24:AC29">
    <cfRule type="cellIs" dxfId="107" priority="216" operator="equal">
      <formula>"Catastrófico"</formula>
    </cfRule>
    <cfRule type="cellIs" dxfId="106" priority="217" operator="equal">
      <formula>"Mayor"</formula>
    </cfRule>
    <cfRule type="cellIs" dxfId="105" priority="218" operator="equal">
      <formula>"Moderado"</formula>
    </cfRule>
    <cfRule type="cellIs" dxfId="104" priority="219" operator="equal">
      <formula>"Menor"</formula>
    </cfRule>
    <cfRule type="cellIs" dxfId="103" priority="220" operator="equal">
      <formula>"Leve"</formula>
    </cfRule>
  </conditionalFormatting>
  <conditionalFormatting sqref="AE24:AE29">
    <cfRule type="cellIs" dxfId="102" priority="212" operator="equal">
      <formula>"Extremo"</formula>
    </cfRule>
    <cfRule type="cellIs" dxfId="101" priority="213" operator="equal">
      <formula>"Alto"</formula>
    </cfRule>
    <cfRule type="cellIs" dxfId="100" priority="214" operator="equal">
      <formula>"Moderado"</formula>
    </cfRule>
    <cfRule type="cellIs" dxfId="99" priority="215" operator="equal">
      <formula>"Bajo"</formula>
    </cfRule>
  </conditionalFormatting>
  <conditionalFormatting sqref="AA30:AA35">
    <cfRule type="cellIs" dxfId="98" priority="193" operator="equal">
      <formula>"Muy Alta"</formula>
    </cfRule>
    <cfRule type="cellIs" dxfId="97" priority="194" operator="equal">
      <formula>"Alta"</formula>
    </cfRule>
    <cfRule type="cellIs" dxfId="96" priority="195" operator="equal">
      <formula>"Media"</formula>
    </cfRule>
    <cfRule type="cellIs" dxfId="95" priority="196" operator="equal">
      <formula>"Baja"</formula>
    </cfRule>
    <cfRule type="cellIs" dxfId="94" priority="197" operator="equal">
      <formula>"Muy Baja"</formula>
    </cfRule>
  </conditionalFormatting>
  <conditionalFormatting sqref="AC30:AC35">
    <cfRule type="cellIs" dxfId="93" priority="188" operator="equal">
      <formula>"Catastrófico"</formula>
    </cfRule>
    <cfRule type="cellIs" dxfId="92" priority="189" operator="equal">
      <formula>"Mayor"</formula>
    </cfRule>
    <cfRule type="cellIs" dxfId="91" priority="190" operator="equal">
      <formula>"Moderado"</formula>
    </cfRule>
    <cfRule type="cellIs" dxfId="90" priority="191" operator="equal">
      <formula>"Menor"</formula>
    </cfRule>
    <cfRule type="cellIs" dxfId="89" priority="192" operator="equal">
      <formula>"Leve"</formula>
    </cfRule>
  </conditionalFormatting>
  <conditionalFormatting sqref="AE30:AE35">
    <cfRule type="cellIs" dxfId="88" priority="184" operator="equal">
      <formula>"Extremo"</formula>
    </cfRule>
    <cfRule type="cellIs" dxfId="87" priority="185" operator="equal">
      <formula>"Alto"</formula>
    </cfRule>
    <cfRule type="cellIs" dxfId="86" priority="186" operator="equal">
      <formula>"Moderado"</formula>
    </cfRule>
    <cfRule type="cellIs" dxfId="85" priority="187" operator="equal">
      <formula>"Bajo"</formula>
    </cfRule>
  </conditionalFormatting>
  <conditionalFormatting sqref="AA36:AA41">
    <cfRule type="cellIs" dxfId="84" priority="165" operator="equal">
      <formula>"Muy Alta"</formula>
    </cfRule>
    <cfRule type="cellIs" dxfId="83" priority="166" operator="equal">
      <formula>"Alta"</formula>
    </cfRule>
    <cfRule type="cellIs" dxfId="82" priority="167" operator="equal">
      <formula>"Media"</formula>
    </cfRule>
    <cfRule type="cellIs" dxfId="81" priority="168" operator="equal">
      <formula>"Baja"</formula>
    </cfRule>
    <cfRule type="cellIs" dxfId="80" priority="169" operator="equal">
      <formula>"Muy Baja"</formula>
    </cfRule>
  </conditionalFormatting>
  <conditionalFormatting sqref="AC36:AC41">
    <cfRule type="cellIs" dxfId="79" priority="160" operator="equal">
      <formula>"Catastrófico"</formula>
    </cfRule>
    <cfRule type="cellIs" dxfId="78" priority="161" operator="equal">
      <formula>"Mayor"</formula>
    </cfRule>
    <cfRule type="cellIs" dxfId="77" priority="162" operator="equal">
      <formula>"Moderado"</formula>
    </cfRule>
    <cfRule type="cellIs" dxfId="76" priority="163" operator="equal">
      <formula>"Menor"</formula>
    </cfRule>
    <cfRule type="cellIs" dxfId="75" priority="164" operator="equal">
      <formula>"Leve"</formula>
    </cfRule>
  </conditionalFormatting>
  <conditionalFormatting sqref="AE36:AE41">
    <cfRule type="cellIs" dxfId="74" priority="156" operator="equal">
      <formula>"Extremo"</formula>
    </cfRule>
    <cfRule type="cellIs" dxfId="73" priority="157" operator="equal">
      <formula>"Alto"</formula>
    </cfRule>
    <cfRule type="cellIs" dxfId="72" priority="158" operator="equal">
      <formula>"Moderado"</formula>
    </cfRule>
    <cfRule type="cellIs" dxfId="71" priority="159" operator="equal">
      <formula>"Bajo"</formula>
    </cfRule>
  </conditionalFormatting>
  <conditionalFormatting sqref="AA42:AA47">
    <cfRule type="cellIs" dxfId="70" priority="137" operator="equal">
      <formula>"Muy Alta"</formula>
    </cfRule>
    <cfRule type="cellIs" dxfId="69" priority="138" operator="equal">
      <formula>"Alta"</formula>
    </cfRule>
    <cfRule type="cellIs" dxfId="68" priority="139" operator="equal">
      <formula>"Media"</formula>
    </cfRule>
    <cfRule type="cellIs" dxfId="67" priority="140" operator="equal">
      <formula>"Baja"</formula>
    </cfRule>
    <cfRule type="cellIs" dxfId="66" priority="141" operator="equal">
      <formula>"Muy Baja"</formula>
    </cfRule>
  </conditionalFormatting>
  <conditionalFormatting sqref="AC42:AC47">
    <cfRule type="cellIs" dxfId="65" priority="132" operator="equal">
      <formula>"Catastrófico"</formula>
    </cfRule>
    <cfRule type="cellIs" dxfId="64" priority="133" operator="equal">
      <formula>"Mayor"</formula>
    </cfRule>
    <cfRule type="cellIs" dxfId="63" priority="134" operator="equal">
      <formula>"Moderado"</formula>
    </cfRule>
    <cfRule type="cellIs" dxfId="62" priority="135" operator="equal">
      <formula>"Menor"</formula>
    </cfRule>
    <cfRule type="cellIs" dxfId="61" priority="136" operator="equal">
      <formula>"Leve"</formula>
    </cfRule>
  </conditionalFormatting>
  <conditionalFormatting sqref="AE42:AE47">
    <cfRule type="cellIs" dxfId="60" priority="128" operator="equal">
      <formula>"Extremo"</formula>
    </cfRule>
    <cfRule type="cellIs" dxfId="59" priority="129" operator="equal">
      <formula>"Alto"</formula>
    </cfRule>
    <cfRule type="cellIs" dxfId="58" priority="130" operator="equal">
      <formula>"Moderado"</formula>
    </cfRule>
    <cfRule type="cellIs" dxfId="57" priority="131" operator="equal">
      <formula>"Bajo"</formula>
    </cfRule>
  </conditionalFormatting>
  <conditionalFormatting sqref="AA48:AA53">
    <cfRule type="cellIs" dxfId="56" priority="109" operator="equal">
      <formula>"Muy Alta"</formula>
    </cfRule>
    <cfRule type="cellIs" dxfId="55" priority="110" operator="equal">
      <formula>"Alta"</formula>
    </cfRule>
    <cfRule type="cellIs" dxfId="54" priority="111" operator="equal">
      <formula>"Media"</formula>
    </cfRule>
    <cfRule type="cellIs" dxfId="53" priority="112" operator="equal">
      <formula>"Baja"</formula>
    </cfRule>
    <cfRule type="cellIs" dxfId="52" priority="113" operator="equal">
      <formula>"Muy Baja"</formula>
    </cfRule>
  </conditionalFormatting>
  <conditionalFormatting sqref="AC48:AC53">
    <cfRule type="cellIs" dxfId="51" priority="104" operator="equal">
      <formula>"Catastrófico"</formula>
    </cfRule>
    <cfRule type="cellIs" dxfId="50" priority="105" operator="equal">
      <formula>"Mayor"</formula>
    </cfRule>
    <cfRule type="cellIs" dxfId="49" priority="106" operator="equal">
      <formula>"Moderado"</formula>
    </cfRule>
    <cfRule type="cellIs" dxfId="48" priority="107" operator="equal">
      <formula>"Menor"</formula>
    </cfRule>
    <cfRule type="cellIs" dxfId="47" priority="108" operator="equal">
      <formula>"Leve"</formula>
    </cfRule>
  </conditionalFormatting>
  <conditionalFormatting sqref="AE48:AE53">
    <cfRule type="cellIs" dxfId="46" priority="100" operator="equal">
      <formula>"Extremo"</formula>
    </cfRule>
    <cfRule type="cellIs" dxfId="45" priority="101" operator="equal">
      <formula>"Alto"</formula>
    </cfRule>
    <cfRule type="cellIs" dxfId="44" priority="102" operator="equal">
      <formula>"Moderado"</formula>
    </cfRule>
    <cfRule type="cellIs" dxfId="43" priority="103" operator="equal">
      <formula>"Bajo"</formula>
    </cfRule>
  </conditionalFormatting>
  <conditionalFormatting sqref="AA54:AA59">
    <cfRule type="cellIs" dxfId="42" priority="81" operator="equal">
      <formula>"Muy Alta"</formula>
    </cfRule>
    <cfRule type="cellIs" dxfId="41" priority="82" operator="equal">
      <formula>"Alta"</formula>
    </cfRule>
    <cfRule type="cellIs" dxfId="40" priority="83" operator="equal">
      <formula>"Media"</formula>
    </cfRule>
    <cfRule type="cellIs" dxfId="39" priority="84" operator="equal">
      <formula>"Baja"</formula>
    </cfRule>
    <cfRule type="cellIs" dxfId="38" priority="85" operator="equal">
      <formula>"Muy Baja"</formula>
    </cfRule>
  </conditionalFormatting>
  <conditionalFormatting sqref="AC54:AC59">
    <cfRule type="cellIs" dxfId="37" priority="76" operator="equal">
      <formula>"Catastrófico"</formula>
    </cfRule>
    <cfRule type="cellIs" dxfId="36" priority="77" operator="equal">
      <formula>"Mayor"</formula>
    </cfRule>
    <cfRule type="cellIs" dxfId="35" priority="78" operator="equal">
      <formula>"Moderado"</formula>
    </cfRule>
    <cfRule type="cellIs" dxfId="34" priority="79" operator="equal">
      <formula>"Menor"</formula>
    </cfRule>
    <cfRule type="cellIs" dxfId="33" priority="80" operator="equal">
      <formula>"Leve"</formula>
    </cfRule>
  </conditionalFormatting>
  <conditionalFormatting sqref="AE54:AE59">
    <cfRule type="cellIs" dxfId="32" priority="72" operator="equal">
      <formula>"Extremo"</formula>
    </cfRule>
    <cfRule type="cellIs" dxfId="31" priority="73" operator="equal">
      <formula>"Alto"</formula>
    </cfRule>
    <cfRule type="cellIs" dxfId="30" priority="74" operator="equal">
      <formula>"Moderado"</formula>
    </cfRule>
    <cfRule type="cellIs" dxfId="29" priority="75" operator="equal">
      <formula>"Bajo"</formula>
    </cfRule>
  </conditionalFormatting>
  <conditionalFormatting sqref="AA60:AA65">
    <cfRule type="cellIs" dxfId="28" priority="53" operator="equal">
      <formula>"Muy Alta"</formula>
    </cfRule>
    <cfRule type="cellIs" dxfId="27" priority="54" operator="equal">
      <formula>"Alta"</formula>
    </cfRule>
    <cfRule type="cellIs" dxfId="26" priority="55" operator="equal">
      <formula>"Media"</formula>
    </cfRule>
    <cfRule type="cellIs" dxfId="25" priority="56" operator="equal">
      <formula>"Baja"</formula>
    </cfRule>
    <cfRule type="cellIs" dxfId="24" priority="57" operator="equal">
      <formula>"Muy Baja"</formula>
    </cfRule>
  </conditionalFormatting>
  <conditionalFormatting sqref="AC60:AC65">
    <cfRule type="cellIs" dxfId="23" priority="48" operator="equal">
      <formula>"Catastrófico"</formula>
    </cfRule>
    <cfRule type="cellIs" dxfId="22" priority="49" operator="equal">
      <formula>"Mayor"</formula>
    </cfRule>
    <cfRule type="cellIs" dxfId="21" priority="50" operator="equal">
      <formula>"Moderado"</formula>
    </cfRule>
    <cfRule type="cellIs" dxfId="20" priority="51" operator="equal">
      <formula>"Menor"</formula>
    </cfRule>
    <cfRule type="cellIs" dxfId="19" priority="52" operator="equal">
      <formula>"Leve"</formula>
    </cfRule>
  </conditionalFormatting>
  <conditionalFormatting sqref="AE60:AE65">
    <cfRule type="cellIs" dxfId="18" priority="44" operator="equal">
      <formula>"Extremo"</formula>
    </cfRule>
    <cfRule type="cellIs" dxfId="17" priority="45" operator="equal">
      <formula>"Alto"</formula>
    </cfRule>
    <cfRule type="cellIs" dxfId="16" priority="46" operator="equal">
      <formula>"Moderado"</formula>
    </cfRule>
    <cfRule type="cellIs" dxfId="15" priority="47" operator="equal">
      <formula>"Bajo"</formula>
    </cfRule>
  </conditionalFormatting>
  <conditionalFormatting sqref="M10:M65">
    <cfRule type="containsText" dxfId="14" priority="43" operator="containsText" text="❌">
      <formula>NOT(ISERROR(SEARCH("❌",M10)))</formula>
    </cfRule>
  </conditionalFormatting>
  <conditionalFormatting sqref="AA13">
    <cfRule type="cellIs" dxfId="13" priority="24" operator="equal">
      <formula>"Muy Alta"</formula>
    </cfRule>
    <cfRule type="cellIs" dxfId="12" priority="25" operator="equal">
      <formula>"Alta"</formula>
    </cfRule>
    <cfRule type="cellIs" dxfId="11" priority="26" operator="equal">
      <formula>"Media"</formula>
    </cfRule>
    <cfRule type="cellIs" dxfId="10" priority="27" operator="equal">
      <formula>"Baja"</formula>
    </cfRule>
    <cfRule type="cellIs" dxfId="9" priority="28" operator="equal">
      <formula>"Muy Baja"</formula>
    </cfRule>
  </conditionalFormatting>
  <conditionalFormatting sqref="AC13">
    <cfRule type="cellIs" dxfId="8" priority="19" operator="equal">
      <formula>"Catastrófico"</formula>
    </cfRule>
    <cfRule type="cellIs" dxfId="7" priority="20" operator="equal">
      <formula>"Mayor"</formula>
    </cfRule>
    <cfRule type="cellIs" dxfId="6" priority="21" operator="equal">
      <formula>"Moderado"</formula>
    </cfRule>
    <cfRule type="cellIs" dxfId="5" priority="22" operator="equal">
      <formula>"Menor"</formula>
    </cfRule>
    <cfRule type="cellIs" dxfId="4" priority="23" operator="equal">
      <formula>"Leve"</formula>
    </cfRule>
  </conditionalFormatting>
  <conditionalFormatting sqref="AE13">
    <cfRule type="cellIs" dxfId="3" priority="15" operator="equal">
      <formula>"Extremo"</formula>
    </cfRule>
    <cfRule type="cellIs" dxfId="2" priority="16" operator="equal">
      <formula>"Alto"</formula>
    </cfRule>
    <cfRule type="cellIs" dxfId="1" priority="17" operator="equal">
      <formula>"Moderado"</formula>
    </cfRule>
    <cfRule type="cellIs" dxfId="0" priority="18"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T10:T12 T18:T65 T13:T15</xm:sqref>
        </x14:dataValidation>
        <x14:dataValidation type="list" allowBlank="1" showInputMessage="1" showErrorMessage="1">
          <x14:formula1>
            <xm:f>'Tabla Valoración controles'!$D$7:$D$8</xm:f>
          </x14:formula1>
          <xm:sqref>U10:U12 U18:U65 U13:U15</xm:sqref>
        </x14:dataValidation>
        <x14:dataValidation type="list" allowBlank="1" showInputMessage="1" showErrorMessage="1">
          <x14:formula1>
            <xm:f>'Tabla Valoración controles'!$D$9:$D$10</xm:f>
          </x14:formula1>
          <xm:sqref>W10:W12 W18:W65 W13:W15</xm:sqref>
        </x14:dataValidation>
        <x14:dataValidation type="list" allowBlank="1" showInputMessage="1" showErrorMessage="1">
          <x14:formula1>
            <xm:f>'Tabla Valoración controles'!$D$11:$D$12</xm:f>
          </x14:formula1>
          <xm:sqref>X10:X12 X18:X65 X13:X15</xm:sqref>
        </x14:dataValidation>
        <x14:dataValidation type="list" allowBlank="1" showInputMessage="1" showErrorMessage="1">
          <x14:formula1>
            <xm:f>'Opciones Tratamiento'!$B$9:$B$10</xm:f>
          </x14:formula1>
          <xm:sqref>AL18:AL19 AL21:AL22 AL24:AL25 AL27:AL28 AL30:AL31 AL33:AL34 AL36:AL37 AL39:AL40 AL42:AL43 AL45:AL46 AL48:AL49 AL51:AL52 AL54:AL55 AL57:AL58 AL60:AL61 AL63:AL64 AL10:AL16</xm:sqref>
        </x14:dataValidation>
        <x14:dataValidation type="list" allowBlank="1" showInputMessage="1" showErrorMessage="1">
          <x14:formula1>
            <xm:f>'Tabla Valoración controles'!$D$13:$D$14</xm:f>
          </x14:formula1>
          <xm:sqref>Y10:Y12 Y18:Y65 Y13:Y15</xm:sqref>
        </x14:dataValidation>
        <x14:dataValidation type="list" allowBlank="1" showInputMessage="1" showErrorMessage="1">
          <x14:formula1>
            <xm:f>'[1]Tabla Valoración controles'!#REF!</xm:f>
          </x14:formula1>
          <xm:sqref>T16:U17 W16:Y17</xm:sqref>
        </x14:dataValidation>
        <x14:dataValidation type="list" allowBlank="1" showInputMessage="1" showErrorMessage="1">
          <x14:formula1>
            <xm:f>'Opciones Tratamiento'!$B$13:$B$19</xm:f>
          </x14:formula1>
          <xm:sqref>H10:H65</xm:sqref>
        </x14:dataValidation>
        <x14:dataValidation type="list" allowBlank="1" showInputMessage="1" showErrorMessage="1">
          <x14:formula1>
            <xm:f>'Opciones Tratamiento'!$E$2:$E$4</xm:f>
          </x14:formula1>
          <xm:sqref>B10:B65</xm:sqref>
        </x14:dataValidation>
        <x14:dataValidation type="list" allowBlank="1" showInputMessage="1" showErrorMessage="1">
          <x14:formula1>
            <xm:f>'Opciones Tratamiento'!$B$2:$B$5</xm:f>
          </x14:formula1>
          <xm:sqref>AF10:AF65</xm:sqref>
        </x14:dataValidation>
        <x14:dataValidation type="list" allowBlank="1" showInputMessage="1" showErrorMessage="1">
          <x14:formula1>
            <xm:f>'Tabla Impacto'!$F$210:$F$221</xm:f>
          </x14:formula1>
          <xm:sqref>L10:L65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376" t="s">
        <v>149</v>
      </c>
      <c r="C2" s="376"/>
      <c r="D2" s="376"/>
      <c r="E2" s="376"/>
      <c r="F2" s="376"/>
      <c r="G2" s="376"/>
      <c r="H2" s="376"/>
      <c r="I2" s="376"/>
      <c r="J2" s="343" t="s">
        <v>2</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376"/>
      <c r="C3" s="376"/>
      <c r="D3" s="376"/>
      <c r="E3" s="376"/>
      <c r="F3" s="376"/>
      <c r="G3" s="376"/>
      <c r="H3" s="376"/>
      <c r="I3" s="376"/>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376"/>
      <c r="C4" s="376"/>
      <c r="D4" s="376"/>
      <c r="E4" s="376"/>
      <c r="F4" s="376"/>
      <c r="G4" s="376"/>
      <c r="H4" s="376"/>
      <c r="I4" s="376"/>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289" t="s">
        <v>4</v>
      </c>
      <c r="C6" s="289"/>
      <c r="D6" s="290"/>
      <c r="E6" s="327" t="s">
        <v>110</v>
      </c>
      <c r="F6" s="328"/>
      <c r="G6" s="328"/>
      <c r="H6" s="328"/>
      <c r="I6" s="329"/>
      <c r="J6" s="339" t="str">
        <f ca="1">IF(AND('Mapa final'!$J$10="Muy Alta",'Mapa final'!$N$10="Leve"),CONCATENATE("R",'Mapa final'!$A$10),"")</f>
        <v/>
      </c>
      <c r="K6" s="340"/>
      <c r="L6" s="340" t="str">
        <f ca="1">IF(AND('Mapa final'!$J$13="Muy Alta",'Mapa final'!$N$13="Leve"),CONCATENATE("R",'Mapa final'!$A$13),"")</f>
        <v/>
      </c>
      <c r="M6" s="340"/>
      <c r="N6" s="340" t="str">
        <f ca="1">IF(AND('Mapa final'!$J$18="Muy Alta",'Mapa final'!$N$18="Leve"),CONCATENATE("R",'Mapa final'!$A$18),"")</f>
        <v/>
      </c>
      <c r="O6" s="342"/>
      <c r="P6" s="339" t="str">
        <f ca="1">IF(AND('Mapa final'!$J$10="Muy Alta",'Mapa final'!$N$10="Menor"),CONCATENATE("R",'Mapa final'!$A$10),"")</f>
        <v/>
      </c>
      <c r="Q6" s="340"/>
      <c r="R6" s="340" t="str">
        <f ca="1">IF(AND('Mapa final'!$J$13="Muy Alta",'Mapa final'!$N$13="Menor"),CONCATENATE("R",'Mapa final'!$A$13),"")</f>
        <v/>
      </c>
      <c r="S6" s="340"/>
      <c r="T6" s="340" t="str">
        <f ca="1">IF(AND('Mapa final'!$J$18="Muy Alta",'Mapa final'!$N$18="Menor"),CONCATENATE("R",'Mapa final'!$A$18),"")</f>
        <v/>
      </c>
      <c r="U6" s="342"/>
      <c r="V6" s="339" t="str">
        <f ca="1">IF(AND('Mapa final'!$J$10="Muy Alta",'Mapa final'!$N$10="Moderado"),CONCATENATE("R",'Mapa final'!$A$10),"")</f>
        <v>R1</v>
      </c>
      <c r="W6" s="340"/>
      <c r="X6" s="340" t="str">
        <f ca="1">IF(AND('Mapa final'!$J$13="Muy Alta",'Mapa final'!$N$13="Moderado"),CONCATENATE("R",'Mapa final'!$A$13),"")</f>
        <v/>
      </c>
      <c r="Y6" s="340"/>
      <c r="Z6" s="340" t="str">
        <f ca="1">IF(AND('Mapa final'!$J$18="Muy Alta",'Mapa final'!$N$18="Moderado"),CONCATENATE("R",'Mapa final'!$A$18),"")</f>
        <v/>
      </c>
      <c r="AA6" s="342"/>
      <c r="AB6" s="339" t="str">
        <f ca="1">IF(AND('Mapa final'!$J$10="Muy Alta",'Mapa final'!$N$10="Mayor"),CONCATENATE("R",'Mapa final'!$A$10),"")</f>
        <v/>
      </c>
      <c r="AC6" s="340"/>
      <c r="AD6" s="340" t="str">
        <f ca="1">IF(AND('Mapa final'!$J$13="Muy Alta",'Mapa final'!$N$13="Mayor"),CONCATENATE("R",'Mapa final'!$A$13),"")</f>
        <v/>
      </c>
      <c r="AE6" s="340"/>
      <c r="AF6" s="340" t="str">
        <f ca="1">IF(AND('Mapa final'!$J$18="Muy Alta",'Mapa final'!$N$18="Mayor"),CONCATENATE("R",'Mapa final'!$A$18),"")</f>
        <v/>
      </c>
      <c r="AG6" s="342"/>
      <c r="AH6" s="355" t="str">
        <f ca="1">IF(AND('Mapa final'!$J$10="Muy Alta",'Mapa final'!$N$10="Catastrófico"),CONCATENATE("R",'Mapa final'!$A$10),"")</f>
        <v/>
      </c>
      <c r="AI6" s="356"/>
      <c r="AJ6" s="356" t="str">
        <f ca="1">IF(AND('Mapa final'!$J$13="Muy Alta",'Mapa final'!$N$13="Catastrófico"),CONCATENATE("R",'Mapa final'!$A$13),"")</f>
        <v>R2</v>
      </c>
      <c r="AK6" s="356"/>
      <c r="AL6" s="356" t="str">
        <f ca="1">IF(AND('Mapa final'!$J$18="Muy Alta",'Mapa final'!$N$18="Catastrófico"),CONCATENATE("R",'Mapa final'!$A$18),"")</f>
        <v/>
      </c>
      <c r="AM6" s="357"/>
      <c r="AO6" s="291" t="s">
        <v>77</v>
      </c>
      <c r="AP6" s="292"/>
      <c r="AQ6" s="292"/>
      <c r="AR6" s="292"/>
      <c r="AS6" s="292"/>
      <c r="AT6" s="293"/>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289"/>
      <c r="C7" s="289"/>
      <c r="D7" s="290"/>
      <c r="E7" s="330"/>
      <c r="F7" s="331"/>
      <c r="G7" s="331"/>
      <c r="H7" s="331"/>
      <c r="I7" s="332"/>
      <c r="J7" s="341"/>
      <c r="K7" s="338"/>
      <c r="L7" s="338"/>
      <c r="M7" s="338"/>
      <c r="N7" s="338"/>
      <c r="O7" s="337"/>
      <c r="P7" s="341"/>
      <c r="Q7" s="338"/>
      <c r="R7" s="338"/>
      <c r="S7" s="338"/>
      <c r="T7" s="338"/>
      <c r="U7" s="337"/>
      <c r="V7" s="341"/>
      <c r="W7" s="338"/>
      <c r="X7" s="338"/>
      <c r="Y7" s="338"/>
      <c r="Z7" s="338"/>
      <c r="AA7" s="337"/>
      <c r="AB7" s="341"/>
      <c r="AC7" s="338"/>
      <c r="AD7" s="338"/>
      <c r="AE7" s="338"/>
      <c r="AF7" s="338"/>
      <c r="AG7" s="337"/>
      <c r="AH7" s="349"/>
      <c r="AI7" s="350"/>
      <c r="AJ7" s="350"/>
      <c r="AK7" s="350"/>
      <c r="AL7" s="350"/>
      <c r="AM7" s="351"/>
      <c r="AN7" s="68"/>
      <c r="AO7" s="294"/>
      <c r="AP7" s="295"/>
      <c r="AQ7" s="295"/>
      <c r="AR7" s="295"/>
      <c r="AS7" s="295"/>
      <c r="AT7" s="296"/>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289"/>
      <c r="C8" s="289"/>
      <c r="D8" s="290"/>
      <c r="E8" s="330"/>
      <c r="F8" s="331"/>
      <c r="G8" s="331"/>
      <c r="H8" s="331"/>
      <c r="I8" s="332"/>
      <c r="J8" s="341" t="str">
        <f ca="1">IF(AND('Mapa final'!$J$24="Muy Alta",'Mapa final'!$N$24="Leve"),CONCATENATE("R",'Mapa final'!$A$24),"")</f>
        <v/>
      </c>
      <c r="K8" s="338"/>
      <c r="L8" s="336" t="str">
        <f ca="1">IF(AND('Mapa final'!$J$30="Muy Alta",'Mapa final'!$N$30="Leve"),CONCATENATE("R",'Mapa final'!$A$30),"")</f>
        <v/>
      </c>
      <c r="M8" s="336"/>
      <c r="N8" s="336" t="str">
        <f ca="1">IF(AND('Mapa final'!$J$36="Muy Alta",'Mapa final'!$N$36="Leve"),CONCATENATE("R",'Mapa final'!$A$36),"")</f>
        <v/>
      </c>
      <c r="O8" s="337"/>
      <c r="P8" s="341" t="str">
        <f ca="1">IF(AND('Mapa final'!$J$24="Muy Alta",'Mapa final'!$N$24="Menor"),CONCATENATE("R",'Mapa final'!$A$24),"")</f>
        <v/>
      </c>
      <c r="Q8" s="338"/>
      <c r="R8" s="336" t="str">
        <f ca="1">IF(AND('Mapa final'!$J$30="Muy Alta",'Mapa final'!$N$30="Menor"),CONCATENATE("R",'Mapa final'!$A$30),"")</f>
        <v/>
      </c>
      <c r="S8" s="336"/>
      <c r="T8" s="336" t="str">
        <f ca="1">IF(AND('Mapa final'!$J$36="Muy Alta",'Mapa final'!$N$36="Menor"),CONCATENATE("R",'Mapa final'!$A$36),"")</f>
        <v/>
      </c>
      <c r="U8" s="337"/>
      <c r="V8" s="341" t="str">
        <f ca="1">IF(AND('Mapa final'!$J$24="Muy Alta",'Mapa final'!$N$24="Moderado"),CONCATENATE("R",'Mapa final'!$A$24),"")</f>
        <v/>
      </c>
      <c r="W8" s="338"/>
      <c r="X8" s="336" t="str">
        <f ca="1">IF(AND('Mapa final'!$J$30="Muy Alta",'Mapa final'!$N$30="Moderado"),CONCATENATE("R",'Mapa final'!$A$30),"")</f>
        <v/>
      </c>
      <c r="Y8" s="336"/>
      <c r="Z8" s="336" t="str">
        <f ca="1">IF(AND('Mapa final'!$J$36="Muy Alta",'Mapa final'!$N$36="Moderado"),CONCATENATE("R",'Mapa final'!$A$36),"")</f>
        <v/>
      </c>
      <c r="AA8" s="337"/>
      <c r="AB8" s="341" t="str">
        <f ca="1">IF(AND('Mapa final'!$J$24="Muy Alta",'Mapa final'!$N$24="Mayor"),CONCATENATE("R",'Mapa final'!$A$24),"")</f>
        <v/>
      </c>
      <c r="AC8" s="338"/>
      <c r="AD8" s="336" t="str">
        <f ca="1">IF(AND('Mapa final'!$J$30="Muy Alta",'Mapa final'!$N$30="Mayor"),CONCATENATE("R",'Mapa final'!$A$30),"")</f>
        <v/>
      </c>
      <c r="AE8" s="336"/>
      <c r="AF8" s="336" t="str">
        <f ca="1">IF(AND('Mapa final'!$J$36="Muy Alta",'Mapa final'!$N$36="Mayor"),CONCATENATE("R",'Mapa final'!$A$36),"")</f>
        <v/>
      </c>
      <c r="AG8" s="337"/>
      <c r="AH8" s="349" t="str">
        <f ca="1">IF(AND('Mapa final'!$J$24="Muy Alta",'Mapa final'!$N$24="Catastrófico"),CONCATENATE("R",'Mapa final'!$A$24),"")</f>
        <v/>
      </c>
      <c r="AI8" s="350"/>
      <c r="AJ8" s="350" t="str">
        <f ca="1">IF(AND('Mapa final'!$J$30="Muy Alta",'Mapa final'!$N$30="Catastrófico"),CONCATENATE("R",'Mapa final'!$A$30),"")</f>
        <v/>
      </c>
      <c r="AK8" s="350"/>
      <c r="AL8" s="350" t="str">
        <f ca="1">IF(AND('Mapa final'!$J$36="Muy Alta",'Mapa final'!$N$36="Catastrófico"),CONCATENATE("R",'Mapa final'!$A$36),"")</f>
        <v/>
      </c>
      <c r="AM8" s="351"/>
      <c r="AN8" s="68"/>
      <c r="AO8" s="294"/>
      <c r="AP8" s="295"/>
      <c r="AQ8" s="295"/>
      <c r="AR8" s="295"/>
      <c r="AS8" s="295"/>
      <c r="AT8" s="296"/>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289"/>
      <c r="C9" s="289"/>
      <c r="D9" s="290"/>
      <c r="E9" s="330"/>
      <c r="F9" s="331"/>
      <c r="G9" s="331"/>
      <c r="H9" s="331"/>
      <c r="I9" s="332"/>
      <c r="J9" s="341"/>
      <c r="K9" s="338"/>
      <c r="L9" s="336"/>
      <c r="M9" s="336"/>
      <c r="N9" s="336"/>
      <c r="O9" s="337"/>
      <c r="P9" s="341"/>
      <c r="Q9" s="338"/>
      <c r="R9" s="336"/>
      <c r="S9" s="336"/>
      <c r="T9" s="336"/>
      <c r="U9" s="337"/>
      <c r="V9" s="341"/>
      <c r="W9" s="338"/>
      <c r="X9" s="336"/>
      <c r="Y9" s="336"/>
      <c r="Z9" s="336"/>
      <c r="AA9" s="337"/>
      <c r="AB9" s="341"/>
      <c r="AC9" s="338"/>
      <c r="AD9" s="336"/>
      <c r="AE9" s="336"/>
      <c r="AF9" s="336"/>
      <c r="AG9" s="337"/>
      <c r="AH9" s="349"/>
      <c r="AI9" s="350"/>
      <c r="AJ9" s="350"/>
      <c r="AK9" s="350"/>
      <c r="AL9" s="350"/>
      <c r="AM9" s="351"/>
      <c r="AN9" s="68"/>
      <c r="AO9" s="294"/>
      <c r="AP9" s="295"/>
      <c r="AQ9" s="295"/>
      <c r="AR9" s="295"/>
      <c r="AS9" s="295"/>
      <c r="AT9" s="296"/>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289"/>
      <c r="C10" s="289"/>
      <c r="D10" s="290"/>
      <c r="E10" s="330"/>
      <c r="F10" s="331"/>
      <c r="G10" s="331"/>
      <c r="H10" s="331"/>
      <c r="I10" s="332"/>
      <c r="J10" s="341" t="str">
        <f ca="1">IF(AND('Mapa final'!$J$42="Muy Alta",'Mapa final'!$N$42="Leve"),CONCATENATE("R",'Mapa final'!$A$42),"")</f>
        <v/>
      </c>
      <c r="K10" s="338"/>
      <c r="L10" s="336" t="str">
        <f ca="1">IF(AND('Mapa final'!$J$48="Muy Alta",'Mapa final'!$N$48="Leve"),CONCATENATE("R",'Mapa final'!$A$48),"")</f>
        <v/>
      </c>
      <c r="M10" s="336"/>
      <c r="N10" s="336" t="str">
        <f ca="1">IF(AND('Mapa final'!$J$54="Muy Alta",'Mapa final'!$N$54="Leve"),CONCATENATE("R",'Mapa final'!$A$54),"")</f>
        <v/>
      </c>
      <c r="O10" s="337"/>
      <c r="P10" s="341" t="str">
        <f ca="1">IF(AND('Mapa final'!$J$42="Muy Alta",'Mapa final'!$N$42="Menor"),CONCATENATE("R",'Mapa final'!$A$42),"")</f>
        <v/>
      </c>
      <c r="Q10" s="338"/>
      <c r="R10" s="336" t="str">
        <f ca="1">IF(AND('Mapa final'!$J$48="Muy Alta",'Mapa final'!$N$48="Menor"),CONCATENATE("R",'Mapa final'!$A$48),"")</f>
        <v/>
      </c>
      <c r="S10" s="336"/>
      <c r="T10" s="336" t="str">
        <f ca="1">IF(AND('Mapa final'!$J$54="Muy Alta",'Mapa final'!$N$54="Menor"),CONCATENATE("R",'Mapa final'!$A$54),"")</f>
        <v/>
      </c>
      <c r="U10" s="337"/>
      <c r="V10" s="341" t="str">
        <f ca="1">IF(AND('Mapa final'!$J$42="Muy Alta",'Mapa final'!$N$42="Moderado"),CONCATENATE("R",'Mapa final'!$A$42),"")</f>
        <v/>
      </c>
      <c r="W10" s="338"/>
      <c r="X10" s="336" t="str">
        <f ca="1">IF(AND('Mapa final'!$J$48="Muy Alta",'Mapa final'!$N$48="Moderado"),CONCATENATE("R",'Mapa final'!$A$48),"")</f>
        <v/>
      </c>
      <c r="Y10" s="336"/>
      <c r="Z10" s="336" t="str">
        <f ca="1">IF(AND('Mapa final'!$J$54="Muy Alta",'Mapa final'!$N$54="Moderado"),CONCATENATE("R",'Mapa final'!$A$54),"")</f>
        <v/>
      </c>
      <c r="AA10" s="337"/>
      <c r="AB10" s="341" t="str">
        <f ca="1">IF(AND('Mapa final'!$J$42="Muy Alta",'Mapa final'!$N$42="Mayor"),CONCATENATE("R",'Mapa final'!$A$42),"")</f>
        <v/>
      </c>
      <c r="AC10" s="338"/>
      <c r="AD10" s="336" t="str">
        <f ca="1">IF(AND('Mapa final'!$J$48="Muy Alta",'Mapa final'!$N$48="Mayor"),CONCATENATE("R",'Mapa final'!$A$48),"")</f>
        <v/>
      </c>
      <c r="AE10" s="336"/>
      <c r="AF10" s="336" t="str">
        <f ca="1">IF(AND('Mapa final'!$J$54="Muy Alta",'Mapa final'!$N$54="Mayor"),CONCATENATE("R",'Mapa final'!$A$54),"")</f>
        <v/>
      </c>
      <c r="AG10" s="337"/>
      <c r="AH10" s="349" t="str">
        <f ca="1">IF(AND('Mapa final'!$J$42="Muy Alta",'Mapa final'!$N$42="Catastrófico"),CONCATENATE("R",'Mapa final'!$A$42),"")</f>
        <v/>
      </c>
      <c r="AI10" s="350"/>
      <c r="AJ10" s="350" t="str">
        <f ca="1">IF(AND('Mapa final'!$J$48="Muy Alta",'Mapa final'!$N$48="Catastrófico"),CONCATENATE("R",'Mapa final'!$A$48),"")</f>
        <v/>
      </c>
      <c r="AK10" s="350"/>
      <c r="AL10" s="350" t="str">
        <f ca="1">IF(AND('Mapa final'!$J$54="Muy Alta",'Mapa final'!$N$54="Catastrófico"),CONCATENATE("R",'Mapa final'!$A$54),"")</f>
        <v/>
      </c>
      <c r="AM10" s="351"/>
      <c r="AN10" s="68"/>
      <c r="AO10" s="294"/>
      <c r="AP10" s="295"/>
      <c r="AQ10" s="295"/>
      <c r="AR10" s="295"/>
      <c r="AS10" s="295"/>
      <c r="AT10" s="296"/>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289"/>
      <c r="C11" s="289"/>
      <c r="D11" s="290"/>
      <c r="E11" s="330"/>
      <c r="F11" s="331"/>
      <c r="G11" s="331"/>
      <c r="H11" s="331"/>
      <c r="I11" s="332"/>
      <c r="J11" s="341"/>
      <c r="K11" s="338"/>
      <c r="L11" s="336"/>
      <c r="M11" s="336"/>
      <c r="N11" s="336"/>
      <c r="O11" s="337"/>
      <c r="P11" s="341"/>
      <c r="Q11" s="338"/>
      <c r="R11" s="336"/>
      <c r="S11" s="336"/>
      <c r="T11" s="336"/>
      <c r="U11" s="337"/>
      <c r="V11" s="341"/>
      <c r="W11" s="338"/>
      <c r="X11" s="336"/>
      <c r="Y11" s="336"/>
      <c r="Z11" s="336"/>
      <c r="AA11" s="337"/>
      <c r="AB11" s="341"/>
      <c r="AC11" s="338"/>
      <c r="AD11" s="336"/>
      <c r="AE11" s="336"/>
      <c r="AF11" s="336"/>
      <c r="AG11" s="337"/>
      <c r="AH11" s="349"/>
      <c r="AI11" s="350"/>
      <c r="AJ11" s="350"/>
      <c r="AK11" s="350"/>
      <c r="AL11" s="350"/>
      <c r="AM11" s="351"/>
      <c r="AN11" s="68"/>
      <c r="AO11" s="294"/>
      <c r="AP11" s="295"/>
      <c r="AQ11" s="295"/>
      <c r="AR11" s="295"/>
      <c r="AS11" s="295"/>
      <c r="AT11" s="296"/>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289"/>
      <c r="C12" s="289"/>
      <c r="D12" s="290"/>
      <c r="E12" s="330"/>
      <c r="F12" s="331"/>
      <c r="G12" s="331"/>
      <c r="H12" s="331"/>
      <c r="I12" s="332"/>
      <c r="J12" s="341" t="str">
        <f ca="1">IF(AND('Mapa final'!$J$60="Muy Alta",'Mapa final'!$N$60="Leve"),CONCATENATE("R",'Mapa final'!$A$60),"")</f>
        <v/>
      </c>
      <c r="K12" s="338"/>
      <c r="L12" s="336" t="str">
        <f>IF(AND('Mapa final'!$J$66="Muy Alta",'Mapa final'!$N$66="Leve"),CONCATENATE("R",'Mapa final'!$A$66),"")</f>
        <v/>
      </c>
      <c r="M12" s="336"/>
      <c r="N12" s="336" t="str">
        <f>IF(AND('Mapa final'!$J$72="Muy Alta",'Mapa final'!$N$72="Leve"),CONCATENATE("R",'Mapa final'!$A$72),"")</f>
        <v/>
      </c>
      <c r="O12" s="337"/>
      <c r="P12" s="341" t="str">
        <f ca="1">IF(AND('Mapa final'!$J$60="Muy Alta",'Mapa final'!$N$60="Menor"),CONCATENATE("R",'Mapa final'!$A$60),"")</f>
        <v/>
      </c>
      <c r="Q12" s="338"/>
      <c r="R12" s="336" t="str">
        <f>IF(AND('Mapa final'!$J$66="Muy Alta",'Mapa final'!$N$66="Menor"),CONCATENATE("R",'Mapa final'!$A$66),"")</f>
        <v/>
      </c>
      <c r="S12" s="336"/>
      <c r="T12" s="336" t="str">
        <f>IF(AND('Mapa final'!$J$72="Muy Alta",'Mapa final'!$N$72="Menor"),CONCATENATE("R",'Mapa final'!$A$72),"")</f>
        <v/>
      </c>
      <c r="U12" s="337"/>
      <c r="V12" s="341" t="str">
        <f ca="1">IF(AND('Mapa final'!$J$60="Muy Alta",'Mapa final'!$N$60="Moderado"),CONCATENATE("R",'Mapa final'!$A$60),"")</f>
        <v/>
      </c>
      <c r="W12" s="338"/>
      <c r="X12" s="336" t="str">
        <f>IF(AND('Mapa final'!$J$66="Muy Alta",'Mapa final'!$N$66="Moderado"),CONCATENATE("R",'Mapa final'!$A$66),"")</f>
        <v/>
      </c>
      <c r="Y12" s="336"/>
      <c r="Z12" s="336" t="str">
        <f>IF(AND('Mapa final'!$J$72="Muy Alta",'Mapa final'!$N$72="Moderado"),CONCATENATE("R",'Mapa final'!$A$72),"")</f>
        <v/>
      </c>
      <c r="AA12" s="337"/>
      <c r="AB12" s="341" t="str">
        <f ca="1">IF(AND('Mapa final'!$J$60="Muy Alta",'Mapa final'!$N$60="Mayor"),CONCATENATE("R",'Mapa final'!$A$60),"")</f>
        <v/>
      </c>
      <c r="AC12" s="338"/>
      <c r="AD12" s="336" t="str">
        <f>IF(AND('Mapa final'!$J$66="Muy Alta",'Mapa final'!$N$66="Mayor"),CONCATENATE("R",'Mapa final'!$A$66),"")</f>
        <v/>
      </c>
      <c r="AE12" s="336"/>
      <c r="AF12" s="336" t="str">
        <f>IF(AND('Mapa final'!$J$72="Muy Alta",'Mapa final'!$N$72="Mayor"),CONCATENATE("R",'Mapa final'!$A$72),"")</f>
        <v/>
      </c>
      <c r="AG12" s="337"/>
      <c r="AH12" s="349" t="str">
        <f ca="1">IF(AND('Mapa final'!$J$60="Muy Alta",'Mapa final'!$N$60="Catastrófico"),CONCATENATE("R",'Mapa final'!$A$60),"")</f>
        <v/>
      </c>
      <c r="AI12" s="350"/>
      <c r="AJ12" s="350" t="str">
        <f>IF(AND('Mapa final'!$J$66="Muy Alta",'Mapa final'!$N$66="Catastrófico"),CONCATENATE("R",'Mapa final'!$A$66),"")</f>
        <v/>
      </c>
      <c r="AK12" s="350"/>
      <c r="AL12" s="350" t="str">
        <f>IF(AND('Mapa final'!$J$72="Muy Alta",'Mapa final'!$N$72="Catastrófico"),CONCATENATE("R",'Mapa final'!$A$72),"")</f>
        <v/>
      </c>
      <c r="AM12" s="351"/>
      <c r="AN12" s="68"/>
      <c r="AO12" s="294"/>
      <c r="AP12" s="295"/>
      <c r="AQ12" s="295"/>
      <c r="AR12" s="295"/>
      <c r="AS12" s="295"/>
      <c r="AT12" s="296"/>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289"/>
      <c r="C13" s="289"/>
      <c r="D13" s="290"/>
      <c r="E13" s="333"/>
      <c r="F13" s="334"/>
      <c r="G13" s="334"/>
      <c r="H13" s="334"/>
      <c r="I13" s="335"/>
      <c r="J13" s="341"/>
      <c r="K13" s="338"/>
      <c r="L13" s="338"/>
      <c r="M13" s="338"/>
      <c r="N13" s="338"/>
      <c r="O13" s="337"/>
      <c r="P13" s="341"/>
      <c r="Q13" s="338"/>
      <c r="R13" s="338"/>
      <c r="S13" s="338"/>
      <c r="T13" s="338"/>
      <c r="U13" s="337"/>
      <c r="V13" s="341"/>
      <c r="W13" s="338"/>
      <c r="X13" s="338"/>
      <c r="Y13" s="338"/>
      <c r="Z13" s="338"/>
      <c r="AA13" s="337"/>
      <c r="AB13" s="341"/>
      <c r="AC13" s="338"/>
      <c r="AD13" s="338"/>
      <c r="AE13" s="338"/>
      <c r="AF13" s="338"/>
      <c r="AG13" s="337"/>
      <c r="AH13" s="352"/>
      <c r="AI13" s="353"/>
      <c r="AJ13" s="353"/>
      <c r="AK13" s="353"/>
      <c r="AL13" s="353"/>
      <c r="AM13" s="354"/>
      <c r="AN13" s="68"/>
      <c r="AO13" s="297"/>
      <c r="AP13" s="298"/>
      <c r="AQ13" s="298"/>
      <c r="AR13" s="298"/>
      <c r="AS13" s="298"/>
      <c r="AT13" s="299"/>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289"/>
      <c r="C14" s="289"/>
      <c r="D14" s="290"/>
      <c r="E14" s="327" t="s">
        <v>109</v>
      </c>
      <c r="F14" s="328"/>
      <c r="G14" s="328"/>
      <c r="H14" s="328"/>
      <c r="I14" s="328"/>
      <c r="J14" s="364" t="str">
        <f ca="1">IF(AND('Mapa final'!$J$10="Alta",'Mapa final'!$N$10="Leve"),CONCATENATE("R",'Mapa final'!$A$10),"")</f>
        <v/>
      </c>
      <c r="K14" s="365"/>
      <c r="L14" s="365" t="str">
        <f ca="1">IF(AND('Mapa final'!$J$13="Alta",'Mapa final'!$N$13="Leve"),CONCATENATE("R",'Mapa final'!$A$13),"")</f>
        <v/>
      </c>
      <c r="M14" s="365"/>
      <c r="N14" s="365" t="str">
        <f ca="1">IF(AND('Mapa final'!$J$18="Alta",'Mapa final'!$N$18="Leve"),CONCATENATE("R",'Mapa final'!$A$18),"")</f>
        <v/>
      </c>
      <c r="O14" s="366"/>
      <c r="P14" s="364" t="str">
        <f ca="1">IF(AND('Mapa final'!$J$10="Alta",'Mapa final'!$N$10="Menor"),CONCATENATE("R",'Mapa final'!$A$10),"")</f>
        <v/>
      </c>
      <c r="Q14" s="365"/>
      <c r="R14" s="365" t="str">
        <f ca="1">IF(AND('Mapa final'!$J$13="Alta",'Mapa final'!$N$13="Menor"),CONCATENATE("R",'Mapa final'!$A$13),"")</f>
        <v/>
      </c>
      <c r="S14" s="365"/>
      <c r="T14" s="365" t="str">
        <f ca="1">IF(AND('Mapa final'!$J$18="Alta",'Mapa final'!$N$18="Menor"),CONCATENATE("R",'Mapa final'!$A$18),"")</f>
        <v/>
      </c>
      <c r="U14" s="366"/>
      <c r="V14" s="339" t="str">
        <f ca="1">IF(AND('Mapa final'!$J$10="Alta",'Mapa final'!$N$10="Moderado"),CONCATENATE("R",'Mapa final'!$A$10),"")</f>
        <v/>
      </c>
      <c r="W14" s="340"/>
      <c r="X14" s="340" t="str">
        <f ca="1">IF(AND('Mapa final'!$J$13="Alta",'Mapa final'!$N$13="Moderado"),CONCATENATE("R",'Mapa final'!$A$13),"")</f>
        <v/>
      </c>
      <c r="Y14" s="340"/>
      <c r="Z14" s="340" t="str">
        <f ca="1">IF(AND('Mapa final'!$J$18="Alta",'Mapa final'!$N$18="Moderado"),CONCATENATE("R",'Mapa final'!$A$18),"")</f>
        <v/>
      </c>
      <c r="AA14" s="342"/>
      <c r="AB14" s="339" t="str">
        <f ca="1">IF(AND('Mapa final'!$J$10="Alta",'Mapa final'!$N$10="Mayor"),CONCATENATE("R",'Mapa final'!$A$10),"")</f>
        <v/>
      </c>
      <c r="AC14" s="340"/>
      <c r="AD14" s="340" t="str">
        <f ca="1">IF(AND('Mapa final'!$J$13="Alta",'Mapa final'!$N$13="Mayor"),CONCATENATE("R",'Mapa final'!$A$13),"")</f>
        <v/>
      </c>
      <c r="AE14" s="340"/>
      <c r="AF14" s="340" t="str">
        <f ca="1">IF(AND('Mapa final'!$J$18="Alta",'Mapa final'!$N$18="Mayor"),CONCATENATE("R",'Mapa final'!$A$18),"")</f>
        <v/>
      </c>
      <c r="AG14" s="342"/>
      <c r="AH14" s="355" t="str">
        <f ca="1">IF(AND('Mapa final'!$J$10="Alta",'Mapa final'!$N$10="Catastrófico"),CONCATENATE("R",'Mapa final'!$A$10),"")</f>
        <v/>
      </c>
      <c r="AI14" s="356"/>
      <c r="AJ14" s="356" t="str">
        <f ca="1">IF(AND('Mapa final'!$J$13="Alta",'Mapa final'!$N$13="Catastrófico"),CONCATENATE("R",'Mapa final'!$A$13),"")</f>
        <v/>
      </c>
      <c r="AK14" s="356"/>
      <c r="AL14" s="356" t="str">
        <f ca="1">IF(AND('Mapa final'!$J$18="Alta",'Mapa final'!$N$18="Catastrófico"),CONCATENATE("R",'Mapa final'!$A$18),"")</f>
        <v/>
      </c>
      <c r="AM14" s="357"/>
      <c r="AN14" s="68"/>
      <c r="AO14" s="300" t="s">
        <v>78</v>
      </c>
      <c r="AP14" s="301"/>
      <c r="AQ14" s="301"/>
      <c r="AR14" s="301"/>
      <c r="AS14" s="301"/>
      <c r="AT14" s="302"/>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289"/>
      <c r="C15" s="289"/>
      <c r="D15" s="290"/>
      <c r="E15" s="330"/>
      <c r="F15" s="331"/>
      <c r="G15" s="331"/>
      <c r="H15" s="331"/>
      <c r="I15" s="344"/>
      <c r="J15" s="358"/>
      <c r="K15" s="359"/>
      <c r="L15" s="359"/>
      <c r="M15" s="359"/>
      <c r="N15" s="359"/>
      <c r="O15" s="360"/>
      <c r="P15" s="358"/>
      <c r="Q15" s="359"/>
      <c r="R15" s="359"/>
      <c r="S15" s="359"/>
      <c r="T15" s="359"/>
      <c r="U15" s="360"/>
      <c r="V15" s="341"/>
      <c r="W15" s="338"/>
      <c r="X15" s="338"/>
      <c r="Y15" s="338"/>
      <c r="Z15" s="338"/>
      <c r="AA15" s="337"/>
      <c r="AB15" s="341"/>
      <c r="AC15" s="338"/>
      <c r="AD15" s="338"/>
      <c r="AE15" s="338"/>
      <c r="AF15" s="338"/>
      <c r="AG15" s="337"/>
      <c r="AH15" s="349"/>
      <c r="AI15" s="350"/>
      <c r="AJ15" s="350"/>
      <c r="AK15" s="350"/>
      <c r="AL15" s="350"/>
      <c r="AM15" s="351"/>
      <c r="AN15" s="68"/>
      <c r="AO15" s="303"/>
      <c r="AP15" s="304"/>
      <c r="AQ15" s="304"/>
      <c r="AR15" s="304"/>
      <c r="AS15" s="304"/>
      <c r="AT15" s="305"/>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289"/>
      <c r="C16" s="289"/>
      <c r="D16" s="290"/>
      <c r="E16" s="330"/>
      <c r="F16" s="331"/>
      <c r="G16" s="331"/>
      <c r="H16" s="331"/>
      <c r="I16" s="344"/>
      <c r="J16" s="358" t="str">
        <f ca="1">IF(AND('Mapa final'!$J$24="Alta",'Mapa final'!$N$24="Leve"),CONCATENATE("R",'Mapa final'!$A$24),"")</f>
        <v/>
      </c>
      <c r="K16" s="359"/>
      <c r="L16" s="359" t="str">
        <f ca="1">IF(AND('Mapa final'!$J$30="Alta",'Mapa final'!$N$30="Leve"),CONCATENATE("R",'Mapa final'!$A$30),"")</f>
        <v/>
      </c>
      <c r="M16" s="359"/>
      <c r="N16" s="359" t="str">
        <f ca="1">IF(AND('Mapa final'!$J$36="Alta",'Mapa final'!$N$36="Leve"),CONCATENATE("R",'Mapa final'!$A$36),"")</f>
        <v/>
      </c>
      <c r="O16" s="360"/>
      <c r="P16" s="358" t="str">
        <f ca="1">IF(AND('Mapa final'!$J$24="Alta",'Mapa final'!$N$24="Menor"),CONCATENATE("R",'Mapa final'!$A$24),"")</f>
        <v/>
      </c>
      <c r="Q16" s="359"/>
      <c r="R16" s="359" t="str">
        <f ca="1">IF(AND('Mapa final'!$J$30="Alta",'Mapa final'!$N$30="Menor"),CONCATENATE("R",'Mapa final'!$A$30),"")</f>
        <v/>
      </c>
      <c r="S16" s="359"/>
      <c r="T16" s="359" t="str">
        <f ca="1">IF(AND('Mapa final'!$J$36="Alta",'Mapa final'!$N$36="Menor"),CONCATENATE("R",'Mapa final'!$A$36),"")</f>
        <v/>
      </c>
      <c r="U16" s="360"/>
      <c r="V16" s="341" t="str">
        <f ca="1">IF(AND('Mapa final'!$J$24="Alta",'Mapa final'!$N$24="Moderado"),CONCATENATE("R",'Mapa final'!$A$24),"")</f>
        <v/>
      </c>
      <c r="W16" s="338"/>
      <c r="X16" s="336" t="str">
        <f ca="1">IF(AND('Mapa final'!$J$30="Alta",'Mapa final'!$N$30="Moderado"),CONCATENATE("R",'Mapa final'!$A$30),"")</f>
        <v/>
      </c>
      <c r="Y16" s="336"/>
      <c r="Z16" s="336" t="str">
        <f ca="1">IF(AND('Mapa final'!$J$36="Alta",'Mapa final'!$N$36="Moderado"),CONCATENATE("R",'Mapa final'!$A$36),"")</f>
        <v/>
      </c>
      <c r="AA16" s="337"/>
      <c r="AB16" s="341" t="str">
        <f ca="1">IF(AND('Mapa final'!$J$24="Alta",'Mapa final'!$N$24="Mayor"),CONCATENATE("R",'Mapa final'!$A$24),"")</f>
        <v/>
      </c>
      <c r="AC16" s="338"/>
      <c r="AD16" s="336" t="str">
        <f ca="1">IF(AND('Mapa final'!$J$30="Alta",'Mapa final'!$N$30="Mayor"),CONCATENATE("R",'Mapa final'!$A$30),"")</f>
        <v/>
      </c>
      <c r="AE16" s="336"/>
      <c r="AF16" s="336" t="str">
        <f ca="1">IF(AND('Mapa final'!$J$36="Alta",'Mapa final'!$N$36="Mayor"),CONCATENATE("R",'Mapa final'!$A$36),"")</f>
        <v/>
      </c>
      <c r="AG16" s="337"/>
      <c r="AH16" s="349" t="str">
        <f ca="1">IF(AND('Mapa final'!$J$24="Alta",'Mapa final'!$N$24="Catastrófico"),CONCATENATE("R",'Mapa final'!$A$24),"")</f>
        <v/>
      </c>
      <c r="AI16" s="350"/>
      <c r="AJ16" s="350" t="str">
        <f ca="1">IF(AND('Mapa final'!$J$30="Alta",'Mapa final'!$N$30="Catastrófico"),CONCATENATE("R",'Mapa final'!$A$30),"")</f>
        <v/>
      </c>
      <c r="AK16" s="350"/>
      <c r="AL16" s="350" t="str">
        <f ca="1">IF(AND('Mapa final'!$J$36="Alta",'Mapa final'!$N$36="Catastrófico"),CONCATENATE("R",'Mapa final'!$A$36),"")</f>
        <v/>
      </c>
      <c r="AM16" s="351"/>
      <c r="AN16" s="68"/>
      <c r="AO16" s="303"/>
      <c r="AP16" s="304"/>
      <c r="AQ16" s="304"/>
      <c r="AR16" s="304"/>
      <c r="AS16" s="304"/>
      <c r="AT16" s="305"/>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289"/>
      <c r="C17" s="289"/>
      <c r="D17" s="290"/>
      <c r="E17" s="330"/>
      <c r="F17" s="331"/>
      <c r="G17" s="331"/>
      <c r="H17" s="331"/>
      <c r="I17" s="344"/>
      <c r="J17" s="358"/>
      <c r="K17" s="359"/>
      <c r="L17" s="359"/>
      <c r="M17" s="359"/>
      <c r="N17" s="359"/>
      <c r="O17" s="360"/>
      <c r="P17" s="358"/>
      <c r="Q17" s="359"/>
      <c r="R17" s="359"/>
      <c r="S17" s="359"/>
      <c r="T17" s="359"/>
      <c r="U17" s="360"/>
      <c r="V17" s="341"/>
      <c r="W17" s="338"/>
      <c r="X17" s="336"/>
      <c r="Y17" s="336"/>
      <c r="Z17" s="336"/>
      <c r="AA17" s="337"/>
      <c r="AB17" s="341"/>
      <c r="AC17" s="338"/>
      <c r="AD17" s="336"/>
      <c r="AE17" s="336"/>
      <c r="AF17" s="336"/>
      <c r="AG17" s="337"/>
      <c r="AH17" s="349"/>
      <c r="AI17" s="350"/>
      <c r="AJ17" s="350"/>
      <c r="AK17" s="350"/>
      <c r="AL17" s="350"/>
      <c r="AM17" s="351"/>
      <c r="AN17" s="68"/>
      <c r="AO17" s="303"/>
      <c r="AP17" s="304"/>
      <c r="AQ17" s="304"/>
      <c r="AR17" s="304"/>
      <c r="AS17" s="304"/>
      <c r="AT17" s="305"/>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289"/>
      <c r="C18" s="289"/>
      <c r="D18" s="290"/>
      <c r="E18" s="330"/>
      <c r="F18" s="331"/>
      <c r="G18" s="331"/>
      <c r="H18" s="331"/>
      <c r="I18" s="344"/>
      <c r="J18" s="358" t="str">
        <f ca="1">IF(AND('Mapa final'!$J$42="Alta",'Mapa final'!$N$42="Leve"),CONCATENATE("R",'Mapa final'!$A$42),"")</f>
        <v/>
      </c>
      <c r="K18" s="359"/>
      <c r="L18" s="359" t="str">
        <f ca="1">IF(AND('Mapa final'!$J$48="Alta",'Mapa final'!$N$48="Leve"),CONCATENATE("R",'Mapa final'!$A$48),"")</f>
        <v/>
      </c>
      <c r="M18" s="359"/>
      <c r="N18" s="359" t="str">
        <f ca="1">IF(AND('Mapa final'!$J$54="Alta",'Mapa final'!$N$54="Leve"),CONCATENATE("R",'Mapa final'!$A$54),"")</f>
        <v/>
      </c>
      <c r="O18" s="360"/>
      <c r="P18" s="358" t="str">
        <f ca="1">IF(AND('Mapa final'!$J$42="Alta",'Mapa final'!$N$42="Menor"),CONCATENATE("R",'Mapa final'!$A$42),"")</f>
        <v/>
      </c>
      <c r="Q18" s="359"/>
      <c r="R18" s="359" t="str">
        <f ca="1">IF(AND('Mapa final'!$J$48="Alta",'Mapa final'!$N$48="Menor"),CONCATENATE("R",'Mapa final'!$A$48),"")</f>
        <v/>
      </c>
      <c r="S18" s="359"/>
      <c r="T18" s="359" t="str">
        <f ca="1">IF(AND('Mapa final'!$J$54="Alta",'Mapa final'!$N$54="Menor"),CONCATENATE("R",'Mapa final'!$A$54),"")</f>
        <v/>
      </c>
      <c r="U18" s="360"/>
      <c r="V18" s="341" t="str">
        <f ca="1">IF(AND('Mapa final'!$J$42="Alta",'Mapa final'!$N$42="Moderado"),CONCATENATE("R",'Mapa final'!$A$42),"")</f>
        <v/>
      </c>
      <c r="W18" s="338"/>
      <c r="X18" s="336" t="str">
        <f ca="1">IF(AND('Mapa final'!$J$48="Alta",'Mapa final'!$N$48="Moderado"),CONCATENATE("R",'Mapa final'!$A$48),"")</f>
        <v/>
      </c>
      <c r="Y18" s="336"/>
      <c r="Z18" s="336" t="str">
        <f ca="1">IF(AND('Mapa final'!$J$54="Alta",'Mapa final'!$N$54="Moderado"),CONCATENATE("R",'Mapa final'!$A$54),"")</f>
        <v/>
      </c>
      <c r="AA18" s="337"/>
      <c r="AB18" s="341" t="str">
        <f ca="1">IF(AND('Mapa final'!$J$42="Alta",'Mapa final'!$N$42="Mayor"),CONCATENATE("R",'Mapa final'!$A$42),"")</f>
        <v/>
      </c>
      <c r="AC18" s="338"/>
      <c r="AD18" s="336" t="str">
        <f ca="1">IF(AND('Mapa final'!$J$48="Alta",'Mapa final'!$N$48="Mayor"),CONCATENATE("R",'Mapa final'!$A$48),"")</f>
        <v/>
      </c>
      <c r="AE18" s="336"/>
      <c r="AF18" s="336" t="str">
        <f ca="1">IF(AND('Mapa final'!$J$54="Alta",'Mapa final'!$N$54="Mayor"),CONCATENATE("R",'Mapa final'!$A$54),"")</f>
        <v/>
      </c>
      <c r="AG18" s="337"/>
      <c r="AH18" s="349" t="str">
        <f ca="1">IF(AND('Mapa final'!$J$42="Alta",'Mapa final'!$N$42="Catastrófico"),CONCATENATE("R",'Mapa final'!$A$42),"")</f>
        <v/>
      </c>
      <c r="AI18" s="350"/>
      <c r="AJ18" s="350" t="str">
        <f ca="1">IF(AND('Mapa final'!$J$48="Alta",'Mapa final'!$N$48="Catastrófico"),CONCATENATE("R",'Mapa final'!$A$48),"")</f>
        <v/>
      </c>
      <c r="AK18" s="350"/>
      <c r="AL18" s="350" t="str">
        <f ca="1">IF(AND('Mapa final'!$J$54="Alta",'Mapa final'!$N$54="Catastrófico"),CONCATENATE("R",'Mapa final'!$A$54),"")</f>
        <v/>
      </c>
      <c r="AM18" s="351"/>
      <c r="AN18" s="68"/>
      <c r="AO18" s="303"/>
      <c r="AP18" s="304"/>
      <c r="AQ18" s="304"/>
      <c r="AR18" s="304"/>
      <c r="AS18" s="304"/>
      <c r="AT18" s="305"/>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289"/>
      <c r="C19" s="289"/>
      <c r="D19" s="290"/>
      <c r="E19" s="330"/>
      <c r="F19" s="331"/>
      <c r="G19" s="331"/>
      <c r="H19" s="331"/>
      <c r="I19" s="344"/>
      <c r="J19" s="358"/>
      <c r="K19" s="359"/>
      <c r="L19" s="359"/>
      <c r="M19" s="359"/>
      <c r="N19" s="359"/>
      <c r="O19" s="360"/>
      <c r="P19" s="358"/>
      <c r="Q19" s="359"/>
      <c r="R19" s="359"/>
      <c r="S19" s="359"/>
      <c r="T19" s="359"/>
      <c r="U19" s="360"/>
      <c r="V19" s="341"/>
      <c r="W19" s="338"/>
      <c r="X19" s="336"/>
      <c r="Y19" s="336"/>
      <c r="Z19" s="336"/>
      <c r="AA19" s="337"/>
      <c r="AB19" s="341"/>
      <c r="AC19" s="338"/>
      <c r="AD19" s="336"/>
      <c r="AE19" s="336"/>
      <c r="AF19" s="336"/>
      <c r="AG19" s="337"/>
      <c r="AH19" s="349"/>
      <c r="AI19" s="350"/>
      <c r="AJ19" s="350"/>
      <c r="AK19" s="350"/>
      <c r="AL19" s="350"/>
      <c r="AM19" s="351"/>
      <c r="AN19" s="68"/>
      <c r="AO19" s="303"/>
      <c r="AP19" s="304"/>
      <c r="AQ19" s="304"/>
      <c r="AR19" s="304"/>
      <c r="AS19" s="304"/>
      <c r="AT19" s="305"/>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289"/>
      <c r="C20" s="289"/>
      <c r="D20" s="290"/>
      <c r="E20" s="330"/>
      <c r="F20" s="331"/>
      <c r="G20" s="331"/>
      <c r="H20" s="331"/>
      <c r="I20" s="344"/>
      <c r="J20" s="358" t="str">
        <f ca="1">IF(AND('Mapa final'!$J$60="Alta",'Mapa final'!$N$60="Leve"),CONCATENATE("R",'Mapa final'!$A$60),"")</f>
        <v/>
      </c>
      <c r="K20" s="359"/>
      <c r="L20" s="359" t="str">
        <f>IF(AND('Mapa final'!$J$66="Alta",'Mapa final'!$N$66="Leve"),CONCATENATE("R",'Mapa final'!$A$66),"")</f>
        <v/>
      </c>
      <c r="M20" s="359"/>
      <c r="N20" s="359" t="str">
        <f>IF(AND('Mapa final'!$J$72="Alta",'Mapa final'!$N$72="Leve"),CONCATENATE("R",'Mapa final'!$A$72),"")</f>
        <v/>
      </c>
      <c r="O20" s="360"/>
      <c r="P20" s="358" t="str">
        <f ca="1">IF(AND('Mapa final'!$J$60="Alta",'Mapa final'!$N$60="Menor"),CONCATENATE("R",'Mapa final'!$A$60),"")</f>
        <v/>
      </c>
      <c r="Q20" s="359"/>
      <c r="R20" s="359" t="str">
        <f>IF(AND('Mapa final'!$J$66="Alta",'Mapa final'!$N$66="Menor"),CONCATENATE("R",'Mapa final'!$A$66),"")</f>
        <v/>
      </c>
      <c r="S20" s="359"/>
      <c r="T20" s="359" t="str">
        <f>IF(AND('Mapa final'!$J$72="Alta",'Mapa final'!$N$72="Menor"),CONCATENATE("R",'Mapa final'!$A$72),"")</f>
        <v/>
      </c>
      <c r="U20" s="360"/>
      <c r="V20" s="341" t="str">
        <f ca="1">IF(AND('Mapa final'!$J$60="Alta",'Mapa final'!$N$60="Moderado"),CONCATENATE("R",'Mapa final'!$A$60),"")</f>
        <v/>
      </c>
      <c r="W20" s="338"/>
      <c r="X20" s="336" t="str">
        <f>IF(AND('Mapa final'!$J$66="Alta",'Mapa final'!$N$66="Moderado"),CONCATENATE("R",'Mapa final'!$A$66),"")</f>
        <v/>
      </c>
      <c r="Y20" s="336"/>
      <c r="Z20" s="336" t="str">
        <f>IF(AND('Mapa final'!$J$72="Alta",'Mapa final'!$N$72="Moderado"),CONCATENATE("R",'Mapa final'!$A$72),"")</f>
        <v/>
      </c>
      <c r="AA20" s="337"/>
      <c r="AB20" s="341" t="str">
        <f ca="1">IF(AND('Mapa final'!$J$60="Alta",'Mapa final'!$N$60="Mayor"),CONCATENATE("R",'Mapa final'!$A$60),"")</f>
        <v/>
      </c>
      <c r="AC20" s="338"/>
      <c r="AD20" s="336" t="str">
        <f>IF(AND('Mapa final'!$J$66="Alta",'Mapa final'!$N$66="Mayor"),CONCATENATE("R",'Mapa final'!$A$66),"")</f>
        <v/>
      </c>
      <c r="AE20" s="336"/>
      <c r="AF20" s="336" t="str">
        <f>IF(AND('Mapa final'!$J$72="Alta",'Mapa final'!$N$72="Mayor"),CONCATENATE("R",'Mapa final'!$A$72),"")</f>
        <v/>
      </c>
      <c r="AG20" s="337"/>
      <c r="AH20" s="349" t="str">
        <f ca="1">IF(AND('Mapa final'!$J$60="Alta",'Mapa final'!$N$60="Catastrófico"),CONCATENATE("R",'Mapa final'!$A$60),"")</f>
        <v/>
      </c>
      <c r="AI20" s="350"/>
      <c r="AJ20" s="350" t="str">
        <f>IF(AND('Mapa final'!$J$66="Alta",'Mapa final'!$N$66="Catastrófico"),CONCATENATE("R",'Mapa final'!$A$66),"")</f>
        <v/>
      </c>
      <c r="AK20" s="350"/>
      <c r="AL20" s="350" t="str">
        <f>IF(AND('Mapa final'!$J$72="Alta",'Mapa final'!$N$72="Catastrófico"),CONCATENATE("R",'Mapa final'!$A$72),"")</f>
        <v/>
      </c>
      <c r="AM20" s="351"/>
      <c r="AN20" s="68"/>
      <c r="AO20" s="303"/>
      <c r="AP20" s="304"/>
      <c r="AQ20" s="304"/>
      <c r="AR20" s="304"/>
      <c r="AS20" s="304"/>
      <c r="AT20" s="305"/>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289"/>
      <c r="C21" s="289"/>
      <c r="D21" s="290"/>
      <c r="E21" s="333"/>
      <c r="F21" s="334"/>
      <c r="G21" s="334"/>
      <c r="H21" s="334"/>
      <c r="I21" s="334"/>
      <c r="J21" s="361"/>
      <c r="K21" s="362"/>
      <c r="L21" s="362"/>
      <c r="M21" s="362"/>
      <c r="N21" s="362"/>
      <c r="O21" s="363"/>
      <c r="P21" s="361"/>
      <c r="Q21" s="362"/>
      <c r="R21" s="362"/>
      <c r="S21" s="362"/>
      <c r="T21" s="362"/>
      <c r="U21" s="363"/>
      <c r="V21" s="346"/>
      <c r="W21" s="347"/>
      <c r="X21" s="347"/>
      <c r="Y21" s="347"/>
      <c r="Z21" s="347"/>
      <c r="AA21" s="348"/>
      <c r="AB21" s="346"/>
      <c r="AC21" s="347"/>
      <c r="AD21" s="347"/>
      <c r="AE21" s="347"/>
      <c r="AF21" s="347"/>
      <c r="AG21" s="348"/>
      <c r="AH21" s="352"/>
      <c r="AI21" s="353"/>
      <c r="AJ21" s="353"/>
      <c r="AK21" s="353"/>
      <c r="AL21" s="353"/>
      <c r="AM21" s="354"/>
      <c r="AN21" s="68"/>
      <c r="AO21" s="306"/>
      <c r="AP21" s="307"/>
      <c r="AQ21" s="307"/>
      <c r="AR21" s="307"/>
      <c r="AS21" s="307"/>
      <c r="AT21" s="30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289"/>
      <c r="C22" s="289"/>
      <c r="D22" s="290"/>
      <c r="E22" s="327" t="s">
        <v>111</v>
      </c>
      <c r="F22" s="328"/>
      <c r="G22" s="328"/>
      <c r="H22" s="328"/>
      <c r="I22" s="329"/>
      <c r="J22" s="364" t="str">
        <f ca="1">IF(AND('Mapa final'!$J$10="Media",'Mapa final'!$N$10="Leve"),CONCATENATE("R",'Mapa final'!$A$10),"")</f>
        <v/>
      </c>
      <c r="K22" s="365"/>
      <c r="L22" s="365" t="str">
        <f ca="1">IF(AND('Mapa final'!$J$13="Media",'Mapa final'!$N$13="Leve"),CONCATENATE("R",'Mapa final'!$A$13),"")</f>
        <v/>
      </c>
      <c r="M22" s="365"/>
      <c r="N22" s="365" t="str">
        <f ca="1">IF(AND('Mapa final'!$J$18="Media",'Mapa final'!$N$18="Leve"),CONCATENATE("R",'Mapa final'!$A$18),"")</f>
        <v/>
      </c>
      <c r="O22" s="366"/>
      <c r="P22" s="364" t="str">
        <f ca="1">IF(AND('Mapa final'!$J$10="Media",'Mapa final'!$N$10="Menor"),CONCATENATE("R",'Mapa final'!$A$10),"")</f>
        <v/>
      </c>
      <c r="Q22" s="365"/>
      <c r="R22" s="365" t="str">
        <f ca="1">IF(AND('Mapa final'!$J$13="Media",'Mapa final'!$N$13="Menor"),CONCATENATE("R",'Mapa final'!$A$13),"")</f>
        <v/>
      </c>
      <c r="S22" s="365"/>
      <c r="T22" s="365" t="str">
        <f ca="1">IF(AND('Mapa final'!$J$18="Media",'Mapa final'!$N$18="Menor"),CONCATENATE("R",'Mapa final'!$A$18),"")</f>
        <v/>
      </c>
      <c r="U22" s="366"/>
      <c r="V22" s="364" t="str">
        <f ca="1">IF(AND('Mapa final'!$J$10="Media",'Mapa final'!$N$10="Moderado"),CONCATENATE("R",'Mapa final'!$A$10),"")</f>
        <v/>
      </c>
      <c r="W22" s="365"/>
      <c r="X22" s="365" t="str">
        <f ca="1">IF(AND('Mapa final'!$J$13="Media",'Mapa final'!$N$13="Moderado"),CONCATENATE("R",'Mapa final'!$A$13),"")</f>
        <v/>
      </c>
      <c r="Y22" s="365"/>
      <c r="Z22" s="365" t="str">
        <f ca="1">IF(AND('Mapa final'!$J$18="Media",'Mapa final'!$N$18="Moderado"),CONCATENATE("R",'Mapa final'!$A$18),"")</f>
        <v/>
      </c>
      <c r="AA22" s="366"/>
      <c r="AB22" s="339" t="str">
        <f ca="1">IF(AND('Mapa final'!$J$10="Media",'Mapa final'!$N$10="Mayor"),CONCATENATE("R",'Mapa final'!$A$10),"")</f>
        <v/>
      </c>
      <c r="AC22" s="340"/>
      <c r="AD22" s="340" t="str">
        <f ca="1">IF(AND('Mapa final'!$J$13="Media",'Mapa final'!$N$13="Mayor"),CONCATENATE("R",'Mapa final'!$A$13),"")</f>
        <v/>
      </c>
      <c r="AE22" s="340"/>
      <c r="AF22" s="340" t="str">
        <f ca="1">IF(AND('Mapa final'!$J$18="Media",'Mapa final'!$N$18="Mayor"),CONCATENATE("R",'Mapa final'!$A$18),"")</f>
        <v/>
      </c>
      <c r="AG22" s="342"/>
      <c r="AH22" s="355" t="str">
        <f ca="1">IF(AND('Mapa final'!$J$10="Media",'Mapa final'!$N$10="Catastrófico"),CONCATENATE("R",'Mapa final'!$A$10),"")</f>
        <v/>
      </c>
      <c r="AI22" s="356"/>
      <c r="AJ22" s="356" t="str">
        <f ca="1">IF(AND('Mapa final'!$J$13="Media",'Mapa final'!$N$13="Catastrófico"),CONCATENATE("R",'Mapa final'!$A$13),"")</f>
        <v/>
      </c>
      <c r="AK22" s="356"/>
      <c r="AL22" s="356" t="str">
        <f ca="1">IF(AND('Mapa final'!$J$18="Media",'Mapa final'!$N$18="Catastrófico"),CONCATENATE("R",'Mapa final'!$A$18),"")</f>
        <v/>
      </c>
      <c r="AM22" s="357"/>
      <c r="AN22" s="68"/>
      <c r="AO22" s="309" t="s">
        <v>79</v>
      </c>
      <c r="AP22" s="310"/>
      <c r="AQ22" s="310"/>
      <c r="AR22" s="310"/>
      <c r="AS22" s="310"/>
      <c r="AT22" s="311"/>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289"/>
      <c r="C23" s="289"/>
      <c r="D23" s="290"/>
      <c r="E23" s="330"/>
      <c r="F23" s="331"/>
      <c r="G23" s="331"/>
      <c r="H23" s="331"/>
      <c r="I23" s="332"/>
      <c r="J23" s="358"/>
      <c r="K23" s="359"/>
      <c r="L23" s="359"/>
      <c r="M23" s="359"/>
      <c r="N23" s="359"/>
      <c r="O23" s="360"/>
      <c r="P23" s="358"/>
      <c r="Q23" s="359"/>
      <c r="R23" s="359"/>
      <c r="S23" s="359"/>
      <c r="T23" s="359"/>
      <c r="U23" s="360"/>
      <c r="V23" s="358"/>
      <c r="W23" s="359"/>
      <c r="X23" s="359"/>
      <c r="Y23" s="359"/>
      <c r="Z23" s="359"/>
      <c r="AA23" s="360"/>
      <c r="AB23" s="341"/>
      <c r="AC23" s="338"/>
      <c r="AD23" s="338"/>
      <c r="AE23" s="338"/>
      <c r="AF23" s="338"/>
      <c r="AG23" s="337"/>
      <c r="AH23" s="349"/>
      <c r="AI23" s="350"/>
      <c r="AJ23" s="350"/>
      <c r="AK23" s="350"/>
      <c r="AL23" s="350"/>
      <c r="AM23" s="351"/>
      <c r="AN23" s="68"/>
      <c r="AO23" s="312"/>
      <c r="AP23" s="313"/>
      <c r="AQ23" s="313"/>
      <c r="AR23" s="313"/>
      <c r="AS23" s="313"/>
      <c r="AT23" s="314"/>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289"/>
      <c r="C24" s="289"/>
      <c r="D24" s="290"/>
      <c r="E24" s="330"/>
      <c r="F24" s="331"/>
      <c r="G24" s="331"/>
      <c r="H24" s="331"/>
      <c r="I24" s="332"/>
      <c r="J24" s="358" t="str">
        <f ca="1">IF(AND('Mapa final'!$J$24="Media",'Mapa final'!$N$24="Leve"),CONCATENATE("R",'Mapa final'!$A$24),"")</f>
        <v/>
      </c>
      <c r="K24" s="359"/>
      <c r="L24" s="359" t="str">
        <f ca="1">IF(AND('Mapa final'!$J$30="Media",'Mapa final'!$N$30="Leve"),CONCATENATE("R",'Mapa final'!$A$30),"")</f>
        <v/>
      </c>
      <c r="M24" s="359"/>
      <c r="N24" s="359" t="str">
        <f ca="1">IF(AND('Mapa final'!$J$36="Media",'Mapa final'!$N$36="Leve"),CONCATENATE("R",'Mapa final'!$A$36),"")</f>
        <v/>
      </c>
      <c r="O24" s="360"/>
      <c r="P24" s="358" t="str">
        <f ca="1">IF(AND('Mapa final'!$J$24="Media",'Mapa final'!$N$24="Menor"),CONCATENATE("R",'Mapa final'!$A$24),"")</f>
        <v/>
      </c>
      <c r="Q24" s="359"/>
      <c r="R24" s="359" t="str">
        <f ca="1">IF(AND('Mapa final'!$J$30="Media",'Mapa final'!$N$30="Menor"),CONCATENATE("R",'Mapa final'!$A$30),"")</f>
        <v/>
      </c>
      <c r="S24" s="359"/>
      <c r="T24" s="359" t="str">
        <f ca="1">IF(AND('Mapa final'!$J$36="Media",'Mapa final'!$N$36="Menor"),CONCATENATE("R",'Mapa final'!$A$36),"")</f>
        <v/>
      </c>
      <c r="U24" s="360"/>
      <c r="V24" s="358" t="str">
        <f ca="1">IF(AND('Mapa final'!$J$24="Media",'Mapa final'!$N$24="Moderado"),CONCATENATE("R",'Mapa final'!$A$24),"")</f>
        <v/>
      </c>
      <c r="W24" s="359"/>
      <c r="X24" s="359" t="str">
        <f ca="1">IF(AND('Mapa final'!$J$30="Media",'Mapa final'!$N$30="Moderado"),CONCATENATE("R",'Mapa final'!$A$30),"")</f>
        <v/>
      </c>
      <c r="Y24" s="359"/>
      <c r="Z24" s="359" t="str">
        <f ca="1">IF(AND('Mapa final'!$J$36="Media",'Mapa final'!$N$36="Moderado"),CONCATENATE("R",'Mapa final'!$A$36),"")</f>
        <v/>
      </c>
      <c r="AA24" s="360"/>
      <c r="AB24" s="341" t="str">
        <f ca="1">IF(AND('Mapa final'!$J$24="Media",'Mapa final'!$N$24="Mayor"),CONCATENATE("R",'Mapa final'!$A$24),"")</f>
        <v/>
      </c>
      <c r="AC24" s="338"/>
      <c r="AD24" s="336" t="str">
        <f ca="1">IF(AND('Mapa final'!$J$30="Media",'Mapa final'!$N$30="Mayor"),CONCATENATE("R",'Mapa final'!$A$30),"")</f>
        <v/>
      </c>
      <c r="AE24" s="336"/>
      <c r="AF24" s="336" t="str">
        <f ca="1">IF(AND('Mapa final'!$J$36="Media",'Mapa final'!$N$36="Mayor"),CONCATENATE("R",'Mapa final'!$A$36),"")</f>
        <v/>
      </c>
      <c r="AG24" s="337"/>
      <c r="AH24" s="349" t="str">
        <f ca="1">IF(AND('Mapa final'!$J$24="Media",'Mapa final'!$N$24="Catastrófico"),CONCATENATE("R",'Mapa final'!$A$24),"")</f>
        <v/>
      </c>
      <c r="AI24" s="350"/>
      <c r="AJ24" s="350" t="str">
        <f ca="1">IF(AND('Mapa final'!$J$30="Media",'Mapa final'!$N$30="Catastrófico"),CONCATENATE("R",'Mapa final'!$A$30),"")</f>
        <v/>
      </c>
      <c r="AK24" s="350"/>
      <c r="AL24" s="350" t="str">
        <f ca="1">IF(AND('Mapa final'!$J$36="Media",'Mapa final'!$N$36="Catastrófico"),CONCATENATE("R",'Mapa final'!$A$36),"")</f>
        <v/>
      </c>
      <c r="AM24" s="351"/>
      <c r="AN24" s="68"/>
      <c r="AO24" s="312"/>
      <c r="AP24" s="313"/>
      <c r="AQ24" s="313"/>
      <c r="AR24" s="313"/>
      <c r="AS24" s="313"/>
      <c r="AT24" s="314"/>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289"/>
      <c r="C25" s="289"/>
      <c r="D25" s="290"/>
      <c r="E25" s="330"/>
      <c r="F25" s="331"/>
      <c r="G25" s="331"/>
      <c r="H25" s="331"/>
      <c r="I25" s="332"/>
      <c r="J25" s="358"/>
      <c r="K25" s="359"/>
      <c r="L25" s="359"/>
      <c r="M25" s="359"/>
      <c r="N25" s="359"/>
      <c r="O25" s="360"/>
      <c r="P25" s="358"/>
      <c r="Q25" s="359"/>
      <c r="R25" s="359"/>
      <c r="S25" s="359"/>
      <c r="T25" s="359"/>
      <c r="U25" s="360"/>
      <c r="V25" s="358"/>
      <c r="W25" s="359"/>
      <c r="X25" s="359"/>
      <c r="Y25" s="359"/>
      <c r="Z25" s="359"/>
      <c r="AA25" s="360"/>
      <c r="AB25" s="341"/>
      <c r="AC25" s="338"/>
      <c r="AD25" s="336"/>
      <c r="AE25" s="336"/>
      <c r="AF25" s="336"/>
      <c r="AG25" s="337"/>
      <c r="AH25" s="349"/>
      <c r="AI25" s="350"/>
      <c r="AJ25" s="350"/>
      <c r="AK25" s="350"/>
      <c r="AL25" s="350"/>
      <c r="AM25" s="351"/>
      <c r="AN25" s="68"/>
      <c r="AO25" s="312"/>
      <c r="AP25" s="313"/>
      <c r="AQ25" s="313"/>
      <c r="AR25" s="313"/>
      <c r="AS25" s="313"/>
      <c r="AT25" s="314"/>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289"/>
      <c r="C26" s="289"/>
      <c r="D26" s="290"/>
      <c r="E26" s="330"/>
      <c r="F26" s="331"/>
      <c r="G26" s="331"/>
      <c r="H26" s="331"/>
      <c r="I26" s="332"/>
      <c r="J26" s="358" t="str">
        <f ca="1">IF(AND('Mapa final'!$J$42="Media",'Mapa final'!$N$42="Leve"),CONCATENATE("R",'Mapa final'!$A$42),"")</f>
        <v/>
      </c>
      <c r="K26" s="359"/>
      <c r="L26" s="359" t="str">
        <f ca="1">IF(AND('Mapa final'!$J$48="Media",'Mapa final'!$N$48="Leve"),CONCATENATE("R",'Mapa final'!$A$48),"")</f>
        <v/>
      </c>
      <c r="M26" s="359"/>
      <c r="N26" s="359" t="str">
        <f ca="1">IF(AND('Mapa final'!$J$54="Media",'Mapa final'!$N$54="Leve"),CONCATENATE("R",'Mapa final'!$A$54),"")</f>
        <v/>
      </c>
      <c r="O26" s="360"/>
      <c r="P26" s="358" t="str">
        <f ca="1">IF(AND('Mapa final'!$J$42="Media",'Mapa final'!$N$42="Menor"),CONCATENATE("R",'Mapa final'!$A$42),"")</f>
        <v/>
      </c>
      <c r="Q26" s="359"/>
      <c r="R26" s="359" t="str">
        <f ca="1">IF(AND('Mapa final'!$J$48="Media",'Mapa final'!$N$48="Menor"),CONCATENATE("R",'Mapa final'!$A$48),"")</f>
        <v/>
      </c>
      <c r="S26" s="359"/>
      <c r="T26" s="359" t="str">
        <f ca="1">IF(AND('Mapa final'!$J$54="Media",'Mapa final'!$N$54="Menor"),CONCATENATE("R",'Mapa final'!$A$54),"")</f>
        <v/>
      </c>
      <c r="U26" s="360"/>
      <c r="V26" s="358" t="str">
        <f ca="1">IF(AND('Mapa final'!$J$42="Media",'Mapa final'!$N$42="Moderado"),CONCATENATE("R",'Mapa final'!$A$42),"")</f>
        <v/>
      </c>
      <c r="W26" s="359"/>
      <c r="X26" s="359" t="str">
        <f ca="1">IF(AND('Mapa final'!$J$48="Media",'Mapa final'!$N$48="Moderado"),CONCATENATE("R",'Mapa final'!$A$48),"")</f>
        <v/>
      </c>
      <c r="Y26" s="359"/>
      <c r="Z26" s="359" t="str">
        <f ca="1">IF(AND('Mapa final'!$J$54="Media",'Mapa final'!$N$54="Moderado"),CONCATENATE("R",'Mapa final'!$A$54),"")</f>
        <v/>
      </c>
      <c r="AA26" s="360"/>
      <c r="AB26" s="341" t="str">
        <f ca="1">IF(AND('Mapa final'!$J$42="Media",'Mapa final'!$N$42="Mayor"),CONCATENATE("R",'Mapa final'!$A$42),"")</f>
        <v/>
      </c>
      <c r="AC26" s="338"/>
      <c r="AD26" s="336" t="str">
        <f ca="1">IF(AND('Mapa final'!$J$48="Media",'Mapa final'!$N$48="Mayor"),CONCATENATE("R",'Mapa final'!$A$48),"")</f>
        <v/>
      </c>
      <c r="AE26" s="336"/>
      <c r="AF26" s="336" t="str">
        <f ca="1">IF(AND('Mapa final'!$J$54="Media",'Mapa final'!$N$54="Mayor"),CONCATENATE("R",'Mapa final'!$A$54),"")</f>
        <v/>
      </c>
      <c r="AG26" s="337"/>
      <c r="AH26" s="349" t="str">
        <f ca="1">IF(AND('Mapa final'!$J$42="Media",'Mapa final'!$N$42="Catastrófico"),CONCATENATE("R",'Mapa final'!$A$42),"")</f>
        <v/>
      </c>
      <c r="AI26" s="350"/>
      <c r="AJ26" s="350" t="str">
        <f ca="1">IF(AND('Mapa final'!$J$48="Media",'Mapa final'!$N$48="Catastrófico"),CONCATENATE("R",'Mapa final'!$A$48),"")</f>
        <v/>
      </c>
      <c r="AK26" s="350"/>
      <c r="AL26" s="350" t="str">
        <f ca="1">IF(AND('Mapa final'!$J$54="Media",'Mapa final'!$N$54="Catastrófico"),CONCATENATE("R",'Mapa final'!$A$54),"")</f>
        <v/>
      </c>
      <c r="AM26" s="351"/>
      <c r="AN26" s="68"/>
      <c r="AO26" s="312"/>
      <c r="AP26" s="313"/>
      <c r="AQ26" s="313"/>
      <c r="AR26" s="313"/>
      <c r="AS26" s="313"/>
      <c r="AT26" s="314"/>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289"/>
      <c r="C27" s="289"/>
      <c r="D27" s="290"/>
      <c r="E27" s="330"/>
      <c r="F27" s="331"/>
      <c r="G27" s="331"/>
      <c r="H27" s="331"/>
      <c r="I27" s="332"/>
      <c r="J27" s="358"/>
      <c r="K27" s="359"/>
      <c r="L27" s="359"/>
      <c r="M27" s="359"/>
      <c r="N27" s="359"/>
      <c r="O27" s="360"/>
      <c r="P27" s="358"/>
      <c r="Q27" s="359"/>
      <c r="R27" s="359"/>
      <c r="S27" s="359"/>
      <c r="T27" s="359"/>
      <c r="U27" s="360"/>
      <c r="V27" s="358"/>
      <c r="W27" s="359"/>
      <c r="X27" s="359"/>
      <c r="Y27" s="359"/>
      <c r="Z27" s="359"/>
      <c r="AA27" s="360"/>
      <c r="AB27" s="341"/>
      <c r="AC27" s="338"/>
      <c r="AD27" s="336"/>
      <c r="AE27" s="336"/>
      <c r="AF27" s="336"/>
      <c r="AG27" s="337"/>
      <c r="AH27" s="349"/>
      <c r="AI27" s="350"/>
      <c r="AJ27" s="350"/>
      <c r="AK27" s="350"/>
      <c r="AL27" s="350"/>
      <c r="AM27" s="351"/>
      <c r="AN27" s="68"/>
      <c r="AO27" s="312"/>
      <c r="AP27" s="313"/>
      <c r="AQ27" s="313"/>
      <c r="AR27" s="313"/>
      <c r="AS27" s="313"/>
      <c r="AT27" s="314"/>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289"/>
      <c r="C28" s="289"/>
      <c r="D28" s="290"/>
      <c r="E28" s="330"/>
      <c r="F28" s="331"/>
      <c r="G28" s="331"/>
      <c r="H28" s="331"/>
      <c r="I28" s="332"/>
      <c r="J28" s="358" t="str">
        <f ca="1">IF(AND('Mapa final'!$J$60="Media",'Mapa final'!$N$60="Leve"),CONCATENATE("R",'Mapa final'!$A$60),"")</f>
        <v/>
      </c>
      <c r="K28" s="359"/>
      <c r="L28" s="359" t="str">
        <f>IF(AND('Mapa final'!$J$66="Media",'Mapa final'!$N$66="Leve"),CONCATENATE("R",'Mapa final'!$A$66),"")</f>
        <v/>
      </c>
      <c r="M28" s="359"/>
      <c r="N28" s="359" t="str">
        <f>IF(AND('Mapa final'!$J$72="Media",'Mapa final'!$N$72="Leve"),CONCATENATE("R",'Mapa final'!$A$72),"")</f>
        <v/>
      </c>
      <c r="O28" s="360"/>
      <c r="P28" s="358" t="str">
        <f ca="1">IF(AND('Mapa final'!$J$60="Media",'Mapa final'!$N$60="Menor"),CONCATENATE("R",'Mapa final'!$A$60),"")</f>
        <v/>
      </c>
      <c r="Q28" s="359"/>
      <c r="R28" s="359" t="str">
        <f>IF(AND('Mapa final'!$J$66="Media",'Mapa final'!$N$66="Menor"),CONCATENATE("R",'Mapa final'!$A$66),"")</f>
        <v/>
      </c>
      <c r="S28" s="359"/>
      <c r="T28" s="359" t="str">
        <f>IF(AND('Mapa final'!$J$72="Media",'Mapa final'!$N$72="Menor"),CONCATENATE("R",'Mapa final'!$A$72),"")</f>
        <v/>
      </c>
      <c r="U28" s="360"/>
      <c r="V28" s="358" t="str">
        <f ca="1">IF(AND('Mapa final'!$J$60="Media",'Mapa final'!$N$60="Moderado"),CONCATENATE("R",'Mapa final'!$A$60),"")</f>
        <v/>
      </c>
      <c r="W28" s="359"/>
      <c r="X28" s="359" t="str">
        <f>IF(AND('Mapa final'!$J$66="Media",'Mapa final'!$N$66="Moderado"),CONCATENATE("R",'Mapa final'!$A$66),"")</f>
        <v/>
      </c>
      <c r="Y28" s="359"/>
      <c r="Z28" s="359" t="str">
        <f>IF(AND('Mapa final'!$J$72="Media",'Mapa final'!$N$72="Moderado"),CONCATENATE("R",'Mapa final'!$A$72),"")</f>
        <v/>
      </c>
      <c r="AA28" s="360"/>
      <c r="AB28" s="341" t="str">
        <f ca="1">IF(AND('Mapa final'!$J$60="Media",'Mapa final'!$N$60="Mayor"),CONCATENATE("R",'Mapa final'!$A$60),"")</f>
        <v/>
      </c>
      <c r="AC28" s="338"/>
      <c r="AD28" s="336" t="str">
        <f>IF(AND('Mapa final'!$J$66="Media",'Mapa final'!$N$66="Mayor"),CONCATENATE("R",'Mapa final'!$A$66),"")</f>
        <v/>
      </c>
      <c r="AE28" s="336"/>
      <c r="AF28" s="336" t="str">
        <f>IF(AND('Mapa final'!$J$72="Media",'Mapa final'!$N$72="Mayor"),CONCATENATE("R",'Mapa final'!$A$72),"")</f>
        <v/>
      </c>
      <c r="AG28" s="337"/>
      <c r="AH28" s="349" t="str">
        <f ca="1">IF(AND('Mapa final'!$J$60="Media",'Mapa final'!$N$60="Catastrófico"),CONCATENATE("R",'Mapa final'!$A$60),"")</f>
        <v/>
      </c>
      <c r="AI28" s="350"/>
      <c r="AJ28" s="350" t="str">
        <f>IF(AND('Mapa final'!$J$66="Media",'Mapa final'!$N$66="Catastrófico"),CONCATENATE("R",'Mapa final'!$A$66),"")</f>
        <v/>
      </c>
      <c r="AK28" s="350"/>
      <c r="AL28" s="350" t="str">
        <f>IF(AND('Mapa final'!$J$72="Media",'Mapa final'!$N$72="Catastrófico"),CONCATENATE("R",'Mapa final'!$A$72),"")</f>
        <v/>
      </c>
      <c r="AM28" s="351"/>
      <c r="AN28" s="68"/>
      <c r="AO28" s="312"/>
      <c r="AP28" s="313"/>
      <c r="AQ28" s="313"/>
      <c r="AR28" s="313"/>
      <c r="AS28" s="313"/>
      <c r="AT28" s="314"/>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289"/>
      <c r="C29" s="289"/>
      <c r="D29" s="290"/>
      <c r="E29" s="333"/>
      <c r="F29" s="334"/>
      <c r="G29" s="334"/>
      <c r="H29" s="334"/>
      <c r="I29" s="335"/>
      <c r="J29" s="358"/>
      <c r="K29" s="359"/>
      <c r="L29" s="359"/>
      <c r="M29" s="359"/>
      <c r="N29" s="359"/>
      <c r="O29" s="360"/>
      <c r="P29" s="361"/>
      <c r="Q29" s="362"/>
      <c r="R29" s="362"/>
      <c r="S29" s="362"/>
      <c r="T29" s="362"/>
      <c r="U29" s="363"/>
      <c r="V29" s="361"/>
      <c r="W29" s="362"/>
      <c r="X29" s="362"/>
      <c r="Y29" s="362"/>
      <c r="Z29" s="362"/>
      <c r="AA29" s="363"/>
      <c r="AB29" s="346"/>
      <c r="AC29" s="347"/>
      <c r="AD29" s="347"/>
      <c r="AE29" s="347"/>
      <c r="AF29" s="347"/>
      <c r="AG29" s="348"/>
      <c r="AH29" s="352"/>
      <c r="AI29" s="353"/>
      <c r="AJ29" s="353"/>
      <c r="AK29" s="353"/>
      <c r="AL29" s="353"/>
      <c r="AM29" s="354"/>
      <c r="AN29" s="68"/>
      <c r="AO29" s="315"/>
      <c r="AP29" s="316"/>
      <c r="AQ29" s="316"/>
      <c r="AR29" s="316"/>
      <c r="AS29" s="316"/>
      <c r="AT29" s="317"/>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289"/>
      <c r="C30" s="289"/>
      <c r="D30" s="290"/>
      <c r="E30" s="327" t="s">
        <v>108</v>
      </c>
      <c r="F30" s="328"/>
      <c r="G30" s="328"/>
      <c r="H30" s="328"/>
      <c r="I30" s="328"/>
      <c r="J30" s="373" t="str">
        <f ca="1">IF(AND('Mapa final'!$J$10="Baja",'Mapa final'!$N$10="Leve"),CONCATENATE("R",'Mapa final'!$A$10),"")</f>
        <v/>
      </c>
      <c r="K30" s="374"/>
      <c r="L30" s="374" t="str">
        <f ca="1">IF(AND('Mapa final'!$J$13="Baja",'Mapa final'!$N$13="Leve"),CONCATENATE("R",'Mapa final'!$A$13),"")</f>
        <v/>
      </c>
      <c r="M30" s="374"/>
      <c r="N30" s="374" t="str">
        <f ca="1">IF(AND('Mapa final'!$J$18="Baja",'Mapa final'!$N$18="Leve"),CONCATENATE("R",'Mapa final'!$A$18),"")</f>
        <v/>
      </c>
      <c r="O30" s="375"/>
      <c r="P30" s="365" t="str">
        <f ca="1">IF(AND('Mapa final'!$J$10="Baja",'Mapa final'!$N$10="Menor"),CONCATENATE("R",'Mapa final'!$A$10),"")</f>
        <v/>
      </c>
      <c r="Q30" s="365"/>
      <c r="R30" s="365" t="str">
        <f ca="1">IF(AND('Mapa final'!$J$13="Baja",'Mapa final'!$N$13="Menor"),CONCATENATE("R",'Mapa final'!$A$13),"")</f>
        <v/>
      </c>
      <c r="S30" s="365"/>
      <c r="T30" s="365" t="str">
        <f ca="1">IF(AND('Mapa final'!$J$18="Baja",'Mapa final'!$N$18="Menor"),CONCATENATE("R",'Mapa final'!$A$18),"")</f>
        <v/>
      </c>
      <c r="U30" s="366"/>
      <c r="V30" s="364" t="str">
        <f ca="1">IF(AND('Mapa final'!$J$10="Baja",'Mapa final'!$N$10="Moderado"),CONCATENATE("R",'Mapa final'!$A$10),"")</f>
        <v/>
      </c>
      <c r="W30" s="365"/>
      <c r="X30" s="365" t="str">
        <f ca="1">IF(AND('Mapa final'!$J$13="Baja",'Mapa final'!$N$13="Moderado"),CONCATENATE("R",'Mapa final'!$A$13),"")</f>
        <v/>
      </c>
      <c r="Y30" s="365"/>
      <c r="Z30" s="365" t="str">
        <f ca="1">IF(AND('Mapa final'!$J$18="Baja",'Mapa final'!$N$18="Moderado"),CONCATENATE("R",'Mapa final'!$A$18),"")</f>
        <v/>
      </c>
      <c r="AA30" s="366"/>
      <c r="AB30" s="339" t="str">
        <f ca="1">IF(AND('Mapa final'!$J$10="Baja",'Mapa final'!$N$10="Mayor"),CONCATENATE("R",'Mapa final'!$A$10),"")</f>
        <v/>
      </c>
      <c r="AC30" s="340"/>
      <c r="AD30" s="340" t="str">
        <f ca="1">IF(AND('Mapa final'!$J$13="Baja",'Mapa final'!$N$13="Mayor"),CONCATENATE("R",'Mapa final'!$A$13),"")</f>
        <v/>
      </c>
      <c r="AE30" s="340"/>
      <c r="AF30" s="340" t="str">
        <f ca="1">IF(AND('Mapa final'!$J$18="Baja",'Mapa final'!$N$18="Mayor"),CONCATENATE("R",'Mapa final'!$A$18),"")</f>
        <v/>
      </c>
      <c r="AG30" s="342"/>
      <c r="AH30" s="355" t="str">
        <f ca="1">IF(AND('Mapa final'!$J$10="Baja",'Mapa final'!$N$10="Catastrófico"),CONCATENATE("R",'Mapa final'!$A$10),"")</f>
        <v/>
      </c>
      <c r="AI30" s="356"/>
      <c r="AJ30" s="356" t="str">
        <f ca="1">IF(AND('Mapa final'!$J$13="Baja",'Mapa final'!$N$13="Catastrófico"),CONCATENATE("R",'Mapa final'!$A$13),"")</f>
        <v/>
      </c>
      <c r="AK30" s="356"/>
      <c r="AL30" s="356" t="str">
        <f ca="1">IF(AND('Mapa final'!$J$18="Baja",'Mapa final'!$N$18="Catastrófico"),CONCATENATE("R",'Mapa final'!$A$18),"")</f>
        <v/>
      </c>
      <c r="AM30" s="357"/>
      <c r="AN30" s="68"/>
      <c r="AO30" s="318" t="s">
        <v>80</v>
      </c>
      <c r="AP30" s="319"/>
      <c r="AQ30" s="319"/>
      <c r="AR30" s="319"/>
      <c r="AS30" s="319"/>
      <c r="AT30" s="320"/>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289"/>
      <c r="C31" s="289"/>
      <c r="D31" s="290"/>
      <c r="E31" s="330"/>
      <c r="F31" s="331"/>
      <c r="G31" s="331"/>
      <c r="H31" s="331"/>
      <c r="I31" s="344"/>
      <c r="J31" s="369"/>
      <c r="K31" s="367"/>
      <c r="L31" s="367"/>
      <c r="M31" s="367"/>
      <c r="N31" s="367"/>
      <c r="O31" s="368"/>
      <c r="P31" s="359"/>
      <c r="Q31" s="359"/>
      <c r="R31" s="359"/>
      <c r="S31" s="359"/>
      <c r="T31" s="359"/>
      <c r="U31" s="360"/>
      <c r="V31" s="358"/>
      <c r="W31" s="359"/>
      <c r="X31" s="359"/>
      <c r="Y31" s="359"/>
      <c r="Z31" s="359"/>
      <c r="AA31" s="360"/>
      <c r="AB31" s="341"/>
      <c r="AC31" s="338"/>
      <c r="AD31" s="338"/>
      <c r="AE31" s="338"/>
      <c r="AF31" s="338"/>
      <c r="AG31" s="337"/>
      <c r="AH31" s="349"/>
      <c r="AI31" s="350"/>
      <c r="AJ31" s="350"/>
      <c r="AK31" s="350"/>
      <c r="AL31" s="350"/>
      <c r="AM31" s="351"/>
      <c r="AN31" s="68"/>
      <c r="AO31" s="321"/>
      <c r="AP31" s="322"/>
      <c r="AQ31" s="322"/>
      <c r="AR31" s="322"/>
      <c r="AS31" s="322"/>
      <c r="AT31" s="323"/>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289"/>
      <c r="C32" s="289"/>
      <c r="D32" s="290"/>
      <c r="E32" s="330"/>
      <c r="F32" s="331"/>
      <c r="G32" s="331"/>
      <c r="H32" s="331"/>
      <c r="I32" s="344"/>
      <c r="J32" s="369" t="str">
        <f ca="1">IF(AND('Mapa final'!$J$24="Baja",'Mapa final'!$N$24="Leve"),CONCATENATE("R",'Mapa final'!$A$24),"")</f>
        <v/>
      </c>
      <c r="K32" s="367"/>
      <c r="L32" s="367" t="str">
        <f ca="1">IF(AND('Mapa final'!$J$30="Baja",'Mapa final'!$N$30="Leve"),CONCATENATE("R",'Mapa final'!$A$30),"")</f>
        <v/>
      </c>
      <c r="M32" s="367"/>
      <c r="N32" s="367" t="str">
        <f ca="1">IF(AND('Mapa final'!$J$36="Baja",'Mapa final'!$N$36="Leve"),CONCATENATE("R",'Mapa final'!$A$36),"")</f>
        <v/>
      </c>
      <c r="O32" s="368"/>
      <c r="P32" s="359" t="str">
        <f ca="1">IF(AND('Mapa final'!$J$24="Baja",'Mapa final'!$N$24="Menor"),CONCATENATE("R",'Mapa final'!$A$24),"")</f>
        <v/>
      </c>
      <c r="Q32" s="359"/>
      <c r="R32" s="359" t="str">
        <f ca="1">IF(AND('Mapa final'!$J$30="Baja",'Mapa final'!$N$30="Menor"),CONCATENATE("R",'Mapa final'!$A$30),"")</f>
        <v/>
      </c>
      <c r="S32" s="359"/>
      <c r="T32" s="359" t="str">
        <f ca="1">IF(AND('Mapa final'!$J$36="Baja",'Mapa final'!$N$36="Menor"),CONCATENATE("R",'Mapa final'!$A$36),"")</f>
        <v/>
      </c>
      <c r="U32" s="360"/>
      <c r="V32" s="358" t="str">
        <f ca="1">IF(AND('Mapa final'!$J$24="Baja",'Mapa final'!$N$24="Moderado"),CONCATENATE("R",'Mapa final'!$A$24),"")</f>
        <v/>
      </c>
      <c r="W32" s="359"/>
      <c r="X32" s="359" t="str">
        <f ca="1">IF(AND('Mapa final'!$J$30="Baja",'Mapa final'!$N$30="Moderado"),CONCATENATE("R",'Mapa final'!$A$30),"")</f>
        <v/>
      </c>
      <c r="Y32" s="359"/>
      <c r="Z32" s="359" t="str">
        <f ca="1">IF(AND('Mapa final'!$J$36="Baja",'Mapa final'!$N$36="Moderado"),CONCATENATE("R",'Mapa final'!$A$36),"")</f>
        <v/>
      </c>
      <c r="AA32" s="360"/>
      <c r="AB32" s="341" t="str">
        <f ca="1">IF(AND('Mapa final'!$J$24="Baja",'Mapa final'!$N$24="Mayor"),CONCATENATE("R",'Mapa final'!$A$24),"")</f>
        <v/>
      </c>
      <c r="AC32" s="338"/>
      <c r="AD32" s="336" t="str">
        <f ca="1">IF(AND('Mapa final'!$J$30="Baja",'Mapa final'!$N$30="Mayor"),CONCATENATE("R",'Mapa final'!$A$30),"")</f>
        <v/>
      </c>
      <c r="AE32" s="336"/>
      <c r="AF32" s="336" t="str">
        <f ca="1">IF(AND('Mapa final'!$J$36="Baja",'Mapa final'!$N$36="Mayor"),CONCATENATE("R",'Mapa final'!$A$36),"")</f>
        <v/>
      </c>
      <c r="AG32" s="337"/>
      <c r="AH32" s="349" t="str">
        <f ca="1">IF(AND('Mapa final'!$J$24="Baja",'Mapa final'!$N$24="Catastrófico"),CONCATENATE("R",'Mapa final'!$A$24),"")</f>
        <v/>
      </c>
      <c r="AI32" s="350"/>
      <c r="AJ32" s="350" t="str">
        <f ca="1">IF(AND('Mapa final'!$J$30="Baja",'Mapa final'!$N$30="Catastrófico"),CONCATENATE("R",'Mapa final'!$A$30),"")</f>
        <v/>
      </c>
      <c r="AK32" s="350"/>
      <c r="AL32" s="350" t="str">
        <f ca="1">IF(AND('Mapa final'!$J$36="Baja",'Mapa final'!$N$36="Catastrófico"),CONCATENATE("R",'Mapa final'!$A$36),"")</f>
        <v/>
      </c>
      <c r="AM32" s="351"/>
      <c r="AN32" s="68"/>
      <c r="AO32" s="321"/>
      <c r="AP32" s="322"/>
      <c r="AQ32" s="322"/>
      <c r="AR32" s="322"/>
      <c r="AS32" s="322"/>
      <c r="AT32" s="323"/>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289"/>
      <c r="C33" s="289"/>
      <c r="D33" s="290"/>
      <c r="E33" s="330"/>
      <c r="F33" s="331"/>
      <c r="G33" s="331"/>
      <c r="H33" s="331"/>
      <c r="I33" s="344"/>
      <c r="J33" s="369"/>
      <c r="K33" s="367"/>
      <c r="L33" s="367"/>
      <c r="M33" s="367"/>
      <c r="N33" s="367"/>
      <c r="O33" s="368"/>
      <c r="P33" s="359"/>
      <c r="Q33" s="359"/>
      <c r="R33" s="359"/>
      <c r="S33" s="359"/>
      <c r="T33" s="359"/>
      <c r="U33" s="360"/>
      <c r="V33" s="358"/>
      <c r="W33" s="359"/>
      <c r="X33" s="359"/>
      <c r="Y33" s="359"/>
      <c r="Z33" s="359"/>
      <c r="AA33" s="360"/>
      <c r="AB33" s="341"/>
      <c r="AC33" s="338"/>
      <c r="AD33" s="336"/>
      <c r="AE33" s="336"/>
      <c r="AF33" s="336"/>
      <c r="AG33" s="337"/>
      <c r="AH33" s="349"/>
      <c r="AI33" s="350"/>
      <c r="AJ33" s="350"/>
      <c r="AK33" s="350"/>
      <c r="AL33" s="350"/>
      <c r="AM33" s="351"/>
      <c r="AN33" s="68"/>
      <c r="AO33" s="321"/>
      <c r="AP33" s="322"/>
      <c r="AQ33" s="322"/>
      <c r="AR33" s="322"/>
      <c r="AS33" s="322"/>
      <c r="AT33" s="323"/>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289"/>
      <c r="C34" s="289"/>
      <c r="D34" s="290"/>
      <c r="E34" s="330"/>
      <c r="F34" s="331"/>
      <c r="G34" s="331"/>
      <c r="H34" s="331"/>
      <c r="I34" s="344"/>
      <c r="J34" s="369" t="str">
        <f ca="1">IF(AND('Mapa final'!$J$42="Baja",'Mapa final'!$N$42="Leve"),CONCATENATE("R",'Mapa final'!$A$42),"")</f>
        <v/>
      </c>
      <c r="K34" s="367"/>
      <c r="L34" s="367" t="str">
        <f ca="1">IF(AND('Mapa final'!$J$48="Baja",'Mapa final'!$N$48="Leve"),CONCATENATE("R",'Mapa final'!$A$48),"")</f>
        <v/>
      </c>
      <c r="M34" s="367"/>
      <c r="N34" s="367" t="str">
        <f ca="1">IF(AND('Mapa final'!$J$54="Baja",'Mapa final'!$N$54="Leve"),CONCATENATE("R",'Mapa final'!$A$54),"")</f>
        <v/>
      </c>
      <c r="O34" s="368"/>
      <c r="P34" s="359" t="str">
        <f ca="1">IF(AND('Mapa final'!$J$42="Baja",'Mapa final'!$N$42="Menor"),CONCATENATE("R",'Mapa final'!$A$42),"")</f>
        <v/>
      </c>
      <c r="Q34" s="359"/>
      <c r="R34" s="359" t="str">
        <f ca="1">IF(AND('Mapa final'!$J$48="Baja",'Mapa final'!$N$48="Menor"),CONCATENATE("R",'Mapa final'!$A$48),"")</f>
        <v/>
      </c>
      <c r="S34" s="359"/>
      <c r="T34" s="359" t="str">
        <f ca="1">IF(AND('Mapa final'!$J$54="Baja",'Mapa final'!$N$54="Menor"),CONCATENATE("R",'Mapa final'!$A$54),"")</f>
        <v/>
      </c>
      <c r="U34" s="360"/>
      <c r="V34" s="358" t="str">
        <f ca="1">IF(AND('Mapa final'!$J$42="Baja",'Mapa final'!$N$42="Moderado"),CONCATENATE("R",'Mapa final'!$A$42),"")</f>
        <v/>
      </c>
      <c r="W34" s="359"/>
      <c r="X34" s="359" t="str">
        <f ca="1">IF(AND('Mapa final'!$J$48="Baja",'Mapa final'!$N$48="Moderado"),CONCATENATE("R",'Mapa final'!$A$48),"")</f>
        <v/>
      </c>
      <c r="Y34" s="359"/>
      <c r="Z34" s="359" t="str">
        <f ca="1">IF(AND('Mapa final'!$J$54="Baja",'Mapa final'!$N$54="Moderado"),CONCATENATE("R",'Mapa final'!$A$54),"")</f>
        <v/>
      </c>
      <c r="AA34" s="360"/>
      <c r="AB34" s="341" t="str">
        <f ca="1">IF(AND('Mapa final'!$J$42="Baja",'Mapa final'!$N$42="Mayor"),CONCATENATE("R",'Mapa final'!$A$42),"")</f>
        <v/>
      </c>
      <c r="AC34" s="338"/>
      <c r="AD34" s="336" t="str">
        <f ca="1">IF(AND('Mapa final'!$J$48="Baja",'Mapa final'!$N$48="Mayor"),CONCATENATE("R",'Mapa final'!$A$48),"")</f>
        <v/>
      </c>
      <c r="AE34" s="336"/>
      <c r="AF34" s="336" t="str">
        <f ca="1">IF(AND('Mapa final'!$J$54="Baja",'Mapa final'!$N$54="Mayor"),CONCATENATE("R",'Mapa final'!$A$54),"")</f>
        <v/>
      </c>
      <c r="AG34" s="337"/>
      <c r="AH34" s="349" t="str">
        <f ca="1">IF(AND('Mapa final'!$J$42="Baja",'Mapa final'!$N$42="Catastrófico"),CONCATENATE("R",'Mapa final'!$A$42),"")</f>
        <v/>
      </c>
      <c r="AI34" s="350"/>
      <c r="AJ34" s="350" t="str">
        <f ca="1">IF(AND('Mapa final'!$J$48="Baja",'Mapa final'!$N$48="Catastrófico"),CONCATENATE("R",'Mapa final'!$A$48),"")</f>
        <v/>
      </c>
      <c r="AK34" s="350"/>
      <c r="AL34" s="350" t="str">
        <f ca="1">IF(AND('Mapa final'!$J$54="Baja",'Mapa final'!$N$54="Catastrófico"),CONCATENATE("R",'Mapa final'!$A$54),"")</f>
        <v/>
      </c>
      <c r="AM34" s="351"/>
      <c r="AN34" s="68"/>
      <c r="AO34" s="321"/>
      <c r="AP34" s="322"/>
      <c r="AQ34" s="322"/>
      <c r="AR34" s="322"/>
      <c r="AS34" s="322"/>
      <c r="AT34" s="323"/>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289"/>
      <c r="C35" s="289"/>
      <c r="D35" s="290"/>
      <c r="E35" s="330"/>
      <c r="F35" s="331"/>
      <c r="G35" s="331"/>
      <c r="H35" s="331"/>
      <c r="I35" s="344"/>
      <c r="J35" s="369"/>
      <c r="K35" s="367"/>
      <c r="L35" s="367"/>
      <c r="M35" s="367"/>
      <c r="N35" s="367"/>
      <c r="O35" s="368"/>
      <c r="P35" s="359"/>
      <c r="Q35" s="359"/>
      <c r="R35" s="359"/>
      <c r="S35" s="359"/>
      <c r="T35" s="359"/>
      <c r="U35" s="360"/>
      <c r="V35" s="358"/>
      <c r="W35" s="359"/>
      <c r="X35" s="359"/>
      <c r="Y35" s="359"/>
      <c r="Z35" s="359"/>
      <c r="AA35" s="360"/>
      <c r="AB35" s="341"/>
      <c r="AC35" s="338"/>
      <c r="AD35" s="336"/>
      <c r="AE35" s="336"/>
      <c r="AF35" s="336"/>
      <c r="AG35" s="337"/>
      <c r="AH35" s="349"/>
      <c r="AI35" s="350"/>
      <c r="AJ35" s="350"/>
      <c r="AK35" s="350"/>
      <c r="AL35" s="350"/>
      <c r="AM35" s="351"/>
      <c r="AN35" s="68"/>
      <c r="AO35" s="321"/>
      <c r="AP35" s="322"/>
      <c r="AQ35" s="322"/>
      <c r="AR35" s="322"/>
      <c r="AS35" s="322"/>
      <c r="AT35" s="323"/>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289"/>
      <c r="C36" s="289"/>
      <c r="D36" s="290"/>
      <c r="E36" s="330"/>
      <c r="F36" s="331"/>
      <c r="G36" s="331"/>
      <c r="H36" s="331"/>
      <c r="I36" s="344"/>
      <c r="J36" s="369" t="str">
        <f ca="1">IF(AND('Mapa final'!$J$60="Baja",'Mapa final'!$N$60="Leve"),CONCATENATE("R",'Mapa final'!$A$60),"")</f>
        <v/>
      </c>
      <c r="K36" s="367"/>
      <c r="L36" s="367" t="str">
        <f>IF(AND('Mapa final'!$J$66="Baja",'Mapa final'!$N$66="Leve"),CONCATENATE("R",'Mapa final'!$A$66),"")</f>
        <v/>
      </c>
      <c r="M36" s="367"/>
      <c r="N36" s="367" t="str">
        <f>IF(AND('Mapa final'!$J$72="Baja",'Mapa final'!$N$72="Leve"),CONCATENATE("R",'Mapa final'!$A$72),"")</f>
        <v/>
      </c>
      <c r="O36" s="368"/>
      <c r="P36" s="359" t="str">
        <f ca="1">IF(AND('Mapa final'!$J$60="Baja",'Mapa final'!$N$60="Menor"),CONCATENATE("R",'Mapa final'!$A$60),"")</f>
        <v/>
      </c>
      <c r="Q36" s="359"/>
      <c r="R36" s="359" t="str">
        <f>IF(AND('Mapa final'!$J$66="Baja",'Mapa final'!$N$66="Menor"),CONCATENATE("R",'Mapa final'!$A$66),"")</f>
        <v/>
      </c>
      <c r="S36" s="359"/>
      <c r="T36" s="359" t="str">
        <f>IF(AND('Mapa final'!$J$72="Baja",'Mapa final'!$N$72="Menor"),CONCATENATE("R",'Mapa final'!$A$72),"")</f>
        <v/>
      </c>
      <c r="U36" s="360"/>
      <c r="V36" s="358" t="str">
        <f ca="1">IF(AND('Mapa final'!$J$60="Baja",'Mapa final'!$N$60="Moderado"),CONCATENATE("R",'Mapa final'!$A$60),"")</f>
        <v/>
      </c>
      <c r="W36" s="359"/>
      <c r="X36" s="359" t="str">
        <f>IF(AND('Mapa final'!$J$66="Baja",'Mapa final'!$N$66="Moderado"),CONCATENATE("R",'Mapa final'!$A$66),"")</f>
        <v/>
      </c>
      <c r="Y36" s="359"/>
      <c r="Z36" s="359" t="str">
        <f>IF(AND('Mapa final'!$J$72="Baja",'Mapa final'!$N$72="Moderado"),CONCATENATE("R",'Mapa final'!$A$72),"")</f>
        <v/>
      </c>
      <c r="AA36" s="360"/>
      <c r="AB36" s="341" t="str">
        <f ca="1">IF(AND('Mapa final'!$J$60="Baja",'Mapa final'!$N$60="Mayor"),CONCATENATE("R",'Mapa final'!$A$60),"")</f>
        <v/>
      </c>
      <c r="AC36" s="338"/>
      <c r="AD36" s="336" t="str">
        <f>IF(AND('Mapa final'!$J$66="Baja",'Mapa final'!$N$66="Mayor"),CONCATENATE("R",'Mapa final'!$A$66),"")</f>
        <v/>
      </c>
      <c r="AE36" s="336"/>
      <c r="AF36" s="336" t="str">
        <f>IF(AND('Mapa final'!$J$72="Baja",'Mapa final'!$N$72="Mayor"),CONCATENATE("R",'Mapa final'!$A$72),"")</f>
        <v/>
      </c>
      <c r="AG36" s="337"/>
      <c r="AH36" s="349" t="str">
        <f ca="1">IF(AND('Mapa final'!$J$60="Baja",'Mapa final'!$N$60="Catastrófico"),CONCATENATE("R",'Mapa final'!$A$60),"")</f>
        <v/>
      </c>
      <c r="AI36" s="350"/>
      <c r="AJ36" s="350" t="str">
        <f>IF(AND('Mapa final'!$J$66="Baja",'Mapa final'!$N$66="Catastrófico"),CONCATENATE("R",'Mapa final'!$A$66),"")</f>
        <v/>
      </c>
      <c r="AK36" s="350"/>
      <c r="AL36" s="350" t="str">
        <f>IF(AND('Mapa final'!$J$72="Baja",'Mapa final'!$N$72="Catastrófico"),CONCATENATE("R",'Mapa final'!$A$72),"")</f>
        <v/>
      </c>
      <c r="AM36" s="351"/>
      <c r="AN36" s="68"/>
      <c r="AO36" s="321"/>
      <c r="AP36" s="322"/>
      <c r="AQ36" s="322"/>
      <c r="AR36" s="322"/>
      <c r="AS36" s="322"/>
      <c r="AT36" s="323"/>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289"/>
      <c r="C37" s="289"/>
      <c r="D37" s="290"/>
      <c r="E37" s="333"/>
      <c r="F37" s="334"/>
      <c r="G37" s="334"/>
      <c r="H37" s="334"/>
      <c r="I37" s="334"/>
      <c r="J37" s="370"/>
      <c r="K37" s="371"/>
      <c r="L37" s="371"/>
      <c r="M37" s="371"/>
      <c r="N37" s="371"/>
      <c r="O37" s="372"/>
      <c r="P37" s="362"/>
      <c r="Q37" s="362"/>
      <c r="R37" s="362"/>
      <c r="S37" s="362"/>
      <c r="T37" s="362"/>
      <c r="U37" s="363"/>
      <c r="V37" s="361"/>
      <c r="W37" s="362"/>
      <c r="X37" s="362"/>
      <c r="Y37" s="362"/>
      <c r="Z37" s="362"/>
      <c r="AA37" s="363"/>
      <c r="AB37" s="346"/>
      <c r="AC37" s="347"/>
      <c r="AD37" s="347"/>
      <c r="AE37" s="347"/>
      <c r="AF37" s="347"/>
      <c r="AG37" s="348"/>
      <c r="AH37" s="352"/>
      <c r="AI37" s="353"/>
      <c r="AJ37" s="353"/>
      <c r="AK37" s="353"/>
      <c r="AL37" s="353"/>
      <c r="AM37" s="354"/>
      <c r="AN37" s="68"/>
      <c r="AO37" s="324"/>
      <c r="AP37" s="325"/>
      <c r="AQ37" s="325"/>
      <c r="AR37" s="325"/>
      <c r="AS37" s="325"/>
      <c r="AT37" s="326"/>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289"/>
      <c r="C38" s="289"/>
      <c r="D38" s="290"/>
      <c r="E38" s="327" t="s">
        <v>107</v>
      </c>
      <c r="F38" s="328"/>
      <c r="G38" s="328"/>
      <c r="H38" s="328"/>
      <c r="I38" s="329"/>
      <c r="J38" s="373" t="str">
        <f ca="1">IF(AND('Mapa final'!$J$10="Muy Baja",'Mapa final'!$N$10="Leve"),CONCATENATE("R",'Mapa final'!$A$10),"")</f>
        <v/>
      </c>
      <c r="K38" s="374"/>
      <c r="L38" s="374" t="str">
        <f ca="1">IF(AND('Mapa final'!$J$13="Muy Baja",'Mapa final'!$N$13="Leve"),CONCATENATE("R",'Mapa final'!$A$13),"")</f>
        <v/>
      </c>
      <c r="M38" s="374"/>
      <c r="N38" s="374" t="str">
        <f ca="1">IF(AND('Mapa final'!$J$18="Muy Baja",'Mapa final'!$N$18="Leve"),CONCATENATE("R",'Mapa final'!$A$18),"")</f>
        <v/>
      </c>
      <c r="O38" s="375"/>
      <c r="P38" s="373" t="str">
        <f ca="1">IF(AND('Mapa final'!$J$10="Muy Baja",'Mapa final'!$N$10="Menor"),CONCATENATE("R",'Mapa final'!$A$10),"")</f>
        <v/>
      </c>
      <c r="Q38" s="374"/>
      <c r="R38" s="374" t="str">
        <f ca="1">IF(AND('Mapa final'!$J$13="Muy Baja",'Mapa final'!$N$13="Menor"),CONCATENATE("R",'Mapa final'!$A$13),"")</f>
        <v/>
      </c>
      <c r="S38" s="374"/>
      <c r="T38" s="374" t="str">
        <f ca="1">IF(AND('Mapa final'!$J$18="Muy Baja",'Mapa final'!$N$18="Menor"),CONCATENATE("R",'Mapa final'!$A$18),"")</f>
        <v/>
      </c>
      <c r="U38" s="375"/>
      <c r="V38" s="364" t="str">
        <f ca="1">IF(AND('Mapa final'!$J$10="Muy Baja",'Mapa final'!$N$10="Moderado"),CONCATENATE("R",'Mapa final'!$A$10),"")</f>
        <v/>
      </c>
      <c r="W38" s="365"/>
      <c r="X38" s="365" t="str">
        <f ca="1">IF(AND('Mapa final'!$J$13="Muy Baja",'Mapa final'!$N$13="Moderado"),CONCATENATE("R",'Mapa final'!$A$13),"")</f>
        <v/>
      </c>
      <c r="Y38" s="365"/>
      <c r="Z38" s="365" t="str">
        <f ca="1">IF(AND('Mapa final'!$J$18="Muy Baja",'Mapa final'!$N$18="Moderado"),CONCATENATE("R",'Mapa final'!$A$18),"")</f>
        <v/>
      </c>
      <c r="AA38" s="366"/>
      <c r="AB38" s="339" t="str">
        <f ca="1">IF(AND('Mapa final'!$J$10="Muy Baja",'Mapa final'!$N$10="Mayor"),CONCATENATE("R",'Mapa final'!$A$10),"")</f>
        <v/>
      </c>
      <c r="AC38" s="340"/>
      <c r="AD38" s="340" t="str">
        <f ca="1">IF(AND('Mapa final'!$J$13="Muy Baja",'Mapa final'!$N$13="Mayor"),CONCATENATE("R",'Mapa final'!$A$13),"")</f>
        <v/>
      </c>
      <c r="AE38" s="340"/>
      <c r="AF38" s="340" t="str">
        <f ca="1">IF(AND('Mapa final'!$J$18="Muy Baja",'Mapa final'!$N$18="Mayor"),CONCATENATE("R",'Mapa final'!$A$18),"")</f>
        <v/>
      </c>
      <c r="AG38" s="342"/>
      <c r="AH38" s="355" t="str">
        <f ca="1">IF(AND('Mapa final'!$J$10="Muy Baja",'Mapa final'!$N$10="Catastrófico"),CONCATENATE("R",'Mapa final'!$A$10),"")</f>
        <v/>
      </c>
      <c r="AI38" s="356"/>
      <c r="AJ38" s="356" t="str">
        <f ca="1">IF(AND('Mapa final'!$J$13="Muy Baja",'Mapa final'!$N$13="Catastrófico"),CONCATENATE("R",'Mapa final'!$A$13),"")</f>
        <v/>
      </c>
      <c r="AK38" s="356"/>
      <c r="AL38" s="356" t="str">
        <f ca="1">IF(AND('Mapa final'!$J$18="Muy Baja",'Mapa final'!$N$18="Catastrófico"),CONCATENATE("R",'Mapa final'!$A$18),"")</f>
        <v/>
      </c>
      <c r="AM38" s="357"/>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289"/>
      <c r="C39" s="289"/>
      <c r="D39" s="290"/>
      <c r="E39" s="330"/>
      <c r="F39" s="331"/>
      <c r="G39" s="331"/>
      <c r="H39" s="331"/>
      <c r="I39" s="332"/>
      <c r="J39" s="369"/>
      <c r="K39" s="367"/>
      <c r="L39" s="367"/>
      <c r="M39" s="367"/>
      <c r="N39" s="367"/>
      <c r="O39" s="368"/>
      <c r="P39" s="369"/>
      <c r="Q39" s="367"/>
      <c r="R39" s="367"/>
      <c r="S39" s="367"/>
      <c r="T39" s="367"/>
      <c r="U39" s="368"/>
      <c r="V39" s="358"/>
      <c r="W39" s="359"/>
      <c r="X39" s="359"/>
      <c r="Y39" s="359"/>
      <c r="Z39" s="359"/>
      <c r="AA39" s="360"/>
      <c r="AB39" s="341"/>
      <c r="AC39" s="338"/>
      <c r="AD39" s="338"/>
      <c r="AE39" s="338"/>
      <c r="AF39" s="338"/>
      <c r="AG39" s="337"/>
      <c r="AH39" s="349"/>
      <c r="AI39" s="350"/>
      <c r="AJ39" s="350"/>
      <c r="AK39" s="350"/>
      <c r="AL39" s="350"/>
      <c r="AM39" s="351"/>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289"/>
      <c r="C40" s="289"/>
      <c r="D40" s="290"/>
      <c r="E40" s="330"/>
      <c r="F40" s="331"/>
      <c r="G40" s="331"/>
      <c r="H40" s="331"/>
      <c r="I40" s="332"/>
      <c r="J40" s="369" t="str">
        <f ca="1">IF(AND('Mapa final'!$J$24="Muy Baja",'Mapa final'!$N$24="Leve"),CONCATENATE("R",'Mapa final'!$A$24),"")</f>
        <v/>
      </c>
      <c r="K40" s="367"/>
      <c r="L40" s="367" t="str">
        <f ca="1">IF(AND('Mapa final'!$J$30="Muy Baja",'Mapa final'!$N$30="Leve"),CONCATENATE("R",'Mapa final'!$A$30),"")</f>
        <v/>
      </c>
      <c r="M40" s="367"/>
      <c r="N40" s="367" t="str">
        <f ca="1">IF(AND('Mapa final'!$J$36="Muy Baja",'Mapa final'!$N$36="Leve"),CONCATENATE("R",'Mapa final'!$A$36),"")</f>
        <v/>
      </c>
      <c r="O40" s="368"/>
      <c r="P40" s="369" t="str">
        <f ca="1">IF(AND('Mapa final'!$J$24="Muy Baja",'Mapa final'!$N$24="Menor"),CONCATENATE("R",'Mapa final'!$A$24),"")</f>
        <v/>
      </c>
      <c r="Q40" s="367"/>
      <c r="R40" s="367" t="str">
        <f ca="1">IF(AND('Mapa final'!$J$30="Muy Baja",'Mapa final'!$N$30="Menor"),CONCATENATE("R",'Mapa final'!$A$30),"")</f>
        <v/>
      </c>
      <c r="S40" s="367"/>
      <c r="T40" s="367" t="str">
        <f ca="1">IF(AND('Mapa final'!$J$36="Muy Baja",'Mapa final'!$N$36="Menor"),CONCATENATE("R",'Mapa final'!$A$36),"")</f>
        <v/>
      </c>
      <c r="U40" s="368"/>
      <c r="V40" s="358" t="str">
        <f ca="1">IF(AND('Mapa final'!$J$24="Muy Baja",'Mapa final'!$N$24="Moderado"),CONCATENATE("R",'Mapa final'!$A$24),"")</f>
        <v/>
      </c>
      <c r="W40" s="359"/>
      <c r="X40" s="359" t="str">
        <f ca="1">IF(AND('Mapa final'!$J$30="Muy Baja",'Mapa final'!$N$30="Moderado"),CONCATENATE("R",'Mapa final'!$A$30),"")</f>
        <v/>
      </c>
      <c r="Y40" s="359"/>
      <c r="Z40" s="359" t="str">
        <f ca="1">IF(AND('Mapa final'!$J$36="Muy Baja",'Mapa final'!$N$36="Moderado"),CONCATENATE("R",'Mapa final'!$A$36),"")</f>
        <v/>
      </c>
      <c r="AA40" s="360"/>
      <c r="AB40" s="341" t="str">
        <f ca="1">IF(AND('Mapa final'!$J$24="Muy Baja",'Mapa final'!$N$24="Mayor"),CONCATENATE("R",'Mapa final'!$A$24),"")</f>
        <v/>
      </c>
      <c r="AC40" s="338"/>
      <c r="AD40" s="336" t="str">
        <f ca="1">IF(AND('Mapa final'!$J$30="Muy Baja",'Mapa final'!$N$30="Mayor"),CONCATENATE("R",'Mapa final'!$A$30),"")</f>
        <v/>
      </c>
      <c r="AE40" s="336"/>
      <c r="AF40" s="336" t="str">
        <f ca="1">IF(AND('Mapa final'!$J$36="Muy Baja",'Mapa final'!$N$36="Mayor"),CONCATENATE("R",'Mapa final'!$A$36),"")</f>
        <v/>
      </c>
      <c r="AG40" s="337"/>
      <c r="AH40" s="349" t="str">
        <f ca="1">IF(AND('Mapa final'!$J$24="Muy Baja",'Mapa final'!$N$24="Catastrófico"),CONCATENATE("R",'Mapa final'!$A$24),"")</f>
        <v/>
      </c>
      <c r="AI40" s="350"/>
      <c r="AJ40" s="350" t="str">
        <f ca="1">IF(AND('Mapa final'!$J$30="Muy Baja",'Mapa final'!$N$30="Catastrófico"),CONCATENATE("R",'Mapa final'!$A$30),"")</f>
        <v/>
      </c>
      <c r="AK40" s="350"/>
      <c r="AL40" s="350" t="str">
        <f ca="1">IF(AND('Mapa final'!$J$36="Muy Baja",'Mapa final'!$N$36="Catastrófico"),CONCATENATE("R",'Mapa final'!$A$36),"")</f>
        <v/>
      </c>
      <c r="AM40" s="351"/>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289"/>
      <c r="C41" s="289"/>
      <c r="D41" s="290"/>
      <c r="E41" s="330"/>
      <c r="F41" s="331"/>
      <c r="G41" s="331"/>
      <c r="H41" s="331"/>
      <c r="I41" s="332"/>
      <c r="J41" s="369"/>
      <c r="K41" s="367"/>
      <c r="L41" s="367"/>
      <c r="M41" s="367"/>
      <c r="N41" s="367"/>
      <c r="O41" s="368"/>
      <c r="P41" s="369"/>
      <c r="Q41" s="367"/>
      <c r="R41" s="367"/>
      <c r="S41" s="367"/>
      <c r="T41" s="367"/>
      <c r="U41" s="368"/>
      <c r="V41" s="358"/>
      <c r="W41" s="359"/>
      <c r="X41" s="359"/>
      <c r="Y41" s="359"/>
      <c r="Z41" s="359"/>
      <c r="AA41" s="360"/>
      <c r="AB41" s="341"/>
      <c r="AC41" s="338"/>
      <c r="AD41" s="336"/>
      <c r="AE41" s="336"/>
      <c r="AF41" s="336"/>
      <c r="AG41" s="337"/>
      <c r="AH41" s="349"/>
      <c r="AI41" s="350"/>
      <c r="AJ41" s="350"/>
      <c r="AK41" s="350"/>
      <c r="AL41" s="350"/>
      <c r="AM41" s="351"/>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289"/>
      <c r="C42" s="289"/>
      <c r="D42" s="290"/>
      <c r="E42" s="330"/>
      <c r="F42" s="331"/>
      <c r="G42" s="331"/>
      <c r="H42" s="331"/>
      <c r="I42" s="332"/>
      <c r="J42" s="369" t="str">
        <f ca="1">IF(AND('Mapa final'!$J$42="Muy Baja",'Mapa final'!$N$42="Leve"),CONCATENATE("R",'Mapa final'!$A$42),"")</f>
        <v/>
      </c>
      <c r="K42" s="367"/>
      <c r="L42" s="367" t="str">
        <f ca="1">IF(AND('Mapa final'!$J$48="Muy Baja",'Mapa final'!$N$48="Leve"),CONCATENATE("R",'Mapa final'!$A$48),"")</f>
        <v/>
      </c>
      <c r="M42" s="367"/>
      <c r="N42" s="367" t="str">
        <f ca="1">IF(AND('Mapa final'!$J$54="Muy Baja",'Mapa final'!$N$54="Leve"),CONCATENATE("R",'Mapa final'!$A$54),"")</f>
        <v/>
      </c>
      <c r="O42" s="368"/>
      <c r="P42" s="369" t="str">
        <f ca="1">IF(AND('Mapa final'!$J$42="Muy Baja",'Mapa final'!$N$42="Menor"),CONCATENATE("R",'Mapa final'!$A$42),"")</f>
        <v/>
      </c>
      <c r="Q42" s="367"/>
      <c r="R42" s="367" t="str">
        <f ca="1">IF(AND('Mapa final'!$J$48="Muy Baja",'Mapa final'!$N$48="Menor"),CONCATENATE("R",'Mapa final'!$A$48),"")</f>
        <v/>
      </c>
      <c r="S42" s="367"/>
      <c r="T42" s="367" t="str">
        <f ca="1">IF(AND('Mapa final'!$J$54="Muy Baja",'Mapa final'!$N$54="Menor"),CONCATENATE("R",'Mapa final'!$A$54),"")</f>
        <v/>
      </c>
      <c r="U42" s="368"/>
      <c r="V42" s="358" t="str">
        <f ca="1">IF(AND('Mapa final'!$J$42="Muy Baja",'Mapa final'!$N$42="Moderado"),CONCATENATE("R",'Mapa final'!$A$42),"")</f>
        <v/>
      </c>
      <c r="W42" s="359"/>
      <c r="X42" s="359" t="str">
        <f ca="1">IF(AND('Mapa final'!$J$48="Muy Baja",'Mapa final'!$N$48="Moderado"),CONCATENATE("R",'Mapa final'!$A$48),"")</f>
        <v/>
      </c>
      <c r="Y42" s="359"/>
      <c r="Z42" s="359" t="str">
        <f ca="1">IF(AND('Mapa final'!$J$54="Muy Baja",'Mapa final'!$N$54="Moderado"),CONCATENATE("R",'Mapa final'!$A$54),"")</f>
        <v/>
      </c>
      <c r="AA42" s="360"/>
      <c r="AB42" s="341" t="str">
        <f ca="1">IF(AND('Mapa final'!$J$42="Muy Baja",'Mapa final'!$N$42="Mayor"),CONCATENATE("R",'Mapa final'!$A$42),"")</f>
        <v/>
      </c>
      <c r="AC42" s="338"/>
      <c r="AD42" s="336" t="str">
        <f ca="1">IF(AND('Mapa final'!$J$48="Muy Baja",'Mapa final'!$N$48="Mayor"),CONCATENATE("R",'Mapa final'!$A$48),"")</f>
        <v/>
      </c>
      <c r="AE42" s="336"/>
      <c r="AF42" s="336" t="str">
        <f ca="1">IF(AND('Mapa final'!$J$54="Muy Baja",'Mapa final'!$N$54="Mayor"),CONCATENATE("R",'Mapa final'!$A$54),"")</f>
        <v/>
      </c>
      <c r="AG42" s="337"/>
      <c r="AH42" s="349" t="str">
        <f ca="1">IF(AND('Mapa final'!$J$42="Muy Baja",'Mapa final'!$N$42="Catastrófico"),CONCATENATE("R",'Mapa final'!$A$42),"")</f>
        <v/>
      </c>
      <c r="AI42" s="350"/>
      <c r="AJ42" s="350" t="str">
        <f ca="1">IF(AND('Mapa final'!$J$48="Muy Baja",'Mapa final'!$N$48="Catastrófico"),CONCATENATE("R",'Mapa final'!$A$48),"")</f>
        <v/>
      </c>
      <c r="AK42" s="350"/>
      <c r="AL42" s="350" t="str">
        <f ca="1">IF(AND('Mapa final'!$J$54="Muy Baja",'Mapa final'!$N$54="Catastrófico"),CONCATENATE("R",'Mapa final'!$A$54),"")</f>
        <v/>
      </c>
      <c r="AM42" s="351"/>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289"/>
      <c r="C43" s="289"/>
      <c r="D43" s="290"/>
      <c r="E43" s="330"/>
      <c r="F43" s="331"/>
      <c r="G43" s="331"/>
      <c r="H43" s="331"/>
      <c r="I43" s="332"/>
      <c r="J43" s="369"/>
      <c r="K43" s="367"/>
      <c r="L43" s="367"/>
      <c r="M43" s="367"/>
      <c r="N43" s="367"/>
      <c r="O43" s="368"/>
      <c r="P43" s="369"/>
      <c r="Q43" s="367"/>
      <c r="R43" s="367"/>
      <c r="S43" s="367"/>
      <c r="T43" s="367"/>
      <c r="U43" s="368"/>
      <c r="V43" s="358"/>
      <c r="W43" s="359"/>
      <c r="X43" s="359"/>
      <c r="Y43" s="359"/>
      <c r="Z43" s="359"/>
      <c r="AA43" s="360"/>
      <c r="AB43" s="341"/>
      <c r="AC43" s="338"/>
      <c r="AD43" s="336"/>
      <c r="AE43" s="336"/>
      <c r="AF43" s="336"/>
      <c r="AG43" s="337"/>
      <c r="AH43" s="349"/>
      <c r="AI43" s="350"/>
      <c r="AJ43" s="350"/>
      <c r="AK43" s="350"/>
      <c r="AL43" s="350"/>
      <c r="AM43" s="351"/>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289"/>
      <c r="C44" s="289"/>
      <c r="D44" s="290"/>
      <c r="E44" s="330"/>
      <c r="F44" s="331"/>
      <c r="G44" s="331"/>
      <c r="H44" s="331"/>
      <c r="I44" s="332"/>
      <c r="J44" s="369" t="str">
        <f ca="1">IF(AND('Mapa final'!$J$60="Muy Baja",'Mapa final'!$N$60="Leve"),CONCATENATE("R",'Mapa final'!$A$60),"")</f>
        <v/>
      </c>
      <c r="K44" s="367"/>
      <c r="L44" s="367" t="str">
        <f>IF(AND('Mapa final'!$J$66="Muy Baja",'Mapa final'!$N$66="Leve"),CONCATENATE("R",'Mapa final'!$A$66),"")</f>
        <v/>
      </c>
      <c r="M44" s="367"/>
      <c r="N44" s="367" t="str">
        <f>IF(AND('Mapa final'!$J$72="Muy Baja",'Mapa final'!$N$72="Leve"),CONCATENATE("R",'Mapa final'!$A$72),"")</f>
        <v/>
      </c>
      <c r="O44" s="368"/>
      <c r="P44" s="369" t="str">
        <f ca="1">IF(AND('Mapa final'!$J$60="Muy Baja",'Mapa final'!$N$60="Menor"),CONCATENATE("R",'Mapa final'!$A$60),"")</f>
        <v/>
      </c>
      <c r="Q44" s="367"/>
      <c r="R44" s="367" t="str">
        <f>IF(AND('Mapa final'!$J$66="Muy Baja",'Mapa final'!$N$66="Menor"),CONCATENATE("R",'Mapa final'!$A$66),"")</f>
        <v/>
      </c>
      <c r="S44" s="367"/>
      <c r="T44" s="367" t="str">
        <f>IF(AND('Mapa final'!$J$72="Muy Baja",'Mapa final'!$N$72="Menor"),CONCATENATE("R",'Mapa final'!$A$72),"")</f>
        <v/>
      </c>
      <c r="U44" s="368"/>
      <c r="V44" s="358" t="str">
        <f ca="1">IF(AND('Mapa final'!$J$60="Muy Baja",'Mapa final'!$N$60="Moderado"),CONCATENATE("R",'Mapa final'!$A$60),"")</f>
        <v/>
      </c>
      <c r="W44" s="359"/>
      <c r="X44" s="359" t="str">
        <f>IF(AND('Mapa final'!$J$66="Muy Baja",'Mapa final'!$N$66="Moderado"),CONCATENATE("R",'Mapa final'!$A$66),"")</f>
        <v/>
      </c>
      <c r="Y44" s="359"/>
      <c r="Z44" s="359" t="str">
        <f>IF(AND('Mapa final'!$J$72="Muy Baja",'Mapa final'!$N$72="Moderado"),CONCATENATE("R",'Mapa final'!$A$72),"")</f>
        <v/>
      </c>
      <c r="AA44" s="360"/>
      <c r="AB44" s="341" t="str">
        <f ca="1">IF(AND('Mapa final'!$J$60="Muy Baja",'Mapa final'!$N$60="Mayor"),CONCATENATE("R",'Mapa final'!$A$60),"")</f>
        <v/>
      </c>
      <c r="AC44" s="338"/>
      <c r="AD44" s="336" t="str">
        <f>IF(AND('Mapa final'!$J$66="Muy Baja",'Mapa final'!$N$66="Mayor"),CONCATENATE("R",'Mapa final'!$A$66),"")</f>
        <v/>
      </c>
      <c r="AE44" s="336"/>
      <c r="AF44" s="336" t="str">
        <f>IF(AND('Mapa final'!$J$72="Muy Baja",'Mapa final'!$N$72="Mayor"),CONCATENATE("R",'Mapa final'!$A$72),"")</f>
        <v/>
      </c>
      <c r="AG44" s="337"/>
      <c r="AH44" s="349" t="str">
        <f ca="1">IF(AND('Mapa final'!$J$60="Muy Baja",'Mapa final'!$N$60="Catastrófico"),CONCATENATE("R",'Mapa final'!$A$60),"")</f>
        <v/>
      </c>
      <c r="AI44" s="350"/>
      <c r="AJ44" s="350" t="str">
        <f>IF(AND('Mapa final'!$J$66="Muy Baja",'Mapa final'!$N$66="Catastrófico"),CONCATENATE("R",'Mapa final'!$A$66),"")</f>
        <v/>
      </c>
      <c r="AK44" s="350"/>
      <c r="AL44" s="350" t="str">
        <f>IF(AND('Mapa final'!$J$72="Muy Baja",'Mapa final'!$N$72="Catastrófico"),CONCATENATE("R",'Mapa final'!$A$72),"")</f>
        <v/>
      </c>
      <c r="AM44" s="351"/>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289"/>
      <c r="C45" s="289"/>
      <c r="D45" s="290"/>
      <c r="E45" s="333"/>
      <c r="F45" s="334"/>
      <c r="G45" s="334"/>
      <c r="H45" s="334"/>
      <c r="I45" s="335"/>
      <c r="J45" s="370"/>
      <c r="K45" s="371"/>
      <c r="L45" s="371"/>
      <c r="M45" s="371"/>
      <c r="N45" s="371"/>
      <c r="O45" s="372"/>
      <c r="P45" s="370"/>
      <c r="Q45" s="371"/>
      <c r="R45" s="371"/>
      <c r="S45" s="371"/>
      <c r="T45" s="371"/>
      <c r="U45" s="372"/>
      <c r="V45" s="361"/>
      <c r="W45" s="362"/>
      <c r="X45" s="362"/>
      <c r="Y45" s="362"/>
      <c r="Z45" s="362"/>
      <c r="AA45" s="363"/>
      <c r="AB45" s="346"/>
      <c r="AC45" s="347"/>
      <c r="AD45" s="347"/>
      <c r="AE45" s="347"/>
      <c r="AF45" s="347"/>
      <c r="AG45" s="348"/>
      <c r="AH45" s="352"/>
      <c r="AI45" s="353"/>
      <c r="AJ45" s="353"/>
      <c r="AK45" s="353"/>
      <c r="AL45" s="353"/>
      <c r="AM45" s="354"/>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27" t="s">
        <v>106</v>
      </c>
      <c r="K46" s="328"/>
      <c r="L46" s="328"/>
      <c r="M46" s="328"/>
      <c r="N46" s="328"/>
      <c r="O46" s="329"/>
      <c r="P46" s="327" t="s">
        <v>105</v>
      </c>
      <c r="Q46" s="328"/>
      <c r="R46" s="328"/>
      <c r="S46" s="328"/>
      <c r="T46" s="328"/>
      <c r="U46" s="329"/>
      <c r="V46" s="327" t="s">
        <v>104</v>
      </c>
      <c r="W46" s="328"/>
      <c r="X46" s="328"/>
      <c r="Y46" s="328"/>
      <c r="Z46" s="328"/>
      <c r="AA46" s="329"/>
      <c r="AB46" s="327" t="s">
        <v>103</v>
      </c>
      <c r="AC46" s="345"/>
      <c r="AD46" s="328"/>
      <c r="AE46" s="328"/>
      <c r="AF46" s="328"/>
      <c r="AG46" s="329"/>
      <c r="AH46" s="327" t="s">
        <v>102</v>
      </c>
      <c r="AI46" s="328"/>
      <c r="AJ46" s="328"/>
      <c r="AK46" s="328"/>
      <c r="AL46" s="328"/>
      <c r="AM46" s="329"/>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30"/>
      <c r="K47" s="331"/>
      <c r="L47" s="331"/>
      <c r="M47" s="331"/>
      <c r="N47" s="331"/>
      <c r="O47" s="332"/>
      <c r="P47" s="330"/>
      <c r="Q47" s="331"/>
      <c r="R47" s="331"/>
      <c r="S47" s="331"/>
      <c r="T47" s="331"/>
      <c r="U47" s="332"/>
      <c r="V47" s="330"/>
      <c r="W47" s="331"/>
      <c r="X47" s="331"/>
      <c r="Y47" s="331"/>
      <c r="Z47" s="331"/>
      <c r="AA47" s="332"/>
      <c r="AB47" s="330"/>
      <c r="AC47" s="331"/>
      <c r="AD47" s="331"/>
      <c r="AE47" s="331"/>
      <c r="AF47" s="331"/>
      <c r="AG47" s="332"/>
      <c r="AH47" s="330"/>
      <c r="AI47" s="331"/>
      <c r="AJ47" s="331"/>
      <c r="AK47" s="331"/>
      <c r="AL47" s="331"/>
      <c r="AM47" s="332"/>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30"/>
      <c r="K48" s="331"/>
      <c r="L48" s="331"/>
      <c r="M48" s="331"/>
      <c r="N48" s="331"/>
      <c r="O48" s="332"/>
      <c r="P48" s="330"/>
      <c r="Q48" s="331"/>
      <c r="R48" s="331"/>
      <c r="S48" s="331"/>
      <c r="T48" s="331"/>
      <c r="U48" s="332"/>
      <c r="V48" s="330"/>
      <c r="W48" s="331"/>
      <c r="X48" s="331"/>
      <c r="Y48" s="331"/>
      <c r="Z48" s="331"/>
      <c r="AA48" s="332"/>
      <c r="AB48" s="330"/>
      <c r="AC48" s="331"/>
      <c r="AD48" s="331"/>
      <c r="AE48" s="331"/>
      <c r="AF48" s="331"/>
      <c r="AG48" s="332"/>
      <c r="AH48" s="330"/>
      <c r="AI48" s="331"/>
      <c r="AJ48" s="331"/>
      <c r="AK48" s="331"/>
      <c r="AL48" s="331"/>
      <c r="AM48" s="332"/>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30"/>
      <c r="K49" s="331"/>
      <c r="L49" s="331"/>
      <c r="M49" s="331"/>
      <c r="N49" s="331"/>
      <c r="O49" s="332"/>
      <c r="P49" s="330"/>
      <c r="Q49" s="331"/>
      <c r="R49" s="331"/>
      <c r="S49" s="331"/>
      <c r="T49" s="331"/>
      <c r="U49" s="332"/>
      <c r="V49" s="330"/>
      <c r="W49" s="331"/>
      <c r="X49" s="331"/>
      <c r="Y49" s="331"/>
      <c r="Z49" s="331"/>
      <c r="AA49" s="332"/>
      <c r="AB49" s="330"/>
      <c r="AC49" s="331"/>
      <c r="AD49" s="331"/>
      <c r="AE49" s="331"/>
      <c r="AF49" s="331"/>
      <c r="AG49" s="332"/>
      <c r="AH49" s="330"/>
      <c r="AI49" s="331"/>
      <c r="AJ49" s="331"/>
      <c r="AK49" s="331"/>
      <c r="AL49" s="331"/>
      <c r="AM49" s="332"/>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30"/>
      <c r="K50" s="331"/>
      <c r="L50" s="331"/>
      <c r="M50" s="331"/>
      <c r="N50" s="331"/>
      <c r="O50" s="332"/>
      <c r="P50" s="330"/>
      <c r="Q50" s="331"/>
      <c r="R50" s="331"/>
      <c r="S50" s="331"/>
      <c r="T50" s="331"/>
      <c r="U50" s="332"/>
      <c r="V50" s="330"/>
      <c r="W50" s="331"/>
      <c r="X50" s="331"/>
      <c r="Y50" s="331"/>
      <c r="Z50" s="331"/>
      <c r="AA50" s="332"/>
      <c r="AB50" s="330"/>
      <c r="AC50" s="331"/>
      <c r="AD50" s="331"/>
      <c r="AE50" s="331"/>
      <c r="AF50" s="331"/>
      <c r="AG50" s="332"/>
      <c r="AH50" s="330"/>
      <c r="AI50" s="331"/>
      <c r="AJ50" s="331"/>
      <c r="AK50" s="331"/>
      <c r="AL50" s="331"/>
      <c r="AM50" s="332"/>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33"/>
      <c r="K51" s="334"/>
      <c r="L51" s="334"/>
      <c r="M51" s="334"/>
      <c r="N51" s="334"/>
      <c r="O51" s="335"/>
      <c r="P51" s="333"/>
      <c r="Q51" s="334"/>
      <c r="R51" s="334"/>
      <c r="S51" s="334"/>
      <c r="T51" s="334"/>
      <c r="U51" s="335"/>
      <c r="V51" s="333"/>
      <c r="W51" s="334"/>
      <c r="X51" s="334"/>
      <c r="Y51" s="334"/>
      <c r="Z51" s="334"/>
      <c r="AA51" s="335"/>
      <c r="AB51" s="333"/>
      <c r="AC51" s="334"/>
      <c r="AD51" s="334"/>
      <c r="AE51" s="334"/>
      <c r="AF51" s="334"/>
      <c r="AG51" s="335"/>
      <c r="AH51" s="333"/>
      <c r="AI51" s="334"/>
      <c r="AJ51" s="334"/>
      <c r="AK51" s="334"/>
      <c r="AL51" s="334"/>
      <c r="AM51" s="335"/>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03" t="s">
        <v>148</v>
      </c>
      <c r="C2" s="404"/>
      <c r="D2" s="404"/>
      <c r="E2" s="404"/>
      <c r="F2" s="404"/>
      <c r="G2" s="404"/>
      <c r="H2" s="404"/>
      <c r="I2" s="404"/>
      <c r="J2" s="343" t="s">
        <v>2</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04"/>
      <c r="C3" s="404"/>
      <c r="D3" s="404"/>
      <c r="E3" s="404"/>
      <c r="F3" s="404"/>
      <c r="G3" s="404"/>
      <c r="H3" s="404"/>
      <c r="I3" s="404"/>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04"/>
      <c r="C4" s="404"/>
      <c r="D4" s="404"/>
      <c r="E4" s="404"/>
      <c r="F4" s="404"/>
      <c r="G4" s="404"/>
      <c r="H4" s="404"/>
      <c r="I4" s="404"/>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289" t="s">
        <v>4</v>
      </c>
      <c r="C6" s="289"/>
      <c r="D6" s="290"/>
      <c r="E6" s="386" t="s">
        <v>110</v>
      </c>
      <c r="F6" s="387"/>
      <c r="G6" s="387"/>
      <c r="H6" s="387"/>
      <c r="I6" s="405"/>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8"/>
      <c r="AO6" s="394" t="s">
        <v>77</v>
      </c>
      <c r="AP6" s="395"/>
      <c r="AQ6" s="395"/>
      <c r="AR6" s="395"/>
      <c r="AS6" s="395"/>
      <c r="AT6" s="396"/>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289"/>
      <c r="C7" s="289"/>
      <c r="D7" s="290"/>
      <c r="E7" s="390"/>
      <c r="F7" s="391"/>
      <c r="G7" s="391"/>
      <c r="H7" s="391"/>
      <c r="I7" s="406"/>
      <c r="J7" s="36" t="str">
        <f ca="1">IF(AND('Mapa final'!$AA$13="Muy Alta",'Mapa final'!$AC$13="Leve"),CONCATENATE("R2C",'Mapa final'!$Q$13),"")</f>
        <v/>
      </c>
      <c r="K7" s="37" t="str">
        <f ca="1">IF(AND('Mapa final'!$AA$14="Muy Alta",'Mapa final'!$AC$14="Leve"),CONCATENATE("R2C",'Mapa final'!$Q$14),"")</f>
        <v/>
      </c>
      <c r="L7" s="37" t="str">
        <f ca="1">IF(AND('Mapa final'!$AA$15="Muy Alta",'Mapa final'!$AC$15="Leve"),CONCATENATE("R2C",'Mapa final'!$Q$15),"")</f>
        <v/>
      </c>
      <c r="M7" s="37" t="e">
        <f>IF(AND('Mapa final'!#REF!="Muy Alta",'Mapa final'!#REF!="Leve"),CONCATENATE("R2C",'Mapa final'!#REF!),"")</f>
        <v>#REF!</v>
      </c>
      <c r="N7" s="37" t="str">
        <f>IF(AND('Mapa final'!$AA$16="Muy Alta",'Mapa final'!$AC$16="Leve"),CONCATENATE("R2C",'Mapa final'!$Q$16),"")</f>
        <v/>
      </c>
      <c r="O7" s="38" t="str">
        <f>IF(AND('Mapa final'!$AA$17="Muy Alta",'Mapa final'!$AC$17="Leve"),CONCATENATE("R2C",'Mapa final'!$Q$17),"")</f>
        <v/>
      </c>
      <c r="P7" s="36" t="str">
        <f ca="1">IF(AND('Mapa final'!$AA$13="Muy Alta",'Mapa final'!$AC$13="Menor"),CONCATENATE("R2C",'Mapa final'!$Q$13),"")</f>
        <v/>
      </c>
      <c r="Q7" s="37" t="str">
        <f ca="1">IF(AND('Mapa final'!$AA$14="Muy Alta",'Mapa final'!$AC$14="Menor"),CONCATENATE("R2C",'Mapa final'!$Q$14),"")</f>
        <v/>
      </c>
      <c r="R7" s="37" t="str">
        <f ca="1">IF(AND('Mapa final'!$AA$15="Muy Alta",'Mapa final'!$AC$15="Menor"),CONCATENATE("R2C",'Mapa final'!$Q$15),"")</f>
        <v/>
      </c>
      <c r="S7" s="37" t="e">
        <f>IF(AND('Mapa final'!#REF!="Muy Alta",'Mapa final'!#REF!="Menor"),CONCATENATE("R2C",'Mapa final'!#REF!),"")</f>
        <v>#REF!</v>
      </c>
      <c r="T7" s="37" t="str">
        <f>IF(AND('Mapa final'!$AA$16="Muy Alta",'Mapa final'!$AC$16="Menor"),CONCATENATE("R2C",'Mapa final'!$Q$16),"")</f>
        <v/>
      </c>
      <c r="U7" s="38" t="str">
        <f>IF(AND('Mapa final'!$AA$17="Muy Alta",'Mapa final'!$AC$17="Menor"),CONCATENATE("R2C",'Mapa final'!$Q$17),"")</f>
        <v/>
      </c>
      <c r="V7" s="36" t="str">
        <f ca="1">IF(AND('Mapa final'!$AA$13="Muy Alta",'Mapa final'!$AC$13="Moderado"),CONCATENATE("R2C",'Mapa final'!$Q$13),"")</f>
        <v/>
      </c>
      <c r="W7" s="37" t="str">
        <f ca="1">IF(AND('Mapa final'!$AA$14="Muy Alta",'Mapa final'!$AC$14="Moderado"),CONCATENATE("R2C",'Mapa final'!$Q$14),"")</f>
        <v/>
      </c>
      <c r="X7" s="37" t="str">
        <f ca="1">IF(AND('Mapa final'!$AA$15="Muy Alta",'Mapa final'!$AC$15="Moderado"),CONCATENATE("R2C",'Mapa final'!$Q$15),"")</f>
        <v/>
      </c>
      <c r="Y7" s="37" t="e">
        <f>IF(AND('Mapa final'!#REF!="Muy Alta",'Mapa final'!#REF!="Moderado"),CONCATENATE("R2C",'Mapa final'!#REF!),"")</f>
        <v>#REF!</v>
      </c>
      <c r="Z7" s="37" t="str">
        <f>IF(AND('Mapa final'!$AA$16="Muy Alta",'Mapa final'!$AC$16="Moderado"),CONCATENATE("R2C",'Mapa final'!$Q$16),"")</f>
        <v/>
      </c>
      <c r="AA7" s="38" t="str">
        <f>IF(AND('Mapa final'!$AA$17="Muy Alta",'Mapa final'!$AC$17="Moderado"),CONCATENATE("R2C",'Mapa final'!$Q$17),"")</f>
        <v/>
      </c>
      <c r="AB7" s="36" t="str">
        <f ca="1">IF(AND('Mapa final'!$AA$13="Muy Alta",'Mapa final'!$AC$13="Mayor"),CONCATENATE("R2C",'Mapa final'!$Q$13),"")</f>
        <v/>
      </c>
      <c r="AC7" s="37" t="str">
        <f ca="1">IF(AND('Mapa final'!$AA$14="Muy Alta",'Mapa final'!$AC$14="Mayor"),CONCATENATE("R2C",'Mapa final'!$Q$14),"")</f>
        <v/>
      </c>
      <c r="AD7" s="37" t="str">
        <f ca="1">IF(AND('Mapa final'!$AA$15="Muy Alta",'Mapa final'!$AC$15="Mayor"),CONCATENATE("R2C",'Mapa final'!$Q$15),"")</f>
        <v/>
      </c>
      <c r="AE7" s="37" t="e">
        <f>IF(AND('Mapa final'!#REF!="Muy Alta",'Mapa final'!#REF!="Mayor"),CONCATENATE("R2C",'Mapa final'!#REF!),"")</f>
        <v>#REF!</v>
      </c>
      <c r="AF7" s="37" t="str">
        <f>IF(AND('Mapa final'!$AA$16="Muy Alta",'Mapa final'!$AC$16="Mayor"),CONCATENATE("R2C",'Mapa final'!$Q$16),"")</f>
        <v/>
      </c>
      <c r="AG7" s="38" t="str">
        <f>IF(AND('Mapa final'!$AA$17="Muy Alta",'Mapa final'!$AC$17="Mayor"),CONCATENATE("R2C",'Mapa final'!$Q$17),"")</f>
        <v/>
      </c>
      <c r="AH7" s="39" t="str">
        <f ca="1">IF(AND('Mapa final'!$AA$13="Muy Alta",'Mapa final'!$AC$13="Catastrófico"),CONCATENATE("R2C",'Mapa final'!$Q$13),"")</f>
        <v/>
      </c>
      <c r="AI7" s="40" t="str">
        <f ca="1">IF(AND('Mapa final'!$AA$14="Muy Alta",'Mapa final'!$AC$14="Catastrófico"),CONCATENATE("R2C",'Mapa final'!$Q$14),"")</f>
        <v/>
      </c>
      <c r="AJ7" s="40" t="str">
        <f ca="1">IF(AND('Mapa final'!$AA$15="Muy Alta",'Mapa final'!$AC$15="Catastrófico"),CONCATENATE("R2C",'Mapa final'!$Q$15),"")</f>
        <v/>
      </c>
      <c r="AK7" s="40" t="e">
        <f>IF(AND('Mapa final'!#REF!="Muy Alta",'Mapa final'!#REF!="Catastrófico"),CONCATENATE("R2C",'Mapa final'!#REF!),"")</f>
        <v>#REF!</v>
      </c>
      <c r="AL7" s="40" t="str">
        <f>IF(AND('Mapa final'!$AA$16="Muy Alta",'Mapa final'!$AC$16="Catastrófico"),CONCATENATE("R2C",'Mapa final'!$Q$16),"")</f>
        <v/>
      </c>
      <c r="AM7" s="41" t="str">
        <f>IF(AND('Mapa final'!$AA$17="Muy Alta",'Mapa final'!$AC$17="Catastrófico"),CONCATENATE("R2C",'Mapa final'!$Q$17),"")</f>
        <v/>
      </c>
      <c r="AN7" s="68"/>
      <c r="AO7" s="397"/>
      <c r="AP7" s="398"/>
      <c r="AQ7" s="398"/>
      <c r="AR7" s="398"/>
      <c r="AS7" s="398"/>
      <c r="AT7" s="399"/>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289"/>
      <c r="C8" s="289"/>
      <c r="D8" s="290"/>
      <c r="E8" s="390"/>
      <c r="F8" s="391"/>
      <c r="G8" s="391"/>
      <c r="H8" s="391"/>
      <c r="I8" s="406"/>
      <c r="J8" s="36" t="str">
        <f>IF(AND('Mapa final'!$AA$18="Muy Alta",'Mapa final'!$AC$18="Leve"),CONCATENATE("R3C",'Mapa final'!$Q$18),"")</f>
        <v/>
      </c>
      <c r="K8" s="37" t="str">
        <f>IF(AND('Mapa final'!$AA$19="Muy Alta",'Mapa final'!$AC$19="Leve"),CONCATENATE("R3C",'Mapa final'!$Q$19),"")</f>
        <v/>
      </c>
      <c r="L8" s="37" t="str">
        <f>IF(AND('Mapa final'!$AA$20="Muy Alta",'Mapa final'!$AC$20="Leve"),CONCATENATE("R3C",'Mapa final'!$Q$20),"")</f>
        <v/>
      </c>
      <c r="M8" s="37" t="str">
        <f>IF(AND('Mapa final'!$AA$21="Muy Alta",'Mapa final'!$AC$21="Leve"),CONCATENATE("R3C",'Mapa final'!$Q$21),"")</f>
        <v/>
      </c>
      <c r="N8" s="37" t="str">
        <f>IF(AND('Mapa final'!$AA$22="Muy Alta",'Mapa final'!$AC$22="Leve"),CONCATENATE("R3C",'Mapa final'!$Q$22),"")</f>
        <v/>
      </c>
      <c r="O8" s="38" t="str">
        <f>IF(AND('Mapa final'!$AA$23="Muy Alta",'Mapa final'!$AC$23="Leve"),CONCATENATE("R3C",'Mapa final'!$Q$23),"")</f>
        <v/>
      </c>
      <c r="P8" s="36" t="str">
        <f>IF(AND('Mapa final'!$AA$18="Muy Alta",'Mapa final'!$AC$18="Menor"),CONCATENATE("R3C",'Mapa final'!$Q$18),"")</f>
        <v/>
      </c>
      <c r="Q8" s="37" t="str">
        <f>IF(AND('Mapa final'!$AA$19="Muy Alta",'Mapa final'!$AC$19="Menor"),CONCATENATE("R3C",'Mapa final'!$Q$19),"")</f>
        <v/>
      </c>
      <c r="R8" s="37" t="str">
        <f>IF(AND('Mapa final'!$AA$20="Muy Alta",'Mapa final'!$AC$20="Menor"),CONCATENATE("R3C",'Mapa final'!$Q$20),"")</f>
        <v/>
      </c>
      <c r="S8" s="37" t="str">
        <f>IF(AND('Mapa final'!$AA$21="Muy Alta",'Mapa final'!$AC$21="Menor"),CONCATENATE("R3C",'Mapa final'!$Q$21),"")</f>
        <v/>
      </c>
      <c r="T8" s="37" t="str">
        <f>IF(AND('Mapa final'!$AA$22="Muy Alta",'Mapa final'!$AC$22="Menor"),CONCATENATE("R3C",'Mapa final'!$Q$22),"")</f>
        <v/>
      </c>
      <c r="U8" s="38" t="str">
        <f>IF(AND('Mapa final'!$AA$23="Muy Alta",'Mapa final'!$AC$23="Menor"),CONCATENATE("R3C",'Mapa final'!$Q$23),"")</f>
        <v/>
      </c>
      <c r="V8" s="36" t="str">
        <f>IF(AND('Mapa final'!$AA$18="Muy Alta",'Mapa final'!$AC$18="Moderado"),CONCATENATE("R3C",'Mapa final'!$Q$18),"")</f>
        <v/>
      </c>
      <c r="W8" s="37" t="str">
        <f>IF(AND('Mapa final'!$AA$19="Muy Alta",'Mapa final'!$AC$19="Moderado"),CONCATENATE("R3C",'Mapa final'!$Q$19),"")</f>
        <v/>
      </c>
      <c r="X8" s="37" t="str">
        <f>IF(AND('Mapa final'!$AA$20="Muy Alta",'Mapa final'!$AC$20="Moderado"),CONCATENATE("R3C",'Mapa final'!$Q$20),"")</f>
        <v/>
      </c>
      <c r="Y8" s="37" t="str">
        <f>IF(AND('Mapa final'!$AA$21="Muy Alta",'Mapa final'!$AC$21="Moderado"),CONCATENATE("R3C",'Mapa final'!$Q$21),"")</f>
        <v/>
      </c>
      <c r="Z8" s="37" t="str">
        <f>IF(AND('Mapa final'!$AA$22="Muy Alta",'Mapa final'!$AC$22="Moderado"),CONCATENATE("R3C",'Mapa final'!$Q$22),"")</f>
        <v/>
      </c>
      <c r="AA8" s="38" t="str">
        <f>IF(AND('Mapa final'!$AA$23="Muy Alta",'Mapa final'!$AC$23="Moderado"),CONCATENATE("R3C",'Mapa final'!$Q$23),"")</f>
        <v/>
      </c>
      <c r="AB8" s="36" t="str">
        <f>IF(AND('Mapa final'!$AA$18="Muy Alta",'Mapa final'!$AC$18="Mayor"),CONCATENATE("R3C",'Mapa final'!$Q$18),"")</f>
        <v/>
      </c>
      <c r="AC8" s="37" t="str">
        <f>IF(AND('Mapa final'!$AA$19="Muy Alta",'Mapa final'!$AC$19="Mayor"),CONCATENATE("R3C",'Mapa final'!$Q$19),"")</f>
        <v/>
      </c>
      <c r="AD8" s="37" t="str">
        <f>IF(AND('Mapa final'!$AA$20="Muy Alta",'Mapa final'!$AC$20="Mayor"),CONCATENATE("R3C",'Mapa final'!$Q$20),"")</f>
        <v/>
      </c>
      <c r="AE8" s="37" t="str">
        <f>IF(AND('Mapa final'!$AA$21="Muy Alta",'Mapa final'!$AC$21="Mayor"),CONCATENATE("R3C",'Mapa final'!$Q$21),"")</f>
        <v/>
      </c>
      <c r="AF8" s="37" t="str">
        <f>IF(AND('Mapa final'!$AA$22="Muy Alta",'Mapa final'!$AC$22="Mayor"),CONCATENATE("R3C",'Mapa final'!$Q$22),"")</f>
        <v/>
      </c>
      <c r="AG8" s="38" t="str">
        <f>IF(AND('Mapa final'!$AA$23="Muy Alta",'Mapa final'!$AC$23="Mayor"),CONCATENATE("R3C",'Mapa final'!$Q$23),"")</f>
        <v/>
      </c>
      <c r="AH8" s="39" t="str">
        <f>IF(AND('Mapa final'!$AA$18="Muy Alta",'Mapa final'!$AC$18="Catastrófico"),CONCATENATE("R3C",'Mapa final'!$Q$18),"")</f>
        <v/>
      </c>
      <c r="AI8" s="40" t="str">
        <f>IF(AND('Mapa final'!$AA$19="Muy Alta",'Mapa final'!$AC$19="Catastrófico"),CONCATENATE("R3C",'Mapa final'!$Q$19),"")</f>
        <v/>
      </c>
      <c r="AJ8" s="40" t="str">
        <f>IF(AND('Mapa final'!$AA$20="Muy Alta",'Mapa final'!$AC$20="Catastrófico"),CONCATENATE("R3C",'Mapa final'!$Q$20),"")</f>
        <v/>
      </c>
      <c r="AK8" s="40" t="str">
        <f>IF(AND('Mapa final'!$AA$21="Muy Alta",'Mapa final'!$AC$21="Catastrófico"),CONCATENATE("R3C",'Mapa final'!$Q$21),"")</f>
        <v/>
      </c>
      <c r="AL8" s="40" t="str">
        <f>IF(AND('Mapa final'!$AA$22="Muy Alta",'Mapa final'!$AC$22="Catastrófico"),CONCATENATE("R3C",'Mapa final'!$Q$22),"")</f>
        <v/>
      </c>
      <c r="AM8" s="41" t="str">
        <f>IF(AND('Mapa final'!$AA$23="Muy Alta",'Mapa final'!$AC$23="Catastrófico"),CONCATENATE("R3C",'Mapa final'!$Q$23),"")</f>
        <v/>
      </c>
      <c r="AN8" s="68"/>
      <c r="AO8" s="397"/>
      <c r="AP8" s="398"/>
      <c r="AQ8" s="398"/>
      <c r="AR8" s="398"/>
      <c r="AS8" s="398"/>
      <c r="AT8" s="399"/>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289"/>
      <c r="C9" s="289"/>
      <c r="D9" s="290"/>
      <c r="E9" s="390"/>
      <c r="F9" s="391"/>
      <c r="G9" s="391"/>
      <c r="H9" s="391"/>
      <c r="I9" s="406"/>
      <c r="J9" s="36" t="str">
        <f>IF(AND('Mapa final'!$AA$24="Muy Alta",'Mapa final'!$AC$24="Leve"),CONCATENATE("R4C",'Mapa final'!$Q$24),"")</f>
        <v/>
      </c>
      <c r="K9" s="37" t="str">
        <f>IF(AND('Mapa final'!$AA$25="Muy Alta",'Mapa final'!$AC$25="Leve"),CONCATENATE("R4C",'Mapa final'!$Q$25),"")</f>
        <v/>
      </c>
      <c r="L9" s="42" t="str">
        <f>IF(AND('Mapa final'!$AA$26="Muy Alta",'Mapa final'!$AC$26="Leve"),CONCATENATE("R4C",'Mapa final'!$Q$26),"")</f>
        <v/>
      </c>
      <c r="M9" s="42" t="str">
        <f>IF(AND('Mapa final'!$AA$27="Muy Alta",'Mapa final'!$AC$27="Leve"),CONCATENATE("R4C",'Mapa final'!$Q$27),"")</f>
        <v/>
      </c>
      <c r="N9" s="42" t="str">
        <f>IF(AND('Mapa final'!$AA$28="Muy Alta",'Mapa final'!$AC$28="Leve"),CONCATENATE("R4C",'Mapa final'!$Q$28),"")</f>
        <v/>
      </c>
      <c r="O9" s="38" t="str">
        <f>IF(AND('Mapa final'!$AA$29="Muy Alta",'Mapa final'!$AC$29="Leve"),CONCATENATE("R4C",'Mapa final'!$Q$29),"")</f>
        <v/>
      </c>
      <c r="P9" s="36" t="str">
        <f>IF(AND('Mapa final'!$AA$24="Muy Alta",'Mapa final'!$AC$24="Menor"),CONCATENATE("R4C",'Mapa final'!$Q$24),"")</f>
        <v/>
      </c>
      <c r="Q9" s="37" t="str">
        <f>IF(AND('Mapa final'!$AA$25="Muy Alta",'Mapa final'!$AC$25="Menor"),CONCATENATE("R4C",'Mapa final'!$Q$25),"")</f>
        <v/>
      </c>
      <c r="R9" s="42" t="str">
        <f>IF(AND('Mapa final'!$AA$26="Muy Alta",'Mapa final'!$AC$26="Menor"),CONCATENATE("R4C",'Mapa final'!$Q$26),"")</f>
        <v/>
      </c>
      <c r="S9" s="42" t="str">
        <f>IF(AND('Mapa final'!$AA$27="Muy Alta",'Mapa final'!$AC$27="Menor"),CONCATENATE("R4C",'Mapa final'!$Q$27),"")</f>
        <v/>
      </c>
      <c r="T9" s="42" t="str">
        <f>IF(AND('Mapa final'!$AA$28="Muy Alta",'Mapa final'!$AC$28="Menor"),CONCATENATE("R4C",'Mapa final'!$Q$28),"")</f>
        <v/>
      </c>
      <c r="U9" s="38" t="str">
        <f>IF(AND('Mapa final'!$AA$29="Muy Alta",'Mapa final'!$AC$29="Menor"),CONCATENATE("R4C",'Mapa final'!$Q$29),"")</f>
        <v/>
      </c>
      <c r="V9" s="36" t="str">
        <f>IF(AND('Mapa final'!$AA$24="Muy Alta",'Mapa final'!$AC$24="Moderado"),CONCATENATE("R4C",'Mapa final'!$Q$24),"")</f>
        <v/>
      </c>
      <c r="W9" s="37" t="str">
        <f>IF(AND('Mapa final'!$AA$25="Muy Alta",'Mapa final'!$AC$25="Moderado"),CONCATENATE("R4C",'Mapa final'!$Q$25),"")</f>
        <v/>
      </c>
      <c r="X9" s="42" t="str">
        <f>IF(AND('Mapa final'!$AA$26="Muy Alta",'Mapa final'!$AC$26="Moderado"),CONCATENATE("R4C",'Mapa final'!$Q$26),"")</f>
        <v/>
      </c>
      <c r="Y9" s="42" t="str">
        <f>IF(AND('Mapa final'!$AA$27="Muy Alta",'Mapa final'!$AC$27="Moderado"),CONCATENATE("R4C",'Mapa final'!$Q$27),"")</f>
        <v/>
      </c>
      <c r="Z9" s="42" t="str">
        <f>IF(AND('Mapa final'!$AA$28="Muy Alta",'Mapa final'!$AC$28="Moderado"),CONCATENATE("R4C",'Mapa final'!$Q$28),"")</f>
        <v/>
      </c>
      <c r="AA9" s="38" t="str">
        <f>IF(AND('Mapa final'!$AA$29="Muy Alta",'Mapa final'!$AC$29="Moderado"),CONCATENATE("R4C",'Mapa final'!$Q$29),"")</f>
        <v/>
      </c>
      <c r="AB9" s="36" t="str">
        <f>IF(AND('Mapa final'!$AA$24="Muy Alta",'Mapa final'!$AC$24="Mayor"),CONCATENATE("R4C",'Mapa final'!$Q$24),"")</f>
        <v/>
      </c>
      <c r="AC9" s="37" t="str">
        <f>IF(AND('Mapa final'!$AA$25="Muy Alta",'Mapa final'!$AC$25="Mayor"),CONCATENATE("R4C",'Mapa final'!$Q$25),"")</f>
        <v/>
      </c>
      <c r="AD9" s="42" t="str">
        <f>IF(AND('Mapa final'!$AA$26="Muy Alta",'Mapa final'!$AC$26="Mayor"),CONCATENATE("R4C",'Mapa final'!$Q$26),"")</f>
        <v/>
      </c>
      <c r="AE9" s="42" t="str">
        <f>IF(AND('Mapa final'!$AA$27="Muy Alta",'Mapa final'!$AC$27="Mayor"),CONCATENATE("R4C",'Mapa final'!$Q$27),"")</f>
        <v/>
      </c>
      <c r="AF9" s="42" t="str">
        <f>IF(AND('Mapa final'!$AA$28="Muy Alta",'Mapa final'!$AC$28="Mayor"),CONCATENATE("R4C",'Mapa final'!$Q$28),"")</f>
        <v/>
      </c>
      <c r="AG9" s="38" t="str">
        <f>IF(AND('Mapa final'!$AA$29="Muy Alta",'Mapa final'!$AC$29="Mayor"),CONCATENATE("R4C",'Mapa final'!$Q$29),"")</f>
        <v/>
      </c>
      <c r="AH9" s="39" t="str">
        <f>IF(AND('Mapa final'!$AA$24="Muy Alta",'Mapa final'!$AC$24="Catastrófico"),CONCATENATE("R4C",'Mapa final'!$Q$24),"")</f>
        <v/>
      </c>
      <c r="AI9" s="40" t="str">
        <f>IF(AND('Mapa final'!$AA$25="Muy Alta",'Mapa final'!$AC$25="Catastrófico"),CONCATENATE("R4C",'Mapa final'!$Q$25),"")</f>
        <v/>
      </c>
      <c r="AJ9" s="40" t="str">
        <f>IF(AND('Mapa final'!$AA$26="Muy Alta",'Mapa final'!$AC$26="Catastrófico"),CONCATENATE("R4C",'Mapa final'!$Q$26),"")</f>
        <v/>
      </c>
      <c r="AK9" s="40" t="str">
        <f>IF(AND('Mapa final'!$AA$27="Muy Alta",'Mapa final'!$AC$27="Catastrófico"),CONCATENATE("R4C",'Mapa final'!$Q$27),"")</f>
        <v/>
      </c>
      <c r="AL9" s="40" t="str">
        <f>IF(AND('Mapa final'!$AA$28="Muy Alta",'Mapa final'!$AC$28="Catastrófico"),CONCATENATE("R4C",'Mapa final'!$Q$28),"")</f>
        <v/>
      </c>
      <c r="AM9" s="41" t="str">
        <f>IF(AND('Mapa final'!$AA$29="Muy Alta",'Mapa final'!$AC$29="Catastrófico"),CONCATENATE("R4C",'Mapa final'!$Q$29),"")</f>
        <v/>
      </c>
      <c r="AN9" s="68"/>
      <c r="AO9" s="397"/>
      <c r="AP9" s="398"/>
      <c r="AQ9" s="398"/>
      <c r="AR9" s="398"/>
      <c r="AS9" s="398"/>
      <c r="AT9" s="399"/>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289"/>
      <c r="C10" s="289"/>
      <c r="D10" s="290"/>
      <c r="E10" s="390"/>
      <c r="F10" s="391"/>
      <c r="G10" s="391"/>
      <c r="H10" s="391"/>
      <c r="I10" s="406"/>
      <c r="J10" s="36" t="str">
        <f>IF(AND('Mapa final'!$AA$30="Muy Alta",'Mapa final'!$AC$30="Leve"),CONCATENATE("R5C",'Mapa final'!$Q$30),"")</f>
        <v/>
      </c>
      <c r="K10" s="37" t="str">
        <f>IF(AND('Mapa final'!$AA$31="Muy Alta",'Mapa final'!$AC$31="Leve"),CONCATENATE("R5C",'Mapa final'!$Q$31),"")</f>
        <v/>
      </c>
      <c r="L10" s="42" t="str">
        <f>IF(AND('Mapa final'!$AA$32="Muy Alta",'Mapa final'!$AC$32="Leve"),CONCATENATE("R5C",'Mapa final'!$Q$32),"")</f>
        <v/>
      </c>
      <c r="M10" s="42" t="str">
        <f>IF(AND('Mapa final'!$AA$33="Muy Alta",'Mapa final'!$AC$33="Leve"),CONCATENATE("R5C",'Mapa final'!$Q$33),"")</f>
        <v/>
      </c>
      <c r="N10" s="42" t="str">
        <f>IF(AND('Mapa final'!$AA$34="Muy Alta",'Mapa final'!$AC$34="Leve"),CONCATENATE("R5C",'Mapa final'!$Q$34),"")</f>
        <v/>
      </c>
      <c r="O10" s="38" t="str">
        <f>IF(AND('Mapa final'!$AA$35="Muy Alta",'Mapa final'!$AC$35="Leve"),CONCATENATE("R5C",'Mapa final'!$Q$35),"")</f>
        <v/>
      </c>
      <c r="P10" s="36" t="str">
        <f>IF(AND('Mapa final'!$AA$30="Muy Alta",'Mapa final'!$AC$30="Menor"),CONCATENATE("R5C",'Mapa final'!$Q$30),"")</f>
        <v/>
      </c>
      <c r="Q10" s="37" t="str">
        <f>IF(AND('Mapa final'!$AA$31="Muy Alta",'Mapa final'!$AC$31="Menor"),CONCATENATE("R5C",'Mapa final'!$Q$31),"")</f>
        <v/>
      </c>
      <c r="R10" s="42" t="str">
        <f>IF(AND('Mapa final'!$AA$32="Muy Alta",'Mapa final'!$AC$32="Menor"),CONCATENATE("R5C",'Mapa final'!$Q$32),"")</f>
        <v/>
      </c>
      <c r="S10" s="42" t="str">
        <f>IF(AND('Mapa final'!$AA$33="Muy Alta",'Mapa final'!$AC$33="Menor"),CONCATENATE("R5C",'Mapa final'!$Q$33),"")</f>
        <v/>
      </c>
      <c r="T10" s="42" t="str">
        <f>IF(AND('Mapa final'!$AA$34="Muy Alta",'Mapa final'!$AC$34="Menor"),CONCATENATE("R5C",'Mapa final'!$Q$34),"")</f>
        <v/>
      </c>
      <c r="U10" s="38" t="str">
        <f>IF(AND('Mapa final'!$AA$35="Muy Alta",'Mapa final'!$AC$35="Menor"),CONCATENATE("R5C",'Mapa final'!$Q$35),"")</f>
        <v/>
      </c>
      <c r="V10" s="36" t="str">
        <f>IF(AND('Mapa final'!$AA$30="Muy Alta",'Mapa final'!$AC$30="Moderado"),CONCATENATE("R5C",'Mapa final'!$Q$30),"")</f>
        <v/>
      </c>
      <c r="W10" s="37" t="str">
        <f>IF(AND('Mapa final'!$AA$31="Muy Alta",'Mapa final'!$AC$31="Moderado"),CONCATENATE("R5C",'Mapa final'!$Q$31),"")</f>
        <v/>
      </c>
      <c r="X10" s="42" t="str">
        <f>IF(AND('Mapa final'!$AA$32="Muy Alta",'Mapa final'!$AC$32="Moderado"),CONCATENATE("R5C",'Mapa final'!$Q$32),"")</f>
        <v/>
      </c>
      <c r="Y10" s="42" t="str">
        <f>IF(AND('Mapa final'!$AA$33="Muy Alta",'Mapa final'!$AC$33="Moderado"),CONCATENATE("R5C",'Mapa final'!$Q$33),"")</f>
        <v/>
      </c>
      <c r="Z10" s="42" t="str">
        <f>IF(AND('Mapa final'!$AA$34="Muy Alta",'Mapa final'!$AC$34="Moderado"),CONCATENATE("R5C",'Mapa final'!$Q$34),"")</f>
        <v/>
      </c>
      <c r="AA10" s="38" t="str">
        <f>IF(AND('Mapa final'!$AA$35="Muy Alta",'Mapa final'!$AC$35="Moderado"),CONCATENATE("R5C",'Mapa final'!$Q$35),"")</f>
        <v/>
      </c>
      <c r="AB10" s="36" t="str">
        <f>IF(AND('Mapa final'!$AA$30="Muy Alta",'Mapa final'!$AC$30="Mayor"),CONCATENATE("R5C",'Mapa final'!$Q$30),"")</f>
        <v/>
      </c>
      <c r="AC10" s="37" t="str">
        <f>IF(AND('Mapa final'!$AA$31="Muy Alta",'Mapa final'!$AC$31="Mayor"),CONCATENATE("R5C",'Mapa final'!$Q$31),"")</f>
        <v/>
      </c>
      <c r="AD10" s="42" t="str">
        <f>IF(AND('Mapa final'!$AA$32="Muy Alta",'Mapa final'!$AC$32="Mayor"),CONCATENATE("R5C",'Mapa final'!$Q$32),"")</f>
        <v/>
      </c>
      <c r="AE10" s="42" t="str">
        <f>IF(AND('Mapa final'!$AA$33="Muy Alta",'Mapa final'!$AC$33="Mayor"),CONCATENATE("R5C",'Mapa final'!$Q$33),"")</f>
        <v/>
      </c>
      <c r="AF10" s="42" t="str">
        <f>IF(AND('Mapa final'!$AA$34="Muy Alta",'Mapa final'!$AC$34="Mayor"),CONCATENATE("R5C",'Mapa final'!$Q$34),"")</f>
        <v/>
      </c>
      <c r="AG10" s="38" t="str">
        <f>IF(AND('Mapa final'!$AA$35="Muy Alta",'Mapa final'!$AC$35="Mayor"),CONCATENATE("R5C",'Mapa final'!$Q$35),"")</f>
        <v/>
      </c>
      <c r="AH10" s="39" t="str">
        <f>IF(AND('Mapa final'!$AA$30="Muy Alta",'Mapa final'!$AC$30="Catastrófico"),CONCATENATE("R5C",'Mapa final'!$Q$30),"")</f>
        <v/>
      </c>
      <c r="AI10" s="40" t="str">
        <f>IF(AND('Mapa final'!$AA$31="Muy Alta",'Mapa final'!$AC$31="Catastrófico"),CONCATENATE("R5C",'Mapa final'!$Q$31),"")</f>
        <v/>
      </c>
      <c r="AJ10" s="40" t="str">
        <f>IF(AND('Mapa final'!$AA$32="Muy Alta",'Mapa final'!$AC$32="Catastrófico"),CONCATENATE("R5C",'Mapa final'!$Q$32),"")</f>
        <v/>
      </c>
      <c r="AK10" s="40" t="str">
        <f>IF(AND('Mapa final'!$AA$33="Muy Alta",'Mapa final'!$AC$33="Catastrófico"),CONCATENATE("R5C",'Mapa final'!$Q$33),"")</f>
        <v/>
      </c>
      <c r="AL10" s="40" t="str">
        <f>IF(AND('Mapa final'!$AA$34="Muy Alta",'Mapa final'!$AC$34="Catastrófico"),CONCATENATE("R5C",'Mapa final'!$Q$34),"")</f>
        <v/>
      </c>
      <c r="AM10" s="41" t="str">
        <f>IF(AND('Mapa final'!$AA$35="Muy Alta",'Mapa final'!$AC$35="Catastrófico"),CONCATENATE("R5C",'Mapa final'!$Q$35),"")</f>
        <v/>
      </c>
      <c r="AN10" s="68"/>
      <c r="AO10" s="397"/>
      <c r="AP10" s="398"/>
      <c r="AQ10" s="398"/>
      <c r="AR10" s="398"/>
      <c r="AS10" s="398"/>
      <c r="AT10" s="399"/>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289"/>
      <c r="C11" s="289"/>
      <c r="D11" s="290"/>
      <c r="E11" s="390"/>
      <c r="F11" s="391"/>
      <c r="G11" s="391"/>
      <c r="H11" s="391"/>
      <c r="I11" s="406"/>
      <c r="J11" s="36" t="str">
        <f>IF(AND('Mapa final'!$AA$36="Muy Alta",'Mapa final'!$AC$36="Leve"),CONCATENATE("R6C",'Mapa final'!$Q$36),"")</f>
        <v/>
      </c>
      <c r="K11" s="37" t="str">
        <f>IF(AND('Mapa final'!$AA$37="Muy Alta",'Mapa final'!$AC$37="Leve"),CONCATENATE("R6C",'Mapa final'!$Q$37),"")</f>
        <v/>
      </c>
      <c r="L11" s="42" t="str">
        <f>IF(AND('Mapa final'!$AA$38="Muy Alta",'Mapa final'!$AC$38="Leve"),CONCATENATE("R6C",'Mapa final'!$Q$38),"")</f>
        <v/>
      </c>
      <c r="M11" s="42" t="str">
        <f>IF(AND('Mapa final'!$AA$39="Muy Alta",'Mapa final'!$AC$39="Leve"),CONCATENATE("R6C",'Mapa final'!$Q$39),"")</f>
        <v/>
      </c>
      <c r="N11" s="42" t="str">
        <f>IF(AND('Mapa final'!$AA$40="Muy Alta",'Mapa final'!$AC$40="Leve"),CONCATENATE("R6C",'Mapa final'!$Q$40),"")</f>
        <v/>
      </c>
      <c r="O11" s="38" t="str">
        <f>IF(AND('Mapa final'!$AA$41="Muy Alta",'Mapa final'!$AC$41="Leve"),CONCATENATE("R6C",'Mapa final'!$Q$41),"")</f>
        <v/>
      </c>
      <c r="P11" s="36" t="str">
        <f>IF(AND('Mapa final'!$AA$36="Muy Alta",'Mapa final'!$AC$36="Menor"),CONCATENATE("R6C",'Mapa final'!$Q$36),"")</f>
        <v/>
      </c>
      <c r="Q11" s="37" t="str">
        <f>IF(AND('Mapa final'!$AA$37="Muy Alta",'Mapa final'!$AC$37="Menor"),CONCATENATE("R6C",'Mapa final'!$Q$37),"")</f>
        <v/>
      </c>
      <c r="R11" s="42" t="str">
        <f>IF(AND('Mapa final'!$AA$38="Muy Alta",'Mapa final'!$AC$38="Menor"),CONCATENATE("R6C",'Mapa final'!$Q$38),"")</f>
        <v/>
      </c>
      <c r="S11" s="42" t="str">
        <f>IF(AND('Mapa final'!$AA$39="Muy Alta",'Mapa final'!$AC$39="Menor"),CONCATENATE("R6C",'Mapa final'!$Q$39),"")</f>
        <v/>
      </c>
      <c r="T11" s="42" t="str">
        <f>IF(AND('Mapa final'!$AA$40="Muy Alta",'Mapa final'!$AC$40="Menor"),CONCATENATE("R6C",'Mapa final'!$Q$40),"")</f>
        <v/>
      </c>
      <c r="U11" s="38" t="str">
        <f>IF(AND('Mapa final'!$AA$41="Muy Alta",'Mapa final'!$AC$41="Menor"),CONCATENATE("R6C",'Mapa final'!$Q$41),"")</f>
        <v/>
      </c>
      <c r="V11" s="36" t="str">
        <f>IF(AND('Mapa final'!$AA$36="Muy Alta",'Mapa final'!$AC$36="Moderado"),CONCATENATE("R6C",'Mapa final'!$Q$36),"")</f>
        <v/>
      </c>
      <c r="W11" s="37" t="str">
        <f>IF(AND('Mapa final'!$AA$37="Muy Alta",'Mapa final'!$AC$37="Moderado"),CONCATENATE("R6C",'Mapa final'!$Q$37),"")</f>
        <v/>
      </c>
      <c r="X11" s="42" t="str">
        <f>IF(AND('Mapa final'!$AA$38="Muy Alta",'Mapa final'!$AC$38="Moderado"),CONCATENATE("R6C",'Mapa final'!$Q$38),"")</f>
        <v/>
      </c>
      <c r="Y11" s="42" t="str">
        <f>IF(AND('Mapa final'!$AA$39="Muy Alta",'Mapa final'!$AC$39="Moderado"),CONCATENATE("R6C",'Mapa final'!$Q$39),"")</f>
        <v/>
      </c>
      <c r="Z11" s="42" t="str">
        <f>IF(AND('Mapa final'!$AA$40="Muy Alta",'Mapa final'!$AC$40="Moderado"),CONCATENATE("R6C",'Mapa final'!$Q$40),"")</f>
        <v/>
      </c>
      <c r="AA11" s="38" t="str">
        <f>IF(AND('Mapa final'!$AA$41="Muy Alta",'Mapa final'!$AC$41="Moderado"),CONCATENATE("R6C",'Mapa final'!$Q$41),"")</f>
        <v/>
      </c>
      <c r="AB11" s="36" t="str">
        <f>IF(AND('Mapa final'!$AA$36="Muy Alta",'Mapa final'!$AC$36="Mayor"),CONCATENATE("R6C",'Mapa final'!$Q$36),"")</f>
        <v/>
      </c>
      <c r="AC11" s="37" t="str">
        <f>IF(AND('Mapa final'!$AA$37="Muy Alta",'Mapa final'!$AC$37="Mayor"),CONCATENATE("R6C",'Mapa final'!$Q$37),"")</f>
        <v/>
      </c>
      <c r="AD11" s="42" t="str">
        <f>IF(AND('Mapa final'!$AA$38="Muy Alta",'Mapa final'!$AC$38="Mayor"),CONCATENATE("R6C",'Mapa final'!$Q$38),"")</f>
        <v/>
      </c>
      <c r="AE11" s="42" t="str">
        <f>IF(AND('Mapa final'!$AA$39="Muy Alta",'Mapa final'!$AC$39="Mayor"),CONCATENATE("R6C",'Mapa final'!$Q$39),"")</f>
        <v/>
      </c>
      <c r="AF11" s="42" t="str">
        <f>IF(AND('Mapa final'!$AA$40="Muy Alta",'Mapa final'!$AC$40="Mayor"),CONCATENATE("R6C",'Mapa final'!$Q$40),"")</f>
        <v/>
      </c>
      <c r="AG11" s="38" t="str">
        <f>IF(AND('Mapa final'!$AA$41="Muy Alta",'Mapa final'!$AC$41="Mayor"),CONCATENATE("R6C",'Mapa final'!$Q$41),"")</f>
        <v/>
      </c>
      <c r="AH11" s="39" t="str">
        <f>IF(AND('Mapa final'!$AA$36="Muy Alta",'Mapa final'!$AC$36="Catastrófico"),CONCATENATE("R6C",'Mapa final'!$Q$36),"")</f>
        <v/>
      </c>
      <c r="AI11" s="40" t="str">
        <f>IF(AND('Mapa final'!$AA$37="Muy Alta",'Mapa final'!$AC$37="Catastrófico"),CONCATENATE("R6C",'Mapa final'!$Q$37),"")</f>
        <v/>
      </c>
      <c r="AJ11" s="40" t="str">
        <f>IF(AND('Mapa final'!$AA$38="Muy Alta",'Mapa final'!$AC$38="Catastrófico"),CONCATENATE("R6C",'Mapa final'!$Q$38),"")</f>
        <v/>
      </c>
      <c r="AK11" s="40" t="str">
        <f>IF(AND('Mapa final'!$AA$39="Muy Alta",'Mapa final'!$AC$39="Catastrófico"),CONCATENATE("R6C",'Mapa final'!$Q$39),"")</f>
        <v/>
      </c>
      <c r="AL11" s="40" t="str">
        <f>IF(AND('Mapa final'!$AA$40="Muy Alta",'Mapa final'!$AC$40="Catastrófico"),CONCATENATE("R6C",'Mapa final'!$Q$40),"")</f>
        <v/>
      </c>
      <c r="AM11" s="41" t="str">
        <f>IF(AND('Mapa final'!$AA$41="Muy Alta",'Mapa final'!$AC$41="Catastrófico"),CONCATENATE("R6C",'Mapa final'!$Q$41),"")</f>
        <v/>
      </c>
      <c r="AN11" s="68"/>
      <c r="AO11" s="397"/>
      <c r="AP11" s="398"/>
      <c r="AQ11" s="398"/>
      <c r="AR11" s="398"/>
      <c r="AS11" s="398"/>
      <c r="AT11" s="399"/>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289"/>
      <c r="C12" s="289"/>
      <c r="D12" s="290"/>
      <c r="E12" s="390"/>
      <c r="F12" s="391"/>
      <c r="G12" s="391"/>
      <c r="H12" s="391"/>
      <c r="I12" s="406"/>
      <c r="J12" s="36" t="str">
        <f>IF(AND('Mapa final'!$AA$42="Muy Alta",'Mapa final'!$AC$42="Leve"),CONCATENATE("R7C",'Mapa final'!$Q$42),"")</f>
        <v/>
      </c>
      <c r="K12" s="37" t="str">
        <f>IF(AND('Mapa final'!$AA$43="Muy Alta",'Mapa final'!$AC$43="Leve"),CONCATENATE("R7C",'Mapa final'!$Q$43),"")</f>
        <v/>
      </c>
      <c r="L12" s="42" t="str">
        <f>IF(AND('Mapa final'!$AA$44="Muy Alta",'Mapa final'!$AC$44="Leve"),CONCATENATE("R7C",'Mapa final'!$Q$44),"")</f>
        <v/>
      </c>
      <c r="M12" s="42" t="str">
        <f>IF(AND('Mapa final'!$AA$45="Muy Alta",'Mapa final'!$AC$45="Leve"),CONCATENATE("R7C",'Mapa final'!$Q$45),"")</f>
        <v/>
      </c>
      <c r="N12" s="42" t="str">
        <f>IF(AND('Mapa final'!$AA$46="Muy Alta",'Mapa final'!$AC$46="Leve"),CONCATENATE("R7C",'Mapa final'!$Q$46),"")</f>
        <v/>
      </c>
      <c r="O12" s="38" t="str">
        <f>IF(AND('Mapa final'!$AA$47="Muy Alta",'Mapa final'!$AC$47="Leve"),CONCATENATE("R7C",'Mapa final'!$Q$47),"")</f>
        <v/>
      </c>
      <c r="P12" s="36" t="str">
        <f>IF(AND('Mapa final'!$AA$42="Muy Alta",'Mapa final'!$AC$42="Menor"),CONCATENATE("R7C",'Mapa final'!$Q$42),"")</f>
        <v/>
      </c>
      <c r="Q12" s="37" t="str">
        <f>IF(AND('Mapa final'!$AA$43="Muy Alta",'Mapa final'!$AC$43="Menor"),CONCATENATE("R7C",'Mapa final'!$Q$43),"")</f>
        <v/>
      </c>
      <c r="R12" s="42" t="str">
        <f>IF(AND('Mapa final'!$AA$44="Muy Alta",'Mapa final'!$AC$44="Menor"),CONCATENATE("R7C",'Mapa final'!$Q$44),"")</f>
        <v/>
      </c>
      <c r="S12" s="42" t="str">
        <f>IF(AND('Mapa final'!$AA$45="Muy Alta",'Mapa final'!$AC$45="Menor"),CONCATENATE("R7C",'Mapa final'!$Q$45),"")</f>
        <v/>
      </c>
      <c r="T12" s="42" t="str">
        <f>IF(AND('Mapa final'!$AA$46="Muy Alta",'Mapa final'!$AC$46="Menor"),CONCATENATE("R7C",'Mapa final'!$Q$46),"")</f>
        <v/>
      </c>
      <c r="U12" s="38" t="str">
        <f>IF(AND('Mapa final'!$AA$47="Muy Alta",'Mapa final'!$AC$47="Menor"),CONCATENATE("R7C",'Mapa final'!$Q$47),"")</f>
        <v/>
      </c>
      <c r="V12" s="36" t="str">
        <f>IF(AND('Mapa final'!$AA$42="Muy Alta",'Mapa final'!$AC$42="Moderado"),CONCATENATE("R7C",'Mapa final'!$Q$42),"")</f>
        <v/>
      </c>
      <c r="W12" s="37" t="str">
        <f>IF(AND('Mapa final'!$AA$43="Muy Alta",'Mapa final'!$AC$43="Moderado"),CONCATENATE("R7C",'Mapa final'!$Q$43),"")</f>
        <v/>
      </c>
      <c r="X12" s="42" t="str">
        <f>IF(AND('Mapa final'!$AA$44="Muy Alta",'Mapa final'!$AC$44="Moderado"),CONCATENATE("R7C",'Mapa final'!$Q$44),"")</f>
        <v/>
      </c>
      <c r="Y12" s="42" t="str">
        <f>IF(AND('Mapa final'!$AA$45="Muy Alta",'Mapa final'!$AC$45="Moderado"),CONCATENATE("R7C",'Mapa final'!$Q$45),"")</f>
        <v/>
      </c>
      <c r="Z12" s="42" t="str">
        <f>IF(AND('Mapa final'!$AA$46="Muy Alta",'Mapa final'!$AC$46="Moderado"),CONCATENATE("R7C",'Mapa final'!$Q$46),"")</f>
        <v/>
      </c>
      <c r="AA12" s="38" t="str">
        <f>IF(AND('Mapa final'!$AA$47="Muy Alta",'Mapa final'!$AC$47="Moderado"),CONCATENATE("R7C",'Mapa final'!$Q$47),"")</f>
        <v/>
      </c>
      <c r="AB12" s="36" t="str">
        <f>IF(AND('Mapa final'!$AA$42="Muy Alta",'Mapa final'!$AC$42="Mayor"),CONCATENATE("R7C",'Mapa final'!$Q$42),"")</f>
        <v/>
      </c>
      <c r="AC12" s="37" t="str">
        <f>IF(AND('Mapa final'!$AA$43="Muy Alta",'Mapa final'!$AC$43="Mayor"),CONCATENATE("R7C",'Mapa final'!$Q$43),"")</f>
        <v/>
      </c>
      <c r="AD12" s="42" t="str">
        <f>IF(AND('Mapa final'!$AA$44="Muy Alta",'Mapa final'!$AC$44="Mayor"),CONCATENATE("R7C",'Mapa final'!$Q$44),"")</f>
        <v/>
      </c>
      <c r="AE12" s="42" t="str">
        <f>IF(AND('Mapa final'!$AA$45="Muy Alta",'Mapa final'!$AC$45="Mayor"),CONCATENATE("R7C",'Mapa final'!$Q$45),"")</f>
        <v/>
      </c>
      <c r="AF12" s="42" t="str">
        <f>IF(AND('Mapa final'!$AA$46="Muy Alta",'Mapa final'!$AC$46="Mayor"),CONCATENATE("R7C",'Mapa final'!$Q$46),"")</f>
        <v/>
      </c>
      <c r="AG12" s="38" t="str">
        <f>IF(AND('Mapa final'!$AA$47="Muy Alta",'Mapa final'!$AC$47="Mayor"),CONCATENATE("R7C",'Mapa final'!$Q$47),"")</f>
        <v/>
      </c>
      <c r="AH12" s="39" t="str">
        <f>IF(AND('Mapa final'!$AA$42="Muy Alta",'Mapa final'!$AC$42="Catastrófico"),CONCATENATE("R7C",'Mapa final'!$Q$42),"")</f>
        <v/>
      </c>
      <c r="AI12" s="40" t="str">
        <f>IF(AND('Mapa final'!$AA$43="Muy Alta",'Mapa final'!$AC$43="Catastrófico"),CONCATENATE("R7C",'Mapa final'!$Q$43),"")</f>
        <v/>
      </c>
      <c r="AJ12" s="40" t="str">
        <f>IF(AND('Mapa final'!$AA$44="Muy Alta",'Mapa final'!$AC$44="Catastrófico"),CONCATENATE("R7C",'Mapa final'!$Q$44),"")</f>
        <v/>
      </c>
      <c r="AK12" s="40" t="str">
        <f>IF(AND('Mapa final'!$AA$45="Muy Alta",'Mapa final'!$AC$45="Catastrófico"),CONCATENATE("R7C",'Mapa final'!$Q$45),"")</f>
        <v/>
      </c>
      <c r="AL12" s="40" t="str">
        <f>IF(AND('Mapa final'!$AA$46="Muy Alta",'Mapa final'!$AC$46="Catastrófico"),CONCATENATE("R7C",'Mapa final'!$Q$46),"")</f>
        <v/>
      </c>
      <c r="AM12" s="41" t="str">
        <f>IF(AND('Mapa final'!$AA$47="Muy Alta",'Mapa final'!$AC$47="Catastrófico"),CONCATENATE("R7C",'Mapa final'!$Q$47),"")</f>
        <v/>
      </c>
      <c r="AN12" s="68"/>
      <c r="AO12" s="397"/>
      <c r="AP12" s="398"/>
      <c r="AQ12" s="398"/>
      <c r="AR12" s="398"/>
      <c r="AS12" s="398"/>
      <c r="AT12" s="399"/>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289"/>
      <c r="C13" s="289"/>
      <c r="D13" s="290"/>
      <c r="E13" s="390"/>
      <c r="F13" s="391"/>
      <c r="G13" s="391"/>
      <c r="H13" s="391"/>
      <c r="I13" s="406"/>
      <c r="J13" s="36" t="str">
        <f>IF(AND('Mapa final'!$AA$48="Muy Alta",'Mapa final'!$AC$48="Leve"),CONCATENATE("R8C",'Mapa final'!$Q$48),"")</f>
        <v/>
      </c>
      <c r="K13" s="37" t="str">
        <f>IF(AND('Mapa final'!$AA$49="Muy Alta",'Mapa final'!$AC$49="Leve"),CONCATENATE("R8C",'Mapa final'!$Q$49),"")</f>
        <v/>
      </c>
      <c r="L13" s="42" t="str">
        <f>IF(AND('Mapa final'!$AA$50="Muy Alta",'Mapa final'!$AC$50="Leve"),CONCATENATE("R8C",'Mapa final'!$Q$50),"")</f>
        <v/>
      </c>
      <c r="M13" s="42" t="str">
        <f>IF(AND('Mapa final'!$AA$51="Muy Alta",'Mapa final'!$AC$51="Leve"),CONCATENATE("R8C",'Mapa final'!$Q$51),"")</f>
        <v/>
      </c>
      <c r="N13" s="42" t="str">
        <f>IF(AND('Mapa final'!$AA$52="Muy Alta",'Mapa final'!$AC$52="Leve"),CONCATENATE("R8C",'Mapa final'!$Q$52),"")</f>
        <v/>
      </c>
      <c r="O13" s="38" t="str">
        <f>IF(AND('Mapa final'!$AA$53="Muy Alta",'Mapa final'!$AC$53="Leve"),CONCATENATE("R8C",'Mapa final'!$Q$53),"")</f>
        <v/>
      </c>
      <c r="P13" s="36" t="str">
        <f>IF(AND('Mapa final'!$AA$48="Muy Alta",'Mapa final'!$AC$48="Menor"),CONCATENATE("R8C",'Mapa final'!$Q$48),"")</f>
        <v/>
      </c>
      <c r="Q13" s="37" t="str">
        <f>IF(AND('Mapa final'!$AA$49="Muy Alta",'Mapa final'!$AC$49="Menor"),CONCATENATE("R8C",'Mapa final'!$Q$49),"")</f>
        <v/>
      </c>
      <c r="R13" s="42" t="str">
        <f>IF(AND('Mapa final'!$AA$50="Muy Alta",'Mapa final'!$AC$50="Menor"),CONCATENATE("R8C",'Mapa final'!$Q$50),"")</f>
        <v/>
      </c>
      <c r="S13" s="42" t="str">
        <f>IF(AND('Mapa final'!$AA$51="Muy Alta",'Mapa final'!$AC$51="Menor"),CONCATENATE("R8C",'Mapa final'!$Q$51),"")</f>
        <v/>
      </c>
      <c r="T13" s="42" t="str">
        <f>IF(AND('Mapa final'!$AA$52="Muy Alta",'Mapa final'!$AC$52="Menor"),CONCATENATE("R8C",'Mapa final'!$Q$52),"")</f>
        <v/>
      </c>
      <c r="U13" s="38" t="str">
        <f>IF(AND('Mapa final'!$AA$53="Muy Alta",'Mapa final'!$AC$53="Menor"),CONCATENATE("R8C",'Mapa final'!$Q$53),"")</f>
        <v/>
      </c>
      <c r="V13" s="36" t="str">
        <f>IF(AND('Mapa final'!$AA$48="Muy Alta",'Mapa final'!$AC$48="Moderado"),CONCATENATE("R8C",'Mapa final'!$Q$48),"")</f>
        <v/>
      </c>
      <c r="W13" s="37" t="str">
        <f>IF(AND('Mapa final'!$AA$49="Muy Alta",'Mapa final'!$AC$49="Moderado"),CONCATENATE("R8C",'Mapa final'!$Q$49),"")</f>
        <v/>
      </c>
      <c r="X13" s="42" t="str">
        <f>IF(AND('Mapa final'!$AA$50="Muy Alta",'Mapa final'!$AC$50="Moderado"),CONCATENATE("R8C",'Mapa final'!$Q$50),"")</f>
        <v/>
      </c>
      <c r="Y13" s="42" t="str">
        <f>IF(AND('Mapa final'!$AA$51="Muy Alta",'Mapa final'!$AC$51="Moderado"),CONCATENATE("R8C",'Mapa final'!$Q$51),"")</f>
        <v/>
      </c>
      <c r="Z13" s="42" t="str">
        <f>IF(AND('Mapa final'!$AA$52="Muy Alta",'Mapa final'!$AC$52="Moderado"),CONCATENATE("R8C",'Mapa final'!$Q$52),"")</f>
        <v/>
      </c>
      <c r="AA13" s="38" t="str">
        <f>IF(AND('Mapa final'!$AA$53="Muy Alta",'Mapa final'!$AC$53="Moderado"),CONCATENATE("R8C",'Mapa final'!$Q$53),"")</f>
        <v/>
      </c>
      <c r="AB13" s="36" t="str">
        <f>IF(AND('Mapa final'!$AA$48="Muy Alta",'Mapa final'!$AC$48="Mayor"),CONCATENATE("R8C",'Mapa final'!$Q$48),"")</f>
        <v/>
      </c>
      <c r="AC13" s="37" t="str">
        <f>IF(AND('Mapa final'!$AA$49="Muy Alta",'Mapa final'!$AC$49="Mayor"),CONCATENATE("R8C",'Mapa final'!$Q$49),"")</f>
        <v/>
      </c>
      <c r="AD13" s="42" t="str">
        <f>IF(AND('Mapa final'!$AA$50="Muy Alta",'Mapa final'!$AC$50="Mayor"),CONCATENATE("R8C",'Mapa final'!$Q$50),"")</f>
        <v/>
      </c>
      <c r="AE13" s="42" t="str">
        <f>IF(AND('Mapa final'!$AA$51="Muy Alta",'Mapa final'!$AC$51="Mayor"),CONCATENATE("R8C",'Mapa final'!$Q$51),"")</f>
        <v/>
      </c>
      <c r="AF13" s="42" t="str">
        <f>IF(AND('Mapa final'!$AA$52="Muy Alta",'Mapa final'!$AC$52="Mayor"),CONCATENATE("R8C",'Mapa final'!$Q$52),"")</f>
        <v/>
      </c>
      <c r="AG13" s="38" t="str">
        <f>IF(AND('Mapa final'!$AA$53="Muy Alta",'Mapa final'!$AC$53="Mayor"),CONCATENATE("R8C",'Mapa final'!$Q$53),"")</f>
        <v/>
      </c>
      <c r="AH13" s="39" t="str">
        <f>IF(AND('Mapa final'!$AA$48="Muy Alta",'Mapa final'!$AC$48="Catastrófico"),CONCATENATE("R8C",'Mapa final'!$Q$48),"")</f>
        <v/>
      </c>
      <c r="AI13" s="40" t="str">
        <f>IF(AND('Mapa final'!$AA$49="Muy Alta",'Mapa final'!$AC$49="Catastrófico"),CONCATENATE("R8C",'Mapa final'!$Q$49),"")</f>
        <v/>
      </c>
      <c r="AJ13" s="40" t="str">
        <f>IF(AND('Mapa final'!$AA$50="Muy Alta",'Mapa final'!$AC$50="Catastrófico"),CONCATENATE("R8C",'Mapa final'!$Q$50),"")</f>
        <v/>
      </c>
      <c r="AK13" s="40" t="str">
        <f>IF(AND('Mapa final'!$AA$51="Muy Alta",'Mapa final'!$AC$51="Catastrófico"),CONCATENATE("R8C",'Mapa final'!$Q$51),"")</f>
        <v/>
      </c>
      <c r="AL13" s="40" t="str">
        <f>IF(AND('Mapa final'!$AA$52="Muy Alta",'Mapa final'!$AC$52="Catastrófico"),CONCATENATE("R8C",'Mapa final'!$Q$52),"")</f>
        <v/>
      </c>
      <c r="AM13" s="41" t="str">
        <f>IF(AND('Mapa final'!$AA$53="Muy Alta",'Mapa final'!$AC$53="Catastrófico"),CONCATENATE("R8C",'Mapa final'!$Q$53),"")</f>
        <v/>
      </c>
      <c r="AN13" s="68"/>
      <c r="AO13" s="397"/>
      <c r="AP13" s="398"/>
      <c r="AQ13" s="398"/>
      <c r="AR13" s="398"/>
      <c r="AS13" s="398"/>
      <c r="AT13" s="399"/>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289"/>
      <c r="C14" s="289"/>
      <c r="D14" s="290"/>
      <c r="E14" s="390"/>
      <c r="F14" s="391"/>
      <c r="G14" s="391"/>
      <c r="H14" s="391"/>
      <c r="I14" s="406"/>
      <c r="J14" s="36" t="str">
        <f>IF(AND('Mapa final'!$AA$54="Muy Alta",'Mapa final'!$AC$54="Leve"),CONCATENATE("R9C",'Mapa final'!$Q$54),"")</f>
        <v/>
      </c>
      <c r="K14" s="37" t="str">
        <f>IF(AND('Mapa final'!$AA$55="Muy Alta",'Mapa final'!$AC$55="Leve"),CONCATENATE("R9C",'Mapa final'!$Q$55),"")</f>
        <v/>
      </c>
      <c r="L14" s="42" t="str">
        <f>IF(AND('Mapa final'!$AA$56="Muy Alta",'Mapa final'!$AC$56="Leve"),CONCATENATE("R9C",'Mapa final'!$Q$56),"")</f>
        <v/>
      </c>
      <c r="M14" s="42" t="str">
        <f>IF(AND('Mapa final'!$AA$57="Muy Alta",'Mapa final'!$AC$57="Leve"),CONCATENATE("R9C",'Mapa final'!$Q$57),"")</f>
        <v/>
      </c>
      <c r="N14" s="42" t="str">
        <f>IF(AND('Mapa final'!$AA$58="Muy Alta",'Mapa final'!$AC$58="Leve"),CONCATENATE("R9C",'Mapa final'!$Q$58),"")</f>
        <v/>
      </c>
      <c r="O14" s="38" t="str">
        <f>IF(AND('Mapa final'!$AA$59="Muy Alta",'Mapa final'!$AC$59="Leve"),CONCATENATE("R9C",'Mapa final'!$Q$59),"")</f>
        <v/>
      </c>
      <c r="P14" s="36" t="str">
        <f>IF(AND('Mapa final'!$AA$54="Muy Alta",'Mapa final'!$AC$54="Menor"),CONCATENATE("R9C",'Mapa final'!$Q$54),"")</f>
        <v/>
      </c>
      <c r="Q14" s="37" t="str">
        <f>IF(AND('Mapa final'!$AA$55="Muy Alta",'Mapa final'!$AC$55="Menor"),CONCATENATE("R9C",'Mapa final'!$Q$55),"")</f>
        <v/>
      </c>
      <c r="R14" s="42" t="str">
        <f>IF(AND('Mapa final'!$AA$56="Muy Alta",'Mapa final'!$AC$56="Menor"),CONCATENATE("R9C",'Mapa final'!$Q$56),"")</f>
        <v/>
      </c>
      <c r="S14" s="42" t="str">
        <f>IF(AND('Mapa final'!$AA$57="Muy Alta",'Mapa final'!$AC$57="Menor"),CONCATENATE("R9C",'Mapa final'!$Q$57),"")</f>
        <v/>
      </c>
      <c r="T14" s="42" t="str">
        <f>IF(AND('Mapa final'!$AA$58="Muy Alta",'Mapa final'!$AC$58="Menor"),CONCATENATE("R9C",'Mapa final'!$Q$58),"")</f>
        <v/>
      </c>
      <c r="U14" s="38" t="str">
        <f>IF(AND('Mapa final'!$AA$59="Muy Alta",'Mapa final'!$AC$59="Menor"),CONCATENATE("R9C",'Mapa final'!$Q$59),"")</f>
        <v/>
      </c>
      <c r="V14" s="36" t="str">
        <f>IF(AND('Mapa final'!$AA$54="Muy Alta",'Mapa final'!$AC$54="Moderado"),CONCATENATE("R9C",'Mapa final'!$Q$54),"")</f>
        <v/>
      </c>
      <c r="W14" s="37" t="str">
        <f>IF(AND('Mapa final'!$AA$55="Muy Alta",'Mapa final'!$AC$55="Moderado"),CONCATENATE("R9C",'Mapa final'!$Q$55),"")</f>
        <v/>
      </c>
      <c r="X14" s="42" t="str">
        <f>IF(AND('Mapa final'!$AA$56="Muy Alta",'Mapa final'!$AC$56="Moderado"),CONCATENATE("R9C",'Mapa final'!$Q$56),"")</f>
        <v/>
      </c>
      <c r="Y14" s="42" t="str">
        <f>IF(AND('Mapa final'!$AA$57="Muy Alta",'Mapa final'!$AC$57="Moderado"),CONCATENATE("R9C",'Mapa final'!$Q$57),"")</f>
        <v/>
      </c>
      <c r="Z14" s="42" t="str">
        <f>IF(AND('Mapa final'!$AA$58="Muy Alta",'Mapa final'!$AC$58="Moderado"),CONCATENATE("R9C",'Mapa final'!$Q$58),"")</f>
        <v/>
      </c>
      <c r="AA14" s="38" t="str">
        <f>IF(AND('Mapa final'!$AA$59="Muy Alta",'Mapa final'!$AC$59="Moderado"),CONCATENATE("R9C",'Mapa final'!$Q$59),"")</f>
        <v/>
      </c>
      <c r="AB14" s="36" t="str">
        <f>IF(AND('Mapa final'!$AA$54="Muy Alta",'Mapa final'!$AC$54="Mayor"),CONCATENATE("R9C",'Mapa final'!$Q$54),"")</f>
        <v/>
      </c>
      <c r="AC14" s="37" t="str">
        <f>IF(AND('Mapa final'!$AA$55="Muy Alta",'Mapa final'!$AC$55="Mayor"),CONCATENATE("R9C",'Mapa final'!$Q$55),"")</f>
        <v/>
      </c>
      <c r="AD14" s="42" t="str">
        <f>IF(AND('Mapa final'!$AA$56="Muy Alta",'Mapa final'!$AC$56="Mayor"),CONCATENATE("R9C",'Mapa final'!$Q$56),"")</f>
        <v/>
      </c>
      <c r="AE14" s="42" t="str">
        <f>IF(AND('Mapa final'!$AA$57="Muy Alta",'Mapa final'!$AC$57="Mayor"),CONCATENATE("R9C",'Mapa final'!$Q$57),"")</f>
        <v/>
      </c>
      <c r="AF14" s="42" t="str">
        <f>IF(AND('Mapa final'!$AA$58="Muy Alta",'Mapa final'!$AC$58="Mayor"),CONCATENATE("R9C",'Mapa final'!$Q$58),"")</f>
        <v/>
      </c>
      <c r="AG14" s="38" t="str">
        <f>IF(AND('Mapa final'!$AA$59="Muy Alta",'Mapa final'!$AC$59="Mayor"),CONCATENATE("R9C",'Mapa final'!$Q$59),"")</f>
        <v/>
      </c>
      <c r="AH14" s="39" t="str">
        <f>IF(AND('Mapa final'!$AA$54="Muy Alta",'Mapa final'!$AC$54="Catastrófico"),CONCATENATE("R9C",'Mapa final'!$Q$54),"")</f>
        <v/>
      </c>
      <c r="AI14" s="40" t="str">
        <f>IF(AND('Mapa final'!$AA$55="Muy Alta",'Mapa final'!$AC$55="Catastrófico"),CONCATENATE("R9C",'Mapa final'!$Q$55),"")</f>
        <v/>
      </c>
      <c r="AJ14" s="40" t="str">
        <f>IF(AND('Mapa final'!$AA$56="Muy Alta",'Mapa final'!$AC$56="Catastrófico"),CONCATENATE("R9C",'Mapa final'!$Q$56),"")</f>
        <v/>
      </c>
      <c r="AK14" s="40" t="str">
        <f>IF(AND('Mapa final'!$AA$57="Muy Alta",'Mapa final'!$AC$57="Catastrófico"),CONCATENATE("R9C",'Mapa final'!$Q$57),"")</f>
        <v/>
      </c>
      <c r="AL14" s="40" t="str">
        <f>IF(AND('Mapa final'!$AA$58="Muy Alta",'Mapa final'!$AC$58="Catastrófico"),CONCATENATE("R9C",'Mapa final'!$Q$58),"")</f>
        <v/>
      </c>
      <c r="AM14" s="41" t="str">
        <f>IF(AND('Mapa final'!$AA$59="Muy Alta",'Mapa final'!$AC$59="Catastrófico"),CONCATENATE("R9C",'Mapa final'!$Q$59),"")</f>
        <v/>
      </c>
      <c r="AN14" s="68"/>
      <c r="AO14" s="397"/>
      <c r="AP14" s="398"/>
      <c r="AQ14" s="398"/>
      <c r="AR14" s="398"/>
      <c r="AS14" s="398"/>
      <c r="AT14" s="399"/>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289"/>
      <c r="C15" s="289"/>
      <c r="D15" s="290"/>
      <c r="E15" s="392"/>
      <c r="F15" s="393"/>
      <c r="G15" s="393"/>
      <c r="H15" s="393"/>
      <c r="I15" s="407"/>
      <c r="J15" s="43" t="str">
        <f>IF(AND('Mapa final'!$AA$60="Muy Alta",'Mapa final'!$AC$60="Leve"),CONCATENATE("R10C",'Mapa final'!$Q$60),"")</f>
        <v/>
      </c>
      <c r="K15" s="44" t="str">
        <f>IF(AND('Mapa final'!$AA$61="Muy Alta",'Mapa final'!$AC$61="Leve"),CONCATENATE("R10C",'Mapa final'!$Q$61),"")</f>
        <v/>
      </c>
      <c r="L15" s="44" t="str">
        <f>IF(AND('Mapa final'!$AA$62="Muy Alta",'Mapa final'!$AC$62="Leve"),CONCATENATE("R10C",'Mapa final'!$Q$62),"")</f>
        <v/>
      </c>
      <c r="M15" s="44" t="str">
        <f>IF(AND('Mapa final'!$AA$63="Muy Alta",'Mapa final'!$AC$63="Leve"),CONCATENATE("R10C",'Mapa final'!$Q$63),"")</f>
        <v/>
      </c>
      <c r="N15" s="44" t="str">
        <f>IF(AND('Mapa final'!$AA$64="Muy Alta",'Mapa final'!$AC$64="Leve"),CONCATENATE("R10C",'Mapa final'!$Q$64),"")</f>
        <v/>
      </c>
      <c r="O15" s="45" t="str">
        <f>IF(AND('Mapa final'!$AA$65="Muy Alta",'Mapa final'!$AC$65="Leve"),CONCATENATE("R10C",'Mapa final'!$Q$65),"")</f>
        <v/>
      </c>
      <c r="P15" s="36" t="str">
        <f>IF(AND('Mapa final'!$AA$60="Muy Alta",'Mapa final'!$AC$60="Menor"),CONCATENATE("R10C",'Mapa final'!$Q$60),"")</f>
        <v/>
      </c>
      <c r="Q15" s="37" t="str">
        <f>IF(AND('Mapa final'!$AA$61="Muy Alta",'Mapa final'!$AC$61="Menor"),CONCATENATE("R10C",'Mapa final'!$Q$61),"")</f>
        <v/>
      </c>
      <c r="R15" s="37" t="str">
        <f>IF(AND('Mapa final'!$AA$62="Muy Alta",'Mapa final'!$AC$62="Menor"),CONCATENATE("R10C",'Mapa final'!$Q$62),"")</f>
        <v/>
      </c>
      <c r="S15" s="37" t="str">
        <f>IF(AND('Mapa final'!$AA$63="Muy Alta",'Mapa final'!$AC$63="Menor"),CONCATENATE("R10C",'Mapa final'!$Q$63),"")</f>
        <v/>
      </c>
      <c r="T15" s="37" t="str">
        <f>IF(AND('Mapa final'!$AA$64="Muy Alta",'Mapa final'!$AC$64="Menor"),CONCATENATE("R10C",'Mapa final'!$Q$64),"")</f>
        <v/>
      </c>
      <c r="U15" s="38" t="str">
        <f>IF(AND('Mapa final'!$AA$65="Muy Alta",'Mapa final'!$AC$65="Menor"),CONCATENATE("R10C",'Mapa final'!$Q$65),"")</f>
        <v/>
      </c>
      <c r="V15" s="43" t="str">
        <f>IF(AND('Mapa final'!$AA$60="Muy Alta",'Mapa final'!$AC$60="Moderado"),CONCATENATE("R10C",'Mapa final'!$Q$60),"")</f>
        <v/>
      </c>
      <c r="W15" s="44" t="str">
        <f>IF(AND('Mapa final'!$AA$61="Muy Alta",'Mapa final'!$AC$61="Moderado"),CONCATENATE("R10C",'Mapa final'!$Q$61),"")</f>
        <v/>
      </c>
      <c r="X15" s="44" t="str">
        <f>IF(AND('Mapa final'!$AA$62="Muy Alta",'Mapa final'!$AC$62="Moderado"),CONCATENATE("R10C",'Mapa final'!$Q$62),"")</f>
        <v/>
      </c>
      <c r="Y15" s="44" t="str">
        <f>IF(AND('Mapa final'!$AA$63="Muy Alta",'Mapa final'!$AC$63="Moderado"),CONCATENATE("R10C",'Mapa final'!$Q$63),"")</f>
        <v/>
      </c>
      <c r="Z15" s="44" t="str">
        <f>IF(AND('Mapa final'!$AA$64="Muy Alta",'Mapa final'!$AC$64="Moderado"),CONCATENATE("R10C",'Mapa final'!$Q$64),"")</f>
        <v/>
      </c>
      <c r="AA15" s="45" t="str">
        <f>IF(AND('Mapa final'!$AA$65="Muy Alta",'Mapa final'!$AC$65="Moderado"),CONCATENATE("R10C",'Mapa final'!$Q$65),"")</f>
        <v/>
      </c>
      <c r="AB15" s="36" t="str">
        <f>IF(AND('Mapa final'!$AA$60="Muy Alta",'Mapa final'!$AC$60="Mayor"),CONCATENATE("R10C",'Mapa final'!$Q$60),"")</f>
        <v/>
      </c>
      <c r="AC15" s="37" t="str">
        <f>IF(AND('Mapa final'!$AA$61="Muy Alta",'Mapa final'!$AC$61="Mayor"),CONCATENATE("R10C",'Mapa final'!$Q$61),"")</f>
        <v/>
      </c>
      <c r="AD15" s="37" t="str">
        <f>IF(AND('Mapa final'!$AA$62="Muy Alta",'Mapa final'!$AC$62="Mayor"),CONCATENATE("R10C",'Mapa final'!$Q$62),"")</f>
        <v/>
      </c>
      <c r="AE15" s="37" t="str">
        <f>IF(AND('Mapa final'!$AA$63="Muy Alta",'Mapa final'!$AC$63="Mayor"),CONCATENATE("R10C",'Mapa final'!$Q$63),"")</f>
        <v/>
      </c>
      <c r="AF15" s="37" t="str">
        <f>IF(AND('Mapa final'!$AA$64="Muy Alta",'Mapa final'!$AC$64="Mayor"),CONCATENATE("R10C",'Mapa final'!$Q$64),"")</f>
        <v/>
      </c>
      <c r="AG15" s="38" t="str">
        <f>IF(AND('Mapa final'!$AA$65="Muy Alta",'Mapa final'!$AC$65="Mayor"),CONCATENATE("R10C",'Mapa final'!$Q$65),"")</f>
        <v/>
      </c>
      <c r="AH15" s="46" t="str">
        <f>IF(AND('Mapa final'!$AA$60="Muy Alta",'Mapa final'!$AC$60="Catastrófico"),CONCATENATE("R10C",'Mapa final'!$Q$60),"")</f>
        <v/>
      </c>
      <c r="AI15" s="47" t="str">
        <f>IF(AND('Mapa final'!$AA$61="Muy Alta",'Mapa final'!$AC$61="Catastrófico"),CONCATENATE("R10C",'Mapa final'!$Q$61),"")</f>
        <v/>
      </c>
      <c r="AJ15" s="47" t="str">
        <f>IF(AND('Mapa final'!$AA$62="Muy Alta",'Mapa final'!$AC$62="Catastrófico"),CONCATENATE("R10C",'Mapa final'!$Q$62),"")</f>
        <v/>
      </c>
      <c r="AK15" s="47" t="str">
        <f>IF(AND('Mapa final'!$AA$63="Muy Alta",'Mapa final'!$AC$63="Catastrófico"),CONCATENATE("R10C",'Mapa final'!$Q$63),"")</f>
        <v/>
      </c>
      <c r="AL15" s="47" t="str">
        <f>IF(AND('Mapa final'!$AA$64="Muy Alta",'Mapa final'!$AC$64="Catastrófico"),CONCATENATE("R10C",'Mapa final'!$Q$64),"")</f>
        <v/>
      </c>
      <c r="AM15" s="48" t="str">
        <f>IF(AND('Mapa final'!$AA$65="Muy Alta",'Mapa final'!$AC$65="Catastrófico"),CONCATENATE("R10C",'Mapa final'!$Q$65),"")</f>
        <v/>
      </c>
      <c r="AN15" s="68"/>
      <c r="AO15" s="400"/>
      <c r="AP15" s="401"/>
      <c r="AQ15" s="401"/>
      <c r="AR15" s="401"/>
      <c r="AS15" s="401"/>
      <c r="AT15" s="402"/>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289"/>
      <c r="C16" s="289"/>
      <c r="D16" s="290"/>
      <c r="E16" s="386" t="s">
        <v>109</v>
      </c>
      <c r="F16" s="387"/>
      <c r="G16" s="387"/>
      <c r="H16" s="387"/>
      <c r="I16" s="387"/>
      <c r="J16" s="49" t="str">
        <f ca="1">IF(AND('Mapa final'!$AA$10="Alta",'Mapa final'!$AC$10="Leve"),CONCATENATE("R1C",'Mapa final'!$Q$10),"")</f>
        <v/>
      </c>
      <c r="K16" s="50" t="str">
        <f ca="1">IF(AND('Mapa final'!$AA$11="Alta",'Mapa final'!$AC$11="Leve"),CONCATENATE("R1C",'Mapa final'!$Q$11),"")</f>
        <v/>
      </c>
      <c r="L16" s="50" t="str">
        <f ca="1">IF(AND('Mapa final'!$AA$12="Alta",'Mapa final'!$AC$12="Leve"),CONCATENATE("R1C",'Mapa final'!$Q$12),"")</f>
        <v/>
      </c>
      <c r="M16" s="50" t="e">
        <f>IF(AND('Mapa final'!#REF!="Alta",'Mapa final'!#REF!="Leve"),CONCATENATE("R1C",'Mapa final'!#REF!),"")</f>
        <v>#REF!</v>
      </c>
      <c r="N16" s="50" t="e">
        <f>IF(AND('Mapa final'!#REF!="Alta",'Mapa final'!#REF!="Leve"),CONCATENATE("R1C",'Mapa final'!#REF!),"")</f>
        <v>#REF!</v>
      </c>
      <c r="O16" s="51" t="e">
        <f>IF(AND('Mapa final'!#REF!="Alta",'Mapa final'!#REF!="Leve"),CONCATENATE("R1C",'Mapa final'!#REF!),"")</f>
        <v>#REF!</v>
      </c>
      <c r="P16" s="49" t="str">
        <f ca="1">IF(AND('Mapa final'!$AA$10="Alta",'Mapa final'!$AC$10="Menor"),CONCATENATE("R1C",'Mapa final'!$Q$10),"")</f>
        <v/>
      </c>
      <c r="Q16" s="50" t="str">
        <f ca="1">IF(AND('Mapa final'!$AA$11="Alta",'Mapa final'!$AC$11="Menor"),CONCATENATE("R1C",'Mapa final'!$Q$11),"")</f>
        <v/>
      </c>
      <c r="R16" s="50" t="str">
        <f ca="1">IF(AND('Mapa final'!$AA$12="Alta",'Mapa final'!$AC$12="Menor"),CONCATENATE("R1C",'Mapa final'!$Q$12),"")</f>
        <v/>
      </c>
      <c r="S16" s="50" t="e">
        <f>IF(AND('Mapa final'!#REF!="Alta",'Mapa final'!#REF!="Menor"),CONCATENATE("R1C",'Mapa final'!#REF!),"")</f>
        <v>#REF!</v>
      </c>
      <c r="T16" s="50" t="e">
        <f>IF(AND('Mapa final'!#REF!="Alta",'Mapa final'!#REF!="Menor"),CONCATENATE("R1C",'Mapa final'!#REF!),"")</f>
        <v>#REF!</v>
      </c>
      <c r="U16" s="51" t="e">
        <f>IF(AND('Mapa final'!#REF!="Alta",'Mapa final'!#REF!="Menor"),CONCATENATE("R1C",'Mapa final'!#REF!),"")</f>
        <v>#REF!</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8"/>
      <c r="AO16" s="377" t="s">
        <v>78</v>
      </c>
      <c r="AP16" s="378"/>
      <c r="AQ16" s="378"/>
      <c r="AR16" s="378"/>
      <c r="AS16" s="378"/>
      <c r="AT16" s="379"/>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289"/>
      <c r="C17" s="289"/>
      <c r="D17" s="290"/>
      <c r="E17" s="388"/>
      <c r="F17" s="389"/>
      <c r="G17" s="389"/>
      <c r="H17" s="389"/>
      <c r="I17" s="389"/>
      <c r="J17" s="52" t="str">
        <f ca="1">IF(AND('Mapa final'!$AA$13="Alta",'Mapa final'!$AC$13="Leve"),CONCATENATE("R2C",'Mapa final'!$Q$13),"")</f>
        <v/>
      </c>
      <c r="K17" s="53" t="str">
        <f ca="1">IF(AND('Mapa final'!$AA$14="Alta",'Mapa final'!$AC$14="Leve"),CONCATENATE("R2C",'Mapa final'!$Q$14),"")</f>
        <v/>
      </c>
      <c r="L17" s="53" t="str">
        <f ca="1">IF(AND('Mapa final'!$AA$15="Alta",'Mapa final'!$AC$15="Leve"),CONCATENATE("R2C",'Mapa final'!$Q$15),"")</f>
        <v/>
      </c>
      <c r="M17" s="53" t="e">
        <f>IF(AND('Mapa final'!#REF!="Alta",'Mapa final'!#REF!="Leve"),CONCATENATE("R2C",'Mapa final'!#REF!),"")</f>
        <v>#REF!</v>
      </c>
      <c r="N17" s="53" t="str">
        <f>IF(AND('Mapa final'!$AA$16="Alta",'Mapa final'!$AC$16="Leve"),CONCATENATE("R2C",'Mapa final'!$Q$16),"")</f>
        <v/>
      </c>
      <c r="O17" s="54" t="str">
        <f>IF(AND('Mapa final'!$AA$17="Alta",'Mapa final'!$AC$17="Leve"),CONCATENATE("R2C",'Mapa final'!$Q$17),"")</f>
        <v/>
      </c>
      <c r="P17" s="52" t="str">
        <f ca="1">IF(AND('Mapa final'!$AA$13="Alta",'Mapa final'!$AC$13="Menor"),CONCATENATE("R2C",'Mapa final'!$Q$13),"")</f>
        <v/>
      </c>
      <c r="Q17" s="53" t="str">
        <f ca="1">IF(AND('Mapa final'!$AA$14="Alta",'Mapa final'!$AC$14="Menor"),CONCATENATE("R2C",'Mapa final'!$Q$14),"")</f>
        <v/>
      </c>
      <c r="R17" s="53" t="str">
        <f ca="1">IF(AND('Mapa final'!$AA$15="Alta",'Mapa final'!$AC$15="Menor"),CONCATENATE("R2C",'Mapa final'!$Q$15),"")</f>
        <v/>
      </c>
      <c r="S17" s="53" t="e">
        <f>IF(AND('Mapa final'!#REF!="Alta",'Mapa final'!#REF!="Menor"),CONCATENATE("R2C",'Mapa final'!#REF!),"")</f>
        <v>#REF!</v>
      </c>
      <c r="T17" s="53" t="str">
        <f>IF(AND('Mapa final'!$AA$16="Alta",'Mapa final'!$AC$16="Menor"),CONCATENATE("R2C",'Mapa final'!$Q$16),"")</f>
        <v/>
      </c>
      <c r="U17" s="54" t="str">
        <f>IF(AND('Mapa final'!$AA$17="Alta",'Mapa final'!$AC$17="Menor"),CONCATENATE("R2C",'Mapa final'!$Q$17),"")</f>
        <v/>
      </c>
      <c r="V17" s="36" t="str">
        <f ca="1">IF(AND('Mapa final'!$AA$13="Alta",'Mapa final'!$AC$13="Moderado"),CONCATENATE("R2C",'Mapa final'!$Q$13),"")</f>
        <v/>
      </c>
      <c r="W17" s="37" t="str">
        <f ca="1">IF(AND('Mapa final'!$AA$14="Alta",'Mapa final'!$AC$14="Moderado"),CONCATENATE("R2C",'Mapa final'!$Q$14),"")</f>
        <v/>
      </c>
      <c r="X17" s="37" t="str">
        <f ca="1">IF(AND('Mapa final'!$AA$15="Alta",'Mapa final'!$AC$15="Moderado"),CONCATENATE("R2C",'Mapa final'!$Q$15),"")</f>
        <v/>
      </c>
      <c r="Y17" s="37" t="e">
        <f>IF(AND('Mapa final'!#REF!="Alta",'Mapa final'!#REF!="Moderado"),CONCATENATE("R2C",'Mapa final'!#REF!),"")</f>
        <v>#REF!</v>
      </c>
      <c r="Z17" s="37" t="str">
        <f>IF(AND('Mapa final'!$AA$16="Alta",'Mapa final'!$AC$16="Moderado"),CONCATENATE("R2C",'Mapa final'!$Q$16),"")</f>
        <v/>
      </c>
      <c r="AA17" s="38" t="str">
        <f>IF(AND('Mapa final'!$AA$17="Alta",'Mapa final'!$AC$17="Moderado"),CONCATENATE("R2C",'Mapa final'!$Q$17),"")</f>
        <v/>
      </c>
      <c r="AB17" s="36" t="str">
        <f ca="1">IF(AND('Mapa final'!$AA$13="Alta",'Mapa final'!$AC$13="Mayor"),CONCATENATE("R2C",'Mapa final'!$Q$13),"")</f>
        <v/>
      </c>
      <c r="AC17" s="37" t="str">
        <f ca="1">IF(AND('Mapa final'!$AA$14="Alta",'Mapa final'!$AC$14="Mayor"),CONCATENATE("R2C",'Mapa final'!$Q$14),"")</f>
        <v/>
      </c>
      <c r="AD17" s="37" t="str">
        <f ca="1">IF(AND('Mapa final'!$AA$15="Alta",'Mapa final'!$AC$15="Mayor"),CONCATENATE("R2C",'Mapa final'!$Q$15),"")</f>
        <v/>
      </c>
      <c r="AE17" s="37" t="e">
        <f>IF(AND('Mapa final'!#REF!="Alta",'Mapa final'!#REF!="Mayor"),CONCATENATE("R2C",'Mapa final'!#REF!),"")</f>
        <v>#REF!</v>
      </c>
      <c r="AF17" s="37" t="str">
        <f>IF(AND('Mapa final'!$AA$16="Alta",'Mapa final'!$AC$16="Mayor"),CONCATENATE("R2C",'Mapa final'!$Q$16),"")</f>
        <v/>
      </c>
      <c r="AG17" s="38" t="str">
        <f>IF(AND('Mapa final'!$AA$17="Alta",'Mapa final'!$AC$17="Mayor"),CONCATENATE("R2C",'Mapa final'!$Q$17),"")</f>
        <v/>
      </c>
      <c r="AH17" s="39" t="str">
        <f ca="1">IF(AND('Mapa final'!$AA$13="Alta",'Mapa final'!$AC$13="Catastrófico"),CONCATENATE("R2C",'Mapa final'!$Q$13),"")</f>
        <v/>
      </c>
      <c r="AI17" s="40" t="str">
        <f ca="1">IF(AND('Mapa final'!$AA$14="Alta",'Mapa final'!$AC$14="Catastrófico"),CONCATENATE("R2C",'Mapa final'!$Q$14),"")</f>
        <v/>
      </c>
      <c r="AJ17" s="40" t="str">
        <f ca="1">IF(AND('Mapa final'!$AA$15="Alta",'Mapa final'!$AC$15="Catastrófico"),CONCATENATE("R2C",'Mapa final'!$Q$15),"")</f>
        <v/>
      </c>
      <c r="AK17" s="40" t="e">
        <f>IF(AND('Mapa final'!#REF!="Alta",'Mapa final'!#REF!="Catastrófico"),CONCATENATE("R2C",'Mapa final'!#REF!),"")</f>
        <v>#REF!</v>
      </c>
      <c r="AL17" s="40" t="str">
        <f>IF(AND('Mapa final'!$AA$16="Alta",'Mapa final'!$AC$16="Catastrófico"),CONCATENATE("R2C",'Mapa final'!$Q$16),"")</f>
        <v/>
      </c>
      <c r="AM17" s="41" t="str">
        <f>IF(AND('Mapa final'!$AA$17="Alta",'Mapa final'!$AC$17="Catastrófico"),CONCATENATE("R2C",'Mapa final'!$Q$17),"")</f>
        <v/>
      </c>
      <c r="AN17" s="68"/>
      <c r="AO17" s="380"/>
      <c r="AP17" s="381"/>
      <c r="AQ17" s="381"/>
      <c r="AR17" s="381"/>
      <c r="AS17" s="381"/>
      <c r="AT17" s="382"/>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289"/>
      <c r="C18" s="289"/>
      <c r="D18" s="290"/>
      <c r="E18" s="390"/>
      <c r="F18" s="391"/>
      <c r="G18" s="391"/>
      <c r="H18" s="391"/>
      <c r="I18" s="389"/>
      <c r="J18" s="52" t="str">
        <f>IF(AND('Mapa final'!$AA$18="Alta",'Mapa final'!$AC$18="Leve"),CONCATENATE("R3C",'Mapa final'!$Q$18),"")</f>
        <v/>
      </c>
      <c r="K18" s="53" t="str">
        <f>IF(AND('Mapa final'!$AA$19="Alta",'Mapa final'!$AC$19="Leve"),CONCATENATE("R3C",'Mapa final'!$Q$19),"")</f>
        <v/>
      </c>
      <c r="L18" s="53" t="str">
        <f>IF(AND('Mapa final'!$AA$20="Alta",'Mapa final'!$AC$20="Leve"),CONCATENATE("R3C",'Mapa final'!$Q$20),"")</f>
        <v/>
      </c>
      <c r="M18" s="53" t="str">
        <f>IF(AND('Mapa final'!$AA$21="Alta",'Mapa final'!$AC$21="Leve"),CONCATENATE("R3C",'Mapa final'!$Q$21),"")</f>
        <v/>
      </c>
      <c r="N18" s="53" t="str">
        <f>IF(AND('Mapa final'!$AA$22="Alta",'Mapa final'!$AC$22="Leve"),CONCATENATE("R3C",'Mapa final'!$Q$22),"")</f>
        <v/>
      </c>
      <c r="O18" s="54" t="str">
        <f>IF(AND('Mapa final'!$AA$23="Alta",'Mapa final'!$AC$23="Leve"),CONCATENATE("R3C",'Mapa final'!$Q$23),"")</f>
        <v/>
      </c>
      <c r="P18" s="52" t="str">
        <f>IF(AND('Mapa final'!$AA$18="Alta",'Mapa final'!$AC$18="Menor"),CONCATENATE("R3C",'Mapa final'!$Q$18),"")</f>
        <v/>
      </c>
      <c r="Q18" s="53" t="str">
        <f>IF(AND('Mapa final'!$AA$19="Alta",'Mapa final'!$AC$19="Menor"),CONCATENATE("R3C",'Mapa final'!$Q$19),"")</f>
        <v/>
      </c>
      <c r="R18" s="53" t="str">
        <f>IF(AND('Mapa final'!$AA$20="Alta",'Mapa final'!$AC$20="Menor"),CONCATENATE("R3C",'Mapa final'!$Q$20),"")</f>
        <v/>
      </c>
      <c r="S18" s="53" t="str">
        <f>IF(AND('Mapa final'!$AA$21="Alta",'Mapa final'!$AC$21="Menor"),CONCATENATE("R3C",'Mapa final'!$Q$21),"")</f>
        <v/>
      </c>
      <c r="T18" s="53" t="str">
        <f>IF(AND('Mapa final'!$AA$22="Alta",'Mapa final'!$AC$22="Menor"),CONCATENATE("R3C",'Mapa final'!$Q$22),"")</f>
        <v/>
      </c>
      <c r="U18" s="54" t="str">
        <f>IF(AND('Mapa final'!$AA$23="Alta",'Mapa final'!$AC$23="Menor"),CONCATENATE("R3C",'Mapa final'!$Q$23),"")</f>
        <v/>
      </c>
      <c r="V18" s="36" t="str">
        <f>IF(AND('Mapa final'!$AA$18="Alta",'Mapa final'!$AC$18="Moderado"),CONCATENATE("R3C",'Mapa final'!$Q$18),"")</f>
        <v/>
      </c>
      <c r="W18" s="37" t="str">
        <f>IF(AND('Mapa final'!$AA$19="Alta",'Mapa final'!$AC$19="Moderado"),CONCATENATE("R3C",'Mapa final'!$Q$19),"")</f>
        <v/>
      </c>
      <c r="X18" s="37" t="str">
        <f>IF(AND('Mapa final'!$AA$20="Alta",'Mapa final'!$AC$20="Moderado"),CONCATENATE("R3C",'Mapa final'!$Q$20),"")</f>
        <v/>
      </c>
      <c r="Y18" s="37" t="str">
        <f>IF(AND('Mapa final'!$AA$21="Alta",'Mapa final'!$AC$21="Moderado"),CONCATENATE("R3C",'Mapa final'!$Q$21),"")</f>
        <v/>
      </c>
      <c r="Z18" s="37" t="str">
        <f>IF(AND('Mapa final'!$AA$22="Alta",'Mapa final'!$AC$22="Moderado"),CONCATENATE("R3C",'Mapa final'!$Q$22),"")</f>
        <v/>
      </c>
      <c r="AA18" s="38" t="str">
        <f>IF(AND('Mapa final'!$AA$23="Alta",'Mapa final'!$AC$23="Moderado"),CONCATENATE("R3C",'Mapa final'!$Q$23),"")</f>
        <v/>
      </c>
      <c r="AB18" s="36" t="str">
        <f>IF(AND('Mapa final'!$AA$18="Alta",'Mapa final'!$AC$18="Mayor"),CONCATENATE("R3C",'Mapa final'!$Q$18),"")</f>
        <v/>
      </c>
      <c r="AC18" s="37" t="str">
        <f>IF(AND('Mapa final'!$AA$19="Alta",'Mapa final'!$AC$19="Mayor"),CONCATENATE("R3C",'Mapa final'!$Q$19),"")</f>
        <v/>
      </c>
      <c r="AD18" s="37" t="str">
        <f>IF(AND('Mapa final'!$AA$20="Alta",'Mapa final'!$AC$20="Mayor"),CONCATENATE("R3C",'Mapa final'!$Q$20),"")</f>
        <v/>
      </c>
      <c r="AE18" s="37" t="str">
        <f>IF(AND('Mapa final'!$AA$21="Alta",'Mapa final'!$AC$21="Mayor"),CONCATENATE("R3C",'Mapa final'!$Q$21),"")</f>
        <v/>
      </c>
      <c r="AF18" s="37" t="str">
        <f>IF(AND('Mapa final'!$AA$22="Alta",'Mapa final'!$AC$22="Mayor"),CONCATENATE("R3C",'Mapa final'!$Q$22),"")</f>
        <v/>
      </c>
      <c r="AG18" s="38" t="str">
        <f>IF(AND('Mapa final'!$AA$23="Alta",'Mapa final'!$AC$23="Mayor"),CONCATENATE("R3C",'Mapa final'!$Q$23),"")</f>
        <v/>
      </c>
      <c r="AH18" s="39" t="str">
        <f>IF(AND('Mapa final'!$AA$18="Alta",'Mapa final'!$AC$18="Catastrófico"),CONCATENATE("R3C",'Mapa final'!$Q$18),"")</f>
        <v/>
      </c>
      <c r="AI18" s="40" t="str">
        <f>IF(AND('Mapa final'!$AA$19="Alta",'Mapa final'!$AC$19="Catastrófico"),CONCATENATE("R3C",'Mapa final'!$Q$19),"")</f>
        <v/>
      </c>
      <c r="AJ18" s="40" t="str">
        <f>IF(AND('Mapa final'!$AA$20="Alta",'Mapa final'!$AC$20="Catastrófico"),CONCATENATE("R3C",'Mapa final'!$Q$20),"")</f>
        <v/>
      </c>
      <c r="AK18" s="40" t="str">
        <f>IF(AND('Mapa final'!$AA$21="Alta",'Mapa final'!$AC$21="Catastrófico"),CONCATENATE("R3C",'Mapa final'!$Q$21),"")</f>
        <v/>
      </c>
      <c r="AL18" s="40" t="str">
        <f>IF(AND('Mapa final'!$AA$22="Alta",'Mapa final'!$AC$22="Catastrófico"),CONCATENATE("R3C",'Mapa final'!$Q$22),"")</f>
        <v/>
      </c>
      <c r="AM18" s="41" t="str">
        <f>IF(AND('Mapa final'!$AA$23="Alta",'Mapa final'!$AC$23="Catastrófico"),CONCATENATE("R3C",'Mapa final'!$Q$23),"")</f>
        <v/>
      </c>
      <c r="AN18" s="68"/>
      <c r="AO18" s="380"/>
      <c r="AP18" s="381"/>
      <c r="AQ18" s="381"/>
      <c r="AR18" s="381"/>
      <c r="AS18" s="381"/>
      <c r="AT18" s="382"/>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289"/>
      <c r="C19" s="289"/>
      <c r="D19" s="290"/>
      <c r="E19" s="390"/>
      <c r="F19" s="391"/>
      <c r="G19" s="391"/>
      <c r="H19" s="391"/>
      <c r="I19" s="389"/>
      <c r="J19" s="52" t="str">
        <f>IF(AND('Mapa final'!$AA$24="Alta",'Mapa final'!$AC$24="Leve"),CONCATENATE("R4C",'Mapa final'!$Q$24),"")</f>
        <v/>
      </c>
      <c r="K19" s="53" t="str">
        <f>IF(AND('Mapa final'!$AA$25="Alta",'Mapa final'!$AC$25="Leve"),CONCATENATE("R4C",'Mapa final'!$Q$25),"")</f>
        <v/>
      </c>
      <c r="L19" s="53" t="str">
        <f>IF(AND('Mapa final'!$AA$26="Alta",'Mapa final'!$AC$26="Leve"),CONCATENATE("R4C",'Mapa final'!$Q$26),"")</f>
        <v/>
      </c>
      <c r="M19" s="53" t="str">
        <f>IF(AND('Mapa final'!$AA$27="Alta",'Mapa final'!$AC$27="Leve"),CONCATENATE("R4C",'Mapa final'!$Q$27),"")</f>
        <v/>
      </c>
      <c r="N19" s="53" t="str">
        <f>IF(AND('Mapa final'!$AA$28="Alta",'Mapa final'!$AC$28="Leve"),CONCATENATE("R4C",'Mapa final'!$Q$28),"")</f>
        <v/>
      </c>
      <c r="O19" s="54" t="str">
        <f>IF(AND('Mapa final'!$AA$29="Alta",'Mapa final'!$AC$29="Leve"),CONCATENATE("R4C",'Mapa final'!$Q$29),"")</f>
        <v/>
      </c>
      <c r="P19" s="52" t="str">
        <f>IF(AND('Mapa final'!$AA$24="Alta",'Mapa final'!$AC$24="Menor"),CONCATENATE("R4C",'Mapa final'!$Q$24),"")</f>
        <v/>
      </c>
      <c r="Q19" s="53" t="str">
        <f>IF(AND('Mapa final'!$AA$25="Alta",'Mapa final'!$AC$25="Menor"),CONCATENATE("R4C",'Mapa final'!$Q$25),"")</f>
        <v/>
      </c>
      <c r="R19" s="53" t="str">
        <f>IF(AND('Mapa final'!$AA$26="Alta",'Mapa final'!$AC$26="Menor"),CONCATENATE("R4C",'Mapa final'!$Q$26),"")</f>
        <v/>
      </c>
      <c r="S19" s="53" t="str">
        <f>IF(AND('Mapa final'!$AA$27="Alta",'Mapa final'!$AC$27="Menor"),CONCATENATE("R4C",'Mapa final'!$Q$27),"")</f>
        <v/>
      </c>
      <c r="T19" s="53" t="str">
        <f>IF(AND('Mapa final'!$AA$28="Alta",'Mapa final'!$AC$28="Menor"),CONCATENATE("R4C",'Mapa final'!$Q$28),"")</f>
        <v/>
      </c>
      <c r="U19" s="54" t="str">
        <f>IF(AND('Mapa final'!$AA$29="Alta",'Mapa final'!$AC$29="Menor"),CONCATENATE("R4C",'Mapa final'!$Q$29),"")</f>
        <v/>
      </c>
      <c r="V19" s="36" t="str">
        <f>IF(AND('Mapa final'!$AA$24="Alta",'Mapa final'!$AC$24="Moderado"),CONCATENATE("R4C",'Mapa final'!$Q$24),"")</f>
        <v/>
      </c>
      <c r="W19" s="37" t="str">
        <f>IF(AND('Mapa final'!$AA$25="Alta",'Mapa final'!$AC$25="Moderado"),CONCATENATE("R4C",'Mapa final'!$Q$25),"")</f>
        <v/>
      </c>
      <c r="X19" s="42" t="str">
        <f>IF(AND('Mapa final'!$AA$26="Alta",'Mapa final'!$AC$26="Moderado"),CONCATENATE("R4C",'Mapa final'!$Q$26),"")</f>
        <v/>
      </c>
      <c r="Y19" s="42" t="str">
        <f>IF(AND('Mapa final'!$AA$27="Alta",'Mapa final'!$AC$27="Moderado"),CONCATENATE("R4C",'Mapa final'!$Q$27),"")</f>
        <v/>
      </c>
      <c r="Z19" s="42" t="str">
        <f>IF(AND('Mapa final'!$AA$28="Alta",'Mapa final'!$AC$28="Moderado"),CONCATENATE("R4C",'Mapa final'!$Q$28),"")</f>
        <v/>
      </c>
      <c r="AA19" s="38" t="str">
        <f>IF(AND('Mapa final'!$AA$29="Alta",'Mapa final'!$AC$29="Moderado"),CONCATENATE("R4C",'Mapa final'!$Q$29),"")</f>
        <v/>
      </c>
      <c r="AB19" s="36" t="str">
        <f>IF(AND('Mapa final'!$AA$24="Alta",'Mapa final'!$AC$24="Mayor"),CONCATENATE("R4C",'Mapa final'!$Q$24),"")</f>
        <v/>
      </c>
      <c r="AC19" s="37" t="str">
        <f>IF(AND('Mapa final'!$AA$25="Alta",'Mapa final'!$AC$25="Mayor"),CONCATENATE("R4C",'Mapa final'!$Q$25),"")</f>
        <v/>
      </c>
      <c r="AD19" s="42" t="str">
        <f>IF(AND('Mapa final'!$AA$26="Alta",'Mapa final'!$AC$26="Mayor"),CONCATENATE("R4C",'Mapa final'!$Q$26),"")</f>
        <v/>
      </c>
      <c r="AE19" s="42" t="str">
        <f>IF(AND('Mapa final'!$AA$27="Alta",'Mapa final'!$AC$27="Mayor"),CONCATENATE("R4C",'Mapa final'!$Q$27),"")</f>
        <v/>
      </c>
      <c r="AF19" s="42" t="str">
        <f>IF(AND('Mapa final'!$AA$28="Alta",'Mapa final'!$AC$28="Mayor"),CONCATENATE("R4C",'Mapa final'!$Q$28),"")</f>
        <v/>
      </c>
      <c r="AG19" s="38" t="str">
        <f>IF(AND('Mapa final'!$AA$29="Alta",'Mapa final'!$AC$29="Mayor"),CONCATENATE("R4C",'Mapa final'!$Q$29),"")</f>
        <v/>
      </c>
      <c r="AH19" s="39" t="str">
        <f>IF(AND('Mapa final'!$AA$24="Alta",'Mapa final'!$AC$24="Catastrófico"),CONCATENATE("R4C",'Mapa final'!$Q$24),"")</f>
        <v/>
      </c>
      <c r="AI19" s="40" t="str">
        <f>IF(AND('Mapa final'!$AA$25="Alta",'Mapa final'!$AC$25="Catastrófico"),CONCATENATE("R4C",'Mapa final'!$Q$25),"")</f>
        <v/>
      </c>
      <c r="AJ19" s="40" t="str">
        <f>IF(AND('Mapa final'!$AA$26="Alta",'Mapa final'!$AC$26="Catastrófico"),CONCATENATE("R4C",'Mapa final'!$Q$26),"")</f>
        <v/>
      </c>
      <c r="AK19" s="40" t="str">
        <f>IF(AND('Mapa final'!$AA$27="Alta",'Mapa final'!$AC$27="Catastrófico"),CONCATENATE("R4C",'Mapa final'!$Q$27),"")</f>
        <v/>
      </c>
      <c r="AL19" s="40" t="str">
        <f>IF(AND('Mapa final'!$AA$28="Alta",'Mapa final'!$AC$28="Catastrófico"),CONCATENATE("R4C",'Mapa final'!$Q$28),"")</f>
        <v/>
      </c>
      <c r="AM19" s="41" t="str">
        <f>IF(AND('Mapa final'!$AA$29="Alta",'Mapa final'!$AC$29="Catastrófico"),CONCATENATE("R4C",'Mapa final'!$Q$29),"")</f>
        <v/>
      </c>
      <c r="AN19" s="68"/>
      <c r="AO19" s="380"/>
      <c r="AP19" s="381"/>
      <c r="AQ19" s="381"/>
      <c r="AR19" s="381"/>
      <c r="AS19" s="381"/>
      <c r="AT19" s="382"/>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289"/>
      <c r="C20" s="289"/>
      <c r="D20" s="290"/>
      <c r="E20" s="390"/>
      <c r="F20" s="391"/>
      <c r="G20" s="391"/>
      <c r="H20" s="391"/>
      <c r="I20" s="389"/>
      <c r="J20" s="52" t="str">
        <f>IF(AND('Mapa final'!$AA$30="Alta",'Mapa final'!$AC$30="Leve"),CONCATENATE("R5C",'Mapa final'!$Q$30),"")</f>
        <v/>
      </c>
      <c r="K20" s="53" t="str">
        <f>IF(AND('Mapa final'!$AA$31="Alta",'Mapa final'!$AC$31="Leve"),CONCATENATE("R5C",'Mapa final'!$Q$31),"")</f>
        <v/>
      </c>
      <c r="L20" s="53" t="str">
        <f>IF(AND('Mapa final'!$AA$32="Alta",'Mapa final'!$AC$32="Leve"),CONCATENATE("R5C",'Mapa final'!$Q$32),"")</f>
        <v/>
      </c>
      <c r="M20" s="53" t="str">
        <f>IF(AND('Mapa final'!$AA$33="Alta",'Mapa final'!$AC$33="Leve"),CONCATENATE("R5C",'Mapa final'!$Q$33),"")</f>
        <v/>
      </c>
      <c r="N20" s="53" t="str">
        <f>IF(AND('Mapa final'!$AA$34="Alta",'Mapa final'!$AC$34="Leve"),CONCATENATE("R5C",'Mapa final'!$Q$34),"")</f>
        <v/>
      </c>
      <c r="O20" s="54" t="str">
        <f>IF(AND('Mapa final'!$AA$35="Alta",'Mapa final'!$AC$35="Leve"),CONCATENATE("R5C",'Mapa final'!$Q$35),"")</f>
        <v/>
      </c>
      <c r="P20" s="52" t="str">
        <f>IF(AND('Mapa final'!$AA$30="Alta",'Mapa final'!$AC$30="Menor"),CONCATENATE("R5C",'Mapa final'!$Q$30),"")</f>
        <v/>
      </c>
      <c r="Q20" s="53" t="str">
        <f>IF(AND('Mapa final'!$AA$31="Alta",'Mapa final'!$AC$31="Menor"),CONCATENATE("R5C",'Mapa final'!$Q$31),"")</f>
        <v/>
      </c>
      <c r="R20" s="53" t="str">
        <f>IF(AND('Mapa final'!$AA$32="Alta",'Mapa final'!$AC$32="Menor"),CONCATENATE("R5C",'Mapa final'!$Q$32),"")</f>
        <v/>
      </c>
      <c r="S20" s="53" t="str">
        <f>IF(AND('Mapa final'!$AA$33="Alta",'Mapa final'!$AC$33="Menor"),CONCATENATE("R5C",'Mapa final'!$Q$33),"")</f>
        <v/>
      </c>
      <c r="T20" s="53" t="str">
        <f>IF(AND('Mapa final'!$AA$34="Alta",'Mapa final'!$AC$34="Menor"),CONCATENATE("R5C",'Mapa final'!$Q$34),"")</f>
        <v/>
      </c>
      <c r="U20" s="54" t="str">
        <f>IF(AND('Mapa final'!$AA$35="Alta",'Mapa final'!$AC$35="Menor"),CONCATENATE("R5C",'Mapa final'!$Q$35),"")</f>
        <v/>
      </c>
      <c r="V20" s="36" t="str">
        <f>IF(AND('Mapa final'!$AA$30="Alta",'Mapa final'!$AC$30="Moderado"),CONCATENATE("R5C",'Mapa final'!$Q$30),"")</f>
        <v/>
      </c>
      <c r="W20" s="37" t="str">
        <f>IF(AND('Mapa final'!$AA$31="Alta",'Mapa final'!$AC$31="Moderado"),CONCATENATE("R5C",'Mapa final'!$Q$31),"")</f>
        <v/>
      </c>
      <c r="X20" s="42" t="str">
        <f>IF(AND('Mapa final'!$AA$32="Alta",'Mapa final'!$AC$32="Moderado"),CONCATENATE("R5C",'Mapa final'!$Q$32),"")</f>
        <v/>
      </c>
      <c r="Y20" s="42" t="str">
        <f>IF(AND('Mapa final'!$AA$33="Alta",'Mapa final'!$AC$33="Moderado"),CONCATENATE("R5C",'Mapa final'!$Q$33),"")</f>
        <v/>
      </c>
      <c r="Z20" s="42" t="str">
        <f>IF(AND('Mapa final'!$AA$34="Alta",'Mapa final'!$AC$34="Moderado"),CONCATENATE("R5C",'Mapa final'!$Q$34),"")</f>
        <v/>
      </c>
      <c r="AA20" s="38" t="str">
        <f>IF(AND('Mapa final'!$AA$35="Alta",'Mapa final'!$AC$35="Moderado"),CONCATENATE("R5C",'Mapa final'!$Q$35),"")</f>
        <v/>
      </c>
      <c r="AB20" s="36" t="str">
        <f>IF(AND('Mapa final'!$AA$30="Alta",'Mapa final'!$AC$30="Mayor"),CONCATENATE("R5C",'Mapa final'!$Q$30),"")</f>
        <v/>
      </c>
      <c r="AC20" s="37" t="str">
        <f>IF(AND('Mapa final'!$AA$31="Alta",'Mapa final'!$AC$31="Mayor"),CONCATENATE("R5C",'Mapa final'!$Q$31),"")</f>
        <v/>
      </c>
      <c r="AD20" s="42" t="str">
        <f>IF(AND('Mapa final'!$AA$32="Alta",'Mapa final'!$AC$32="Mayor"),CONCATENATE("R5C",'Mapa final'!$Q$32),"")</f>
        <v/>
      </c>
      <c r="AE20" s="42" t="str">
        <f>IF(AND('Mapa final'!$AA$33="Alta",'Mapa final'!$AC$33="Mayor"),CONCATENATE("R5C",'Mapa final'!$Q$33),"")</f>
        <v/>
      </c>
      <c r="AF20" s="42" t="str">
        <f>IF(AND('Mapa final'!$AA$34="Alta",'Mapa final'!$AC$34="Mayor"),CONCATENATE("R5C",'Mapa final'!$Q$34),"")</f>
        <v/>
      </c>
      <c r="AG20" s="38" t="str">
        <f>IF(AND('Mapa final'!$AA$35="Alta",'Mapa final'!$AC$35="Mayor"),CONCATENATE("R5C",'Mapa final'!$Q$35),"")</f>
        <v/>
      </c>
      <c r="AH20" s="39" t="str">
        <f>IF(AND('Mapa final'!$AA$30="Alta",'Mapa final'!$AC$30="Catastrófico"),CONCATENATE("R5C",'Mapa final'!$Q$30),"")</f>
        <v/>
      </c>
      <c r="AI20" s="40" t="str">
        <f>IF(AND('Mapa final'!$AA$31="Alta",'Mapa final'!$AC$31="Catastrófico"),CONCATENATE("R5C",'Mapa final'!$Q$31),"")</f>
        <v/>
      </c>
      <c r="AJ20" s="40" t="str">
        <f>IF(AND('Mapa final'!$AA$32="Alta",'Mapa final'!$AC$32="Catastrófico"),CONCATENATE("R5C",'Mapa final'!$Q$32),"")</f>
        <v/>
      </c>
      <c r="AK20" s="40" t="str">
        <f>IF(AND('Mapa final'!$AA$33="Alta",'Mapa final'!$AC$33="Catastrófico"),CONCATENATE("R5C",'Mapa final'!$Q$33),"")</f>
        <v/>
      </c>
      <c r="AL20" s="40" t="str">
        <f>IF(AND('Mapa final'!$AA$34="Alta",'Mapa final'!$AC$34="Catastrófico"),CONCATENATE("R5C",'Mapa final'!$Q$34),"")</f>
        <v/>
      </c>
      <c r="AM20" s="41" t="str">
        <f>IF(AND('Mapa final'!$AA$35="Alta",'Mapa final'!$AC$35="Catastrófico"),CONCATENATE("R5C",'Mapa final'!$Q$35),"")</f>
        <v/>
      </c>
      <c r="AN20" s="68"/>
      <c r="AO20" s="380"/>
      <c r="AP20" s="381"/>
      <c r="AQ20" s="381"/>
      <c r="AR20" s="381"/>
      <c r="AS20" s="381"/>
      <c r="AT20" s="382"/>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289"/>
      <c r="C21" s="289"/>
      <c r="D21" s="290"/>
      <c r="E21" s="390"/>
      <c r="F21" s="391"/>
      <c r="G21" s="391"/>
      <c r="H21" s="391"/>
      <c r="I21" s="389"/>
      <c r="J21" s="52" t="str">
        <f>IF(AND('Mapa final'!$AA$36="Alta",'Mapa final'!$AC$36="Leve"),CONCATENATE("R6C",'Mapa final'!$Q$36),"")</f>
        <v/>
      </c>
      <c r="K21" s="53" t="str">
        <f>IF(AND('Mapa final'!$AA$37="Alta",'Mapa final'!$AC$37="Leve"),CONCATENATE("R6C",'Mapa final'!$Q$37),"")</f>
        <v/>
      </c>
      <c r="L21" s="53" t="str">
        <f>IF(AND('Mapa final'!$AA$38="Alta",'Mapa final'!$AC$38="Leve"),CONCATENATE("R6C",'Mapa final'!$Q$38),"")</f>
        <v/>
      </c>
      <c r="M21" s="53" t="str">
        <f>IF(AND('Mapa final'!$AA$39="Alta",'Mapa final'!$AC$39="Leve"),CONCATENATE("R6C",'Mapa final'!$Q$39),"")</f>
        <v/>
      </c>
      <c r="N21" s="53" t="str">
        <f>IF(AND('Mapa final'!$AA$40="Alta",'Mapa final'!$AC$40="Leve"),CONCATENATE("R6C",'Mapa final'!$Q$40),"")</f>
        <v/>
      </c>
      <c r="O21" s="54" t="str">
        <f>IF(AND('Mapa final'!$AA$41="Alta",'Mapa final'!$AC$41="Leve"),CONCATENATE("R6C",'Mapa final'!$Q$41),"")</f>
        <v/>
      </c>
      <c r="P21" s="52" t="str">
        <f>IF(AND('Mapa final'!$AA$36="Alta",'Mapa final'!$AC$36="Menor"),CONCATENATE("R6C",'Mapa final'!$Q$36),"")</f>
        <v/>
      </c>
      <c r="Q21" s="53" t="str">
        <f>IF(AND('Mapa final'!$AA$37="Alta",'Mapa final'!$AC$37="Menor"),CONCATENATE("R6C",'Mapa final'!$Q$37),"")</f>
        <v/>
      </c>
      <c r="R21" s="53" t="str">
        <f>IF(AND('Mapa final'!$AA$38="Alta",'Mapa final'!$AC$38="Menor"),CONCATENATE("R6C",'Mapa final'!$Q$38),"")</f>
        <v/>
      </c>
      <c r="S21" s="53" t="str">
        <f>IF(AND('Mapa final'!$AA$39="Alta",'Mapa final'!$AC$39="Menor"),CONCATENATE("R6C",'Mapa final'!$Q$39),"")</f>
        <v/>
      </c>
      <c r="T21" s="53" t="str">
        <f>IF(AND('Mapa final'!$AA$40="Alta",'Mapa final'!$AC$40="Menor"),CONCATENATE("R6C",'Mapa final'!$Q$40),"")</f>
        <v/>
      </c>
      <c r="U21" s="54" t="str">
        <f>IF(AND('Mapa final'!$AA$41="Alta",'Mapa final'!$AC$41="Menor"),CONCATENATE("R6C",'Mapa final'!$Q$41),"")</f>
        <v/>
      </c>
      <c r="V21" s="36" t="str">
        <f>IF(AND('Mapa final'!$AA$36="Alta",'Mapa final'!$AC$36="Moderado"),CONCATENATE("R6C",'Mapa final'!$Q$36),"")</f>
        <v/>
      </c>
      <c r="W21" s="37" t="str">
        <f>IF(AND('Mapa final'!$AA$37="Alta",'Mapa final'!$AC$37="Moderado"),CONCATENATE("R6C",'Mapa final'!$Q$37),"")</f>
        <v/>
      </c>
      <c r="X21" s="42" t="str">
        <f>IF(AND('Mapa final'!$AA$38="Alta",'Mapa final'!$AC$38="Moderado"),CONCATENATE("R6C",'Mapa final'!$Q$38),"")</f>
        <v/>
      </c>
      <c r="Y21" s="42" t="str">
        <f>IF(AND('Mapa final'!$AA$39="Alta",'Mapa final'!$AC$39="Moderado"),CONCATENATE("R6C",'Mapa final'!$Q$39),"")</f>
        <v/>
      </c>
      <c r="Z21" s="42" t="str">
        <f>IF(AND('Mapa final'!$AA$40="Alta",'Mapa final'!$AC$40="Moderado"),CONCATENATE("R6C",'Mapa final'!$Q$40),"")</f>
        <v/>
      </c>
      <c r="AA21" s="38" t="str">
        <f>IF(AND('Mapa final'!$AA$41="Alta",'Mapa final'!$AC$41="Moderado"),CONCATENATE("R6C",'Mapa final'!$Q$41),"")</f>
        <v/>
      </c>
      <c r="AB21" s="36" t="str">
        <f>IF(AND('Mapa final'!$AA$36="Alta",'Mapa final'!$AC$36="Mayor"),CONCATENATE("R6C",'Mapa final'!$Q$36),"")</f>
        <v/>
      </c>
      <c r="AC21" s="37" t="str">
        <f>IF(AND('Mapa final'!$AA$37="Alta",'Mapa final'!$AC$37="Mayor"),CONCATENATE("R6C",'Mapa final'!$Q$37),"")</f>
        <v/>
      </c>
      <c r="AD21" s="42" t="str">
        <f>IF(AND('Mapa final'!$AA$38="Alta",'Mapa final'!$AC$38="Mayor"),CONCATENATE("R6C",'Mapa final'!$Q$38),"")</f>
        <v/>
      </c>
      <c r="AE21" s="42" t="str">
        <f>IF(AND('Mapa final'!$AA$39="Alta",'Mapa final'!$AC$39="Mayor"),CONCATENATE("R6C",'Mapa final'!$Q$39),"")</f>
        <v/>
      </c>
      <c r="AF21" s="42" t="str">
        <f>IF(AND('Mapa final'!$AA$40="Alta",'Mapa final'!$AC$40="Mayor"),CONCATENATE("R6C",'Mapa final'!$Q$40),"")</f>
        <v/>
      </c>
      <c r="AG21" s="38" t="str">
        <f>IF(AND('Mapa final'!$AA$41="Alta",'Mapa final'!$AC$41="Mayor"),CONCATENATE("R6C",'Mapa final'!$Q$41),"")</f>
        <v/>
      </c>
      <c r="AH21" s="39" t="str">
        <f>IF(AND('Mapa final'!$AA$36="Alta",'Mapa final'!$AC$36="Catastrófico"),CONCATENATE("R6C",'Mapa final'!$Q$36),"")</f>
        <v/>
      </c>
      <c r="AI21" s="40" t="str">
        <f>IF(AND('Mapa final'!$AA$37="Alta",'Mapa final'!$AC$37="Catastrófico"),CONCATENATE("R6C",'Mapa final'!$Q$37),"")</f>
        <v/>
      </c>
      <c r="AJ21" s="40" t="str">
        <f>IF(AND('Mapa final'!$AA$38="Alta",'Mapa final'!$AC$38="Catastrófico"),CONCATENATE("R6C",'Mapa final'!$Q$38),"")</f>
        <v/>
      </c>
      <c r="AK21" s="40" t="str">
        <f>IF(AND('Mapa final'!$AA$39="Alta",'Mapa final'!$AC$39="Catastrófico"),CONCATENATE("R6C",'Mapa final'!$Q$39),"")</f>
        <v/>
      </c>
      <c r="AL21" s="40" t="str">
        <f>IF(AND('Mapa final'!$AA$40="Alta",'Mapa final'!$AC$40="Catastrófico"),CONCATENATE("R6C",'Mapa final'!$Q$40),"")</f>
        <v/>
      </c>
      <c r="AM21" s="41" t="str">
        <f>IF(AND('Mapa final'!$AA$41="Alta",'Mapa final'!$AC$41="Catastrófico"),CONCATENATE("R6C",'Mapa final'!$Q$41),"")</f>
        <v/>
      </c>
      <c r="AN21" s="68"/>
      <c r="AO21" s="380"/>
      <c r="AP21" s="381"/>
      <c r="AQ21" s="381"/>
      <c r="AR21" s="381"/>
      <c r="AS21" s="381"/>
      <c r="AT21" s="382"/>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289"/>
      <c r="C22" s="289"/>
      <c r="D22" s="290"/>
      <c r="E22" s="390"/>
      <c r="F22" s="391"/>
      <c r="G22" s="391"/>
      <c r="H22" s="391"/>
      <c r="I22" s="389"/>
      <c r="J22" s="52" t="str">
        <f>IF(AND('Mapa final'!$AA$42="Alta",'Mapa final'!$AC$42="Leve"),CONCATENATE("R7C",'Mapa final'!$Q$42),"")</f>
        <v/>
      </c>
      <c r="K22" s="53" t="str">
        <f>IF(AND('Mapa final'!$AA$43="Alta",'Mapa final'!$AC$43="Leve"),CONCATENATE("R7C",'Mapa final'!$Q$43),"")</f>
        <v/>
      </c>
      <c r="L22" s="53" t="str">
        <f>IF(AND('Mapa final'!$AA$44="Alta",'Mapa final'!$AC$44="Leve"),CONCATENATE("R7C",'Mapa final'!$Q$44),"")</f>
        <v/>
      </c>
      <c r="M22" s="53" t="str">
        <f>IF(AND('Mapa final'!$AA$45="Alta",'Mapa final'!$AC$45="Leve"),CONCATENATE("R7C",'Mapa final'!$Q$45),"")</f>
        <v/>
      </c>
      <c r="N22" s="53" t="str">
        <f>IF(AND('Mapa final'!$AA$46="Alta",'Mapa final'!$AC$46="Leve"),CONCATENATE("R7C",'Mapa final'!$Q$46),"")</f>
        <v/>
      </c>
      <c r="O22" s="54" t="str">
        <f>IF(AND('Mapa final'!$AA$47="Alta",'Mapa final'!$AC$47="Leve"),CONCATENATE("R7C",'Mapa final'!$Q$47),"")</f>
        <v/>
      </c>
      <c r="P22" s="52" t="str">
        <f>IF(AND('Mapa final'!$AA$42="Alta",'Mapa final'!$AC$42="Menor"),CONCATENATE("R7C",'Mapa final'!$Q$42),"")</f>
        <v/>
      </c>
      <c r="Q22" s="53" t="str">
        <f>IF(AND('Mapa final'!$AA$43="Alta",'Mapa final'!$AC$43="Menor"),CONCATENATE("R7C",'Mapa final'!$Q$43),"")</f>
        <v/>
      </c>
      <c r="R22" s="53" t="str">
        <f>IF(AND('Mapa final'!$AA$44="Alta",'Mapa final'!$AC$44="Menor"),CONCATENATE("R7C",'Mapa final'!$Q$44),"")</f>
        <v/>
      </c>
      <c r="S22" s="53" t="str">
        <f>IF(AND('Mapa final'!$AA$45="Alta",'Mapa final'!$AC$45="Menor"),CONCATENATE("R7C",'Mapa final'!$Q$45),"")</f>
        <v/>
      </c>
      <c r="T22" s="53" t="str">
        <f>IF(AND('Mapa final'!$AA$46="Alta",'Mapa final'!$AC$46="Menor"),CONCATENATE("R7C",'Mapa final'!$Q$46),"")</f>
        <v/>
      </c>
      <c r="U22" s="54" t="str">
        <f>IF(AND('Mapa final'!$AA$47="Alta",'Mapa final'!$AC$47="Menor"),CONCATENATE("R7C",'Mapa final'!$Q$47),"")</f>
        <v/>
      </c>
      <c r="V22" s="36" t="str">
        <f>IF(AND('Mapa final'!$AA$42="Alta",'Mapa final'!$AC$42="Moderado"),CONCATENATE("R7C",'Mapa final'!$Q$42),"")</f>
        <v/>
      </c>
      <c r="W22" s="37" t="str">
        <f>IF(AND('Mapa final'!$AA$43="Alta",'Mapa final'!$AC$43="Moderado"),CONCATENATE("R7C",'Mapa final'!$Q$43),"")</f>
        <v/>
      </c>
      <c r="X22" s="42" t="str">
        <f>IF(AND('Mapa final'!$AA$44="Alta",'Mapa final'!$AC$44="Moderado"),CONCATENATE("R7C",'Mapa final'!$Q$44),"")</f>
        <v/>
      </c>
      <c r="Y22" s="42" t="str">
        <f>IF(AND('Mapa final'!$AA$45="Alta",'Mapa final'!$AC$45="Moderado"),CONCATENATE("R7C",'Mapa final'!$Q$45),"")</f>
        <v/>
      </c>
      <c r="Z22" s="42" t="str">
        <f>IF(AND('Mapa final'!$AA$46="Alta",'Mapa final'!$AC$46="Moderado"),CONCATENATE("R7C",'Mapa final'!$Q$46),"")</f>
        <v/>
      </c>
      <c r="AA22" s="38" t="str">
        <f>IF(AND('Mapa final'!$AA$47="Alta",'Mapa final'!$AC$47="Moderado"),CONCATENATE("R7C",'Mapa final'!$Q$47),"")</f>
        <v/>
      </c>
      <c r="AB22" s="36" t="str">
        <f>IF(AND('Mapa final'!$AA$42="Alta",'Mapa final'!$AC$42="Mayor"),CONCATENATE("R7C",'Mapa final'!$Q$42),"")</f>
        <v/>
      </c>
      <c r="AC22" s="37" t="str">
        <f>IF(AND('Mapa final'!$AA$43="Alta",'Mapa final'!$AC$43="Mayor"),CONCATENATE("R7C",'Mapa final'!$Q$43),"")</f>
        <v/>
      </c>
      <c r="AD22" s="42" t="str">
        <f>IF(AND('Mapa final'!$AA$44="Alta",'Mapa final'!$AC$44="Mayor"),CONCATENATE("R7C",'Mapa final'!$Q$44),"")</f>
        <v/>
      </c>
      <c r="AE22" s="42" t="str">
        <f>IF(AND('Mapa final'!$AA$45="Alta",'Mapa final'!$AC$45="Mayor"),CONCATENATE("R7C",'Mapa final'!$Q$45),"")</f>
        <v/>
      </c>
      <c r="AF22" s="42" t="str">
        <f>IF(AND('Mapa final'!$AA$46="Alta",'Mapa final'!$AC$46="Mayor"),CONCATENATE("R7C",'Mapa final'!$Q$46),"")</f>
        <v/>
      </c>
      <c r="AG22" s="38" t="str">
        <f>IF(AND('Mapa final'!$AA$47="Alta",'Mapa final'!$AC$47="Mayor"),CONCATENATE("R7C",'Mapa final'!$Q$47),"")</f>
        <v/>
      </c>
      <c r="AH22" s="39" t="str">
        <f>IF(AND('Mapa final'!$AA$42="Alta",'Mapa final'!$AC$42="Catastrófico"),CONCATENATE("R7C",'Mapa final'!$Q$42),"")</f>
        <v/>
      </c>
      <c r="AI22" s="40" t="str">
        <f>IF(AND('Mapa final'!$AA$43="Alta",'Mapa final'!$AC$43="Catastrófico"),CONCATENATE("R7C",'Mapa final'!$Q$43),"")</f>
        <v/>
      </c>
      <c r="AJ22" s="40" t="str">
        <f>IF(AND('Mapa final'!$AA$44="Alta",'Mapa final'!$AC$44="Catastrófico"),CONCATENATE("R7C",'Mapa final'!$Q$44),"")</f>
        <v/>
      </c>
      <c r="AK22" s="40" t="str">
        <f>IF(AND('Mapa final'!$AA$45="Alta",'Mapa final'!$AC$45="Catastrófico"),CONCATENATE("R7C",'Mapa final'!$Q$45),"")</f>
        <v/>
      </c>
      <c r="AL22" s="40" t="str">
        <f>IF(AND('Mapa final'!$AA$46="Alta",'Mapa final'!$AC$46="Catastrófico"),CONCATENATE("R7C",'Mapa final'!$Q$46),"")</f>
        <v/>
      </c>
      <c r="AM22" s="41" t="str">
        <f>IF(AND('Mapa final'!$AA$47="Alta",'Mapa final'!$AC$47="Catastrófico"),CONCATENATE("R7C",'Mapa final'!$Q$47),"")</f>
        <v/>
      </c>
      <c r="AN22" s="68"/>
      <c r="AO22" s="380"/>
      <c r="AP22" s="381"/>
      <c r="AQ22" s="381"/>
      <c r="AR22" s="381"/>
      <c r="AS22" s="381"/>
      <c r="AT22" s="382"/>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289"/>
      <c r="C23" s="289"/>
      <c r="D23" s="290"/>
      <c r="E23" s="390"/>
      <c r="F23" s="391"/>
      <c r="G23" s="391"/>
      <c r="H23" s="391"/>
      <c r="I23" s="389"/>
      <c r="J23" s="52" t="str">
        <f>IF(AND('Mapa final'!$AA$48="Alta",'Mapa final'!$AC$48="Leve"),CONCATENATE("R8C",'Mapa final'!$Q$48),"")</f>
        <v/>
      </c>
      <c r="K23" s="53" t="str">
        <f>IF(AND('Mapa final'!$AA$49="Alta",'Mapa final'!$AC$49="Leve"),CONCATENATE("R8C",'Mapa final'!$Q$49),"")</f>
        <v/>
      </c>
      <c r="L23" s="53" t="str">
        <f>IF(AND('Mapa final'!$AA$50="Alta",'Mapa final'!$AC$50="Leve"),CONCATENATE("R8C",'Mapa final'!$Q$50),"")</f>
        <v/>
      </c>
      <c r="M23" s="53" t="str">
        <f>IF(AND('Mapa final'!$AA$51="Alta",'Mapa final'!$AC$51="Leve"),CONCATENATE("R8C",'Mapa final'!$Q$51),"")</f>
        <v/>
      </c>
      <c r="N23" s="53" t="str">
        <f>IF(AND('Mapa final'!$AA$52="Alta",'Mapa final'!$AC$52="Leve"),CONCATENATE("R8C",'Mapa final'!$Q$52),"")</f>
        <v/>
      </c>
      <c r="O23" s="54" t="str">
        <f>IF(AND('Mapa final'!$AA$53="Alta",'Mapa final'!$AC$53="Leve"),CONCATENATE("R8C",'Mapa final'!$Q$53),"")</f>
        <v/>
      </c>
      <c r="P23" s="52" t="str">
        <f>IF(AND('Mapa final'!$AA$48="Alta",'Mapa final'!$AC$48="Menor"),CONCATENATE("R8C",'Mapa final'!$Q$48),"")</f>
        <v/>
      </c>
      <c r="Q23" s="53" t="str">
        <f>IF(AND('Mapa final'!$AA$49="Alta",'Mapa final'!$AC$49="Menor"),CONCATENATE("R8C",'Mapa final'!$Q$49),"")</f>
        <v/>
      </c>
      <c r="R23" s="53" t="str">
        <f>IF(AND('Mapa final'!$AA$50="Alta",'Mapa final'!$AC$50="Menor"),CONCATENATE("R8C",'Mapa final'!$Q$50),"")</f>
        <v/>
      </c>
      <c r="S23" s="53" t="str">
        <f>IF(AND('Mapa final'!$AA$51="Alta",'Mapa final'!$AC$51="Menor"),CONCATENATE("R8C",'Mapa final'!$Q$51),"")</f>
        <v/>
      </c>
      <c r="T23" s="53" t="str">
        <f>IF(AND('Mapa final'!$AA$52="Alta",'Mapa final'!$AC$52="Menor"),CONCATENATE("R8C",'Mapa final'!$Q$52),"")</f>
        <v/>
      </c>
      <c r="U23" s="54" t="str">
        <f>IF(AND('Mapa final'!$AA$53="Alta",'Mapa final'!$AC$53="Menor"),CONCATENATE("R8C",'Mapa final'!$Q$53),"")</f>
        <v/>
      </c>
      <c r="V23" s="36" t="str">
        <f>IF(AND('Mapa final'!$AA$48="Alta",'Mapa final'!$AC$48="Moderado"),CONCATENATE("R8C",'Mapa final'!$Q$48),"")</f>
        <v/>
      </c>
      <c r="W23" s="37" t="str">
        <f>IF(AND('Mapa final'!$AA$49="Alta",'Mapa final'!$AC$49="Moderado"),CONCATENATE("R8C",'Mapa final'!$Q$49),"")</f>
        <v/>
      </c>
      <c r="X23" s="42" t="str">
        <f>IF(AND('Mapa final'!$AA$50="Alta",'Mapa final'!$AC$50="Moderado"),CONCATENATE("R8C",'Mapa final'!$Q$50),"")</f>
        <v/>
      </c>
      <c r="Y23" s="42" t="str">
        <f>IF(AND('Mapa final'!$AA$51="Alta",'Mapa final'!$AC$51="Moderado"),CONCATENATE("R8C",'Mapa final'!$Q$51),"")</f>
        <v/>
      </c>
      <c r="Z23" s="42" t="str">
        <f>IF(AND('Mapa final'!$AA$52="Alta",'Mapa final'!$AC$52="Moderado"),CONCATENATE("R8C",'Mapa final'!$Q$52),"")</f>
        <v/>
      </c>
      <c r="AA23" s="38" t="str">
        <f>IF(AND('Mapa final'!$AA$53="Alta",'Mapa final'!$AC$53="Moderado"),CONCATENATE("R8C",'Mapa final'!$Q$53),"")</f>
        <v/>
      </c>
      <c r="AB23" s="36" t="str">
        <f>IF(AND('Mapa final'!$AA$48="Alta",'Mapa final'!$AC$48="Mayor"),CONCATENATE("R8C",'Mapa final'!$Q$48),"")</f>
        <v/>
      </c>
      <c r="AC23" s="37" t="str">
        <f>IF(AND('Mapa final'!$AA$49="Alta",'Mapa final'!$AC$49="Mayor"),CONCATENATE("R8C",'Mapa final'!$Q$49),"")</f>
        <v/>
      </c>
      <c r="AD23" s="42" t="str">
        <f>IF(AND('Mapa final'!$AA$50="Alta",'Mapa final'!$AC$50="Mayor"),CONCATENATE("R8C",'Mapa final'!$Q$50),"")</f>
        <v/>
      </c>
      <c r="AE23" s="42" t="str">
        <f>IF(AND('Mapa final'!$AA$51="Alta",'Mapa final'!$AC$51="Mayor"),CONCATENATE("R8C",'Mapa final'!$Q$51),"")</f>
        <v/>
      </c>
      <c r="AF23" s="42" t="str">
        <f>IF(AND('Mapa final'!$AA$52="Alta",'Mapa final'!$AC$52="Mayor"),CONCATENATE("R8C",'Mapa final'!$Q$52),"")</f>
        <v/>
      </c>
      <c r="AG23" s="38" t="str">
        <f>IF(AND('Mapa final'!$AA$53="Alta",'Mapa final'!$AC$53="Mayor"),CONCATENATE("R8C",'Mapa final'!$Q$53),"")</f>
        <v/>
      </c>
      <c r="AH23" s="39" t="str">
        <f>IF(AND('Mapa final'!$AA$48="Alta",'Mapa final'!$AC$48="Catastrófico"),CONCATENATE("R8C",'Mapa final'!$Q$48),"")</f>
        <v/>
      </c>
      <c r="AI23" s="40" t="str">
        <f>IF(AND('Mapa final'!$AA$49="Alta",'Mapa final'!$AC$49="Catastrófico"),CONCATENATE("R8C",'Mapa final'!$Q$49),"")</f>
        <v/>
      </c>
      <c r="AJ23" s="40" t="str">
        <f>IF(AND('Mapa final'!$AA$50="Alta",'Mapa final'!$AC$50="Catastrófico"),CONCATENATE("R8C",'Mapa final'!$Q$50),"")</f>
        <v/>
      </c>
      <c r="AK23" s="40" t="str">
        <f>IF(AND('Mapa final'!$AA$51="Alta",'Mapa final'!$AC$51="Catastrófico"),CONCATENATE("R8C",'Mapa final'!$Q$51),"")</f>
        <v/>
      </c>
      <c r="AL23" s="40" t="str">
        <f>IF(AND('Mapa final'!$AA$52="Alta",'Mapa final'!$AC$52="Catastrófico"),CONCATENATE("R8C",'Mapa final'!$Q$52),"")</f>
        <v/>
      </c>
      <c r="AM23" s="41" t="str">
        <f>IF(AND('Mapa final'!$AA$53="Alta",'Mapa final'!$AC$53="Catastrófico"),CONCATENATE("R8C",'Mapa final'!$Q$53),"")</f>
        <v/>
      </c>
      <c r="AN23" s="68"/>
      <c r="AO23" s="380"/>
      <c r="AP23" s="381"/>
      <c r="AQ23" s="381"/>
      <c r="AR23" s="381"/>
      <c r="AS23" s="381"/>
      <c r="AT23" s="382"/>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289"/>
      <c r="C24" s="289"/>
      <c r="D24" s="290"/>
      <c r="E24" s="390"/>
      <c r="F24" s="391"/>
      <c r="G24" s="391"/>
      <c r="H24" s="391"/>
      <c r="I24" s="389"/>
      <c r="J24" s="52" t="str">
        <f>IF(AND('Mapa final'!$AA$54="Alta",'Mapa final'!$AC$54="Leve"),CONCATENATE("R9C",'Mapa final'!$Q$54),"")</f>
        <v/>
      </c>
      <c r="K24" s="53" t="str">
        <f>IF(AND('Mapa final'!$AA$55="Alta",'Mapa final'!$AC$55="Leve"),CONCATENATE("R9C",'Mapa final'!$Q$55),"")</f>
        <v/>
      </c>
      <c r="L24" s="53" t="str">
        <f>IF(AND('Mapa final'!$AA$56="Alta",'Mapa final'!$AC$56="Leve"),CONCATENATE("R9C",'Mapa final'!$Q$56),"")</f>
        <v/>
      </c>
      <c r="M24" s="53" t="str">
        <f>IF(AND('Mapa final'!$AA$57="Alta",'Mapa final'!$AC$57="Leve"),CONCATENATE("R9C",'Mapa final'!$Q$57),"")</f>
        <v/>
      </c>
      <c r="N24" s="53" t="str">
        <f>IF(AND('Mapa final'!$AA$58="Alta",'Mapa final'!$AC$58="Leve"),CONCATENATE("R9C",'Mapa final'!$Q$58),"")</f>
        <v/>
      </c>
      <c r="O24" s="54" t="str">
        <f>IF(AND('Mapa final'!$AA$59="Alta",'Mapa final'!$AC$59="Leve"),CONCATENATE("R9C",'Mapa final'!$Q$59),"")</f>
        <v/>
      </c>
      <c r="P24" s="52" t="str">
        <f>IF(AND('Mapa final'!$AA$54="Alta",'Mapa final'!$AC$54="Menor"),CONCATENATE("R9C",'Mapa final'!$Q$54),"")</f>
        <v/>
      </c>
      <c r="Q24" s="53" t="str">
        <f>IF(AND('Mapa final'!$AA$55="Alta",'Mapa final'!$AC$55="Menor"),CONCATENATE("R9C",'Mapa final'!$Q$55),"")</f>
        <v/>
      </c>
      <c r="R24" s="53" t="str">
        <f>IF(AND('Mapa final'!$AA$56="Alta",'Mapa final'!$AC$56="Menor"),CONCATENATE("R9C",'Mapa final'!$Q$56),"")</f>
        <v/>
      </c>
      <c r="S24" s="53" t="str">
        <f>IF(AND('Mapa final'!$AA$57="Alta",'Mapa final'!$AC$57="Menor"),CONCATENATE("R9C",'Mapa final'!$Q$57),"")</f>
        <v/>
      </c>
      <c r="T24" s="53" t="str">
        <f>IF(AND('Mapa final'!$AA$58="Alta",'Mapa final'!$AC$58="Menor"),CONCATENATE("R9C",'Mapa final'!$Q$58),"")</f>
        <v/>
      </c>
      <c r="U24" s="54" t="str">
        <f>IF(AND('Mapa final'!$AA$59="Alta",'Mapa final'!$AC$59="Menor"),CONCATENATE("R9C",'Mapa final'!$Q$59),"")</f>
        <v/>
      </c>
      <c r="V24" s="36" t="str">
        <f>IF(AND('Mapa final'!$AA$54="Alta",'Mapa final'!$AC$54="Moderado"),CONCATENATE("R9C",'Mapa final'!$Q$54),"")</f>
        <v/>
      </c>
      <c r="W24" s="37" t="str">
        <f>IF(AND('Mapa final'!$AA$55="Alta",'Mapa final'!$AC$55="Moderado"),CONCATENATE("R9C",'Mapa final'!$Q$55),"")</f>
        <v/>
      </c>
      <c r="X24" s="42" t="str">
        <f>IF(AND('Mapa final'!$AA$56="Alta",'Mapa final'!$AC$56="Moderado"),CONCATENATE("R9C",'Mapa final'!$Q$56),"")</f>
        <v/>
      </c>
      <c r="Y24" s="42" t="str">
        <f>IF(AND('Mapa final'!$AA$57="Alta",'Mapa final'!$AC$57="Moderado"),CONCATENATE("R9C",'Mapa final'!$Q$57),"")</f>
        <v/>
      </c>
      <c r="Z24" s="42" t="str">
        <f>IF(AND('Mapa final'!$AA$58="Alta",'Mapa final'!$AC$58="Moderado"),CONCATENATE("R9C",'Mapa final'!$Q$58),"")</f>
        <v/>
      </c>
      <c r="AA24" s="38" t="str">
        <f>IF(AND('Mapa final'!$AA$59="Alta",'Mapa final'!$AC$59="Moderado"),CONCATENATE("R9C",'Mapa final'!$Q$59),"")</f>
        <v/>
      </c>
      <c r="AB24" s="36" t="str">
        <f>IF(AND('Mapa final'!$AA$54="Alta",'Mapa final'!$AC$54="Mayor"),CONCATENATE("R9C",'Mapa final'!$Q$54),"")</f>
        <v/>
      </c>
      <c r="AC24" s="37" t="str">
        <f>IF(AND('Mapa final'!$AA$55="Alta",'Mapa final'!$AC$55="Mayor"),CONCATENATE("R9C",'Mapa final'!$Q$55),"")</f>
        <v/>
      </c>
      <c r="AD24" s="42" t="str">
        <f>IF(AND('Mapa final'!$AA$56="Alta",'Mapa final'!$AC$56="Mayor"),CONCATENATE("R9C",'Mapa final'!$Q$56),"")</f>
        <v/>
      </c>
      <c r="AE24" s="42" t="str">
        <f>IF(AND('Mapa final'!$AA$57="Alta",'Mapa final'!$AC$57="Mayor"),CONCATENATE("R9C",'Mapa final'!$Q$57),"")</f>
        <v/>
      </c>
      <c r="AF24" s="42" t="str">
        <f>IF(AND('Mapa final'!$AA$58="Alta",'Mapa final'!$AC$58="Mayor"),CONCATENATE("R9C",'Mapa final'!$Q$58),"")</f>
        <v/>
      </c>
      <c r="AG24" s="38" t="str">
        <f>IF(AND('Mapa final'!$AA$59="Alta",'Mapa final'!$AC$59="Mayor"),CONCATENATE("R9C",'Mapa final'!$Q$59),"")</f>
        <v/>
      </c>
      <c r="AH24" s="39" t="str">
        <f>IF(AND('Mapa final'!$AA$54="Alta",'Mapa final'!$AC$54="Catastrófico"),CONCATENATE("R9C",'Mapa final'!$Q$54),"")</f>
        <v/>
      </c>
      <c r="AI24" s="40" t="str">
        <f>IF(AND('Mapa final'!$AA$55="Alta",'Mapa final'!$AC$55="Catastrófico"),CONCATENATE("R9C",'Mapa final'!$Q$55),"")</f>
        <v/>
      </c>
      <c r="AJ24" s="40" t="str">
        <f>IF(AND('Mapa final'!$AA$56="Alta",'Mapa final'!$AC$56="Catastrófico"),CONCATENATE("R9C",'Mapa final'!$Q$56),"")</f>
        <v/>
      </c>
      <c r="AK24" s="40" t="str">
        <f>IF(AND('Mapa final'!$AA$57="Alta",'Mapa final'!$AC$57="Catastrófico"),CONCATENATE("R9C",'Mapa final'!$Q$57),"")</f>
        <v/>
      </c>
      <c r="AL24" s="40" t="str">
        <f>IF(AND('Mapa final'!$AA$58="Alta",'Mapa final'!$AC$58="Catastrófico"),CONCATENATE("R9C",'Mapa final'!$Q$58),"")</f>
        <v/>
      </c>
      <c r="AM24" s="41" t="str">
        <f>IF(AND('Mapa final'!$AA$59="Alta",'Mapa final'!$AC$59="Catastrófico"),CONCATENATE("R9C",'Mapa final'!$Q$59),"")</f>
        <v/>
      </c>
      <c r="AN24" s="68"/>
      <c r="AO24" s="380"/>
      <c r="AP24" s="381"/>
      <c r="AQ24" s="381"/>
      <c r="AR24" s="381"/>
      <c r="AS24" s="381"/>
      <c r="AT24" s="382"/>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289"/>
      <c r="C25" s="289"/>
      <c r="D25" s="290"/>
      <c r="E25" s="392"/>
      <c r="F25" s="393"/>
      <c r="G25" s="393"/>
      <c r="H25" s="393"/>
      <c r="I25" s="393"/>
      <c r="J25" s="55" t="str">
        <f>IF(AND('Mapa final'!$AA$60="Alta",'Mapa final'!$AC$60="Leve"),CONCATENATE("R10C",'Mapa final'!$Q$60),"")</f>
        <v/>
      </c>
      <c r="K25" s="56" t="str">
        <f>IF(AND('Mapa final'!$AA$61="Alta",'Mapa final'!$AC$61="Leve"),CONCATENATE("R10C",'Mapa final'!$Q$61),"")</f>
        <v/>
      </c>
      <c r="L25" s="56" t="str">
        <f>IF(AND('Mapa final'!$AA$62="Alta",'Mapa final'!$AC$62="Leve"),CONCATENATE("R10C",'Mapa final'!$Q$62),"")</f>
        <v/>
      </c>
      <c r="M25" s="56" t="str">
        <f>IF(AND('Mapa final'!$AA$63="Alta",'Mapa final'!$AC$63="Leve"),CONCATENATE("R10C",'Mapa final'!$Q$63),"")</f>
        <v/>
      </c>
      <c r="N25" s="56" t="str">
        <f>IF(AND('Mapa final'!$AA$64="Alta",'Mapa final'!$AC$64="Leve"),CONCATENATE("R10C",'Mapa final'!$Q$64),"")</f>
        <v/>
      </c>
      <c r="O25" s="57" t="str">
        <f>IF(AND('Mapa final'!$AA$65="Alta",'Mapa final'!$AC$65="Leve"),CONCATENATE("R10C",'Mapa final'!$Q$65),"")</f>
        <v/>
      </c>
      <c r="P25" s="55" t="str">
        <f>IF(AND('Mapa final'!$AA$60="Alta",'Mapa final'!$AC$60="Menor"),CONCATENATE("R10C",'Mapa final'!$Q$60),"")</f>
        <v/>
      </c>
      <c r="Q25" s="56" t="str">
        <f>IF(AND('Mapa final'!$AA$61="Alta",'Mapa final'!$AC$61="Menor"),CONCATENATE("R10C",'Mapa final'!$Q$61),"")</f>
        <v/>
      </c>
      <c r="R25" s="56" t="str">
        <f>IF(AND('Mapa final'!$AA$62="Alta",'Mapa final'!$AC$62="Menor"),CONCATENATE("R10C",'Mapa final'!$Q$62),"")</f>
        <v/>
      </c>
      <c r="S25" s="56" t="str">
        <f>IF(AND('Mapa final'!$AA$63="Alta",'Mapa final'!$AC$63="Menor"),CONCATENATE("R10C",'Mapa final'!$Q$63),"")</f>
        <v/>
      </c>
      <c r="T25" s="56" t="str">
        <f>IF(AND('Mapa final'!$AA$64="Alta",'Mapa final'!$AC$64="Menor"),CONCATENATE("R10C",'Mapa final'!$Q$64),"")</f>
        <v/>
      </c>
      <c r="U25" s="57" t="str">
        <f>IF(AND('Mapa final'!$AA$65="Alta",'Mapa final'!$AC$65="Menor"),CONCATENATE("R10C",'Mapa final'!$Q$65),"")</f>
        <v/>
      </c>
      <c r="V25" s="43" t="str">
        <f>IF(AND('Mapa final'!$AA$60="Alta",'Mapa final'!$AC$60="Moderado"),CONCATENATE("R10C",'Mapa final'!$Q$60),"")</f>
        <v/>
      </c>
      <c r="W25" s="44" t="str">
        <f>IF(AND('Mapa final'!$AA$61="Alta",'Mapa final'!$AC$61="Moderado"),CONCATENATE("R10C",'Mapa final'!$Q$61),"")</f>
        <v/>
      </c>
      <c r="X25" s="44" t="str">
        <f>IF(AND('Mapa final'!$AA$62="Alta",'Mapa final'!$AC$62="Moderado"),CONCATENATE("R10C",'Mapa final'!$Q$62),"")</f>
        <v/>
      </c>
      <c r="Y25" s="44" t="str">
        <f>IF(AND('Mapa final'!$AA$63="Alta",'Mapa final'!$AC$63="Moderado"),CONCATENATE("R10C",'Mapa final'!$Q$63),"")</f>
        <v/>
      </c>
      <c r="Z25" s="44" t="str">
        <f>IF(AND('Mapa final'!$AA$64="Alta",'Mapa final'!$AC$64="Moderado"),CONCATENATE("R10C",'Mapa final'!$Q$64),"")</f>
        <v/>
      </c>
      <c r="AA25" s="45" t="str">
        <f>IF(AND('Mapa final'!$AA$65="Alta",'Mapa final'!$AC$65="Moderado"),CONCATENATE("R10C",'Mapa final'!$Q$65),"")</f>
        <v/>
      </c>
      <c r="AB25" s="43" t="str">
        <f>IF(AND('Mapa final'!$AA$60="Alta",'Mapa final'!$AC$60="Mayor"),CONCATENATE("R10C",'Mapa final'!$Q$60),"")</f>
        <v/>
      </c>
      <c r="AC25" s="44" t="str">
        <f>IF(AND('Mapa final'!$AA$61="Alta",'Mapa final'!$AC$61="Mayor"),CONCATENATE("R10C",'Mapa final'!$Q$61),"")</f>
        <v/>
      </c>
      <c r="AD25" s="44" t="str">
        <f>IF(AND('Mapa final'!$AA$62="Alta",'Mapa final'!$AC$62="Mayor"),CONCATENATE("R10C",'Mapa final'!$Q$62),"")</f>
        <v/>
      </c>
      <c r="AE25" s="44" t="str">
        <f>IF(AND('Mapa final'!$AA$63="Alta",'Mapa final'!$AC$63="Mayor"),CONCATENATE("R10C",'Mapa final'!$Q$63),"")</f>
        <v/>
      </c>
      <c r="AF25" s="44" t="str">
        <f>IF(AND('Mapa final'!$AA$64="Alta",'Mapa final'!$AC$64="Mayor"),CONCATENATE("R10C",'Mapa final'!$Q$64),"")</f>
        <v/>
      </c>
      <c r="AG25" s="45" t="str">
        <f>IF(AND('Mapa final'!$AA$65="Alta",'Mapa final'!$AC$65="Mayor"),CONCATENATE("R10C",'Mapa final'!$Q$65),"")</f>
        <v/>
      </c>
      <c r="AH25" s="46" t="str">
        <f>IF(AND('Mapa final'!$AA$60="Alta",'Mapa final'!$AC$60="Catastrófico"),CONCATENATE("R10C",'Mapa final'!$Q$60),"")</f>
        <v/>
      </c>
      <c r="AI25" s="47" t="str">
        <f>IF(AND('Mapa final'!$AA$61="Alta",'Mapa final'!$AC$61="Catastrófico"),CONCATENATE("R10C",'Mapa final'!$Q$61),"")</f>
        <v/>
      </c>
      <c r="AJ25" s="47" t="str">
        <f>IF(AND('Mapa final'!$AA$62="Alta",'Mapa final'!$AC$62="Catastrófico"),CONCATENATE("R10C",'Mapa final'!$Q$62),"")</f>
        <v/>
      </c>
      <c r="AK25" s="47" t="str">
        <f>IF(AND('Mapa final'!$AA$63="Alta",'Mapa final'!$AC$63="Catastrófico"),CONCATENATE("R10C",'Mapa final'!$Q$63),"")</f>
        <v/>
      </c>
      <c r="AL25" s="47" t="str">
        <f>IF(AND('Mapa final'!$AA$64="Alta",'Mapa final'!$AC$64="Catastrófico"),CONCATENATE("R10C",'Mapa final'!$Q$64),"")</f>
        <v/>
      </c>
      <c r="AM25" s="48" t="str">
        <f>IF(AND('Mapa final'!$AA$65="Alta",'Mapa final'!$AC$65="Catastrófico"),CONCATENATE("R10C",'Mapa final'!$Q$65),"")</f>
        <v/>
      </c>
      <c r="AN25" s="68"/>
      <c r="AO25" s="383"/>
      <c r="AP25" s="384"/>
      <c r="AQ25" s="384"/>
      <c r="AR25" s="384"/>
      <c r="AS25" s="384"/>
      <c r="AT25" s="385"/>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289"/>
      <c r="C26" s="289"/>
      <c r="D26" s="290"/>
      <c r="E26" s="386" t="s">
        <v>111</v>
      </c>
      <c r="F26" s="387"/>
      <c r="G26" s="387"/>
      <c r="H26" s="387"/>
      <c r="I26" s="405"/>
      <c r="J26" s="49" t="str">
        <f ca="1">IF(AND('Mapa final'!$AA$10="Media",'Mapa final'!$AC$10="Leve"),CONCATENATE("R1C",'Mapa final'!$Q$10),"")</f>
        <v/>
      </c>
      <c r="K26" s="50" t="str">
        <f ca="1">IF(AND('Mapa final'!$AA$11="Media",'Mapa final'!$AC$11="Leve"),CONCATENATE("R1C",'Mapa final'!$Q$11),"")</f>
        <v/>
      </c>
      <c r="L26" s="50" t="str">
        <f ca="1">IF(AND('Mapa final'!$AA$12="Media",'Mapa final'!$AC$12="Leve"),CONCATENATE("R1C",'Mapa final'!$Q$12),"")</f>
        <v/>
      </c>
      <c r="M26" s="50" t="e">
        <f>IF(AND('Mapa final'!#REF!="Media",'Mapa final'!#REF!="Leve"),CONCATENATE("R1C",'Mapa final'!#REF!),"")</f>
        <v>#REF!</v>
      </c>
      <c r="N26" s="50" t="e">
        <f>IF(AND('Mapa final'!#REF!="Media",'Mapa final'!#REF!="Leve"),CONCATENATE("R1C",'Mapa final'!#REF!),"")</f>
        <v>#REF!</v>
      </c>
      <c r="O26" s="51" t="e">
        <f>IF(AND('Mapa final'!#REF!="Media",'Mapa final'!#REF!="Leve"),CONCATENATE("R1C",'Mapa final'!#REF!),"")</f>
        <v>#REF!</v>
      </c>
      <c r="P26" s="49" t="str">
        <f ca="1">IF(AND('Mapa final'!$AA$10="Media",'Mapa final'!$AC$10="Menor"),CONCATENATE("R1C",'Mapa final'!$Q$10),"")</f>
        <v/>
      </c>
      <c r="Q26" s="50" t="str">
        <f ca="1">IF(AND('Mapa final'!$AA$11="Media",'Mapa final'!$AC$11="Menor"),CONCATENATE("R1C",'Mapa final'!$Q$11),"")</f>
        <v/>
      </c>
      <c r="R26" s="50" t="str">
        <f ca="1">IF(AND('Mapa final'!$AA$12="Media",'Mapa final'!$AC$12="Menor"),CONCATENATE("R1C",'Mapa final'!$Q$12),"")</f>
        <v/>
      </c>
      <c r="S26" s="50" t="e">
        <f>IF(AND('Mapa final'!#REF!="Media",'Mapa final'!#REF!="Menor"),CONCATENATE("R1C",'Mapa final'!#REF!),"")</f>
        <v>#REF!</v>
      </c>
      <c r="T26" s="50" t="e">
        <f>IF(AND('Mapa final'!#REF!="Media",'Mapa final'!#REF!="Menor"),CONCATENATE("R1C",'Mapa final'!#REF!),"")</f>
        <v>#REF!</v>
      </c>
      <c r="U26" s="51" t="e">
        <f>IF(AND('Mapa final'!#REF!="Media",'Mapa final'!#REF!="Menor"),CONCATENATE("R1C",'Mapa final'!#REF!),"")</f>
        <v>#REF!</v>
      </c>
      <c r="V26" s="49" t="str">
        <f ca="1">IF(AND('Mapa final'!$AA$10="Media",'Mapa final'!$AC$10="Moderado"),CONCATENATE("R1C",'Mapa final'!$Q$10),"")</f>
        <v>R1C1</v>
      </c>
      <c r="W26" s="50" t="str">
        <f ca="1">IF(AND('Mapa final'!$AA$11="Media",'Mapa final'!$AC$11="Moderado"),CONCATENATE("R1C",'Mapa final'!$Q$11),"")</f>
        <v/>
      </c>
      <c r="X26" s="50" t="str">
        <f ca="1">IF(AND('Mapa final'!$AA$12="Media",'Mapa final'!$AC$12="Moderado"),CONCATENATE("R1C",'Mapa final'!$Q$12),"")</f>
        <v/>
      </c>
      <c r="Y26" s="50" t="e">
        <f>IF(AND('Mapa final'!#REF!="Media",'Mapa final'!#REF!="Moderado"),CONCATENATE("R1C",'Mapa final'!#REF!),"")</f>
        <v>#REF!</v>
      </c>
      <c r="Z26" s="50" t="e">
        <f>IF(AND('Mapa final'!#REF!="Media",'Mapa final'!#REF!="Moderado"),CONCATENATE("R1C",'Mapa final'!#REF!),"")</f>
        <v>#REF!</v>
      </c>
      <c r="AA26" s="51" t="e">
        <f>IF(AND('Mapa final'!#REF!="Media",'Mapa final'!#REF!="Moderado"),CONCATENATE("R1C",'Mapa final'!#REF!),"")</f>
        <v>#REF!</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8"/>
      <c r="AO26" s="417" t="s">
        <v>79</v>
      </c>
      <c r="AP26" s="418"/>
      <c r="AQ26" s="418"/>
      <c r="AR26" s="418"/>
      <c r="AS26" s="418"/>
      <c r="AT26" s="419"/>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289"/>
      <c r="C27" s="289"/>
      <c r="D27" s="290"/>
      <c r="E27" s="388"/>
      <c r="F27" s="389"/>
      <c r="G27" s="389"/>
      <c r="H27" s="389"/>
      <c r="I27" s="406"/>
      <c r="J27" s="52" t="str">
        <f ca="1">IF(AND('Mapa final'!$AA$13="Media",'Mapa final'!$AC$13="Leve"),CONCATENATE("R2C",'Mapa final'!$Q$13),"")</f>
        <v/>
      </c>
      <c r="K27" s="53" t="str">
        <f ca="1">IF(AND('Mapa final'!$AA$14="Media",'Mapa final'!$AC$14="Leve"),CONCATENATE("R2C",'Mapa final'!$Q$14),"")</f>
        <v/>
      </c>
      <c r="L27" s="53" t="str">
        <f ca="1">IF(AND('Mapa final'!$AA$15="Media",'Mapa final'!$AC$15="Leve"),CONCATENATE("R2C",'Mapa final'!$Q$15),"")</f>
        <v/>
      </c>
      <c r="M27" s="53" t="e">
        <f>IF(AND('Mapa final'!#REF!="Media",'Mapa final'!#REF!="Leve"),CONCATENATE("R2C",'Mapa final'!#REF!),"")</f>
        <v>#REF!</v>
      </c>
      <c r="N27" s="53" t="str">
        <f>IF(AND('Mapa final'!$AA$16="Media",'Mapa final'!$AC$16="Leve"),CONCATENATE("R2C",'Mapa final'!$Q$16),"")</f>
        <v/>
      </c>
      <c r="O27" s="54" t="str">
        <f>IF(AND('Mapa final'!$AA$17="Media",'Mapa final'!$AC$17="Leve"),CONCATENATE("R2C",'Mapa final'!$Q$17),"")</f>
        <v/>
      </c>
      <c r="P27" s="52" t="str">
        <f ca="1">IF(AND('Mapa final'!$AA$13="Media",'Mapa final'!$AC$13="Menor"),CONCATENATE("R2C",'Mapa final'!$Q$13),"")</f>
        <v/>
      </c>
      <c r="Q27" s="53" t="str">
        <f ca="1">IF(AND('Mapa final'!$AA$14="Media",'Mapa final'!$AC$14="Menor"),CONCATENATE("R2C",'Mapa final'!$Q$14),"")</f>
        <v/>
      </c>
      <c r="R27" s="53" t="str">
        <f ca="1">IF(AND('Mapa final'!$AA$15="Media",'Mapa final'!$AC$15="Menor"),CONCATENATE("R2C",'Mapa final'!$Q$15),"")</f>
        <v/>
      </c>
      <c r="S27" s="53" t="e">
        <f>IF(AND('Mapa final'!#REF!="Media",'Mapa final'!#REF!="Menor"),CONCATENATE("R2C",'Mapa final'!#REF!),"")</f>
        <v>#REF!</v>
      </c>
      <c r="T27" s="53" t="str">
        <f>IF(AND('Mapa final'!$AA$16="Media",'Mapa final'!$AC$16="Menor"),CONCATENATE("R2C",'Mapa final'!$Q$16),"")</f>
        <v/>
      </c>
      <c r="U27" s="54" t="str">
        <f>IF(AND('Mapa final'!$AA$17="Media",'Mapa final'!$AC$17="Menor"),CONCATENATE("R2C",'Mapa final'!$Q$17),"")</f>
        <v/>
      </c>
      <c r="V27" s="52" t="str">
        <f ca="1">IF(AND('Mapa final'!$AA$13="Media",'Mapa final'!$AC$13="Moderado"),CONCATENATE("R2C",'Mapa final'!$Q$13),"")</f>
        <v/>
      </c>
      <c r="W27" s="53" t="str">
        <f ca="1">IF(AND('Mapa final'!$AA$14="Media",'Mapa final'!$AC$14="Moderado"),CONCATENATE("R2C",'Mapa final'!$Q$14),"")</f>
        <v/>
      </c>
      <c r="X27" s="53" t="str">
        <f ca="1">IF(AND('Mapa final'!$AA$15="Media",'Mapa final'!$AC$15="Moderado"),CONCATENATE("R2C",'Mapa final'!$Q$15),"")</f>
        <v/>
      </c>
      <c r="Y27" s="53" t="e">
        <f>IF(AND('Mapa final'!#REF!="Media",'Mapa final'!#REF!="Moderado"),CONCATENATE("R2C",'Mapa final'!#REF!),"")</f>
        <v>#REF!</v>
      </c>
      <c r="Z27" s="53" t="str">
        <f>IF(AND('Mapa final'!$AA$16="Media",'Mapa final'!$AC$16="Moderado"),CONCATENATE("R2C",'Mapa final'!$Q$16),"")</f>
        <v/>
      </c>
      <c r="AA27" s="54" t="str">
        <f>IF(AND('Mapa final'!$AA$17="Media",'Mapa final'!$AC$17="Moderado"),CONCATENATE("R2C",'Mapa final'!$Q$17),"")</f>
        <v/>
      </c>
      <c r="AB27" s="36" t="str">
        <f ca="1">IF(AND('Mapa final'!$AA$13="Media",'Mapa final'!$AC$13="Mayor"),CONCATENATE("R2C",'Mapa final'!$Q$13),"")</f>
        <v/>
      </c>
      <c r="AC27" s="37" t="str">
        <f ca="1">IF(AND('Mapa final'!$AA$14="Media",'Mapa final'!$AC$14="Mayor"),CONCATENATE("R2C",'Mapa final'!$Q$14),"")</f>
        <v/>
      </c>
      <c r="AD27" s="37" t="str">
        <f ca="1">IF(AND('Mapa final'!$AA$15="Media",'Mapa final'!$AC$15="Mayor"),CONCATENATE("R2C",'Mapa final'!$Q$15),"")</f>
        <v/>
      </c>
      <c r="AE27" s="37" t="e">
        <f>IF(AND('Mapa final'!#REF!="Media",'Mapa final'!#REF!="Mayor"),CONCATENATE("R2C",'Mapa final'!#REF!),"")</f>
        <v>#REF!</v>
      </c>
      <c r="AF27" s="37" t="str">
        <f>IF(AND('Mapa final'!$AA$16="Media",'Mapa final'!$AC$16="Mayor"),CONCATENATE("R2C",'Mapa final'!$Q$16),"")</f>
        <v/>
      </c>
      <c r="AG27" s="38" t="str">
        <f>IF(AND('Mapa final'!$AA$17="Media",'Mapa final'!$AC$17="Mayor"),CONCATENATE("R2C",'Mapa final'!$Q$17),"")</f>
        <v/>
      </c>
      <c r="AH27" s="39" t="str">
        <f ca="1">IF(AND('Mapa final'!$AA$13="Media",'Mapa final'!$AC$13="Catastrófico"),CONCATENATE("R2C",'Mapa final'!$Q$13),"")</f>
        <v>R2C1</v>
      </c>
      <c r="AI27" s="40" t="str">
        <f ca="1">IF(AND('Mapa final'!$AA$14="Media",'Mapa final'!$AC$14="Catastrófico"),CONCATENATE("R2C",'Mapa final'!$Q$14),"")</f>
        <v/>
      </c>
      <c r="AJ27" s="40" t="str">
        <f ca="1">IF(AND('Mapa final'!$AA$15="Media",'Mapa final'!$AC$15="Catastrófico"),CONCATENATE("R2C",'Mapa final'!$Q$15),"")</f>
        <v/>
      </c>
      <c r="AK27" s="40" t="e">
        <f>IF(AND('Mapa final'!#REF!="Media",'Mapa final'!#REF!="Catastrófico"),CONCATENATE("R2C",'Mapa final'!#REF!),"")</f>
        <v>#REF!</v>
      </c>
      <c r="AL27" s="40" t="str">
        <f>IF(AND('Mapa final'!$AA$16="Media",'Mapa final'!$AC$16="Catastrófico"),CONCATENATE("R2C",'Mapa final'!$Q$16),"")</f>
        <v/>
      </c>
      <c r="AM27" s="41" t="str">
        <f>IF(AND('Mapa final'!$AA$17="Media",'Mapa final'!$AC$17="Catastrófico"),CONCATENATE("R2C",'Mapa final'!$Q$17),"")</f>
        <v/>
      </c>
      <c r="AN27" s="68"/>
      <c r="AO27" s="420"/>
      <c r="AP27" s="421"/>
      <c r="AQ27" s="421"/>
      <c r="AR27" s="421"/>
      <c r="AS27" s="421"/>
      <c r="AT27" s="422"/>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289"/>
      <c r="C28" s="289"/>
      <c r="D28" s="290"/>
      <c r="E28" s="390"/>
      <c r="F28" s="391"/>
      <c r="G28" s="391"/>
      <c r="H28" s="391"/>
      <c r="I28" s="406"/>
      <c r="J28" s="52" t="str">
        <f>IF(AND('Mapa final'!$AA$18="Media",'Mapa final'!$AC$18="Leve"),CONCATENATE("R3C",'Mapa final'!$Q$18),"")</f>
        <v/>
      </c>
      <c r="K28" s="53" t="str">
        <f>IF(AND('Mapa final'!$AA$19="Media",'Mapa final'!$AC$19="Leve"),CONCATENATE("R3C",'Mapa final'!$Q$19),"")</f>
        <v/>
      </c>
      <c r="L28" s="53" t="str">
        <f>IF(AND('Mapa final'!$AA$20="Media",'Mapa final'!$AC$20="Leve"),CONCATENATE("R3C",'Mapa final'!$Q$20),"")</f>
        <v/>
      </c>
      <c r="M28" s="53" t="str">
        <f>IF(AND('Mapa final'!$AA$21="Media",'Mapa final'!$AC$21="Leve"),CONCATENATE("R3C",'Mapa final'!$Q$21),"")</f>
        <v/>
      </c>
      <c r="N28" s="53" t="str">
        <f>IF(AND('Mapa final'!$AA$22="Media",'Mapa final'!$AC$22="Leve"),CONCATENATE("R3C",'Mapa final'!$Q$22),"")</f>
        <v/>
      </c>
      <c r="O28" s="54" t="str">
        <f>IF(AND('Mapa final'!$AA$23="Media",'Mapa final'!$AC$23="Leve"),CONCATENATE("R3C",'Mapa final'!$Q$23),"")</f>
        <v/>
      </c>
      <c r="P28" s="52" t="str">
        <f>IF(AND('Mapa final'!$AA$18="Media",'Mapa final'!$AC$18="Menor"),CONCATENATE("R3C",'Mapa final'!$Q$18),"")</f>
        <v/>
      </c>
      <c r="Q28" s="53" t="str">
        <f>IF(AND('Mapa final'!$AA$19="Media",'Mapa final'!$AC$19="Menor"),CONCATENATE("R3C",'Mapa final'!$Q$19),"")</f>
        <v/>
      </c>
      <c r="R28" s="53" t="str">
        <f>IF(AND('Mapa final'!$AA$20="Media",'Mapa final'!$AC$20="Menor"),CONCATENATE("R3C",'Mapa final'!$Q$20),"")</f>
        <v/>
      </c>
      <c r="S28" s="53" t="str">
        <f>IF(AND('Mapa final'!$AA$21="Media",'Mapa final'!$AC$21="Menor"),CONCATENATE("R3C",'Mapa final'!$Q$21),"")</f>
        <v/>
      </c>
      <c r="T28" s="53" t="str">
        <f>IF(AND('Mapa final'!$AA$22="Media",'Mapa final'!$AC$22="Menor"),CONCATENATE("R3C",'Mapa final'!$Q$22),"")</f>
        <v/>
      </c>
      <c r="U28" s="54" t="str">
        <f>IF(AND('Mapa final'!$AA$23="Media",'Mapa final'!$AC$23="Menor"),CONCATENATE("R3C",'Mapa final'!$Q$23),"")</f>
        <v/>
      </c>
      <c r="V28" s="52" t="str">
        <f>IF(AND('Mapa final'!$AA$18="Media",'Mapa final'!$AC$18="Moderado"),CONCATENATE("R3C",'Mapa final'!$Q$18),"")</f>
        <v/>
      </c>
      <c r="W28" s="53" t="str">
        <f>IF(AND('Mapa final'!$AA$19="Media",'Mapa final'!$AC$19="Moderado"),CONCATENATE("R3C",'Mapa final'!$Q$19),"")</f>
        <v/>
      </c>
      <c r="X28" s="53" t="str">
        <f>IF(AND('Mapa final'!$AA$20="Media",'Mapa final'!$AC$20="Moderado"),CONCATENATE("R3C",'Mapa final'!$Q$20),"")</f>
        <v/>
      </c>
      <c r="Y28" s="53" t="str">
        <f>IF(AND('Mapa final'!$AA$21="Media",'Mapa final'!$AC$21="Moderado"),CONCATENATE("R3C",'Mapa final'!$Q$21),"")</f>
        <v/>
      </c>
      <c r="Z28" s="53" t="str">
        <f>IF(AND('Mapa final'!$AA$22="Media",'Mapa final'!$AC$22="Moderado"),CONCATENATE("R3C",'Mapa final'!$Q$22),"")</f>
        <v/>
      </c>
      <c r="AA28" s="54" t="str">
        <f>IF(AND('Mapa final'!$AA$23="Media",'Mapa final'!$AC$23="Moderado"),CONCATENATE("R3C",'Mapa final'!$Q$23),"")</f>
        <v/>
      </c>
      <c r="AB28" s="36" t="str">
        <f>IF(AND('Mapa final'!$AA$18="Media",'Mapa final'!$AC$18="Mayor"),CONCATENATE("R3C",'Mapa final'!$Q$18),"")</f>
        <v/>
      </c>
      <c r="AC28" s="37" t="str">
        <f>IF(AND('Mapa final'!$AA$19="Media",'Mapa final'!$AC$19="Mayor"),CONCATENATE("R3C",'Mapa final'!$Q$19),"")</f>
        <v/>
      </c>
      <c r="AD28" s="37" t="str">
        <f>IF(AND('Mapa final'!$AA$20="Media",'Mapa final'!$AC$20="Mayor"),CONCATENATE("R3C",'Mapa final'!$Q$20),"")</f>
        <v/>
      </c>
      <c r="AE28" s="37" t="str">
        <f>IF(AND('Mapa final'!$AA$21="Media",'Mapa final'!$AC$21="Mayor"),CONCATENATE("R3C",'Mapa final'!$Q$21),"")</f>
        <v/>
      </c>
      <c r="AF28" s="37" t="str">
        <f>IF(AND('Mapa final'!$AA$22="Media",'Mapa final'!$AC$22="Mayor"),CONCATENATE("R3C",'Mapa final'!$Q$22),"")</f>
        <v/>
      </c>
      <c r="AG28" s="38" t="str">
        <f>IF(AND('Mapa final'!$AA$23="Media",'Mapa final'!$AC$23="Mayor"),CONCATENATE("R3C",'Mapa final'!$Q$23),"")</f>
        <v/>
      </c>
      <c r="AH28" s="39" t="str">
        <f>IF(AND('Mapa final'!$AA$18="Media",'Mapa final'!$AC$18="Catastrófico"),CONCATENATE("R3C",'Mapa final'!$Q$18),"")</f>
        <v/>
      </c>
      <c r="AI28" s="40" t="str">
        <f>IF(AND('Mapa final'!$AA$19="Media",'Mapa final'!$AC$19="Catastrófico"),CONCATENATE("R3C",'Mapa final'!$Q$19),"")</f>
        <v/>
      </c>
      <c r="AJ28" s="40" t="str">
        <f>IF(AND('Mapa final'!$AA$20="Media",'Mapa final'!$AC$20="Catastrófico"),CONCATENATE("R3C",'Mapa final'!$Q$20),"")</f>
        <v/>
      </c>
      <c r="AK28" s="40" t="str">
        <f>IF(AND('Mapa final'!$AA$21="Media",'Mapa final'!$AC$21="Catastrófico"),CONCATENATE("R3C",'Mapa final'!$Q$21),"")</f>
        <v/>
      </c>
      <c r="AL28" s="40" t="str">
        <f>IF(AND('Mapa final'!$AA$22="Media",'Mapa final'!$AC$22="Catastrófico"),CONCATENATE("R3C",'Mapa final'!$Q$22),"")</f>
        <v/>
      </c>
      <c r="AM28" s="41" t="str">
        <f>IF(AND('Mapa final'!$AA$23="Media",'Mapa final'!$AC$23="Catastrófico"),CONCATENATE("R3C",'Mapa final'!$Q$23),"")</f>
        <v/>
      </c>
      <c r="AN28" s="68"/>
      <c r="AO28" s="420"/>
      <c r="AP28" s="421"/>
      <c r="AQ28" s="421"/>
      <c r="AR28" s="421"/>
      <c r="AS28" s="421"/>
      <c r="AT28" s="422"/>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289"/>
      <c r="C29" s="289"/>
      <c r="D29" s="290"/>
      <c r="E29" s="390"/>
      <c r="F29" s="391"/>
      <c r="G29" s="391"/>
      <c r="H29" s="391"/>
      <c r="I29" s="406"/>
      <c r="J29" s="52" t="str">
        <f>IF(AND('Mapa final'!$AA$24="Media",'Mapa final'!$AC$24="Leve"),CONCATENATE("R4C",'Mapa final'!$Q$24),"")</f>
        <v/>
      </c>
      <c r="K29" s="53" t="str">
        <f>IF(AND('Mapa final'!$AA$25="Media",'Mapa final'!$AC$25="Leve"),CONCATENATE("R4C",'Mapa final'!$Q$25),"")</f>
        <v/>
      </c>
      <c r="L29" s="53" t="str">
        <f>IF(AND('Mapa final'!$AA$26="Media",'Mapa final'!$AC$26="Leve"),CONCATENATE("R4C",'Mapa final'!$Q$26),"")</f>
        <v/>
      </c>
      <c r="M29" s="53" t="str">
        <f>IF(AND('Mapa final'!$AA$27="Media",'Mapa final'!$AC$27="Leve"),CONCATENATE("R4C",'Mapa final'!$Q$27),"")</f>
        <v/>
      </c>
      <c r="N29" s="53" t="str">
        <f>IF(AND('Mapa final'!$AA$28="Media",'Mapa final'!$AC$28="Leve"),CONCATENATE("R4C",'Mapa final'!$Q$28),"")</f>
        <v/>
      </c>
      <c r="O29" s="54" t="str">
        <f>IF(AND('Mapa final'!$AA$29="Media",'Mapa final'!$AC$29="Leve"),CONCATENATE("R4C",'Mapa final'!$Q$29),"")</f>
        <v/>
      </c>
      <c r="P29" s="52" t="str">
        <f>IF(AND('Mapa final'!$AA$24="Media",'Mapa final'!$AC$24="Menor"),CONCATENATE("R4C",'Mapa final'!$Q$24),"")</f>
        <v/>
      </c>
      <c r="Q29" s="53" t="str">
        <f>IF(AND('Mapa final'!$AA$25="Media",'Mapa final'!$AC$25="Menor"),CONCATENATE("R4C",'Mapa final'!$Q$25),"")</f>
        <v/>
      </c>
      <c r="R29" s="53" t="str">
        <f>IF(AND('Mapa final'!$AA$26="Media",'Mapa final'!$AC$26="Menor"),CONCATENATE("R4C",'Mapa final'!$Q$26),"")</f>
        <v/>
      </c>
      <c r="S29" s="53" t="str">
        <f>IF(AND('Mapa final'!$AA$27="Media",'Mapa final'!$AC$27="Menor"),CONCATENATE("R4C",'Mapa final'!$Q$27),"")</f>
        <v/>
      </c>
      <c r="T29" s="53" t="str">
        <f>IF(AND('Mapa final'!$AA$28="Media",'Mapa final'!$AC$28="Menor"),CONCATENATE("R4C",'Mapa final'!$Q$28),"")</f>
        <v/>
      </c>
      <c r="U29" s="54" t="str">
        <f>IF(AND('Mapa final'!$AA$29="Media",'Mapa final'!$AC$29="Menor"),CONCATENATE("R4C",'Mapa final'!$Q$29),"")</f>
        <v/>
      </c>
      <c r="V29" s="52" t="str">
        <f>IF(AND('Mapa final'!$AA$24="Media",'Mapa final'!$AC$24="Moderado"),CONCATENATE("R4C",'Mapa final'!$Q$24),"")</f>
        <v/>
      </c>
      <c r="W29" s="53" t="str">
        <f>IF(AND('Mapa final'!$AA$25="Media",'Mapa final'!$AC$25="Moderado"),CONCATENATE("R4C",'Mapa final'!$Q$25),"")</f>
        <v/>
      </c>
      <c r="X29" s="53" t="str">
        <f>IF(AND('Mapa final'!$AA$26="Media",'Mapa final'!$AC$26="Moderado"),CONCATENATE("R4C",'Mapa final'!$Q$26),"")</f>
        <v/>
      </c>
      <c r="Y29" s="53" t="str">
        <f>IF(AND('Mapa final'!$AA$27="Media",'Mapa final'!$AC$27="Moderado"),CONCATENATE("R4C",'Mapa final'!$Q$27),"")</f>
        <v/>
      </c>
      <c r="Z29" s="53" t="str">
        <f>IF(AND('Mapa final'!$AA$28="Media",'Mapa final'!$AC$28="Moderado"),CONCATENATE("R4C",'Mapa final'!$Q$28),"")</f>
        <v/>
      </c>
      <c r="AA29" s="54" t="str">
        <f>IF(AND('Mapa final'!$AA$29="Media",'Mapa final'!$AC$29="Moderado"),CONCATENATE("R4C",'Mapa final'!$Q$29),"")</f>
        <v/>
      </c>
      <c r="AB29" s="36" t="str">
        <f>IF(AND('Mapa final'!$AA$24="Media",'Mapa final'!$AC$24="Mayor"),CONCATENATE("R4C",'Mapa final'!$Q$24),"")</f>
        <v/>
      </c>
      <c r="AC29" s="37" t="str">
        <f>IF(AND('Mapa final'!$AA$25="Media",'Mapa final'!$AC$25="Mayor"),CONCATENATE("R4C",'Mapa final'!$Q$25),"")</f>
        <v/>
      </c>
      <c r="AD29" s="42" t="str">
        <f>IF(AND('Mapa final'!$AA$26="Media",'Mapa final'!$AC$26="Mayor"),CONCATENATE("R4C",'Mapa final'!$Q$26),"")</f>
        <v/>
      </c>
      <c r="AE29" s="42" t="str">
        <f>IF(AND('Mapa final'!$AA$27="Media",'Mapa final'!$AC$27="Mayor"),CONCATENATE("R4C",'Mapa final'!$Q$27),"")</f>
        <v/>
      </c>
      <c r="AF29" s="42" t="str">
        <f>IF(AND('Mapa final'!$AA$28="Media",'Mapa final'!$AC$28="Mayor"),CONCATENATE("R4C",'Mapa final'!$Q$28),"")</f>
        <v/>
      </c>
      <c r="AG29" s="38" t="str">
        <f>IF(AND('Mapa final'!$AA$29="Media",'Mapa final'!$AC$29="Mayor"),CONCATENATE("R4C",'Mapa final'!$Q$29),"")</f>
        <v/>
      </c>
      <c r="AH29" s="39" t="str">
        <f>IF(AND('Mapa final'!$AA$24="Media",'Mapa final'!$AC$24="Catastrófico"),CONCATENATE("R4C",'Mapa final'!$Q$24),"")</f>
        <v/>
      </c>
      <c r="AI29" s="40" t="str">
        <f>IF(AND('Mapa final'!$AA$25="Media",'Mapa final'!$AC$25="Catastrófico"),CONCATENATE("R4C",'Mapa final'!$Q$25),"")</f>
        <v/>
      </c>
      <c r="AJ29" s="40" t="str">
        <f>IF(AND('Mapa final'!$AA$26="Media",'Mapa final'!$AC$26="Catastrófico"),CONCATENATE("R4C",'Mapa final'!$Q$26),"")</f>
        <v/>
      </c>
      <c r="AK29" s="40" t="str">
        <f>IF(AND('Mapa final'!$AA$27="Media",'Mapa final'!$AC$27="Catastrófico"),CONCATENATE("R4C",'Mapa final'!$Q$27),"")</f>
        <v/>
      </c>
      <c r="AL29" s="40" t="str">
        <f>IF(AND('Mapa final'!$AA$28="Media",'Mapa final'!$AC$28="Catastrófico"),CONCATENATE("R4C",'Mapa final'!$Q$28),"")</f>
        <v/>
      </c>
      <c r="AM29" s="41" t="str">
        <f>IF(AND('Mapa final'!$AA$29="Media",'Mapa final'!$AC$29="Catastrófico"),CONCATENATE("R4C",'Mapa final'!$Q$29),"")</f>
        <v/>
      </c>
      <c r="AN29" s="68"/>
      <c r="AO29" s="420"/>
      <c r="AP29" s="421"/>
      <c r="AQ29" s="421"/>
      <c r="AR29" s="421"/>
      <c r="AS29" s="421"/>
      <c r="AT29" s="422"/>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289"/>
      <c r="C30" s="289"/>
      <c r="D30" s="290"/>
      <c r="E30" s="390"/>
      <c r="F30" s="391"/>
      <c r="G30" s="391"/>
      <c r="H30" s="391"/>
      <c r="I30" s="406"/>
      <c r="J30" s="52" t="str">
        <f>IF(AND('Mapa final'!$AA$30="Media",'Mapa final'!$AC$30="Leve"),CONCATENATE("R5C",'Mapa final'!$Q$30),"")</f>
        <v/>
      </c>
      <c r="K30" s="53" t="str">
        <f>IF(AND('Mapa final'!$AA$31="Media",'Mapa final'!$AC$31="Leve"),CONCATENATE("R5C",'Mapa final'!$Q$31),"")</f>
        <v/>
      </c>
      <c r="L30" s="53" t="str">
        <f>IF(AND('Mapa final'!$AA$32="Media",'Mapa final'!$AC$32="Leve"),CONCATENATE("R5C",'Mapa final'!$Q$32),"")</f>
        <v/>
      </c>
      <c r="M30" s="53" t="str">
        <f>IF(AND('Mapa final'!$AA$33="Media",'Mapa final'!$AC$33="Leve"),CONCATENATE("R5C",'Mapa final'!$Q$33),"")</f>
        <v/>
      </c>
      <c r="N30" s="53" t="str">
        <f>IF(AND('Mapa final'!$AA$34="Media",'Mapa final'!$AC$34="Leve"),CONCATENATE("R5C",'Mapa final'!$Q$34),"")</f>
        <v/>
      </c>
      <c r="O30" s="54" t="str">
        <f>IF(AND('Mapa final'!$AA$35="Media",'Mapa final'!$AC$35="Leve"),CONCATENATE("R5C",'Mapa final'!$Q$35),"")</f>
        <v/>
      </c>
      <c r="P30" s="52" t="str">
        <f>IF(AND('Mapa final'!$AA$30="Media",'Mapa final'!$AC$30="Menor"),CONCATENATE("R5C",'Mapa final'!$Q$30),"")</f>
        <v/>
      </c>
      <c r="Q30" s="53" t="str">
        <f>IF(AND('Mapa final'!$AA$31="Media",'Mapa final'!$AC$31="Menor"),CONCATENATE("R5C",'Mapa final'!$Q$31),"")</f>
        <v/>
      </c>
      <c r="R30" s="53" t="str">
        <f>IF(AND('Mapa final'!$AA$32="Media",'Mapa final'!$AC$32="Menor"),CONCATENATE("R5C",'Mapa final'!$Q$32),"")</f>
        <v/>
      </c>
      <c r="S30" s="53" t="str">
        <f>IF(AND('Mapa final'!$AA$33="Media",'Mapa final'!$AC$33="Menor"),CONCATENATE("R5C",'Mapa final'!$Q$33),"")</f>
        <v/>
      </c>
      <c r="T30" s="53" t="str">
        <f>IF(AND('Mapa final'!$AA$34="Media",'Mapa final'!$AC$34="Menor"),CONCATENATE("R5C",'Mapa final'!$Q$34),"")</f>
        <v/>
      </c>
      <c r="U30" s="54" t="str">
        <f>IF(AND('Mapa final'!$AA$35="Media",'Mapa final'!$AC$35="Menor"),CONCATENATE("R5C",'Mapa final'!$Q$35),"")</f>
        <v/>
      </c>
      <c r="V30" s="52" t="str">
        <f>IF(AND('Mapa final'!$AA$30="Media",'Mapa final'!$AC$30="Moderado"),CONCATENATE("R5C",'Mapa final'!$Q$30),"")</f>
        <v/>
      </c>
      <c r="W30" s="53" t="str">
        <f>IF(AND('Mapa final'!$AA$31="Media",'Mapa final'!$AC$31="Moderado"),CONCATENATE("R5C",'Mapa final'!$Q$31),"")</f>
        <v/>
      </c>
      <c r="X30" s="53" t="str">
        <f>IF(AND('Mapa final'!$AA$32="Media",'Mapa final'!$AC$32="Moderado"),CONCATENATE("R5C",'Mapa final'!$Q$32),"")</f>
        <v/>
      </c>
      <c r="Y30" s="53" t="str">
        <f>IF(AND('Mapa final'!$AA$33="Media",'Mapa final'!$AC$33="Moderado"),CONCATENATE("R5C",'Mapa final'!$Q$33),"")</f>
        <v/>
      </c>
      <c r="Z30" s="53" t="str">
        <f>IF(AND('Mapa final'!$AA$34="Media",'Mapa final'!$AC$34="Moderado"),CONCATENATE("R5C",'Mapa final'!$Q$34),"")</f>
        <v/>
      </c>
      <c r="AA30" s="54" t="str">
        <f>IF(AND('Mapa final'!$AA$35="Media",'Mapa final'!$AC$35="Moderado"),CONCATENATE("R5C",'Mapa final'!$Q$35),"")</f>
        <v/>
      </c>
      <c r="AB30" s="36" t="str">
        <f>IF(AND('Mapa final'!$AA$30="Media",'Mapa final'!$AC$30="Mayor"),CONCATENATE("R5C",'Mapa final'!$Q$30),"")</f>
        <v/>
      </c>
      <c r="AC30" s="37" t="str">
        <f>IF(AND('Mapa final'!$AA$31="Media",'Mapa final'!$AC$31="Mayor"),CONCATENATE("R5C",'Mapa final'!$Q$31),"")</f>
        <v/>
      </c>
      <c r="AD30" s="42" t="str">
        <f>IF(AND('Mapa final'!$AA$32="Media",'Mapa final'!$AC$32="Mayor"),CONCATENATE("R5C",'Mapa final'!$Q$32),"")</f>
        <v/>
      </c>
      <c r="AE30" s="42" t="str">
        <f>IF(AND('Mapa final'!$AA$33="Media",'Mapa final'!$AC$33="Mayor"),CONCATENATE("R5C",'Mapa final'!$Q$33),"")</f>
        <v/>
      </c>
      <c r="AF30" s="42" t="str">
        <f>IF(AND('Mapa final'!$AA$34="Media",'Mapa final'!$AC$34="Mayor"),CONCATENATE("R5C",'Mapa final'!$Q$34),"")</f>
        <v/>
      </c>
      <c r="AG30" s="38" t="str">
        <f>IF(AND('Mapa final'!$AA$35="Media",'Mapa final'!$AC$35="Mayor"),CONCATENATE("R5C",'Mapa final'!$Q$35),"")</f>
        <v/>
      </c>
      <c r="AH30" s="39" t="str">
        <f>IF(AND('Mapa final'!$AA$30="Media",'Mapa final'!$AC$30="Catastrófico"),CONCATENATE("R5C",'Mapa final'!$Q$30),"")</f>
        <v/>
      </c>
      <c r="AI30" s="40" t="str">
        <f>IF(AND('Mapa final'!$AA$31="Media",'Mapa final'!$AC$31="Catastrófico"),CONCATENATE("R5C",'Mapa final'!$Q$31),"")</f>
        <v/>
      </c>
      <c r="AJ30" s="40" t="str">
        <f>IF(AND('Mapa final'!$AA$32="Media",'Mapa final'!$AC$32="Catastrófico"),CONCATENATE("R5C",'Mapa final'!$Q$32),"")</f>
        <v/>
      </c>
      <c r="AK30" s="40" t="str">
        <f>IF(AND('Mapa final'!$AA$33="Media",'Mapa final'!$AC$33="Catastrófico"),CONCATENATE("R5C",'Mapa final'!$Q$33),"")</f>
        <v/>
      </c>
      <c r="AL30" s="40" t="str">
        <f>IF(AND('Mapa final'!$AA$34="Media",'Mapa final'!$AC$34="Catastrófico"),CONCATENATE("R5C",'Mapa final'!$Q$34),"")</f>
        <v/>
      </c>
      <c r="AM30" s="41" t="str">
        <f>IF(AND('Mapa final'!$AA$35="Media",'Mapa final'!$AC$35="Catastrófico"),CONCATENATE("R5C",'Mapa final'!$Q$35),"")</f>
        <v/>
      </c>
      <c r="AN30" s="68"/>
      <c r="AO30" s="420"/>
      <c r="AP30" s="421"/>
      <c r="AQ30" s="421"/>
      <c r="AR30" s="421"/>
      <c r="AS30" s="421"/>
      <c r="AT30" s="422"/>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289"/>
      <c r="C31" s="289"/>
      <c r="D31" s="290"/>
      <c r="E31" s="390"/>
      <c r="F31" s="391"/>
      <c r="G31" s="391"/>
      <c r="H31" s="391"/>
      <c r="I31" s="406"/>
      <c r="J31" s="52" t="str">
        <f>IF(AND('Mapa final'!$AA$36="Media",'Mapa final'!$AC$36="Leve"),CONCATENATE("R6C",'Mapa final'!$Q$36),"")</f>
        <v/>
      </c>
      <c r="K31" s="53" t="str">
        <f>IF(AND('Mapa final'!$AA$37="Media",'Mapa final'!$AC$37="Leve"),CONCATENATE("R6C",'Mapa final'!$Q$37),"")</f>
        <v/>
      </c>
      <c r="L31" s="53" t="str">
        <f>IF(AND('Mapa final'!$AA$38="Media",'Mapa final'!$AC$38="Leve"),CONCATENATE("R6C",'Mapa final'!$Q$38),"")</f>
        <v/>
      </c>
      <c r="M31" s="53" t="str">
        <f>IF(AND('Mapa final'!$AA$39="Media",'Mapa final'!$AC$39="Leve"),CONCATENATE("R6C",'Mapa final'!$Q$39),"")</f>
        <v/>
      </c>
      <c r="N31" s="53" t="str">
        <f>IF(AND('Mapa final'!$AA$40="Media",'Mapa final'!$AC$40="Leve"),CONCATENATE("R6C",'Mapa final'!$Q$40),"")</f>
        <v/>
      </c>
      <c r="O31" s="54" t="str">
        <f>IF(AND('Mapa final'!$AA$41="Media",'Mapa final'!$AC$41="Leve"),CONCATENATE("R6C",'Mapa final'!$Q$41),"")</f>
        <v/>
      </c>
      <c r="P31" s="52" t="str">
        <f>IF(AND('Mapa final'!$AA$36="Media",'Mapa final'!$AC$36="Menor"),CONCATENATE("R6C",'Mapa final'!$Q$36),"")</f>
        <v/>
      </c>
      <c r="Q31" s="53" t="str">
        <f>IF(AND('Mapa final'!$AA$37="Media",'Mapa final'!$AC$37="Menor"),CONCATENATE("R6C",'Mapa final'!$Q$37),"")</f>
        <v/>
      </c>
      <c r="R31" s="53" t="str">
        <f>IF(AND('Mapa final'!$AA$38="Media",'Mapa final'!$AC$38="Menor"),CONCATENATE("R6C",'Mapa final'!$Q$38),"")</f>
        <v/>
      </c>
      <c r="S31" s="53" t="str">
        <f>IF(AND('Mapa final'!$AA$39="Media",'Mapa final'!$AC$39="Menor"),CONCATENATE("R6C",'Mapa final'!$Q$39),"")</f>
        <v/>
      </c>
      <c r="T31" s="53" t="str">
        <f>IF(AND('Mapa final'!$AA$40="Media",'Mapa final'!$AC$40="Menor"),CONCATENATE("R6C",'Mapa final'!$Q$40),"")</f>
        <v/>
      </c>
      <c r="U31" s="54" t="str">
        <f>IF(AND('Mapa final'!$AA$41="Media",'Mapa final'!$AC$41="Menor"),CONCATENATE("R6C",'Mapa final'!$Q$41),"")</f>
        <v/>
      </c>
      <c r="V31" s="52" t="str">
        <f>IF(AND('Mapa final'!$AA$36="Media",'Mapa final'!$AC$36="Moderado"),CONCATENATE("R6C",'Mapa final'!$Q$36),"")</f>
        <v/>
      </c>
      <c r="W31" s="53" t="str">
        <f>IF(AND('Mapa final'!$AA$37="Media",'Mapa final'!$AC$37="Moderado"),CONCATENATE("R6C",'Mapa final'!$Q$37),"")</f>
        <v/>
      </c>
      <c r="X31" s="53" t="str">
        <f>IF(AND('Mapa final'!$AA$38="Media",'Mapa final'!$AC$38="Moderado"),CONCATENATE("R6C",'Mapa final'!$Q$38),"")</f>
        <v/>
      </c>
      <c r="Y31" s="53" t="str">
        <f>IF(AND('Mapa final'!$AA$39="Media",'Mapa final'!$AC$39="Moderado"),CONCATENATE("R6C",'Mapa final'!$Q$39),"")</f>
        <v/>
      </c>
      <c r="Z31" s="53" t="str">
        <f>IF(AND('Mapa final'!$AA$40="Media",'Mapa final'!$AC$40="Moderado"),CONCATENATE("R6C",'Mapa final'!$Q$40),"")</f>
        <v/>
      </c>
      <c r="AA31" s="54" t="str">
        <f>IF(AND('Mapa final'!$AA$41="Media",'Mapa final'!$AC$41="Moderado"),CONCATENATE("R6C",'Mapa final'!$Q$41),"")</f>
        <v/>
      </c>
      <c r="AB31" s="36" t="str">
        <f>IF(AND('Mapa final'!$AA$36="Media",'Mapa final'!$AC$36="Mayor"),CONCATENATE("R6C",'Mapa final'!$Q$36),"")</f>
        <v/>
      </c>
      <c r="AC31" s="37" t="str">
        <f>IF(AND('Mapa final'!$AA$37="Media",'Mapa final'!$AC$37="Mayor"),CONCATENATE("R6C",'Mapa final'!$Q$37),"")</f>
        <v/>
      </c>
      <c r="AD31" s="42" t="str">
        <f>IF(AND('Mapa final'!$AA$38="Media",'Mapa final'!$AC$38="Mayor"),CONCATENATE("R6C",'Mapa final'!$Q$38),"")</f>
        <v/>
      </c>
      <c r="AE31" s="42" t="str">
        <f>IF(AND('Mapa final'!$AA$39="Media",'Mapa final'!$AC$39="Mayor"),CONCATENATE("R6C",'Mapa final'!$Q$39),"")</f>
        <v/>
      </c>
      <c r="AF31" s="42" t="str">
        <f>IF(AND('Mapa final'!$AA$40="Media",'Mapa final'!$AC$40="Mayor"),CONCATENATE("R6C",'Mapa final'!$Q$40),"")</f>
        <v/>
      </c>
      <c r="AG31" s="38" t="str">
        <f>IF(AND('Mapa final'!$AA$41="Media",'Mapa final'!$AC$41="Mayor"),CONCATENATE("R6C",'Mapa final'!$Q$41),"")</f>
        <v/>
      </c>
      <c r="AH31" s="39" t="str">
        <f>IF(AND('Mapa final'!$AA$36="Media",'Mapa final'!$AC$36="Catastrófico"),CONCATENATE("R6C",'Mapa final'!$Q$36),"")</f>
        <v/>
      </c>
      <c r="AI31" s="40" t="str">
        <f>IF(AND('Mapa final'!$AA$37="Media",'Mapa final'!$AC$37="Catastrófico"),CONCATENATE("R6C",'Mapa final'!$Q$37),"")</f>
        <v/>
      </c>
      <c r="AJ31" s="40" t="str">
        <f>IF(AND('Mapa final'!$AA$38="Media",'Mapa final'!$AC$38="Catastrófico"),CONCATENATE("R6C",'Mapa final'!$Q$38),"")</f>
        <v/>
      </c>
      <c r="AK31" s="40" t="str">
        <f>IF(AND('Mapa final'!$AA$39="Media",'Mapa final'!$AC$39="Catastrófico"),CONCATENATE("R6C",'Mapa final'!$Q$39),"")</f>
        <v/>
      </c>
      <c r="AL31" s="40" t="str">
        <f>IF(AND('Mapa final'!$AA$40="Media",'Mapa final'!$AC$40="Catastrófico"),CONCATENATE("R6C",'Mapa final'!$Q$40),"")</f>
        <v/>
      </c>
      <c r="AM31" s="41" t="str">
        <f>IF(AND('Mapa final'!$AA$41="Media",'Mapa final'!$AC$41="Catastrófico"),CONCATENATE("R6C",'Mapa final'!$Q$41),"")</f>
        <v/>
      </c>
      <c r="AN31" s="68"/>
      <c r="AO31" s="420"/>
      <c r="AP31" s="421"/>
      <c r="AQ31" s="421"/>
      <c r="AR31" s="421"/>
      <c r="AS31" s="421"/>
      <c r="AT31" s="422"/>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289"/>
      <c r="C32" s="289"/>
      <c r="D32" s="290"/>
      <c r="E32" s="390"/>
      <c r="F32" s="391"/>
      <c r="G32" s="391"/>
      <c r="H32" s="391"/>
      <c r="I32" s="406"/>
      <c r="J32" s="52" t="str">
        <f>IF(AND('Mapa final'!$AA$42="Media",'Mapa final'!$AC$42="Leve"),CONCATENATE("R7C",'Mapa final'!$Q$42),"")</f>
        <v/>
      </c>
      <c r="K32" s="53" t="str">
        <f>IF(AND('Mapa final'!$AA$43="Media",'Mapa final'!$AC$43="Leve"),CONCATENATE("R7C",'Mapa final'!$Q$43),"")</f>
        <v/>
      </c>
      <c r="L32" s="53" t="str">
        <f>IF(AND('Mapa final'!$AA$44="Media",'Mapa final'!$AC$44="Leve"),CONCATENATE("R7C",'Mapa final'!$Q$44),"")</f>
        <v/>
      </c>
      <c r="M32" s="53" t="str">
        <f>IF(AND('Mapa final'!$AA$45="Media",'Mapa final'!$AC$45="Leve"),CONCATENATE("R7C",'Mapa final'!$Q$45),"")</f>
        <v/>
      </c>
      <c r="N32" s="53" t="str">
        <f>IF(AND('Mapa final'!$AA$46="Media",'Mapa final'!$AC$46="Leve"),CONCATENATE("R7C",'Mapa final'!$Q$46),"")</f>
        <v/>
      </c>
      <c r="O32" s="54" t="str">
        <f>IF(AND('Mapa final'!$AA$47="Media",'Mapa final'!$AC$47="Leve"),CONCATENATE("R7C",'Mapa final'!$Q$47),"")</f>
        <v/>
      </c>
      <c r="P32" s="52" t="str">
        <f>IF(AND('Mapa final'!$AA$42="Media",'Mapa final'!$AC$42="Menor"),CONCATENATE("R7C",'Mapa final'!$Q$42),"")</f>
        <v/>
      </c>
      <c r="Q32" s="53" t="str">
        <f>IF(AND('Mapa final'!$AA$43="Media",'Mapa final'!$AC$43="Menor"),CONCATENATE("R7C",'Mapa final'!$Q$43),"")</f>
        <v/>
      </c>
      <c r="R32" s="53" t="str">
        <f>IF(AND('Mapa final'!$AA$44="Media",'Mapa final'!$AC$44="Menor"),CONCATENATE("R7C",'Mapa final'!$Q$44),"")</f>
        <v/>
      </c>
      <c r="S32" s="53" t="str">
        <f>IF(AND('Mapa final'!$AA$45="Media",'Mapa final'!$AC$45="Menor"),CONCATENATE("R7C",'Mapa final'!$Q$45),"")</f>
        <v/>
      </c>
      <c r="T32" s="53" t="str">
        <f>IF(AND('Mapa final'!$AA$46="Media",'Mapa final'!$AC$46="Menor"),CONCATENATE("R7C",'Mapa final'!$Q$46),"")</f>
        <v/>
      </c>
      <c r="U32" s="54" t="str">
        <f>IF(AND('Mapa final'!$AA$47="Media",'Mapa final'!$AC$47="Menor"),CONCATENATE("R7C",'Mapa final'!$Q$47),"")</f>
        <v/>
      </c>
      <c r="V32" s="52" t="str">
        <f>IF(AND('Mapa final'!$AA$42="Media",'Mapa final'!$AC$42="Moderado"),CONCATENATE("R7C",'Mapa final'!$Q$42),"")</f>
        <v/>
      </c>
      <c r="W32" s="53" t="str">
        <f>IF(AND('Mapa final'!$AA$43="Media",'Mapa final'!$AC$43="Moderado"),CONCATENATE("R7C",'Mapa final'!$Q$43),"")</f>
        <v/>
      </c>
      <c r="X32" s="53" t="str">
        <f>IF(AND('Mapa final'!$AA$44="Media",'Mapa final'!$AC$44="Moderado"),CONCATENATE("R7C",'Mapa final'!$Q$44),"")</f>
        <v/>
      </c>
      <c r="Y32" s="53" t="str">
        <f>IF(AND('Mapa final'!$AA$45="Media",'Mapa final'!$AC$45="Moderado"),CONCATENATE("R7C",'Mapa final'!$Q$45),"")</f>
        <v/>
      </c>
      <c r="Z32" s="53" t="str">
        <f>IF(AND('Mapa final'!$AA$46="Media",'Mapa final'!$AC$46="Moderado"),CONCATENATE("R7C",'Mapa final'!$Q$46),"")</f>
        <v/>
      </c>
      <c r="AA32" s="54" t="str">
        <f>IF(AND('Mapa final'!$AA$47="Media",'Mapa final'!$AC$47="Moderado"),CONCATENATE("R7C",'Mapa final'!$Q$47),"")</f>
        <v/>
      </c>
      <c r="AB32" s="36" t="str">
        <f>IF(AND('Mapa final'!$AA$42="Media",'Mapa final'!$AC$42="Mayor"),CONCATENATE("R7C",'Mapa final'!$Q$42),"")</f>
        <v/>
      </c>
      <c r="AC32" s="37" t="str">
        <f>IF(AND('Mapa final'!$AA$43="Media",'Mapa final'!$AC$43="Mayor"),CONCATENATE("R7C",'Mapa final'!$Q$43),"")</f>
        <v/>
      </c>
      <c r="AD32" s="42" t="str">
        <f>IF(AND('Mapa final'!$AA$44="Media",'Mapa final'!$AC$44="Mayor"),CONCATENATE("R7C",'Mapa final'!$Q$44),"")</f>
        <v/>
      </c>
      <c r="AE32" s="42" t="str">
        <f>IF(AND('Mapa final'!$AA$45="Media",'Mapa final'!$AC$45="Mayor"),CONCATENATE("R7C",'Mapa final'!$Q$45),"")</f>
        <v/>
      </c>
      <c r="AF32" s="42" t="str">
        <f>IF(AND('Mapa final'!$AA$46="Media",'Mapa final'!$AC$46="Mayor"),CONCATENATE("R7C",'Mapa final'!$Q$46),"")</f>
        <v/>
      </c>
      <c r="AG32" s="38" t="str">
        <f>IF(AND('Mapa final'!$AA$47="Media",'Mapa final'!$AC$47="Mayor"),CONCATENATE("R7C",'Mapa final'!$Q$47),"")</f>
        <v/>
      </c>
      <c r="AH32" s="39" t="str">
        <f>IF(AND('Mapa final'!$AA$42="Media",'Mapa final'!$AC$42="Catastrófico"),CONCATENATE("R7C",'Mapa final'!$Q$42),"")</f>
        <v/>
      </c>
      <c r="AI32" s="40" t="str">
        <f>IF(AND('Mapa final'!$AA$43="Media",'Mapa final'!$AC$43="Catastrófico"),CONCATENATE("R7C",'Mapa final'!$Q$43),"")</f>
        <v/>
      </c>
      <c r="AJ32" s="40" t="str">
        <f>IF(AND('Mapa final'!$AA$44="Media",'Mapa final'!$AC$44="Catastrófico"),CONCATENATE("R7C",'Mapa final'!$Q$44),"")</f>
        <v/>
      </c>
      <c r="AK32" s="40" t="str">
        <f>IF(AND('Mapa final'!$AA$45="Media",'Mapa final'!$AC$45="Catastrófico"),CONCATENATE("R7C",'Mapa final'!$Q$45),"")</f>
        <v/>
      </c>
      <c r="AL32" s="40" t="str">
        <f>IF(AND('Mapa final'!$AA$46="Media",'Mapa final'!$AC$46="Catastrófico"),CONCATENATE("R7C",'Mapa final'!$Q$46),"")</f>
        <v/>
      </c>
      <c r="AM32" s="41" t="str">
        <f>IF(AND('Mapa final'!$AA$47="Media",'Mapa final'!$AC$47="Catastrófico"),CONCATENATE("R7C",'Mapa final'!$Q$47),"")</f>
        <v/>
      </c>
      <c r="AN32" s="68"/>
      <c r="AO32" s="420"/>
      <c r="AP32" s="421"/>
      <c r="AQ32" s="421"/>
      <c r="AR32" s="421"/>
      <c r="AS32" s="421"/>
      <c r="AT32" s="422"/>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289"/>
      <c r="C33" s="289"/>
      <c r="D33" s="290"/>
      <c r="E33" s="390"/>
      <c r="F33" s="391"/>
      <c r="G33" s="391"/>
      <c r="H33" s="391"/>
      <c r="I33" s="406"/>
      <c r="J33" s="52" t="str">
        <f>IF(AND('Mapa final'!$AA$48="Media",'Mapa final'!$AC$48="Leve"),CONCATENATE("R8C",'Mapa final'!$Q$48),"")</f>
        <v/>
      </c>
      <c r="K33" s="53" t="str">
        <f>IF(AND('Mapa final'!$AA$49="Media",'Mapa final'!$AC$49="Leve"),CONCATENATE("R8C",'Mapa final'!$Q$49),"")</f>
        <v/>
      </c>
      <c r="L33" s="53" t="str">
        <f>IF(AND('Mapa final'!$AA$50="Media",'Mapa final'!$AC$50="Leve"),CONCATENATE("R8C",'Mapa final'!$Q$50),"")</f>
        <v/>
      </c>
      <c r="M33" s="53" t="str">
        <f>IF(AND('Mapa final'!$AA$51="Media",'Mapa final'!$AC$51="Leve"),CONCATENATE("R8C",'Mapa final'!$Q$51),"")</f>
        <v/>
      </c>
      <c r="N33" s="53" t="str">
        <f>IF(AND('Mapa final'!$AA$52="Media",'Mapa final'!$AC$52="Leve"),CONCATENATE("R8C",'Mapa final'!$Q$52),"")</f>
        <v/>
      </c>
      <c r="O33" s="54" t="str">
        <f>IF(AND('Mapa final'!$AA$53="Media",'Mapa final'!$AC$53="Leve"),CONCATENATE("R8C",'Mapa final'!$Q$53),"")</f>
        <v/>
      </c>
      <c r="P33" s="52" t="str">
        <f>IF(AND('Mapa final'!$AA$48="Media",'Mapa final'!$AC$48="Menor"),CONCATENATE("R8C",'Mapa final'!$Q$48),"")</f>
        <v/>
      </c>
      <c r="Q33" s="53" t="str">
        <f>IF(AND('Mapa final'!$AA$49="Media",'Mapa final'!$AC$49="Menor"),CONCATENATE("R8C",'Mapa final'!$Q$49),"")</f>
        <v/>
      </c>
      <c r="R33" s="53" t="str">
        <f>IF(AND('Mapa final'!$AA$50="Media",'Mapa final'!$AC$50="Menor"),CONCATENATE("R8C",'Mapa final'!$Q$50),"")</f>
        <v/>
      </c>
      <c r="S33" s="53" t="str">
        <f>IF(AND('Mapa final'!$AA$51="Media",'Mapa final'!$AC$51="Menor"),CONCATENATE("R8C",'Mapa final'!$Q$51),"")</f>
        <v/>
      </c>
      <c r="T33" s="53" t="str">
        <f>IF(AND('Mapa final'!$AA$52="Media",'Mapa final'!$AC$52="Menor"),CONCATENATE("R8C",'Mapa final'!$Q$52),"")</f>
        <v/>
      </c>
      <c r="U33" s="54" t="str">
        <f>IF(AND('Mapa final'!$AA$53="Media",'Mapa final'!$AC$53="Menor"),CONCATENATE("R8C",'Mapa final'!$Q$53),"")</f>
        <v/>
      </c>
      <c r="V33" s="52" t="str">
        <f>IF(AND('Mapa final'!$AA$48="Media",'Mapa final'!$AC$48="Moderado"),CONCATENATE("R8C",'Mapa final'!$Q$48),"")</f>
        <v/>
      </c>
      <c r="W33" s="53" t="str">
        <f>IF(AND('Mapa final'!$AA$49="Media",'Mapa final'!$AC$49="Moderado"),CONCATENATE("R8C",'Mapa final'!$Q$49),"")</f>
        <v/>
      </c>
      <c r="X33" s="53" t="str">
        <f>IF(AND('Mapa final'!$AA$50="Media",'Mapa final'!$AC$50="Moderado"),CONCATENATE("R8C",'Mapa final'!$Q$50),"")</f>
        <v/>
      </c>
      <c r="Y33" s="53" t="str">
        <f>IF(AND('Mapa final'!$AA$51="Media",'Mapa final'!$AC$51="Moderado"),CONCATENATE("R8C",'Mapa final'!$Q$51),"")</f>
        <v/>
      </c>
      <c r="Z33" s="53" t="str">
        <f>IF(AND('Mapa final'!$AA$52="Media",'Mapa final'!$AC$52="Moderado"),CONCATENATE("R8C",'Mapa final'!$Q$52),"")</f>
        <v/>
      </c>
      <c r="AA33" s="54" t="str">
        <f>IF(AND('Mapa final'!$AA$53="Media",'Mapa final'!$AC$53="Moderado"),CONCATENATE("R8C",'Mapa final'!$Q$53),"")</f>
        <v/>
      </c>
      <c r="AB33" s="36" t="str">
        <f>IF(AND('Mapa final'!$AA$48="Media",'Mapa final'!$AC$48="Mayor"),CONCATENATE("R8C",'Mapa final'!$Q$48),"")</f>
        <v/>
      </c>
      <c r="AC33" s="37" t="str">
        <f>IF(AND('Mapa final'!$AA$49="Media",'Mapa final'!$AC$49="Mayor"),CONCATENATE("R8C",'Mapa final'!$Q$49),"")</f>
        <v/>
      </c>
      <c r="AD33" s="42" t="str">
        <f>IF(AND('Mapa final'!$AA$50="Media",'Mapa final'!$AC$50="Mayor"),CONCATENATE("R8C",'Mapa final'!$Q$50),"")</f>
        <v/>
      </c>
      <c r="AE33" s="42" t="str">
        <f>IF(AND('Mapa final'!$AA$51="Media",'Mapa final'!$AC$51="Mayor"),CONCATENATE("R8C",'Mapa final'!$Q$51),"")</f>
        <v/>
      </c>
      <c r="AF33" s="42" t="str">
        <f>IF(AND('Mapa final'!$AA$52="Media",'Mapa final'!$AC$52="Mayor"),CONCATENATE("R8C",'Mapa final'!$Q$52),"")</f>
        <v/>
      </c>
      <c r="AG33" s="38" t="str">
        <f>IF(AND('Mapa final'!$AA$53="Media",'Mapa final'!$AC$53="Mayor"),CONCATENATE("R8C",'Mapa final'!$Q$53),"")</f>
        <v/>
      </c>
      <c r="AH33" s="39" t="str">
        <f>IF(AND('Mapa final'!$AA$48="Media",'Mapa final'!$AC$48="Catastrófico"),CONCATENATE("R8C",'Mapa final'!$Q$48),"")</f>
        <v/>
      </c>
      <c r="AI33" s="40" t="str">
        <f>IF(AND('Mapa final'!$AA$49="Media",'Mapa final'!$AC$49="Catastrófico"),CONCATENATE("R8C",'Mapa final'!$Q$49),"")</f>
        <v/>
      </c>
      <c r="AJ33" s="40" t="str">
        <f>IF(AND('Mapa final'!$AA$50="Media",'Mapa final'!$AC$50="Catastrófico"),CONCATENATE("R8C",'Mapa final'!$Q$50),"")</f>
        <v/>
      </c>
      <c r="AK33" s="40" t="str">
        <f>IF(AND('Mapa final'!$AA$51="Media",'Mapa final'!$AC$51="Catastrófico"),CONCATENATE("R8C",'Mapa final'!$Q$51),"")</f>
        <v/>
      </c>
      <c r="AL33" s="40" t="str">
        <f>IF(AND('Mapa final'!$AA$52="Media",'Mapa final'!$AC$52="Catastrófico"),CONCATENATE("R8C",'Mapa final'!$Q$52),"")</f>
        <v/>
      </c>
      <c r="AM33" s="41" t="str">
        <f>IF(AND('Mapa final'!$AA$53="Media",'Mapa final'!$AC$53="Catastrófico"),CONCATENATE("R8C",'Mapa final'!$Q$53),"")</f>
        <v/>
      </c>
      <c r="AN33" s="68"/>
      <c r="AO33" s="420"/>
      <c r="AP33" s="421"/>
      <c r="AQ33" s="421"/>
      <c r="AR33" s="421"/>
      <c r="AS33" s="421"/>
      <c r="AT33" s="422"/>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289"/>
      <c r="C34" s="289"/>
      <c r="D34" s="290"/>
      <c r="E34" s="390"/>
      <c r="F34" s="391"/>
      <c r="G34" s="391"/>
      <c r="H34" s="391"/>
      <c r="I34" s="406"/>
      <c r="J34" s="52" t="str">
        <f>IF(AND('Mapa final'!$AA$54="Media",'Mapa final'!$AC$54="Leve"),CONCATENATE("R9C",'Mapa final'!$Q$54),"")</f>
        <v/>
      </c>
      <c r="K34" s="53" t="str">
        <f>IF(AND('Mapa final'!$AA$55="Media",'Mapa final'!$AC$55="Leve"),CONCATENATE("R9C",'Mapa final'!$Q$55),"")</f>
        <v/>
      </c>
      <c r="L34" s="53" t="str">
        <f>IF(AND('Mapa final'!$AA$56="Media",'Mapa final'!$AC$56="Leve"),CONCATENATE("R9C",'Mapa final'!$Q$56),"")</f>
        <v/>
      </c>
      <c r="M34" s="53" t="str">
        <f>IF(AND('Mapa final'!$AA$57="Media",'Mapa final'!$AC$57="Leve"),CONCATENATE("R9C",'Mapa final'!$Q$57),"")</f>
        <v/>
      </c>
      <c r="N34" s="53" t="str">
        <f>IF(AND('Mapa final'!$AA$58="Media",'Mapa final'!$AC$58="Leve"),CONCATENATE("R9C",'Mapa final'!$Q$58),"")</f>
        <v/>
      </c>
      <c r="O34" s="54" t="str">
        <f>IF(AND('Mapa final'!$AA$59="Media",'Mapa final'!$AC$59="Leve"),CONCATENATE("R9C",'Mapa final'!$Q$59),"")</f>
        <v/>
      </c>
      <c r="P34" s="52" t="str">
        <f>IF(AND('Mapa final'!$AA$54="Media",'Mapa final'!$AC$54="Menor"),CONCATENATE("R9C",'Mapa final'!$Q$54),"")</f>
        <v/>
      </c>
      <c r="Q34" s="53" t="str">
        <f>IF(AND('Mapa final'!$AA$55="Media",'Mapa final'!$AC$55="Menor"),CONCATENATE("R9C",'Mapa final'!$Q$55),"")</f>
        <v/>
      </c>
      <c r="R34" s="53" t="str">
        <f>IF(AND('Mapa final'!$AA$56="Media",'Mapa final'!$AC$56="Menor"),CONCATENATE("R9C",'Mapa final'!$Q$56),"")</f>
        <v/>
      </c>
      <c r="S34" s="53" t="str">
        <f>IF(AND('Mapa final'!$AA$57="Media",'Mapa final'!$AC$57="Menor"),CONCATENATE("R9C",'Mapa final'!$Q$57),"")</f>
        <v/>
      </c>
      <c r="T34" s="53" t="str">
        <f>IF(AND('Mapa final'!$AA$58="Media",'Mapa final'!$AC$58="Menor"),CONCATENATE("R9C",'Mapa final'!$Q$58),"")</f>
        <v/>
      </c>
      <c r="U34" s="54" t="str">
        <f>IF(AND('Mapa final'!$AA$59="Media",'Mapa final'!$AC$59="Menor"),CONCATENATE("R9C",'Mapa final'!$Q$59),"")</f>
        <v/>
      </c>
      <c r="V34" s="52" t="str">
        <f>IF(AND('Mapa final'!$AA$54="Media",'Mapa final'!$AC$54="Moderado"),CONCATENATE("R9C",'Mapa final'!$Q$54),"")</f>
        <v/>
      </c>
      <c r="W34" s="53" t="str">
        <f>IF(AND('Mapa final'!$AA$55="Media",'Mapa final'!$AC$55="Moderado"),CONCATENATE("R9C",'Mapa final'!$Q$55),"")</f>
        <v/>
      </c>
      <c r="X34" s="53" t="str">
        <f>IF(AND('Mapa final'!$AA$56="Media",'Mapa final'!$AC$56="Moderado"),CONCATENATE("R9C",'Mapa final'!$Q$56),"")</f>
        <v/>
      </c>
      <c r="Y34" s="53" t="str">
        <f>IF(AND('Mapa final'!$AA$57="Media",'Mapa final'!$AC$57="Moderado"),CONCATENATE("R9C",'Mapa final'!$Q$57),"")</f>
        <v/>
      </c>
      <c r="Z34" s="53" t="str">
        <f>IF(AND('Mapa final'!$AA$58="Media",'Mapa final'!$AC$58="Moderado"),CONCATENATE("R9C",'Mapa final'!$Q$58),"")</f>
        <v/>
      </c>
      <c r="AA34" s="54" t="str">
        <f>IF(AND('Mapa final'!$AA$59="Media",'Mapa final'!$AC$59="Moderado"),CONCATENATE("R9C",'Mapa final'!$Q$59),"")</f>
        <v/>
      </c>
      <c r="AB34" s="36" t="str">
        <f>IF(AND('Mapa final'!$AA$54="Media",'Mapa final'!$AC$54="Mayor"),CONCATENATE("R9C",'Mapa final'!$Q$54),"")</f>
        <v/>
      </c>
      <c r="AC34" s="37" t="str">
        <f>IF(AND('Mapa final'!$AA$55="Media",'Mapa final'!$AC$55="Mayor"),CONCATENATE("R9C",'Mapa final'!$Q$55),"")</f>
        <v/>
      </c>
      <c r="AD34" s="42" t="str">
        <f>IF(AND('Mapa final'!$AA$56="Media",'Mapa final'!$AC$56="Mayor"),CONCATENATE("R9C",'Mapa final'!$Q$56),"")</f>
        <v/>
      </c>
      <c r="AE34" s="42" t="str">
        <f>IF(AND('Mapa final'!$AA$57="Media",'Mapa final'!$AC$57="Mayor"),CONCATENATE("R9C",'Mapa final'!$Q$57),"")</f>
        <v/>
      </c>
      <c r="AF34" s="42" t="str">
        <f>IF(AND('Mapa final'!$AA$58="Media",'Mapa final'!$AC$58="Mayor"),CONCATENATE("R9C",'Mapa final'!$Q$58),"")</f>
        <v/>
      </c>
      <c r="AG34" s="38" t="str">
        <f>IF(AND('Mapa final'!$AA$59="Media",'Mapa final'!$AC$59="Mayor"),CONCATENATE("R9C",'Mapa final'!$Q$59),"")</f>
        <v/>
      </c>
      <c r="AH34" s="39" t="str">
        <f>IF(AND('Mapa final'!$AA$54="Media",'Mapa final'!$AC$54="Catastrófico"),CONCATENATE("R9C",'Mapa final'!$Q$54),"")</f>
        <v/>
      </c>
      <c r="AI34" s="40" t="str">
        <f>IF(AND('Mapa final'!$AA$55="Media",'Mapa final'!$AC$55="Catastrófico"),CONCATENATE("R9C",'Mapa final'!$Q$55),"")</f>
        <v/>
      </c>
      <c r="AJ34" s="40" t="str">
        <f>IF(AND('Mapa final'!$AA$56="Media",'Mapa final'!$AC$56="Catastrófico"),CONCATENATE("R9C",'Mapa final'!$Q$56),"")</f>
        <v/>
      </c>
      <c r="AK34" s="40" t="str">
        <f>IF(AND('Mapa final'!$AA$57="Media",'Mapa final'!$AC$57="Catastrófico"),CONCATENATE("R9C",'Mapa final'!$Q$57),"")</f>
        <v/>
      </c>
      <c r="AL34" s="40" t="str">
        <f>IF(AND('Mapa final'!$AA$58="Media",'Mapa final'!$AC$58="Catastrófico"),CONCATENATE("R9C",'Mapa final'!$Q$58),"")</f>
        <v/>
      </c>
      <c r="AM34" s="41" t="str">
        <f>IF(AND('Mapa final'!$AA$59="Media",'Mapa final'!$AC$59="Catastrófico"),CONCATENATE("R9C",'Mapa final'!$Q$59),"")</f>
        <v/>
      </c>
      <c r="AN34" s="68"/>
      <c r="AO34" s="420"/>
      <c r="AP34" s="421"/>
      <c r="AQ34" s="421"/>
      <c r="AR34" s="421"/>
      <c r="AS34" s="421"/>
      <c r="AT34" s="422"/>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289"/>
      <c r="C35" s="289"/>
      <c r="D35" s="290"/>
      <c r="E35" s="392"/>
      <c r="F35" s="393"/>
      <c r="G35" s="393"/>
      <c r="H35" s="393"/>
      <c r="I35" s="407"/>
      <c r="J35" s="52" t="str">
        <f>IF(AND('Mapa final'!$AA$60="Media",'Mapa final'!$AC$60="Leve"),CONCATENATE("R10C",'Mapa final'!$Q$60),"")</f>
        <v/>
      </c>
      <c r="K35" s="53" t="str">
        <f>IF(AND('Mapa final'!$AA$61="Media",'Mapa final'!$AC$61="Leve"),CONCATENATE("R10C",'Mapa final'!$Q$61),"")</f>
        <v/>
      </c>
      <c r="L35" s="53" t="str">
        <f>IF(AND('Mapa final'!$AA$62="Media",'Mapa final'!$AC$62="Leve"),CONCATENATE("R10C",'Mapa final'!$Q$62),"")</f>
        <v/>
      </c>
      <c r="M35" s="53" t="str">
        <f>IF(AND('Mapa final'!$AA$63="Media",'Mapa final'!$AC$63="Leve"),CONCATENATE("R10C",'Mapa final'!$Q$63),"")</f>
        <v/>
      </c>
      <c r="N35" s="53" t="str">
        <f>IF(AND('Mapa final'!$AA$64="Media",'Mapa final'!$AC$64="Leve"),CONCATENATE("R10C",'Mapa final'!$Q$64),"")</f>
        <v/>
      </c>
      <c r="O35" s="54" t="str">
        <f>IF(AND('Mapa final'!$AA$65="Media",'Mapa final'!$AC$65="Leve"),CONCATENATE("R10C",'Mapa final'!$Q$65),"")</f>
        <v/>
      </c>
      <c r="P35" s="52" t="str">
        <f>IF(AND('Mapa final'!$AA$60="Media",'Mapa final'!$AC$60="Menor"),CONCATENATE("R10C",'Mapa final'!$Q$60),"")</f>
        <v/>
      </c>
      <c r="Q35" s="53" t="str">
        <f>IF(AND('Mapa final'!$AA$61="Media",'Mapa final'!$AC$61="Menor"),CONCATENATE("R10C",'Mapa final'!$Q$61),"")</f>
        <v/>
      </c>
      <c r="R35" s="53" t="str">
        <f>IF(AND('Mapa final'!$AA$62="Media",'Mapa final'!$AC$62="Menor"),CONCATENATE("R10C",'Mapa final'!$Q$62),"")</f>
        <v/>
      </c>
      <c r="S35" s="53" t="str">
        <f>IF(AND('Mapa final'!$AA$63="Media",'Mapa final'!$AC$63="Menor"),CONCATENATE("R10C",'Mapa final'!$Q$63),"")</f>
        <v/>
      </c>
      <c r="T35" s="53" t="str">
        <f>IF(AND('Mapa final'!$AA$64="Media",'Mapa final'!$AC$64="Menor"),CONCATENATE("R10C",'Mapa final'!$Q$64),"")</f>
        <v/>
      </c>
      <c r="U35" s="54" t="str">
        <f>IF(AND('Mapa final'!$AA$65="Media",'Mapa final'!$AC$65="Menor"),CONCATENATE("R10C",'Mapa final'!$Q$65),"")</f>
        <v/>
      </c>
      <c r="V35" s="52" t="str">
        <f>IF(AND('Mapa final'!$AA$60="Media",'Mapa final'!$AC$60="Moderado"),CONCATENATE("R10C",'Mapa final'!$Q$60),"")</f>
        <v/>
      </c>
      <c r="W35" s="53" t="str">
        <f>IF(AND('Mapa final'!$AA$61="Media",'Mapa final'!$AC$61="Moderado"),CONCATENATE("R10C",'Mapa final'!$Q$61),"")</f>
        <v/>
      </c>
      <c r="X35" s="53" t="str">
        <f>IF(AND('Mapa final'!$AA$62="Media",'Mapa final'!$AC$62="Moderado"),CONCATENATE("R10C",'Mapa final'!$Q$62),"")</f>
        <v/>
      </c>
      <c r="Y35" s="53" t="str">
        <f>IF(AND('Mapa final'!$AA$63="Media",'Mapa final'!$AC$63="Moderado"),CONCATENATE("R10C",'Mapa final'!$Q$63),"")</f>
        <v/>
      </c>
      <c r="Z35" s="53" t="str">
        <f>IF(AND('Mapa final'!$AA$64="Media",'Mapa final'!$AC$64="Moderado"),CONCATENATE("R10C",'Mapa final'!$Q$64),"")</f>
        <v/>
      </c>
      <c r="AA35" s="54" t="str">
        <f>IF(AND('Mapa final'!$AA$65="Media",'Mapa final'!$AC$65="Moderado"),CONCATENATE("R10C",'Mapa final'!$Q$65),"")</f>
        <v/>
      </c>
      <c r="AB35" s="43" t="str">
        <f>IF(AND('Mapa final'!$AA$60="Media",'Mapa final'!$AC$60="Mayor"),CONCATENATE("R10C",'Mapa final'!$Q$60),"")</f>
        <v/>
      </c>
      <c r="AC35" s="44" t="str">
        <f>IF(AND('Mapa final'!$AA$61="Media",'Mapa final'!$AC$61="Mayor"),CONCATENATE("R10C",'Mapa final'!$Q$61),"")</f>
        <v/>
      </c>
      <c r="AD35" s="44" t="str">
        <f>IF(AND('Mapa final'!$AA$62="Media",'Mapa final'!$AC$62="Mayor"),CONCATENATE("R10C",'Mapa final'!$Q$62),"")</f>
        <v/>
      </c>
      <c r="AE35" s="44" t="str">
        <f>IF(AND('Mapa final'!$AA$63="Media",'Mapa final'!$AC$63="Mayor"),CONCATENATE("R10C",'Mapa final'!$Q$63),"")</f>
        <v/>
      </c>
      <c r="AF35" s="44" t="str">
        <f>IF(AND('Mapa final'!$AA$64="Media",'Mapa final'!$AC$64="Mayor"),CONCATENATE("R10C",'Mapa final'!$Q$64),"")</f>
        <v/>
      </c>
      <c r="AG35" s="45" t="str">
        <f>IF(AND('Mapa final'!$AA$65="Media",'Mapa final'!$AC$65="Mayor"),CONCATENATE("R10C",'Mapa final'!$Q$65),"")</f>
        <v/>
      </c>
      <c r="AH35" s="46" t="str">
        <f>IF(AND('Mapa final'!$AA$60="Media",'Mapa final'!$AC$60="Catastrófico"),CONCATENATE("R10C",'Mapa final'!$Q$60),"")</f>
        <v/>
      </c>
      <c r="AI35" s="47" t="str">
        <f>IF(AND('Mapa final'!$AA$61="Media",'Mapa final'!$AC$61="Catastrófico"),CONCATENATE("R10C",'Mapa final'!$Q$61),"")</f>
        <v/>
      </c>
      <c r="AJ35" s="47" t="str">
        <f>IF(AND('Mapa final'!$AA$62="Media",'Mapa final'!$AC$62="Catastrófico"),CONCATENATE("R10C",'Mapa final'!$Q$62),"")</f>
        <v/>
      </c>
      <c r="AK35" s="47" t="str">
        <f>IF(AND('Mapa final'!$AA$63="Media",'Mapa final'!$AC$63="Catastrófico"),CONCATENATE("R10C",'Mapa final'!$Q$63),"")</f>
        <v/>
      </c>
      <c r="AL35" s="47" t="str">
        <f>IF(AND('Mapa final'!$AA$64="Media",'Mapa final'!$AC$64="Catastrófico"),CONCATENATE("R10C",'Mapa final'!$Q$64),"")</f>
        <v/>
      </c>
      <c r="AM35" s="48" t="str">
        <f>IF(AND('Mapa final'!$AA$65="Media",'Mapa final'!$AC$65="Catastrófico"),CONCATENATE("R10C",'Mapa final'!$Q$65),"")</f>
        <v/>
      </c>
      <c r="AN35" s="68"/>
      <c r="AO35" s="423"/>
      <c r="AP35" s="424"/>
      <c r="AQ35" s="424"/>
      <c r="AR35" s="424"/>
      <c r="AS35" s="424"/>
      <c r="AT35" s="425"/>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289"/>
      <c r="C36" s="289"/>
      <c r="D36" s="290"/>
      <c r="E36" s="386" t="s">
        <v>108</v>
      </c>
      <c r="F36" s="387"/>
      <c r="G36" s="387"/>
      <c r="H36" s="387"/>
      <c r="I36" s="387"/>
      <c r="J36" s="58" t="str">
        <f ca="1">IF(AND('Mapa final'!$AA$10="Baja",'Mapa final'!$AC$10="Leve"),CONCATENATE("R1C",'Mapa final'!$Q$10),"")</f>
        <v/>
      </c>
      <c r="K36" s="59" t="str">
        <f ca="1">IF(AND('Mapa final'!$AA$11="Baja",'Mapa final'!$AC$11="Leve"),CONCATENATE("R1C",'Mapa final'!$Q$11),"")</f>
        <v/>
      </c>
      <c r="L36" s="59" t="str">
        <f ca="1">IF(AND('Mapa final'!$AA$12="Baja",'Mapa final'!$AC$12="Leve"),CONCATENATE("R1C",'Mapa final'!$Q$12),"")</f>
        <v/>
      </c>
      <c r="M36" s="59" t="e">
        <f>IF(AND('Mapa final'!#REF!="Baja",'Mapa final'!#REF!="Leve"),CONCATENATE("R1C",'Mapa final'!#REF!),"")</f>
        <v>#REF!</v>
      </c>
      <c r="N36" s="59" t="e">
        <f>IF(AND('Mapa final'!#REF!="Baja",'Mapa final'!#REF!="Leve"),CONCATENATE("R1C",'Mapa final'!#REF!),"")</f>
        <v>#REF!</v>
      </c>
      <c r="O36" s="60" t="e">
        <f>IF(AND('Mapa final'!#REF!="Baja",'Mapa final'!#REF!="Leve"),CONCATENATE("R1C",'Mapa final'!#REF!),"")</f>
        <v>#REF!</v>
      </c>
      <c r="P36" s="49" t="str">
        <f ca="1">IF(AND('Mapa final'!$AA$10="Baja",'Mapa final'!$AC$10="Menor"),CONCATENATE("R1C",'Mapa final'!$Q$10),"")</f>
        <v/>
      </c>
      <c r="Q36" s="50" t="str">
        <f ca="1">IF(AND('Mapa final'!$AA$11="Baja",'Mapa final'!$AC$11="Menor"),CONCATENATE("R1C",'Mapa final'!$Q$11),"")</f>
        <v/>
      </c>
      <c r="R36" s="50" t="str">
        <f ca="1">IF(AND('Mapa final'!$AA$12="Baja",'Mapa final'!$AC$12="Menor"),CONCATENATE("R1C",'Mapa final'!$Q$12),"")</f>
        <v/>
      </c>
      <c r="S36" s="50" t="e">
        <f>IF(AND('Mapa final'!#REF!="Baja",'Mapa final'!#REF!="Menor"),CONCATENATE("R1C",'Mapa final'!#REF!),"")</f>
        <v>#REF!</v>
      </c>
      <c r="T36" s="50" t="e">
        <f>IF(AND('Mapa final'!#REF!="Baja",'Mapa final'!#REF!="Menor"),CONCATENATE("R1C",'Mapa final'!#REF!),"")</f>
        <v>#REF!</v>
      </c>
      <c r="U36" s="51" t="e">
        <f>IF(AND('Mapa final'!#REF!="Baja",'Mapa final'!#REF!="Menor"),CONCATENATE("R1C",'Mapa final'!#REF!),"")</f>
        <v>#REF!</v>
      </c>
      <c r="V36" s="49" t="str">
        <f ca="1">IF(AND('Mapa final'!$AA$10="Baja",'Mapa final'!$AC$10="Moderado"),CONCATENATE("R1C",'Mapa final'!$Q$10),"")</f>
        <v/>
      </c>
      <c r="W36" s="50" t="str">
        <f ca="1">IF(AND('Mapa final'!$AA$11="Baja",'Mapa final'!$AC$11="Moderado"),CONCATENATE("R1C",'Mapa final'!$Q$11),"")</f>
        <v>R1C2</v>
      </c>
      <c r="X36" s="50" t="str">
        <f ca="1">IF(AND('Mapa final'!$AA$12="Baja",'Mapa final'!$AC$12="Moderado"),CONCATENATE("R1C",'Mapa final'!$Q$12),"")</f>
        <v>R1C3</v>
      </c>
      <c r="Y36" s="50" t="e">
        <f>IF(AND('Mapa final'!#REF!="Baja",'Mapa final'!#REF!="Moderado"),CONCATENATE("R1C",'Mapa final'!#REF!),"")</f>
        <v>#REF!</v>
      </c>
      <c r="Z36" s="50" t="e">
        <f>IF(AND('Mapa final'!#REF!="Baja",'Mapa final'!#REF!="Moderado"),CONCATENATE("R1C",'Mapa final'!#REF!),"")</f>
        <v>#REF!</v>
      </c>
      <c r="AA36" s="51" t="e">
        <f>IF(AND('Mapa final'!#REF!="Baja",'Mapa final'!#REF!="Moderado"),CONCATENATE("R1C",'Mapa final'!#REF!),"")</f>
        <v>#REF!</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 ca="1">IF(AND('Mapa final'!$AA$11="Baja",'Mapa final'!$AC$11="Catastrófico"),CONCATENATE("R1C",'Mapa final'!$Q$11),"")</f>
        <v/>
      </c>
      <c r="AJ36" s="34" t="str">
        <f ca="1">IF(AND('Mapa final'!$AA$12="Baja",'Mapa final'!$AC$12="Catastrófico"),CONCATENATE("R1C",'Mapa final'!$Q$12),"")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8"/>
      <c r="AO36" s="408" t="s">
        <v>80</v>
      </c>
      <c r="AP36" s="409"/>
      <c r="AQ36" s="409"/>
      <c r="AR36" s="409"/>
      <c r="AS36" s="409"/>
      <c r="AT36" s="410"/>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289"/>
      <c r="C37" s="289"/>
      <c r="D37" s="290"/>
      <c r="E37" s="388"/>
      <c r="F37" s="389"/>
      <c r="G37" s="389"/>
      <c r="H37" s="389"/>
      <c r="I37" s="389"/>
      <c r="J37" s="61" t="str">
        <f ca="1">IF(AND('Mapa final'!$AA$13="Baja",'Mapa final'!$AC$13="Leve"),CONCATENATE("R2C",'Mapa final'!$Q$13),"")</f>
        <v/>
      </c>
      <c r="K37" s="62" t="str">
        <f ca="1">IF(AND('Mapa final'!$AA$14="Baja",'Mapa final'!$AC$14="Leve"),CONCATENATE("R2C",'Mapa final'!$Q$14),"")</f>
        <v/>
      </c>
      <c r="L37" s="62" t="str">
        <f ca="1">IF(AND('Mapa final'!$AA$15="Baja",'Mapa final'!$AC$15="Leve"),CONCATENATE("R2C",'Mapa final'!$Q$15),"")</f>
        <v/>
      </c>
      <c r="M37" s="62" t="e">
        <f>IF(AND('Mapa final'!#REF!="Baja",'Mapa final'!#REF!="Leve"),CONCATENATE("R2C",'Mapa final'!#REF!),"")</f>
        <v>#REF!</v>
      </c>
      <c r="N37" s="62" t="str">
        <f>IF(AND('Mapa final'!$AA$16="Baja",'Mapa final'!$AC$16="Leve"),CONCATENATE("R2C",'Mapa final'!$Q$16),"")</f>
        <v/>
      </c>
      <c r="O37" s="63" t="str">
        <f>IF(AND('Mapa final'!$AA$17="Baja",'Mapa final'!$AC$17="Leve"),CONCATENATE("R2C",'Mapa final'!$Q$17),"")</f>
        <v/>
      </c>
      <c r="P37" s="52" t="str">
        <f ca="1">IF(AND('Mapa final'!$AA$13="Baja",'Mapa final'!$AC$13="Menor"),CONCATENATE("R2C",'Mapa final'!$Q$13),"")</f>
        <v/>
      </c>
      <c r="Q37" s="53" t="str">
        <f ca="1">IF(AND('Mapa final'!$AA$14="Baja",'Mapa final'!$AC$14="Menor"),CONCATENATE("R2C",'Mapa final'!$Q$14),"")</f>
        <v/>
      </c>
      <c r="R37" s="53" t="str">
        <f ca="1">IF(AND('Mapa final'!$AA$15="Baja",'Mapa final'!$AC$15="Menor"),CONCATENATE("R2C",'Mapa final'!$Q$15),"")</f>
        <v/>
      </c>
      <c r="S37" s="53" t="e">
        <f>IF(AND('Mapa final'!#REF!="Baja",'Mapa final'!#REF!="Menor"),CONCATENATE("R2C",'Mapa final'!#REF!),"")</f>
        <v>#REF!</v>
      </c>
      <c r="T37" s="53" t="str">
        <f>IF(AND('Mapa final'!$AA$16="Baja",'Mapa final'!$AC$16="Menor"),CONCATENATE("R2C",'Mapa final'!$Q$16),"")</f>
        <v/>
      </c>
      <c r="U37" s="54" t="str">
        <f>IF(AND('Mapa final'!$AA$17="Baja",'Mapa final'!$AC$17="Menor"),CONCATENATE("R2C",'Mapa final'!$Q$17),"")</f>
        <v/>
      </c>
      <c r="V37" s="52" t="str">
        <f ca="1">IF(AND('Mapa final'!$AA$13="Baja",'Mapa final'!$AC$13="Moderado"),CONCATENATE("R2C",'Mapa final'!$Q$13),"")</f>
        <v/>
      </c>
      <c r="W37" s="53" t="str">
        <f ca="1">IF(AND('Mapa final'!$AA$14="Baja",'Mapa final'!$AC$14="Moderado"),CONCATENATE("R2C",'Mapa final'!$Q$14),"")</f>
        <v/>
      </c>
      <c r="X37" s="53" t="str">
        <f ca="1">IF(AND('Mapa final'!$AA$15="Baja",'Mapa final'!$AC$15="Moderado"),CONCATENATE("R2C",'Mapa final'!$Q$15),"")</f>
        <v/>
      </c>
      <c r="Y37" s="53" t="e">
        <f>IF(AND('Mapa final'!#REF!="Baja",'Mapa final'!#REF!="Moderado"),CONCATENATE("R2C",'Mapa final'!#REF!),"")</f>
        <v>#REF!</v>
      </c>
      <c r="Z37" s="53" t="str">
        <f>IF(AND('Mapa final'!$AA$16="Baja",'Mapa final'!$AC$16="Moderado"),CONCATENATE("R2C",'Mapa final'!$Q$16),"")</f>
        <v/>
      </c>
      <c r="AA37" s="54" t="str">
        <f>IF(AND('Mapa final'!$AA$17="Baja",'Mapa final'!$AC$17="Moderado"),CONCATENATE("R2C",'Mapa final'!$Q$17),"")</f>
        <v/>
      </c>
      <c r="AB37" s="36" t="str">
        <f ca="1">IF(AND('Mapa final'!$AA$13="Baja",'Mapa final'!$AC$13="Mayor"),CONCATENATE("R2C",'Mapa final'!$Q$13),"")</f>
        <v/>
      </c>
      <c r="AC37" s="37" t="str">
        <f ca="1">IF(AND('Mapa final'!$AA$14="Baja",'Mapa final'!$AC$14="Mayor"),CONCATENATE("R2C",'Mapa final'!$Q$14),"")</f>
        <v/>
      </c>
      <c r="AD37" s="37" t="str">
        <f ca="1">IF(AND('Mapa final'!$AA$15="Baja",'Mapa final'!$AC$15="Mayor"),CONCATENATE("R2C",'Mapa final'!$Q$15),"")</f>
        <v/>
      </c>
      <c r="AE37" s="37" t="e">
        <f>IF(AND('Mapa final'!#REF!="Baja",'Mapa final'!#REF!="Mayor"),CONCATENATE("R2C",'Mapa final'!#REF!),"")</f>
        <v>#REF!</v>
      </c>
      <c r="AF37" s="37" t="str">
        <f>IF(AND('Mapa final'!$AA$16="Baja",'Mapa final'!$AC$16="Mayor"),CONCATENATE("R2C",'Mapa final'!$Q$16),"")</f>
        <v/>
      </c>
      <c r="AG37" s="38" t="str">
        <f>IF(AND('Mapa final'!$AA$17="Baja",'Mapa final'!$AC$17="Mayor"),CONCATENATE("R2C",'Mapa final'!$Q$17),"")</f>
        <v/>
      </c>
      <c r="AH37" s="39" t="str">
        <f ca="1">IF(AND('Mapa final'!$AA$13="Baja",'Mapa final'!$AC$13="Catastrófico"),CONCATENATE("R2C",'Mapa final'!$Q$13),"")</f>
        <v/>
      </c>
      <c r="AI37" s="40" t="str">
        <f ca="1">IF(AND('Mapa final'!$AA$14="Baja",'Mapa final'!$AC$14="Catastrófico"),CONCATENATE("R2C",'Mapa final'!$Q$14),"")</f>
        <v>R2C2</v>
      </c>
      <c r="AJ37" s="40" t="str">
        <f ca="1">IF(AND('Mapa final'!$AA$15="Baja",'Mapa final'!$AC$15="Catastrófico"),CONCATENATE("R2C",'Mapa final'!$Q$15),"")</f>
        <v>R2C3</v>
      </c>
      <c r="AK37" s="40" t="e">
        <f>IF(AND('Mapa final'!#REF!="Baja",'Mapa final'!#REF!="Catastrófico"),CONCATENATE("R2C",'Mapa final'!#REF!),"")</f>
        <v>#REF!</v>
      </c>
      <c r="AL37" s="40" t="str">
        <f>IF(AND('Mapa final'!$AA$16="Baja",'Mapa final'!$AC$16="Catastrófico"),CONCATENATE("R2C",'Mapa final'!$Q$16),"")</f>
        <v/>
      </c>
      <c r="AM37" s="41" t="str">
        <f>IF(AND('Mapa final'!$AA$17="Baja",'Mapa final'!$AC$17="Catastrófico"),CONCATENATE("R2C",'Mapa final'!$Q$17),"")</f>
        <v/>
      </c>
      <c r="AN37" s="68"/>
      <c r="AO37" s="411"/>
      <c r="AP37" s="412"/>
      <c r="AQ37" s="412"/>
      <c r="AR37" s="412"/>
      <c r="AS37" s="412"/>
      <c r="AT37" s="413"/>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289"/>
      <c r="C38" s="289"/>
      <c r="D38" s="290"/>
      <c r="E38" s="390"/>
      <c r="F38" s="391"/>
      <c r="G38" s="391"/>
      <c r="H38" s="391"/>
      <c r="I38" s="389"/>
      <c r="J38" s="61" t="str">
        <f>IF(AND('Mapa final'!$AA$18="Baja",'Mapa final'!$AC$18="Leve"),CONCATENATE("R3C",'Mapa final'!$Q$18),"")</f>
        <v/>
      </c>
      <c r="K38" s="62" t="str">
        <f>IF(AND('Mapa final'!$AA$19="Baja",'Mapa final'!$AC$19="Leve"),CONCATENATE("R3C",'Mapa final'!$Q$19),"")</f>
        <v/>
      </c>
      <c r="L38" s="62" t="str">
        <f>IF(AND('Mapa final'!$AA$20="Baja",'Mapa final'!$AC$20="Leve"),CONCATENATE("R3C",'Mapa final'!$Q$20),"")</f>
        <v/>
      </c>
      <c r="M38" s="62" t="str">
        <f>IF(AND('Mapa final'!$AA$21="Baja",'Mapa final'!$AC$21="Leve"),CONCATENATE("R3C",'Mapa final'!$Q$21),"")</f>
        <v/>
      </c>
      <c r="N38" s="62" t="str">
        <f>IF(AND('Mapa final'!$AA$22="Baja",'Mapa final'!$AC$22="Leve"),CONCATENATE("R3C",'Mapa final'!$Q$22),"")</f>
        <v/>
      </c>
      <c r="O38" s="63" t="str">
        <f>IF(AND('Mapa final'!$AA$23="Baja",'Mapa final'!$AC$23="Leve"),CONCATENATE("R3C",'Mapa final'!$Q$23),"")</f>
        <v/>
      </c>
      <c r="P38" s="52" t="str">
        <f>IF(AND('Mapa final'!$AA$18="Baja",'Mapa final'!$AC$18="Menor"),CONCATENATE("R3C",'Mapa final'!$Q$18),"")</f>
        <v/>
      </c>
      <c r="Q38" s="53" t="str">
        <f>IF(AND('Mapa final'!$AA$19="Baja",'Mapa final'!$AC$19="Menor"),CONCATENATE("R3C",'Mapa final'!$Q$19),"")</f>
        <v/>
      </c>
      <c r="R38" s="53" t="str">
        <f>IF(AND('Mapa final'!$AA$20="Baja",'Mapa final'!$AC$20="Menor"),CONCATENATE("R3C",'Mapa final'!$Q$20),"")</f>
        <v/>
      </c>
      <c r="S38" s="53" t="str">
        <f>IF(AND('Mapa final'!$AA$21="Baja",'Mapa final'!$AC$21="Menor"),CONCATENATE("R3C",'Mapa final'!$Q$21),"")</f>
        <v/>
      </c>
      <c r="T38" s="53" t="str">
        <f>IF(AND('Mapa final'!$AA$22="Baja",'Mapa final'!$AC$22="Menor"),CONCATENATE("R3C",'Mapa final'!$Q$22),"")</f>
        <v/>
      </c>
      <c r="U38" s="54" t="str">
        <f>IF(AND('Mapa final'!$AA$23="Baja",'Mapa final'!$AC$23="Menor"),CONCATENATE("R3C",'Mapa final'!$Q$23),"")</f>
        <v/>
      </c>
      <c r="V38" s="52" t="str">
        <f>IF(AND('Mapa final'!$AA$18="Baja",'Mapa final'!$AC$18="Moderado"),CONCATENATE("R3C",'Mapa final'!$Q$18),"")</f>
        <v/>
      </c>
      <c r="W38" s="53" t="str">
        <f>IF(AND('Mapa final'!$AA$19="Baja",'Mapa final'!$AC$19="Moderado"),CONCATENATE("R3C",'Mapa final'!$Q$19),"")</f>
        <v/>
      </c>
      <c r="X38" s="53" t="str">
        <f>IF(AND('Mapa final'!$AA$20="Baja",'Mapa final'!$AC$20="Moderado"),CONCATENATE("R3C",'Mapa final'!$Q$20),"")</f>
        <v/>
      </c>
      <c r="Y38" s="53" t="str">
        <f>IF(AND('Mapa final'!$AA$21="Baja",'Mapa final'!$AC$21="Moderado"),CONCATENATE("R3C",'Mapa final'!$Q$21),"")</f>
        <v/>
      </c>
      <c r="Z38" s="53" t="str">
        <f>IF(AND('Mapa final'!$AA$22="Baja",'Mapa final'!$AC$22="Moderado"),CONCATENATE("R3C",'Mapa final'!$Q$22),"")</f>
        <v/>
      </c>
      <c r="AA38" s="54" t="str">
        <f>IF(AND('Mapa final'!$AA$23="Baja",'Mapa final'!$AC$23="Moderado"),CONCATENATE("R3C",'Mapa final'!$Q$23),"")</f>
        <v/>
      </c>
      <c r="AB38" s="36" t="str">
        <f>IF(AND('Mapa final'!$AA$18="Baja",'Mapa final'!$AC$18="Mayor"),CONCATENATE("R3C",'Mapa final'!$Q$18),"")</f>
        <v/>
      </c>
      <c r="AC38" s="37" t="str">
        <f>IF(AND('Mapa final'!$AA$19="Baja",'Mapa final'!$AC$19="Mayor"),CONCATENATE("R3C",'Mapa final'!$Q$19),"")</f>
        <v/>
      </c>
      <c r="AD38" s="37" t="str">
        <f>IF(AND('Mapa final'!$AA$20="Baja",'Mapa final'!$AC$20="Mayor"),CONCATENATE("R3C",'Mapa final'!$Q$20),"")</f>
        <v/>
      </c>
      <c r="AE38" s="37" t="str">
        <f>IF(AND('Mapa final'!$AA$21="Baja",'Mapa final'!$AC$21="Mayor"),CONCATENATE("R3C",'Mapa final'!$Q$21),"")</f>
        <v/>
      </c>
      <c r="AF38" s="37" t="str">
        <f>IF(AND('Mapa final'!$AA$22="Baja",'Mapa final'!$AC$22="Mayor"),CONCATENATE("R3C",'Mapa final'!$Q$22),"")</f>
        <v/>
      </c>
      <c r="AG38" s="38" t="str">
        <f>IF(AND('Mapa final'!$AA$23="Baja",'Mapa final'!$AC$23="Mayor"),CONCATENATE("R3C",'Mapa final'!$Q$23),"")</f>
        <v/>
      </c>
      <c r="AH38" s="39" t="str">
        <f>IF(AND('Mapa final'!$AA$18="Baja",'Mapa final'!$AC$18="Catastrófico"),CONCATENATE("R3C",'Mapa final'!$Q$18),"")</f>
        <v/>
      </c>
      <c r="AI38" s="40" t="str">
        <f>IF(AND('Mapa final'!$AA$19="Baja",'Mapa final'!$AC$19="Catastrófico"),CONCATENATE("R3C",'Mapa final'!$Q$19),"")</f>
        <v/>
      </c>
      <c r="AJ38" s="40" t="str">
        <f>IF(AND('Mapa final'!$AA$20="Baja",'Mapa final'!$AC$20="Catastrófico"),CONCATENATE("R3C",'Mapa final'!$Q$20),"")</f>
        <v/>
      </c>
      <c r="AK38" s="40" t="str">
        <f>IF(AND('Mapa final'!$AA$21="Baja",'Mapa final'!$AC$21="Catastrófico"),CONCATENATE("R3C",'Mapa final'!$Q$21),"")</f>
        <v/>
      </c>
      <c r="AL38" s="40" t="str">
        <f>IF(AND('Mapa final'!$AA$22="Baja",'Mapa final'!$AC$22="Catastrófico"),CONCATENATE("R3C",'Mapa final'!$Q$22),"")</f>
        <v/>
      </c>
      <c r="AM38" s="41" t="str">
        <f>IF(AND('Mapa final'!$AA$23="Baja",'Mapa final'!$AC$23="Catastrófico"),CONCATENATE("R3C",'Mapa final'!$Q$23),"")</f>
        <v/>
      </c>
      <c r="AN38" s="68"/>
      <c r="AO38" s="411"/>
      <c r="AP38" s="412"/>
      <c r="AQ38" s="412"/>
      <c r="AR38" s="412"/>
      <c r="AS38" s="412"/>
      <c r="AT38" s="413"/>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289"/>
      <c r="C39" s="289"/>
      <c r="D39" s="290"/>
      <c r="E39" s="390"/>
      <c r="F39" s="391"/>
      <c r="G39" s="391"/>
      <c r="H39" s="391"/>
      <c r="I39" s="389"/>
      <c r="J39" s="61" t="str">
        <f>IF(AND('Mapa final'!$AA$24="Baja",'Mapa final'!$AC$24="Leve"),CONCATENATE("R4C",'Mapa final'!$Q$24),"")</f>
        <v/>
      </c>
      <c r="K39" s="62" t="str">
        <f>IF(AND('Mapa final'!$AA$25="Baja",'Mapa final'!$AC$25="Leve"),CONCATENATE("R4C",'Mapa final'!$Q$25),"")</f>
        <v/>
      </c>
      <c r="L39" s="62" t="str">
        <f>IF(AND('Mapa final'!$AA$26="Baja",'Mapa final'!$AC$26="Leve"),CONCATENATE("R4C",'Mapa final'!$Q$26),"")</f>
        <v/>
      </c>
      <c r="M39" s="62" t="str">
        <f>IF(AND('Mapa final'!$AA$27="Baja",'Mapa final'!$AC$27="Leve"),CONCATENATE("R4C",'Mapa final'!$Q$27),"")</f>
        <v/>
      </c>
      <c r="N39" s="62" t="str">
        <f>IF(AND('Mapa final'!$AA$28="Baja",'Mapa final'!$AC$28="Leve"),CONCATENATE("R4C",'Mapa final'!$Q$28),"")</f>
        <v/>
      </c>
      <c r="O39" s="63" t="str">
        <f>IF(AND('Mapa final'!$AA$29="Baja",'Mapa final'!$AC$29="Leve"),CONCATENATE("R4C",'Mapa final'!$Q$29),"")</f>
        <v/>
      </c>
      <c r="P39" s="52" t="str">
        <f>IF(AND('Mapa final'!$AA$24="Baja",'Mapa final'!$AC$24="Menor"),CONCATENATE("R4C",'Mapa final'!$Q$24),"")</f>
        <v/>
      </c>
      <c r="Q39" s="53" t="str">
        <f>IF(AND('Mapa final'!$AA$25="Baja",'Mapa final'!$AC$25="Menor"),CONCATENATE("R4C",'Mapa final'!$Q$25),"")</f>
        <v/>
      </c>
      <c r="R39" s="53" t="str">
        <f>IF(AND('Mapa final'!$AA$26="Baja",'Mapa final'!$AC$26="Menor"),CONCATENATE("R4C",'Mapa final'!$Q$26),"")</f>
        <v/>
      </c>
      <c r="S39" s="53" t="str">
        <f>IF(AND('Mapa final'!$AA$27="Baja",'Mapa final'!$AC$27="Menor"),CONCATENATE("R4C",'Mapa final'!$Q$27),"")</f>
        <v/>
      </c>
      <c r="T39" s="53" t="str">
        <f>IF(AND('Mapa final'!$AA$28="Baja",'Mapa final'!$AC$28="Menor"),CONCATENATE("R4C",'Mapa final'!$Q$28),"")</f>
        <v/>
      </c>
      <c r="U39" s="54" t="str">
        <f>IF(AND('Mapa final'!$AA$29="Baja",'Mapa final'!$AC$29="Menor"),CONCATENATE("R4C",'Mapa final'!$Q$29),"")</f>
        <v/>
      </c>
      <c r="V39" s="52" t="str">
        <f>IF(AND('Mapa final'!$AA$24="Baja",'Mapa final'!$AC$24="Moderado"),CONCATENATE("R4C",'Mapa final'!$Q$24),"")</f>
        <v/>
      </c>
      <c r="W39" s="53" t="str">
        <f>IF(AND('Mapa final'!$AA$25="Baja",'Mapa final'!$AC$25="Moderado"),CONCATENATE("R4C",'Mapa final'!$Q$25),"")</f>
        <v/>
      </c>
      <c r="X39" s="53" t="str">
        <f>IF(AND('Mapa final'!$AA$26="Baja",'Mapa final'!$AC$26="Moderado"),CONCATENATE("R4C",'Mapa final'!$Q$26),"")</f>
        <v/>
      </c>
      <c r="Y39" s="53" t="str">
        <f>IF(AND('Mapa final'!$AA$27="Baja",'Mapa final'!$AC$27="Moderado"),CONCATENATE("R4C",'Mapa final'!$Q$27),"")</f>
        <v/>
      </c>
      <c r="Z39" s="53" t="str">
        <f>IF(AND('Mapa final'!$AA$28="Baja",'Mapa final'!$AC$28="Moderado"),CONCATENATE("R4C",'Mapa final'!$Q$28),"")</f>
        <v/>
      </c>
      <c r="AA39" s="54" t="str">
        <f>IF(AND('Mapa final'!$AA$29="Baja",'Mapa final'!$AC$29="Moderado"),CONCATENATE("R4C",'Mapa final'!$Q$29),"")</f>
        <v/>
      </c>
      <c r="AB39" s="36" t="str">
        <f>IF(AND('Mapa final'!$AA$24="Baja",'Mapa final'!$AC$24="Mayor"),CONCATENATE("R4C",'Mapa final'!$Q$24),"")</f>
        <v/>
      </c>
      <c r="AC39" s="37" t="str">
        <f>IF(AND('Mapa final'!$AA$25="Baja",'Mapa final'!$AC$25="Mayor"),CONCATENATE("R4C",'Mapa final'!$Q$25),"")</f>
        <v/>
      </c>
      <c r="AD39" s="37" t="str">
        <f>IF(AND('Mapa final'!$AA$26="Baja",'Mapa final'!$AC$26="Mayor"),CONCATENATE("R4C",'Mapa final'!$Q$26),"")</f>
        <v/>
      </c>
      <c r="AE39" s="37" t="str">
        <f>IF(AND('Mapa final'!$AA$27="Baja",'Mapa final'!$AC$27="Mayor"),CONCATENATE("R4C",'Mapa final'!$Q$27),"")</f>
        <v/>
      </c>
      <c r="AF39" s="37" t="str">
        <f>IF(AND('Mapa final'!$AA$28="Baja",'Mapa final'!$AC$28="Mayor"),CONCATENATE("R4C",'Mapa final'!$Q$28),"")</f>
        <v/>
      </c>
      <c r="AG39" s="38" t="str">
        <f>IF(AND('Mapa final'!$AA$29="Baja",'Mapa final'!$AC$29="Mayor"),CONCATENATE("R4C",'Mapa final'!$Q$29),"")</f>
        <v/>
      </c>
      <c r="AH39" s="39" t="str">
        <f>IF(AND('Mapa final'!$AA$24="Baja",'Mapa final'!$AC$24="Catastrófico"),CONCATENATE("R4C",'Mapa final'!$Q$24),"")</f>
        <v/>
      </c>
      <c r="AI39" s="40" t="str">
        <f>IF(AND('Mapa final'!$AA$25="Baja",'Mapa final'!$AC$25="Catastrófico"),CONCATENATE("R4C",'Mapa final'!$Q$25),"")</f>
        <v/>
      </c>
      <c r="AJ39" s="40" t="str">
        <f>IF(AND('Mapa final'!$AA$26="Baja",'Mapa final'!$AC$26="Catastrófico"),CONCATENATE("R4C",'Mapa final'!$Q$26),"")</f>
        <v/>
      </c>
      <c r="AK39" s="40" t="str">
        <f>IF(AND('Mapa final'!$AA$27="Baja",'Mapa final'!$AC$27="Catastrófico"),CONCATENATE("R4C",'Mapa final'!$Q$27),"")</f>
        <v/>
      </c>
      <c r="AL39" s="40" t="str">
        <f>IF(AND('Mapa final'!$AA$28="Baja",'Mapa final'!$AC$28="Catastrófico"),CONCATENATE("R4C",'Mapa final'!$Q$28),"")</f>
        <v/>
      </c>
      <c r="AM39" s="41" t="str">
        <f>IF(AND('Mapa final'!$AA$29="Baja",'Mapa final'!$AC$29="Catastrófico"),CONCATENATE("R4C",'Mapa final'!$Q$29),"")</f>
        <v/>
      </c>
      <c r="AN39" s="68"/>
      <c r="AO39" s="411"/>
      <c r="AP39" s="412"/>
      <c r="AQ39" s="412"/>
      <c r="AR39" s="412"/>
      <c r="AS39" s="412"/>
      <c r="AT39" s="413"/>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289"/>
      <c r="C40" s="289"/>
      <c r="D40" s="290"/>
      <c r="E40" s="390"/>
      <c r="F40" s="391"/>
      <c r="G40" s="391"/>
      <c r="H40" s="391"/>
      <c r="I40" s="389"/>
      <c r="J40" s="61" t="str">
        <f>IF(AND('Mapa final'!$AA$30="Baja",'Mapa final'!$AC$30="Leve"),CONCATENATE("R5C",'Mapa final'!$Q$30),"")</f>
        <v/>
      </c>
      <c r="K40" s="62" t="str">
        <f>IF(AND('Mapa final'!$AA$31="Baja",'Mapa final'!$AC$31="Leve"),CONCATENATE("R5C",'Mapa final'!$Q$31),"")</f>
        <v/>
      </c>
      <c r="L40" s="62" t="str">
        <f>IF(AND('Mapa final'!$AA$32="Baja",'Mapa final'!$AC$32="Leve"),CONCATENATE("R5C",'Mapa final'!$Q$32),"")</f>
        <v/>
      </c>
      <c r="M40" s="62" t="str">
        <f>IF(AND('Mapa final'!$AA$33="Baja",'Mapa final'!$AC$33="Leve"),CONCATENATE("R5C",'Mapa final'!$Q$33),"")</f>
        <v/>
      </c>
      <c r="N40" s="62" t="str">
        <f>IF(AND('Mapa final'!$AA$34="Baja",'Mapa final'!$AC$34="Leve"),CONCATENATE("R5C",'Mapa final'!$Q$34),"")</f>
        <v/>
      </c>
      <c r="O40" s="63" t="str">
        <f>IF(AND('Mapa final'!$AA$35="Baja",'Mapa final'!$AC$35="Leve"),CONCATENATE("R5C",'Mapa final'!$Q$35),"")</f>
        <v/>
      </c>
      <c r="P40" s="52" t="str">
        <f>IF(AND('Mapa final'!$AA$30="Baja",'Mapa final'!$AC$30="Menor"),CONCATENATE("R5C",'Mapa final'!$Q$30),"")</f>
        <v/>
      </c>
      <c r="Q40" s="53" t="str">
        <f>IF(AND('Mapa final'!$AA$31="Baja",'Mapa final'!$AC$31="Menor"),CONCATENATE("R5C",'Mapa final'!$Q$31),"")</f>
        <v/>
      </c>
      <c r="R40" s="53" t="str">
        <f>IF(AND('Mapa final'!$AA$32="Baja",'Mapa final'!$AC$32="Menor"),CONCATENATE("R5C",'Mapa final'!$Q$32),"")</f>
        <v/>
      </c>
      <c r="S40" s="53" t="str">
        <f>IF(AND('Mapa final'!$AA$33="Baja",'Mapa final'!$AC$33="Menor"),CONCATENATE("R5C",'Mapa final'!$Q$33),"")</f>
        <v/>
      </c>
      <c r="T40" s="53" t="str">
        <f>IF(AND('Mapa final'!$AA$34="Baja",'Mapa final'!$AC$34="Menor"),CONCATENATE("R5C",'Mapa final'!$Q$34),"")</f>
        <v/>
      </c>
      <c r="U40" s="54" t="str">
        <f>IF(AND('Mapa final'!$AA$35="Baja",'Mapa final'!$AC$35="Menor"),CONCATENATE("R5C",'Mapa final'!$Q$35),"")</f>
        <v/>
      </c>
      <c r="V40" s="52" t="str">
        <f>IF(AND('Mapa final'!$AA$30="Baja",'Mapa final'!$AC$30="Moderado"),CONCATENATE("R5C",'Mapa final'!$Q$30),"")</f>
        <v/>
      </c>
      <c r="W40" s="53" t="str">
        <f>IF(AND('Mapa final'!$AA$31="Baja",'Mapa final'!$AC$31="Moderado"),CONCATENATE("R5C",'Mapa final'!$Q$31),"")</f>
        <v/>
      </c>
      <c r="X40" s="53" t="str">
        <f>IF(AND('Mapa final'!$AA$32="Baja",'Mapa final'!$AC$32="Moderado"),CONCATENATE("R5C",'Mapa final'!$Q$32),"")</f>
        <v/>
      </c>
      <c r="Y40" s="53" t="str">
        <f>IF(AND('Mapa final'!$AA$33="Baja",'Mapa final'!$AC$33="Moderado"),CONCATENATE("R5C",'Mapa final'!$Q$33),"")</f>
        <v/>
      </c>
      <c r="Z40" s="53" t="str">
        <f>IF(AND('Mapa final'!$AA$34="Baja",'Mapa final'!$AC$34="Moderado"),CONCATENATE("R5C",'Mapa final'!$Q$34),"")</f>
        <v/>
      </c>
      <c r="AA40" s="54" t="str">
        <f>IF(AND('Mapa final'!$AA$35="Baja",'Mapa final'!$AC$35="Moderado"),CONCATENATE("R5C",'Mapa final'!$Q$35),"")</f>
        <v/>
      </c>
      <c r="AB40" s="36" t="str">
        <f>IF(AND('Mapa final'!$AA$30="Baja",'Mapa final'!$AC$30="Mayor"),CONCATENATE("R5C",'Mapa final'!$Q$30),"")</f>
        <v/>
      </c>
      <c r="AC40" s="37" t="str">
        <f>IF(AND('Mapa final'!$AA$31="Baja",'Mapa final'!$AC$31="Mayor"),CONCATENATE("R5C",'Mapa final'!$Q$31),"")</f>
        <v/>
      </c>
      <c r="AD40" s="42" t="str">
        <f>IF(AND('Mapa final'!$AA$32="Baja",'Mapa final'!$AC$32="Mayor"),CONCATENATE("R5C",'Mapa final'!$Q$32),"")</f>
        <v/>
      </c>
      <c r="AE40" s="42" t="str">
        <f>IF(AND('Mapa final'!$AA$33="Baja",'Mapa final'!$AC$33="Mayor"),CONCATENATE("R5C",'Mapa final'!$Q$33),"")</f>
        <v/>
      </c>
      <c r="AF40" s="42" t="str">
        <f>IF(AND('Mapa final'!$AA$34="Baja",'Mapa final'!$AC$34="Mayor"),CONCATENATE("R5C",'Mapa final'!$Q$34),"")</f>
        <v/>
      </c>
      <c r="AG40" s="38" t="str">
        <f>IF(AND('Mapa final'!$AA$35="Baja",'Mapa final'!$AC$35="Mayor"),CONCATENATE("R5C",'Mapa final'!$Q$35),"")</f>
        <v/>
      </c>
      <c r="AH40" s="39" t="str">
        <f>IF(AND('Mapa final'!$AA$30="Baja",'Mapa final'!$AC$30="Catastrófico"),CONCATENATE("R5C",'Mapa final'!$Q$30),"")</f>
        <v/>
      </c>
      <c r="AI40" s="40" t="str">
        <f>IF(AND('Mapa final'!$AA$31="Baja",'Mapa final'!$AC$31="Catastrófico"),CONCATENATE("R5C",'Mapa final'!$Q$31),"")</f>
        <v/>
      </c>
      <c r="AJ40" s="40" t="str">
        <f>IF(AND('Mapa final'!$AA$32="Baja",'Mapa final'!$AC$32="Catastrófico"),CONCATENATE("R5C",'Mapa final'!$Q$32),"")</f>
        <v/>
      </c>
      <c r="AK40" s="40" t="str">
        <f>IF(AND('Mapa final'!$AA$33="Baja",'Mapa final'!$AC$33="Catastrófico"),CONCATENATE("R5C",'Mapa final'!$Q$33),"")</f>
        <v/>
      </c>
      <c r="AL40" s="40" t="str">
        <f>IF(AND('Mapa final'!$AA$34="Baja",'Mapa final'!$AC$34="Catastrófico"),CONCATENATE("R5C",'Mapa final'!$Q$34),"")</f>
        <v/>
      </c>
      <c r="AM40" s="41" t="str">
        <f>IF(AND('Mapa final'!$AA$35="Baja",'Mapa final'!$AC$35="Catastrófico"),CONCATENATE("R5C",'Mapa final'!$Q$35),"")</f>
        <v/>
      </c>
      <c r="AN40" s="68"/>
      <c r="AO40" s="411"/>
      <c r="AP40" s="412"/>
      <c r="AQ40" s="412"/>
      <c r="AR40" s="412"/>
      <c r="AS40" s="412"/>
      <c r="AT40" s="413"/>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289"/>
      <c r="C41" s="289"/>
      <c r="D41" s="290"/>
      <c r="E41" s="390"/>
      <c r="F41" s="391"/>
      <c r="G41" s="391"/>
      <c r="H41" s="391"/>
      <c r="I41" s="389"/>
      <c r="J41" s="61" t="str">
        <f>IF(AND('Mapa final'!$AA$36="Baja",'Mapa final'!$AC$36="Leve"),CONCATENATE("R6C",'Mapa final'!$Q$36),"")</f>
        <v/>
      </c>
      <c r="K41" s="62" t="str">
        <f>IF(AND('Mapa final'!$AA$37="Baja",'Mapa final'!$AC$37="Leve"),CONCATENATE("R6C",'Mapa final'!$Q$37),"")</f>
        <v/>
      </c>
      <c r="L41" s="62" t="str">
        <f>IF(AND('Mapa final'!$AA$38="Baja",'Mapa final'!$AC$38="Leve"),CONCATENATE("R6C",'Mapa final'!$Q$38),"")</f>
        <v/>
      </c>
      <c r="M41" s="62" t="str">
        <f>IF(AND('Mapa final'!$AA$39="Baja",'Mapa final'!$AC$39="Leve"),CONCATENATE("R6C",'Mapa final'!$Q$39),"")</f>
        <v/>
      </c>
      <c r="N41" s="62" t="str">
        <f>IF(AND('Mapa final'!$AA$40="Baja",'Mapa final'!$AC$40="Leve"),CONCATENATE("R6C",'Mapa final'!$Q$40),"")</f>
        <v/>
      </c>
      <c r="O41" s="63" t="str">
        <f>IF(AND('Mapa final'!$AA$41="Baja",'Mapa final'!$AC$41="Leve"),CONCATENATE("R6C",'Mapa final'!$Q$41),"")</f>
        <v/>
      </c>
      <c r="P41" s="52" t="str">
        <f>IF(AND('Mapa final'!$AA$36="Baja",'Mapa final'!$AC$36="Menor"),CONCATENATE("R6C",'Mapa final'!$Q$36),"")</f>
        <v/>
      </c>
      <c r="Q41" s="53" t="str">
        <f>IF(AND('Mapa final'!$AA$37="Baja",'Mapa final'!$AC$37="Menor"),CONCATENATE("R6C",'Mapa final'!$Q$37),"")</f>
        <v/>
      </c>
      <c r="R41" s="53" t="str">
        <f>IF(AND('Mapa final'!$AA$38="Baja",'Mapa final'!$AC$38="Menor"),CONCATENATE("R6C",'Mapa final'!$Q$38),"")</f>
        <v/>
      </c>
      <c r="S41" s="53" t="str">
        <f>IF(AND('Mapa final'!$AA$39="Baja",'Mapa final'!$AC$39="Menor"),CONCATENATE("R6C",'Mapa final'!$Q$39),"")</f>
        <v/>
      </c>
      <c r="T41" s="53" t="str">
        <f>IF(AND('Mapa final'!$AA$40="Baja",'Mapa final'!$AC$40="Menor"),CONCATENATE("R6C",'Mapa final'!$Q$40),"")</f>
        <v/>
      </c>
      <c r="U41" s="54" t="str">
        <f>IF(AND('Mapa final'!$AA$41="Baja",'Mapa final'!$AC$41="Menor"),CONCATENATE("R6C",'Mapa final'!$Q$41),"")</f>
        <v/>
      </c>
      <c r="V41" s="52" t="str">
        <f>IF(AND('Mapa final'!$AA$36="Baja",'Mapa final'!$AC$36="Moderado"),CONCATENATE("R6C",'Mapa final'!$Q$36),"")</f>
        <v/>
      </c>
      <c r="W41" s="53" t="str">
        <f>IF(AND('Mapa final'!$AA$37="Baja",'Mapa final'!$AC$37="Moderado"),CONCATENATE("R6C",'Mapa final'!$Q$37),"")</f>
        <v/>
      </c>
      <c r="X41" s="53" t="str">
        <f>IF(AND('Mapa final'!$AA$38="Baja",'Mapa final'!$AC$38="Moderado"),CONCATENATE("R6C",'Mapa final'!$Q$38),"")</f>
        <v/>
      </c>
      <c r="Y41" s="53" t="str">
        <f>IF(AND('Mapa final'!$AA$39="Baja",'Mapa final'!$AC$39="Moderado"),CONCATENATE("R6C",'Mapa final'!$Q$39),"")</f>
        <v/>
      </c>
      <c r="Z41" s="53" t="str">
        <f>IF(AND('Mapa final'!$AA$40="Baja",'Mapa final'!$AC$40="Moderado"),CONCATENATE("R6C",'Mapa final'!$Q$40),"")</f>
        <v/>
      </c>
      <c r="AA41" s="54" t="str">
        <f>IF(AND('Mapa final'!$AA$41="Baja",'Mapa final'!$AC$41="Moderado"),CONCATENATE("R6C",'Mapa final'!$Q$41),"")</f>
        <v/>
      </c>
      <c r="AB41" s="36" t="str">
        <f>IF(AND('Mapa final'!$AA$36="Baja",'Mapa final'!$AC$36="Mayor"),CONCATENATE("R6C",'Mapa final'!$Q$36),"")</f>
        <v/>
      </c>
      <c r="AC41" s="37" t="str">
        <f>IF(AND('Mapa final'!$AA$37="Baja",'Mapa final'!$AC$37="Mayor"),CONCATENATE("R6C",'Mapa final'!$Q$37),"")</f>
        <v/>
      </c>
      <c r="AD41" s="42" t="str">
        <f>IF(AND('Mapa final'!$AA$38="Baja",'Mapa final'!$AC$38="Mayor"),CONCATENATE("R6C",'Mapa final'!$Q$38),"")</f>
        <v/>
      </c>
      <c r="AE41" s="42" t="str">
        <f>IF(AND('Mapa final'!$AA$39="Baja",'Mapa final'!$AC$39="Mayor"),CONCATENATE("R6C",'Mapa final'!$Q$39),"")</f>
        <v/>
      </c>
      <c r="AF41" s="42" t="str">
        <f>IF(AND('Mapa final'!$AA$40="Baja",'Mapa final'!$AC$40="Mayor"),CONCATENATE("R6C",'Mapa final'!$Q$40),"")</f>
        <v/>
      </c>
      <c r="AG41" s="38" t="str">
        <f>IF(AND('Mapa final'!$AA$41="Baja",'Mapa final'!$AC$41="Mayor"),CONCATENATE("R6C",'Mapa final'!$Q$41),"")</f>
        <v/>
      </c>
      <c r="AH41" s="39" t="str">
        <f>IF(AND('Mapa final'!$AA$36="Baja",'Mapa final'!$AC$36="Catastrófico"),CONCATENATE("R6C",'Mapa final'!$Q$36),"")</f>
        <v/>
      </c>
      <c r="AI41" s="40" t="str">
        <f>IF(AND('Mapa final'!$AA$37="Baja",'Mapa final'!$AC$37="Catastrófico"),CONCATENATE("R6C",'Mapa final'!$Q$37),"")</f>
        <v/>
      </c>
      <c r="AJ41" s="40" t="str">
        <f>IF(AND('Mapa final'!$AA$38="Baja",'Mapa final'!$AC$38="Catastrófico"),CONCATENATE("R6C",'Mapa final'!$Q$38),"")</f>
        <v/>
      </c>
      <c r="AK41" s="40" t="str">
        <f>IF(AND('Mapa final'!$AA$39="Baja",'Mapa final'!$AC$39="Catastrófico"),CONCATENATE("R6C",'Mapa final'!$Q$39),"")</f>
        <v/>
      </c>
      <c r="AL41" s="40" t="str">
        <f>IF(AND('Mapa final'!$AA$40="Baja",'Mapa final'!$AC$40="Catastrófico"),CONCATENATE("R6C",'Mapa final'!$Q$40),"")</f>
        <v/>
      </c>
      <c r="AM41" s="41" t="str">
        <f>IF(AND('Mapa final'!$AA$41="Baja",'Mapa final'!$AC$41="Catastrófico"),CONCATENATE("R6C",'Mapa final'!$Q$41),"")</f>
        <v/>
      </c>
      <c r="AN41" s="68"/>
      <c r="AO41" s="411"/>
      <c r="AP41" s="412"/>
      <c r="AQ41" s="412"/>
      <c r="AR41" s="412"/>
      <c r="AS41" s="412"/>
      <c r="AT41" s="413"/>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289"/>
      <c r="C42" s="289"/>
      <c r="D42" s="290"/>
      <c r="E42" s="390"/>
      <c r="F42" s="391"/>
      <c r="G42" s="391"/>
      <c r="H42" s="391"/>
      <c r="I42" s="389"/>
      <c r="J42" s="61" t="str">
        <f>IF(AND('Mapa final'!$AA$42="Baja",'Mapa final'!$AC$42="Leve"),CONCATENATE("R7C",'Mapa final'!$Q$42),"")</f>
        <v/>
      </c>
      <c r="K42" s="62" t="str">
        <f>IF(AND('Mapa final'!$AA$43="Baja",'Mapa final'!$AC$43="Leve"),CONCATENATE("R7C",'Mapa final'!$Q$43),"")</f>
        <v/>
      </c>
      <c r="L42" s="62" t="str">
        <f>IF(AND('Mapa final'!$AA$44="Baja",'Mapa final'!$AC$44="Leve"),CONCATENATE("R7C",'Mapa final'!$Q$44),"")</f>
        <v/>
      </c>
      <c r="M42" s="62" t="str">
        <f>IF(AND('Mapa final'!$AA$45="Baja",'Mapa final'!$AC$45="Leve"),CONCATENATE("R7C",'Mapa final'!$Q$45),"")</f>
        <v/>
      </c>
      <c r="N42" s="62" t="str">
        <f>IF(AND('Mapa final'!$AA$46="Baja",'Mapa final'!$AC$46="Leve"),CONCATENATE("R7C",'Mapa final'!$Q$46),"")</f>
        <v/>
      </c>
      <c r="O42" s="63" t="str">
        <f>IF(AND('Mapa final'!$AA$47="Baja",'Mapa final'!$AC$47="Leve"),CONCATENATE("R7C",'Mapa final'!$Q$47),"")</f>
        <v/>
      </c>
      <c r="P42" s="52" t="str">
        <f>IF(AND('Mapa final'!$AA$42="Baja",'Mapa final'!$AC$42="Menor"),CONCATENATE("R7C",'Mapa final'!$Q$42),"")</f>
        <v/>
      </c>
      <c r="Q42" s="53" t="str">
        <f>IF(AND('Mapa final'!$AA$43="Baja",'Mapa final'!$AC$43="Menor"),CONCATENATE("R7C",'Mapa final'!$Q$43),"")</f>
        <v/>
      </c>
      <c r="R42" s="53" t="str">
        <f>IF(AND('Mapa final'!$AA$44="Baja",'Mapa final'!$AC$44="Menor"),CONCATENATE("R7C",'Mapa final'!$Q$44),"")</f>
        <v/>
      </c>
      <c r="S42" s="53" t="str">
        <f>IF(AND('Mapa final'!$AA$45="Baja",'Mapa final'!$AC$45="Menor"),CONCATENATE("R7C",'Mapa final'!$Q$45),"")</f>
        <v/>
      </c>
      <c r="T42" s="53" t="str">
        <f>IF(AND('Mapa final'!$AA$46="Baja",'Mapa final'!$AC$46="Menor"),CONCATENATE("R7C",'Mapa final'!$Q$46),"")</f>
        <v/>
      </c>
      <c r="U42" s="54" t="str">
        <f>IF(AND('Mapa final'!$AA$47="Baja",'Mapa final'!$AC$47="Menor"),CONCATENATE("R7C",'Mapa final'!$Q$47),"")</f>
        <v/>
      </c>
      <c r="V42" s="52" t="str">
        <f>IF(AND('Mapa final'!$AA$42="Baja",'Mapa final'!$AC$42="Moderado"),CONCATENATE("R7C",'Mapa final'!$Q$42),"")</f>
        <v/>
      </c>
      <c r="W42" s="53" t="str">
        <f>IF(AND('Mapa final'!$AA$43="Baja",'Mapa final'!$AC$43="Moderado"),CONCATENATE("R7C",'Mapa final'!$Q$43),"")</f>
        <v/>
      </c>
      <c r="X42" s="53" t="str">
        <f>IF(AND('Mapa final'!$AA$44="Baja",'Mapa final'!$AC$44="Moderado"),CONCATENATE("R7C",'Mapa final'!$Q$44),"")</f>
        <v/>
      </c>
      <c r="Y42" s="53" t="str">
        <f>IF(AND('Mapa final'!$AA$45="Baja",'Mapa final'!$AC$45="Moderado"),CONCATENATE("R7C",'Mapa final'!$Q$45),"")</f>
        <v/>
      </c>
      <c r="Z42" s="53" t="str">
        <f>IF(AND('Mapa final'!$AA$46="Baja",'Mapa final'!$AC$46="Moderado"),CONCATENATE("R7C",'Mapa final'!$Q$46),"")</f>
        <v/>
      </c>
      <c r="AA42" s="54" t="str">
        <f>IF(AND('Mapa final'!$AA$47="Baja",'Mapa final'!$AC$47="Moderado"),CONCATENATE("R7C",'Mapa final'!$Q$47),"")</f>
        <v/>
      </c>
      <c r="AB42" s="36" t="str">
        <f>IF(AND('Mapa final'!$AA$42="Baja",'Mapa final'!$AC$42="Mayor"),CONCATENATE("R7C",'Mapa final'!$Q$42),"")</f>
        <v/>
      </c>
      <c r="AC42" s="37" t="str">
        <f>IF(AND('Mapa final'!$AA$43="Baja",'Mapa final'!$AC$43="Mayor"),CONCATENATE("R7C",'Mapa final'!$Q$43),"")</f>
        <v/>
      </c>
      <c r="AD42" s="42" t="str">
        <f>IF(AND('Mapa final'!$AA$44="Baja",'Mapa final'!$AC$44="Mayor"),CONCATENATE("R7C",'Mapa final'!$Q$44),"")</f>
        <v/>
      </c>
      <c r="AE42" s="42" t="str">
        <f>IF(AND('Mapa final'!$AA$45="Baja",'Mapa final'!$AC$45="Mayor"),CONCATENATE("R7C",'Mapa final'!$Q$45),"")</f>
        <v/>
      </c>
      <c r="AF42" s="42" t="str">
        <f>IF(AND('Mapa final'!$AA$46="Baja",'Mapa final'!$AC$46="Mayor"),CONCATENATE("R7C",'Mapa final'!$Q$46),"")</f>
        <v/>
      </c>
      <c r="AG42" s="38" t="str">
        <f>IF(AND('Mapa final'!$AA$47="Baja",'Mapa final'!$AC$47="Mayor"),CONCATENATE("R7C",'Mapa final'!$Q$47),"")</f>
        <v/>
      </c>
      <c r="AH42" s="39" t="str">
        <f>IF(AND('Mapa final'!$AA$42="Baja",'Mapa final'!$AC$42="Catastrófico"),CONCATENATE("R7C",'Mapa final'!$Q$42),"")</f>
        <v/>
      </c>
      <c r="AI42" s="40" t="str">
        <f>IF(AND('Mapa final'!$AA$43="Baja",'Mapa final'!$AC$43="Catastrófico"),CONCATENATE("R7C",'Mapa final'!$Q$43),"")</f>
        <v/>
      </c>
      <c r="AJ42" s="40" t="str">
        <f>IF(AND('Mapa final'!$AA$44="Baja",'Mapa final'!$AC$44="Catastrófico"),CONCATENATE("R7C",'Mapa final'!$Q$44),"")</f>
        <v/>
      </c>
      <c r="AK42" s="40" t="str">
        <f>IF(AND('Mapa final'!$AA$45="Baja",'Mapa final'!$AC$45="Catastrófico"),CONCATENATE("R7C",'Mapa final'!$Q$45),"")</f>
        <v/>
      </c>
      <c r="AL42" s="40" t="str">
        <f>IF(AND('Mapa final'!$AA$46="Baja",'Mapa final'!$AC$46="Catastrófico"),CONCATENATE("R7C",'Mapa final'!$Q$46),"")</f>
        <v/>
      </c>
      <c r="AM42" s="41" t="str">
        <f>IF(AND('Mapa final'!$AA$47="Baja",'Mapa final'!$AC$47="Catastrófico"),CONCATENATE("R7C",'Mapa final'!$Q$47),"")</f>
        <v/>
      </c>
      <c r="AN42" s="68"/>
      <c r="AO42" s="411"/>
      <c r="AP42" s="412"/>
      <c r="AQ42" s="412"/>
      <c r="AR42" s="412"/>
      <c r="AS42" s="412"/>
      <c r="AT42" s="413"/>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289"/>
      <c r="C43" s="289"/>
      <c r="D43" s="290"/>
      <c r="E43" s="390"/>
      <c r="F43" s="391"/>
      <c r="G43" s="391"/>
      <c r="H43" s="391"/>
      <c r="I43" s="389"/>
      <c r="J43" s="61" t="str">
        <f>IF(AND('Mapa final'!$AA$48="Baja",'Mapa final'!$AC$48="Leve"),CONCATENATE("R8C",'Mapa final'!$Q$48),"")</f>
        <v/>
      </c>
      <c r="K43" s="62" t="str">
        <f>IF(AND('Mapa final'!$AA$49="Baja",'Mapa final'!$AC$49="Leve"),CONCATENATE("R8C",'Mapa final'!$Q$49),"")</f>
        <v/>
      </c>
      <c r="L43" s="62" t="str">
        <f>IF(AND('Mapa final'!$AA$50="Baja",'Mapa final'!$AC$50="Leve"),CONCATENATE("R8C",'Mapa final'!$Q$50),"")</f>
        <v/>
      </c>
      <c r="M43" s="62" t="str">
        <f>IF(AND('Mapa final'!$AA$51="Baja",'Mapa final'!$AC$51="Leve"),CONCATENATE("R8C",'Mapa final'!$Q$51),"")</f>
        <v/>
      </c>
      <c r="N43" s="62" t="str">
        <f>IF(AND('Mapa final'!$AA$52="Baja",'Mapa final'!$AC$52="Leve"),CONCATENATE("R8C",'Mapa final'!$Q$52),"")</f>
        <v/>
      </c>
      <c r="O43" s="63" t="str">
        <f>IF(AND('Mapa final'!$AA$53="Baja",'Mapa final'!$AC$53="Leve"),CONCATENATE("R8C",'Mapa final'!$Q$53),"")</f>
        <v/>
      </c>
      <c r="P43" s="52" t="str">
        <f>IF(AND('Mapa final'!$AA$48="Baja",'Mapa final'!$AC$48="Menor"),CONCATENATE("R8C",'Mapa final'!$Q$48),"")</f>
        <v/>
      </c>
      <c r="Q43" s="53" t="str">
        <f>IF(AND('Mapa final'!$AA$49="Baja",'Mapa final'!$AC$49="Menor"),CONCATENATE("R8C",'Mapa final'!$Q$49),"")</f>
        <v/>
      </c>
      <c r="R43" s="53" t="str">
        <f>IF(AND('Mapa final'!$AA$50="Baja",'Mapa final'!$AC$50="Menor"),CONCATENATE("R8C",'Mapa final'!$Q$50),"")</f>
        <v/>
      </c>
      <c r="S43" s="53" t="str">
        <f>IF(AND('Mapa final'!$AA$51="Baja",'Mapa final'!$AC$51="Menor"),CONCATENATE("R8C",'Mapa final'!$Q$51),"")</f>
        <v/>
      </c>
      <c r="T43" s="53" t="str">
        <f>IF(AND('Mapa final'!$AA$52="Baja",'Mapa final'!$AC$52="Menor"),CONCATENATE("R8C",'Mapa final'!$Q$52),"")</f>
        <v/>
      </c>
      <c r="U43" s="54" t="str">
        <f>IF(AND('Mapa final'!$AA$53="Baja",'Mapa final'!$AC$53="Menor"),CONCATENATE("R8C",'Mapa final'!$Q$53),"")</f>
        <v/>
      </c>
      <c r="V43" s="52" t="str">
        <f>IF(AND('Mapa final'!$AA$48="Baja",'Mapa final'!$AC$48="Moderado"),CONCATENATE("R8C",'Mapa final'!$Q$48),"")</f>
        <v/>
      </c>
      <c r="W43" s="53" t="str">
        <f>IF(AND('Mapa final'!$AA$49="Baja",'Mapa final'!$AC$49="Moderado"),CONCATENATE("R8C",'Mapa final'!$Q$49),"")</f>
        <v/>
      </c>
      <c r="X43" s="53" t="str">
        <f>IF(AND('Mapa final'!$AA$50="Baja",'Mapa final'!$AC$50="Moderado"),CONCATENATE("R8C",'Mapa final'!$Q$50),"")</f>
        <v/>
      </c>
      <c r="Y43" s="53" t="str">
        <f>IF(AND('Mapa final'!$AA$51="Baja",'Mapa final'!$AC$51="Moderado"),CONCATENATE("R8C",'Mapa final'!$Q$51),"")</f>
        <v/>
      </c>
      <c r="Z43" s="53" t="str">
        <f>IF(AND('Mapa final'!$AA$52="Baja",'Mapa final'!$AC$52="Moderado"),CONCATENATE("R8C",'Mapa final'!$Q$52),"")</f>
        <v/>
      </c>
      <c r="AA43" s="54" t="str">
        <f>IF(AND('Mapa final'!$AA$53="Baja",'Mapa final'!$AC$53="Moderado"),CONCATENATE("R8C",'Mapa final'!$Q$53),"")</f>
        <v/>
      </c>
      <c r="AB43" s="36" t="str">
        <f>IF(AND('Mapa final'!$AA$48="Baja",'Mapa final'!$AC$48="Mayor"),CONCATENATE("R8C",'Mapa final'!$Q$48),"")</f>
        <v/>
      </c>
      <c r="AC43" s="37" t="str">
        <f>IF(AND('Mapa final'!$AA$49="Baja",'Mapa final'!$AC$49="Mayor"),CONCATENATE("R8C",'Mapa final'!$Q$49),"")</f>
        <v/>
      </c>
      <c r="AD43" s="42" t="str">
        <f>IF(AND('Mapa final'!$AA$50="Baja",'Mapa final'!$AC$50="Mayor"),CONCATENATE("R8C",'Mapa final'!$Q$50),"")</f>
        <v/>
      </c>
      <c r="AE43" s="42" t="str">
        <f>IF(AND('Mapa final'!$AA$51="Baja",'Mapa final'!$AC$51="Mayor"),CONCATENATE("R8C",'Mapa final'!$Q$51),"")</f>
        <v/>
      </c>
      <c r="AF43" s="42" t="str">
        <f>IF(AND('Mapa final'!$AA$52="Baja",'Mapa final'!$AC$52="Mayor"),CONCATENATE("R8C",'Mapa final'!$Q$52),"")</f>
        <v/>
      </c>
      <c r="AG43" s="38" t="str">
        <f>IF(AND('Mapa final'!$AA$53="Baja",'Mapa final'!$AC$53="Mayor"),CONCATENATE("R8C",'Mapa final'!$Q$53),"")</f>
        <v/>
      </c>
      <c r="AH43" s="39" t="str">
        <f>IF(AND('Mapa final'!$AA$48="Baja",'Mapa final'!$AC$48="Catastrófico"),CONCATENATE("R8C",'Mapa final'!$Q$48),"")</f>
        <v/>
      </c>
      <c r="AI43" s="40" t="str">
        <f>IF(AND('Mapa final'!$AA$49="Baja",'Mapa final'!$AC$49="Catastrófico"),CONCATENATE("R8C",'Mapa final'!$Q$49),"")</f>
        <v/>
      </c>
      <c r="AJ43" s="40" t="str">
        <f>IF(AND('Mapa final'!$AA$50="Baja",'Mapa final'!$AC$50="Catastrófico"),CONCATENATE("R8C",'Mapa final'!$Q$50),"")</f>
        <v/>
      </c>
      <c r="AK43" s="40" t="str">
        <f>IF(AND('Mapa final'!$AA$51="Baja",'Mapa final'!$AC$51="Catastrófico"),CONCATENATE("R8C",'Mapa final'!$Q$51),"")</f>
        <v/>
      </c>
      <c r="AL43" s="40" t="str">
        <f>IF(AND('Mapa final'!$AA$52="Baja",'Mapa final'!$AC$52="Catastrófico"),CONCATENATE("R8C",'Mapa final'!$Q$52),"")</f>
        <v/>
      </c>
      <c r="AM43" s="41" t="str">
        <f>IF(AND('Mapa final'!$AA$53="Baja",'Mapa final'!$AC$53="Catastrófico"),CONCATENATE("R8C",'Mapa final'!$Q$53),"")</f>
        <v/>
      </c>
      <c r="AN43" s="68"/>
      <c r="AO43" s="411"/>
      <c r="AP43" s="412"/>
      <c r="AQ43" s="412"/>
      <c r="AR43" s="412"/>
      <c r="AS43" s="412"/>
      <c r="AT43" s="413"/>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289"/>
      <c r="C44" s="289"/>
      <c r="D44" s="290"/>
      <c r="E44" s="390"/>
      <c r="F44" s="391"/>
      <c r="G44" s="391"/>
      <c r="H44" s="391"/>
      <c r="I44" s="389"/>
      <c r="J44" s="61" t="str">
        <f>IF(AND('Mapa final'!$AA$54="Baja",'Mapa final'!$AC$54="Leve"),CONCATENATE("R9C",'Mapa final'!$Q$54),"")</f>
        <v/>
      </c>
      <c r="K44" s="62" t="str">
        <f>IF(AND('Mapa final'!$AA$55="Baja",'Mapa final'!$AC$55="Leve"),CONCATENATE("R9C",'Mapa final'!$Q$55),"")</f>
        <v/>
      </c>
      <c r="L44" s="62" t="str">
        <f>IF(AND('Mapa final'!$AA$56="Baja",'Mapa final'!$AC$56="Leve"),CONCATENATE("R9C",'Mapa final'!$Q$56),"")</f>
        <v/>
      </c>
      <c r="M44" s="62" t="str">
        <f>IF(AND('Mapa final'!$AA$57="Baja",'Mapa final'!$AC$57="Leve"),CONCATENATE("R9C",'Mapa final'!$Q$57),"")</f>
        <v/>
      </c>
      <c r="N44" s="62" t="str">
        <f>IF(AND('Mapa final'!$AA$58="Baja",'Mapa final'!$AC$58="Leve"),CONCATENATE("R9C",'Mapa final'!$Q$58),"")</f>
        <v/>
      </c>
      <c r="O44" s="63" t="str">
        <f>IF(AND('Mapa final'!$AA$59="Baja",'Mapa final'!$AC$59="Leve"),CONCATENATE("R9C",'Mapa final'!$Q$59),"")</f>
        <v/>
      </c>
      <c r="P44" s="52" t="str">
        <f>IF(AND('Mapa final'!$AA$54="Baja",'Mapa final'!$AC$54="Menor"),CONCATENATE("R9C",'Mapa final'!$Q$54),"")</f>
        <v/>
      </c>
      <c r="Q44" s="53" t="str">
        <f>IF(AND('Mapa final'!$AA$55="Baja",'Mapa final'!$AC$55="Menor"),CONCATENATE("R9C",'Mapa final'!$Q$55),"")</f>
        <v/>
      </c>
      <c r="R44" s="53" t="str">
        <f>IF(AND('Mapa final'!$AA$56="Baja",'Mapa final'!$AC$56="Menor"),CONCATENATE("R9C",'Mapa final'!$Q$56),"")</f>
        <v/>
      </c>
      <c r="S44" s="53" t="str">
        <f>IF(AND('Mapa final'!$AA$57="Baja",'Mapa final'!$AC$57="Menor"),CONCATENATE("R9C",'Mapa final'!$Q$57),"")</f>
        <v/>
      </c>
      <c r="T44" s="53" t="str">
        <f>IF(AND('Mapa final'!$AA$58="Baja",'Mapa final'!$AC$58="Menor"),CONCATENATE("R9C",'Mapa final'!$Q$58),"")</f>
        <v/>
      </c>
      <c r="U44" s="54" t="str">
        <f>IF(AND('Mapa final'!$AA$59="Baja",'Mapa final'!$AC$59="Menor"),CONCATENATE("R9C",'Mapa final'!$Q$59),"")</f>
        <v/>
      </c>
      <c r="V44" s="52" t="str">
        <f>IF(AND('Mapa final'!$AA$54="Baja",'Mapa final'!$AC$54="Moderado"),CONCATENATE("R9C",'Mapa final'!$Q$54),"")</f>
        <v/>
      </c>
      <c r="W44" s="53" t="str">
        <f>IF(AND('Mapa final'!$AA$55="Baja",'Mapa final'!$AC$55="Moderado"),CONCATENATE("R9C",'Mapa final'!$Q$55),"")</f>
        <v/>
      </c>
      <c r="X44" s="53" t="str">
        <f>IF(AND('Mapa final'!$AA$56="Baja",'Mapa final'!$AC$56="Moderado"),CONCATENATE("R9C",'Mapa final'!$Q$56),"")</f>
        <v/>
      </c>
      <c r="Y44" s="53" t="str">
        <f>IF(AND('Mapa final'!$AA$57="Baja",'Mapa final'!$AC$57="Moderado"),CONCATENATE("R9C",'Mapa final'!$Q$57),"")</f>
        <v/>
      </c>
      <c r="Z44" s="53" t="str">
        <f>IF(AND('Mapa final'!$AA$58="Baja",'Mapa final'!$AC$58="Moderado"),CONCATENATE("R9C",'Mapa final'!$Q$58),"")</f>
        <v/>
      </c>
      <c r="AA44" s="54" t="str">
        <f>IF(AND('Mapa final'!$AA$59="Baja",'Mapa final'!$AC$59="Moderado"),CONCATENATE("R9C",'Mapa final'!$Q$59),"")</f>
        <v/>
      </c>
      <c r="AB44" s="36" t="str">
        <f>IF(AND('Mapa final'!$AA$54="Baja",'Mapa final'!$AC$54="Mayor"),CONCATENATE("R9C",'Mapa final'!$Q$54),"")</f>
        <v/>
      </c>
      <c r="AC44" s="37" t="str">
        <f>IF(AND('Mapa final'!$AA$55="Baja",'Mapa final'!$AC$55="Mayor"),CONCATENATE("R9C",'Mapa final'!$Q$55),"")</f>
        <v/>
      </c>
      <c r="AD44" s="42" t="str">
        <f>IF(AND('Mapa final'!$AA$56="Baja",'Mapa final'!$AC$56="Mayor"),CONCATENATE("R9C",'Mapa final'!$Q$56),"")</f>
        <v/>
      </c>
      <c r="AE44" s="42" t="str">
        <f>IF(AND('Mapa final'!$AA$57="Baja",'Mapa final'!$AC$57="Mayor"),CONCATENATE("R9C",'Mapa final'!$Q$57),"")</f>
        <v/>
      </c>
      <c r="AF44" s="42" t="str">
        <f>IF(AND('Mapa final'!$AA$58="Baja",'Mapa final'!$AC$58="Mayor"),CONCATENATE("R9C",'Mapa final'!$Q$58),"")</f>
        <v/>
      </c>
      <c r="AG44" s="38" t="str">
        <f>IF(AND('Mapa final'!$AA$59="Baja",'Mapa final'!$AC$59="Mayor"),CONCATENATE("R9C",'Mapa final'!$Q$59),"")</f>
        <v/>
      </c>
      <c r="AH44" s="39" t="str">
        <f>IF(AND('Mapa final'!$AA$54="Baja",'Mapa final'!$AC$54="Catastrófico"),CONCATENATE("R9C",'Mapa final'!$Q$54),"")</f>
        <v/>
      </c>
      <c r="AI44" s="40" t="str">
        <f>IF(AND('Mapa final'!$AA$55="Baja",'Mapa final'!$AC$55="Catastrófico"),CONCATENATE("R9C",'Mapa final'!$Q$55),"")</f>
        <v/>
      </c>
      <c r="AJ44" s="40" t="str">
        <f>IF(AND('Mapa final'!$AA$56="Baja",'Mapa final'!$AC$56="Catastrófico"),CONCATENATE("R9C",'Mapa final'!$Q$56),"")</f>
        <v/>
      </c>
      <c r="AK44" s="40" t="str">
        <f>IF(AND('Mapa final'!$AA$57="Baja",'Mapa final'!$AC$57="Catastrófico"),CONCATENATE("R9C",'Mapa final'!$Q$57),"")</f>
        <v/>
      </c>
      <c r="AL44" s="40" t="str">
        <f>IF(AND('Mapa final'!$AA$58="Baja",'Mapa final'!$AC$58="Catastrófico"),CONCATENATE("R9C",'Mapa final'!$Q$58),"")</f>
        <v/>
      </c>
      <c r="AM44" s="41" t="str">
        <f>IF(AND('Mapa final'!$AA$59="Baja",'Mapa final'!$AC$59="Catastrófico"),CONCATENATE("R9C",'Mapa final'!$Q$59),"")</f>
        <v/>
      </c>
      <c r="AN44" s="68"/>
      <c r="AO44" s="411"/>
      <c r="AP44" s="412"/>
      <c r="AQ44" s="412"/>
      <c r="AR44" s="412"/>
      <c r="AS44" s="412"/>
      <c r="AT44" s="413"/>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289"/>
      <c r="C45" s="289"/>
      <c r="D45" s="290"/>
      <c r="E45" s="392"/>
      <c r="F45" s="393"/>
      <c r="G45" s="393"/>
      <c r="H45" s="393"/>
      <c r="I45" s="393"/>
      <c r="J45" s="64" t="str">
        <f>IF(AND('Mapa final'!$AA$60="Baja",'Mapa final'!$AC$60="Leve"),CONCATENATE("R10C",'Mapa final'!$Q$60),"")</f>
        <v/>
      </c>
      <c r="K45" s="65" t="str">
        <f>IF(AND('Mapa final'!$AA$61="Baja",'Mapa final'!$AC$61="Leve"),CONCATENATE("R10C",'Mapa final'!$Q$61),"")</f>
        <v/>
      </c>
      <c r="L45" s="65" t="str">
        <f>IF(AND('Mapa final'!$AA$62="Baja",'Mapa final'!$AC$62="Leve"),CONCATENATE("R10C",'Mapa final'!$Q$62),"")</f>
        <v/>
      </c>
      <c r="M45" s="65" t="str">
        <f>IF(AND('Mapa final'!$AA$63="Baja",'Mapa final'!$AC$63="Leve"),CONCATENATE("R10C",'Mapa final'!$Q$63),"")</f>
        <v/>
      </c>
      <c r="N45" s="65" t="str">
        <f>IF(AND('Mapa final'!$AA$64="Baja",'Mapa final'!$AC$64="Leve"),CONCATENATE("R10C",'Mapa final'!$Q$64),"")</f>
        <v/>
      </c>
      <c r="O45" s="66" t="str">
        <f>IF(AND('Mapa final'!$AA$65="Baja",'Mapa final'!$AC$65="Leve"),CONCATENATE("R10C",'Mapa final'!$Q$65),"")</f>
        <v/>
      </c>
      <c r="P45" s="52" t="str">
        <f>IF(AND('Mapa final'!$AA$60="Baja",'Mapa final'!$AC$60="Menor"),CONCATENATE("R10C",'Mapa final'!$Q$60),"")</f>
        <v/>
      </c>
      <c r="Q45" s="53" t="str">
        <f>IF(AND('Mapa final'!$AA$61="Baja",'Mapa final'!$AC$61="Menor"),CONCATENATE("R10C",'Mapa final'!$Q$61),"")</f>
        <v/>
      </c>
      <c r="R45" s="53" t="str">
        <f>IF(AND('Mapa final'!$AA$62="Baja",'Mapa final'!$AC$62="Menor"),CONCATENATE("R10C",'Mapa final'!$Q$62),"")</f>
        <v/>
      </c>
      <c r="S45" s="53" t="str">
        <f>IF(AND('Mapa final'!$AA$63="Baja",'Mapa final'!$AC$63="Menor"),CONCATENATE("R10C",'Mapa final'!$Q$63),"")</f>
        <v/>
      </c>
      <c r="T45" s="53" t="str">
        <f>IF(AND('Mapa final'!$AA$64="Baja",'Mapa final'!$AC$64="Menor"),CONCATENATE("R10C",'Mapa final'!$Q$64),"")</f>
        <v/>
      </c>
      <c r="U45" s="54" t="str">
        <f>IF(AND('Mapa final'!$AA$65="Baja",'Mapa final'!$AC$65="Menor"),CONCATENATE("R10C",'Mapa final'!$Q$65),"")</f>
        <v/>
      </c>
      <c r="V45" s="55" t="str">
        <f>IF(AND('Mapa final'!$AA$60="Baja",'Mapa final'!$AC$60="Moderado"),CONCATENATE("R10C",'Mapa final'!$Q$60),"")</f>
        <v/>
      </c>
      <c r="W45" s="56" t="str">
        <f>IF(AND('Mapa final'!$AA$61="Baja",'Mapa final'!$AC$61="Moderado"),CONCATENATE("R10C",'Mapa final'!$Q$61),"")</f>
        <v/>
      </c>
      <c r="X45" s="56" t="str">
        <f>IF(AND('Mapa final'!$AA$62="Baja",'Mapa final'!$AC$62="Moderado"),CONCATENATE("R10C",'Mapa final'!$Q$62),"")</f>
        <v/>
      </c>
      <c r="Y45" s="56" t="str">
        <f>IF(AND('Mapa final'!$AA$63="Baja",'Mapa final'!$AC$63="Moderado"),CONCATENATE("R10C",'Mapa final'!$Q$63),"")</f>
        <v/>
      </c>
      <c r="Z45" s="56" t="str">
        <f>IF(AND('Mapa final'!$AA$64="Baja",'Mapa final'!$AC$64="Moderado"),CONCATENATE("R10C",'Mapa final'!$Q$64),"")</f>
        <v/>
      </c>
      <c r="AA45" s="57" t="str">
        <f>IF(AND('Mapa final'!$AA$65="Baja",'Mapa final'!$AC$65="Moderado"),CONCATENATE("R10C",'Mapa final'!$Q$65),"")</f>
        <v/>
      </c>
      <c r="AB45" s="43" t="str">
        <f>IF(AND('Mapa final'!$AA$60="Baja",'Mapa final'!$AC$60="Mayor"),CONCATENATE("R10C",'Mapa final'!$Q$60),"")</f>
        <v/>
      </c>
      <c r="AC45" s="44" t="str">
        <f>IF(AND('Mapa final'!$AA$61="Baja",'Mapa final'!$AC$61="Mayor"),CONCATENATE("R10C",'Mapa final'!$Q$61),"")</f>
        <v/>
      </c>
      <c r="AD45" s="44" t="str">
        <f>IF(AND('Mapa final'!$AA$62="Baja",'Mapa final'!$AC$62="Mayor"),CONCATENATE("R10C",'Mapa final'!$Q$62),"")</f>
        <v/>
      </c>
      <c r="AE45" s="44" t="str">
        <f>IF(AND('Mapa final'!$AA$63="Baja",'Mapa final'!$AC$63="Mayor"),CONCATENATE("R10C",'Mapa final'!$Q$63),"")</f>
        <v/>
      </c>
      <c r="AF45" s="44" t="str">
        <f>IF(AND('Mapa final'!$AA$64="Baja",'Mapa final'!$AC$64="Mayor"),CONCATENATE("R10C",'Mapa final'!$Q$64),"")</f>
        <v/>
      </c>
      <c r="AG45" s="45" t="str">
        <f>IF(AND('Mapa final'!$AA$65="Baja",'Mapa final'!$AC$65="Mayor"),CONCATENATE("R10C",'Mapa final'!$Q$65),"")</f>
        <v/>
      </c>
      <c r="AH45" s="46" t="str">
        <f>IF(AND('Mapa final'!$AA$60="Baja",'Mapa final'!$AC$60="Catastrófico"),CONCATENATE("R10C",'Mapa final'!$Q$60),"")</f>
        <v/>
      </c>
      <c r="AI45" s="47" t="str">
        <f>IF(AND('Mapa final'!$AA$61="Baja",'Mapa final'!$AC$61="Catastrófico"),CONCATENATE("R10C",'Mapa final'!$Q$61),"")</f>
        <v/>
      </c>
      <c r="AJ45" s="47" t="str">
        <f>IF(AND('Mapa final'!$AA$62="Baja",'Mapa final'!$AC$62="Catastrófico"),CONCATENATE("R10C",'Mapa final'!$Q$62),"")</f>
        <v/>
      </c>
      <c r="AK45" s="47" t="str">
        <f>IF(AND('Mapa final'!$AA$63="Baja",'Mapa final'!$AC$63="Catastrófico"),CONCATENATE("R10C",'Mapa final'!$Q$63),"")</f>
        <v/>
      </c>
      <c r="AL45" s="47" t="str">
        <f>IF(AND('Mapa final'!$AA$64="Baja",'Mapa final'!$AC$64="Catastrófico"),CONCATENATE("R10C",'Mapa final'!$Q$64),"")</f>
        <v/>
      </c>
      <c r="AM45" s="48" t="str">
        <f>IF(AND('Mapa final'!$AA$65="Baja",'Mapa final'!$AC$65="Catastrófico"),CONCATENATE("R10C",'Mapa final'!$Q$65),"")</f>
        <v/>
      </c>
      <c r="AN45" s="68"/>
      <c r="AO45" s="414"/>
      <c r="AP45" s="415"/>
      <c r="AQ45" s="415"/>
      <c r="AR45" s="415"/>
      <c r="AS45" s="415"/>
      <c r="AT45" s="416"/>
    </row>
    <row r="46" spans="1:80" ht="46.5" customHeight="1" x14ac:dyDescent="0.35">
      <c r="A46" s="68"/>
      <c r="B46" s="289"/>
      <c r="C46" s="289"/>
      <c r="D46" s="290"/>
      <c r="E46" s="386" t="s">
        <v>107</v>
      </c>
      <c r="F46" s="387"/>
      <c r="G46" s="387"/>
      <c r="H46" s="387"/>
      <c r="I46" s="405"/>
      <c r="J46" s="58" t="str">
        <f ca="1">IF(AND('Mapa final'!$AA$10="Muy Baja",'Mapa final'!$AC$10="Leve"),CONCATENATE("R1C",'Mapa final'!$Q$10),"")</f>
        <v/>
      </c>
      <c r="K46" s="59" t="str">
        <f ca="1">IF(AND('Mapa final'!$AA$11="Muy Baja",'Mapa final'!$AC$11="Leve"),CONCATENATE("R1C",'Mapa final'!$Q$11),"")</f>
        <v/>
      </c>
      <c r="L46" s="59" t="str">
        <f ca="1">IF(AND('Mapa final'!$AA$12="Muy Baja",'Mapa final'!$AC$12="Leve"),CONCATENATE("R1C",'Mapa final'!$Q$12),"")</f>
        <v/>
      </c>
      <c r="M46" s="59" t="e">
        <f>IF(AND('Mapa final'!#REF!="Muy Baja",'Mapa final'!#REF!="Leve"),CONCATENATE("R1C",'Mapa final'!#REF!),"")</f>
        <v>#REF!</v>
      </c>
      <c r="N46" s="59" t="e">
        <f>IF(AND('Mapa final'!#REF!="Muy Baja",'Mapa final'!#REF!="Leve"),CONCATENATE("R1C",'Mapa final'!#REF!),"")</f>
        <v>#REF!</v>
      </c>
      <c r="O46" s="60" t="e">
        <f>IF(AND('Mapa final'!#REF!="Muy Baja",'Mapa final'!#REF!="Leve"),CONCATENATE("R1C",'Mapa final'!#REF!),"")</f>
        <v>#REF!</v>
      </c>
      <c r="P46" s="58" t="str">
        <f ca="1">IF(AND('Mapa final'!$AA$10="Muy Baja",'Mapa final'!$AC$10="Menor"),CONCATENATE("R1C",'Mapa final'!$Q$10),"")</f>
        <v/>
      </c>
      <c r="Q46" s="59" t="str">
        <f ca="1">IF(AND('Mapa final'!$AA$11="Muy Baja",'Mapa final'!$AC$11="Menor"),CONCATENATE("R1C",'Mapa final'!$Q$11),"")</f>
        <v/>
      </c>
      <c r="R46" s="59" t="str">
        <f ca="1">IF(AND('Mapa final'!$AA$12="Muy Baja",'Mapa final'!$AC$12="Menor"),CONCATENATE("R1C",'Mapa final'!$Q$12),"")</f>
        <v/>
      </c>
      <c r="S46" s="59" t="e">
        <f>IF(AND('Mapa final'!#REF!="Muy Baja",'Mapa final'!#REF!="Menor"),CONCATENATE("R1C",'Mapa final'!#REF!),"")</f>
        <v>#REF!</v>
      </c>
      <c r="T46" s="59" t="e">
        <f>IF(AND('Mapa final'!#REF!="Muy Baja",'Mapa final'!#REF!="Menor"),CONCATENATE("R1C",'Mapa final'!#REF!),"")</f>
        <v>#REF!</v>
      </c>
      <c r="U46" s="60" t="e">
        <f>IF(AND('Mapa final'!#REF!="Muy Baja",'Mapa final'!#REF!="Menor"),CONCATENATE("R1C",'Mapa final'!#REF!),"")</f>
        <v>#REF!</v>
      </c>
      <c r="V46" s="49" t="str">
        <f ca="1">IF(AND('Mapa final'!$AA$10="Muy Baja",'Mapa final'!$AC$10="Moderado"),CONCATENATE("R1C",'Mapa final'!$Q$10),"")</f>
        <v/>
      </c>
      <c r="W46" s="67" t="str">
        <f ca="1">IF(AND('Mapa final'!$AA$11="Muy Baja",'Mapa final'!$AC$11="Moderado"),CONCATENATE("R1C",'Mapa final'!$Q$11),"")</f>
        <v/>
      </c>
      <c r="X46" s="50" t="str">
        <f ca="1">IF(AND('Mapa final'!$AA$12="Muy Baja",'Mapa final'!$AC$12="Moderado"),CONCATENATE("R1C",'Mapa final'!$Q$12),"")</f>
        <v/>
      </c>
      <c r="Y46" s="50" t="e">
        <f>IF(AND('Mapa final'!#REF!="Muy Baja",'Mapa final'!#REF!="Moderado"),CONCATENATE("R1C",'Mapa final'!#REF!),"")</f>
        <v>#REF!</v>
      </c>
      <c r="Z46" s="50" t="e">
        <f>IF(AND('Mapa final'!#REF!="Muy Baja",'Mapa final'!#REF!="Moderado"),CONCATENATE("R1C",'Mapa final'!#REF!),"")</f>
        <v>#REF!</v>
      </c>
      <c r="AA46" s="51" t="e">
        <f>IF(AND('Mapa final'!#REF!="Muy Baja",'Mapa final'!#REF!="Moderado"),CONCATENATE("R1C",'Mapa final'!#REF!),"")</f>
        <v>#REF!</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289"/>
      <c r="C47" s="289"/>
      <c r="D47" s="290"/>
      <c r="E47" s="388"/>
      <c r="F47" s="389"/>
      <c r="G47" s="389"/>
      <c r="H47" s="389"/>
      <c r="I47" s="406"/>
      <c r="J47" s="61" t="str">
        <f ca="1">IF(AND('Mapa final'!$AA$13="Muy Baja",'Mapa final'!$AC$13="Leve"),CONCATENATE("R2C",'Mapa final'!$Q$13),"")</f>
        <v/>
      </c>
      <c r="K47" s="62" t="str">
        <f ca="1">IF(AND('Mapa final'!$AA$14="Muy Baja",'Mapa final'!$AC$14="Leve"),CONCATENATE("R2C",'Mapa final'!$Q$14),"")</f>
        <v/>
      </c>
      <c r="L47" s="62" t="str">
        <f ca="1">IF(AND('Mapa final'!$AA$15="Muy Baja",'Mapa final'!$AC$15="Leve"),CONCATENATE("R2C",'Mapa final'!$Q$15),"")</f>
        <v/>
      </c>
      <c r="M47" s="62" t="e">
        <f>IF(AND('Mapa final'!#REF!="Muy Baja",'Mapa final'!#REF!="Leve"),CONCATENATE("R2C",'Mapa final'!#REF!),"")</f>
        <v>#REF!</v>
      </c>
      <c r="N47" s="62" t="str">
        <f>IF(AND('Mapa final'!$AA$16="Muy Baja",'Mapa final'!$AC$16="Leve"),CONCATENATE("R2C",'Mapa final'!$Q$16),"")</f>
        <v/>
      </c>
      <c r="O47" s="63" t="str">
        <f>IF(AND('Mapa final'!$AA$17="Muy Baja",'Mapa final'!$AC$17="Leve"),CONCATENATE("R2C",'Mapa final'!$Q$17),"")</f>
        <v/>
      </c>
      <c r="P47" s="61" t="str">
        <f ca="1">IF(AND('Mapa final'!$AA$13="Muy Baja",'Mapa final'!$AC$13="Menor"),CONCATENATE("R2C",'Mapa final'!$Q$13),"")</f>
        <v/>
      </c>
      <c r="Q47" s="62" t="str">
        <f ca="1">IF(AND('Mapa final'!$AA$14="Muy Baja",'Mapa final'!$AC$14="Menor"),CONCATENATE("R2C",'Mapa final'!$Q$14),"")</f>
        <v/>
      </c>
      <c r="R47" s="62" t="str">
        <f ca="1">IF(AND('Mapa final'!$AA$15="Muy Baja",'Mapa final'!$AC$15="Menor"),CONCATENATE("R2C",'Mapa final'!$Q$15),"")</f>
        <v/>
      </c>
      <c r="S47" s="62" t="e">
        <f>IF(AND('Mapa final'!#REF!="Muy Baja",'Mapa final'!#REF!="Menor"),CONCATENATE("R2C",'Mapa final'!#REF!),"")</f>
        <v>#REF!</v>
      </c>
      <c r="T47" s="62" t="str">
        <f>IF(AND('Mapa final'!$AA$16="Muy Baja",'Mapa final'!$AC$16="Menor"),CONCATENATE("R2C",'Mapa final'!$Q$16),"")</f>
        <v/>
      </c>
      <c r="U47" s="63" t="str">
        <f>IF(AND('Mapa final'!$AA$17="Muy Baja",'Mapa final'!$AC$17="Menor"),CONCATENATE("R2C",'Mapa final'!$Q$17),"")</f>
        <v/>
      </c>
      <c r="V47" s="52" t="str">
        <f ca="1">IF(AND('Mapa final'!$AA$13="Muy Baja",'Mapa final'!$AC$13="Moderado"),CONCATENATE("R2C",'Mapa final'!$Q$13),"")</f>
        <v/>
      </c>
      <c r="W47" s="53" t="str">
        <f ca="1">IF(AND('Mapa final'!$AA$14="Muy Baja",'Mapa final'!$AC$14="Moderado"),CONCATENATE("R2C",'Mapa final'!$Q$14),"")</f>
        <v/>
      </c>
      <c r="X47" s="53" t="str">
        <f ca="1">IF(AND('Mapa final'!$AA$15="Muy Baja",'Mapa final'!$AC$15="Moderado"),CONCATENATE("R2C",'Mapa final'!$Q$15),"")</f>
        <v/>
      </c>
      <c r="Y47" s="53" t="e">
        <f>IF(AND('Mapa final'!#REF!="Muy Baja",'Mapa final'!#REF!="Moderado"),CONCATENATE("R2C",'Mapa final'!#REF!),"")</f>
        <v>#REF!</v>
      </c>
      <c r="Z47" s="53" t="str">
        <f>IF(AND('Mapa final'!$AA$16="Muy Baja",'Mapa final'!$AC$16="Moderado"),CONCATENATE("R2C",'Mapa final'!$Q$16),"")</f>
        <v/>
      </c>
      <c r="AA47" s="54" t="str">
        <f>IF(AND('Mapa final'!$AA$17="Muy Baja",'Mapa final'!$AC$17="Moderado"),CONCATENATE("R2C",'Mapa final'!$Q$17),"")</f>
        <v/>
      </c>
      <c r="AB47" s="36" t="str">
        <f ca="1">IF(AND('Mapa final'!$AA$13="Muy Baja",'Mapa final'!$AC$13="Mayor"),CONCATENATE("R2C",'Mapa final'!$Q$13),"")</f>
        <v/>
      </c>
      <c r="AC47" s="37" t="str">
        <f ca="1">IF(AND('Mapa final'!$AA$14="Muy Baja",'Mapa final'!$AC$14="Mayor"),CONCATENATE("R2C",'Mapa final'!$Q$14),"")</f>
        <v/>
      </c>
      <c r="AD47" s="37" t="str">
        <f ca="1">IF(AND('Mapa final'!$AA$15="Muy Baja",'Mapa final'!$AC$15="Mayor"),CONCATENATE("R2C",'Mapa final'!$Q$15),"")</f>
        <v/>
      </c>
      <c r="AE47" s="37" t="e">
        <f>IF(AND('Mapa final'!#REF!="Muy Baja",'Mapa final'!#REF!="Mayor"),CONCATENATE("R2C",'Mapa final'!#REF!),"")</f>
        <v>#REF!</v>
      </c>
      <c r="AF47" s="37" t="str">
        <f>IF(AND('Mapa final'!$AA$16="Muy Baja",'Mapa final'!$AC$16="Mayor"),CONCATENATE("R2C",'Mapa final'!$Q$16),"")</f>
        <v/>
      </c>
      <c r="AG47" s="38" t="str">
        <f>IF(AND('Mapa final'!$AA$17="Muy Baja",'Mapa final'!$AC$17="Mayor"),CONCATENATE("R2C",'Mapa final'!$Q$17),"")</f>
        <v/>
      </c>
      <c r="AH47" s="39" t="str">
        <f ca="1">IF(AND('Mapa final'!$AA$13="Muy Baja",'Mapa final'!$AC$13="Catastrófico"),CONCATENATE("R2C",'Mapa final'!$Q$13),"")</f>
        <v/>
      </c>
      <c r="AI47" s="40" t="str">
        <f ca="1">IF(AND('Mapa final'!$AA$14="Muy Baja",'Mapa final'!$AC$14="Catastrófico"),CONCATENATE("R2C",'Mapa final'!$Q$14),"")</f>
        <v/>
      </c>
      <c r="AJ47" s="40" t="str">
        <f ca="1">IF(AND('Mapa final'!$AA$15="Muy Baja",'Mapa final'!$AC$15="Catastrófico"),CONCATENATE("R2C",'Mapa final'!$Q$15),"")</f>
        <v/>
      </c>
      <c r="AK47" s="40" t="e">
        <f>IF(AND('Mapa final'!#REF!="Muy Baja",'Mapa final'!#REF!="Catastrófico"),CONCATENATE("R2C",'Mapa final'!#REF!),"")</f>
        <v>#REF!</v>
      </c>
      <c r="AL47" s="40" t="str">
        <f>IF(AND('Mapa final'!$AA$16="Muy Baja",'Mapa final'!$AC$16="Catastrófico"),CONCATENATE("R2C",'Mapa final'!$Q$16),"")</f>
        <v/>
      </c>
      <c r="AM47" s="41" t="str">
        <f>IF(AND('Mapa final'!$AA$17="Muy Baja",'Mapa final'!$AC$17="Catastrófico"),CONCATENATE("R2C",'Mapa final'!$Q$17),"")</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289"/>
      <c r="C48" s="289"/>
      <c r="D48" s="290"/>
      <c r="E48" s="388"/>
      <c r="F48" s="389"/>
      <c r="G48" s="389"/>
      <c r="H48" s="389"/>
      <c r="I48" s="406"/>
      <c r="J48" s="61" t="str">
        <f>IF(AND('Mapa final'!$AA$18="Muy Baja",'Mapa final'!$AC$18="Leve"),CONCATENATE("R3C",'Mapa final'!$Q$18),"")</f>
        <v/>
      </c>
      <c r="K48" s="62" t="str">
        <f>IF(AND('Mapa final'!$AA$19="Muy Baja",'Mapa final'!$AC$19="Leve"),CONCATENATE("R3C",'Mapa final'!$Q$19),"")</f>
        <v/>
      </c>
      <c r="L48" s="62" t="str">
        <f>IF(AND('Mapa final'!$AA$20="Muy Baja",'Mapa final'!$AC$20="Leve"),CONCATENATE("R3C",'Mapa final'!$Q$20),"")</f>
        <v/>
      </c>
      <c r="M48" s="62" t="str">
        <f>IF(AND('Mapa final'!$AA$21="Muy Baja",'Mapa final'!$AC$21="Leve"),CONCATENATE("R3C",'Mapa final'!$Q$21),"")</f>
        <v/>
      </c>
      <c r="N48" s="62" t="str">
        <f>IF(AND('Mapa final'!$AA$22="Muy Baja",'Mapa final'!$AC$22="Leve"),CONCATENATE("R3C",'Mapa final'!$Q$22),"")</f>
        <v/>
      </c>
      <c r="O48" s="63" t="str">
        <f>IF(AND('Mapa final'!$AA$23="Muy Baja",'Mapa final'!$AC$23="Leve"),CONCATENATE("R3C",'Mapa final'!$Q$23),"")</f>
        <v/>
      </c>
      <c r="P48" s="61" t="str">
        <f>IF(AND('Mapa final'!$AA$18="Muy Baja",'Mapa final'!$AC$18="Menor"),CONCATENATE("R3C",'Mapa final'!$Q$18),"")</f>
        <v/>
      </c>
      <c r="Q48" s="62" t="str">
        <f>IF(AND('Mapa final'!$AA$19="Muy Baja",'Mapa final'!$AC$19="Menor"),CONCATENATE("R3C",'Mapa final'!$Q$19),"")</f>
        <v/>
      </c>
      <c r="R48" s="62" t="str">
        <f>IF(AND('Mapa final'!$AA$20="Muy Baja",'Mapa final'!$AC$20="Menor"),CONCATENATE("R3C",'Mapa final'!$Q$20),"")</f>
        <v/>
      </c>
      <c r="S48" s="62" t="str">
        <f>IF(AND('Mapa final'!$AA$21="Muy Baja",'Mapa final'!$AC$21="Menor"),CONCATENATE("R3C",'Mapa final'!$Q$21),"")</f>
        <v/>
      </c>
      <c r="T48" s="62" t="str">
        <f>IF(AND('Mapa final'!$AA$22="Muy Baja",'Mapa final'!$AC$22="Menor"),CONCATENATE("R3C",'Mapa final'!$Q$22),"")</f>
        <v/>
      </c>
      <c r="U48" s="63" t="str">
        <f>IF(AND('Mapa final'!$AA$23="Muy Baja",'Mapa final'!$AC$23="Menor"),CONCATENATE("R3C",'Mapa final'!$Q$23),"")</f>
        <v/>
      </c>
      <c r="V48" s="52" t="str">
        <f>IF(AND('Mapa final'!$AA$18="Muy Baja",'Mapa final'!$AC$18="Moderado"),CONCATENATE("R3C",'Mapa final'!$Q$18),"")</f>
        <v/>
      </c>
      <c r="W48" s="53" t="str">
        <f>IF(AND('Mapa final'!$AA$19="Muy Baja",'Mapa final'!$AC$19="Moderado"),CONCATENATE("R3C",'Mapa final'!$Q$19),"")</f>
        <v/>
      </c>
      <c r="X48" s="53" t="str">
        <f>IF(AND('Mapa final'!$AA$20="Muy Baja",'Mapa final'!$AC$20="Moderado"),CONCATENATE("R3C",'Mapa final'!$Q$20),"")</f>
        <v/>
      </c>
      <c r="Y48" s="53" t="str">
        <f>IF(AND('Mapa final'!$AA$21="Muy Baja",'Mapa final'!$AC$21="Moderado"),CONCATENATE("R3C",'Mapa final'!$Q$21),"")</f>
        <v/>
      </c>
      <c r="Z48" s="53" t="str">
        <f>IF(AND('Mapa final'!$AA$22="Muy Baja",'Mapa final'!$AC$22="Moderado"),CONCATENATE("R3C",'Mapa final'!$Q$22),"")</f>
        <v/>
      </c>
      <c r="AA48" s="54" t="str">
        <f>IF(AND('Mapa final'!$AA$23="Muy Baja",'Mapa final'!$AC$23="Moderado"),CONCATENATE("R3C",'Mapa final'!$Q$23),"")</f>
        <v/>
      </c>
      <c r="AB48" s="36" t="str">
        <f>IF(AND('Mapa final'!$AA$18="Muy Baja",'Mapa final'!$AC$18="Mayor"),CONCATENATE("R3C",'Mapa final'!$Q$18),"")</f>
        <v/>
      </c>
      <c r="AC48" s="37" t="str">
        <f>IF(AND('Mapa final'!$AA$19="Muy Baja",'Mapa final'!$AC$19="Mayor"),CONCATENATE("R3C",'Mapa final'!$Q$19),"")</f>
        <v/>
      </c>
      <c r="AD48" s="37" t="str">
        <f>IF(AND('Mapa final'!$AA$20="Muy Baja",'Mapa final'!$AC$20="Mayor"),CONCATENATE("R3C",'Mapa final'!$Q$20),"")</f>
        <v/>
      </c>
      <c r="AE48" s="37" t="str">
        <f>IF(AND('Mapa final'!$AA$21="Muy Baja",'Mapa final'!$AC$21="Mayor"),CONCATENATE("R3C",'Mapa final'!$Q$21),"")</f>
        <v/>
      </c>
      <c r="AF48" s="37" t="str">
        <f>IF(AND('Mapa final'!$AA$22="Muy Baja",'Mapa final'!$AC$22="Mayor"),CONCATENATE("R3C",'Mapa final'!$Q$22),"")</f>
        <v/>
      </c>
      <c r="AG48" s="38" t="str">
        <f>IF(AND('Mapa final'!$AA$23="Muy Baja",'Mapa final'!$AC$23="Mayor"),CONCATENATE("R3C",'Mapa final'!$Q$23),"")</f>
        <v/>
      </c>
      <c r="AH48" s="39" t="str">
        <f>IF(AND('Mapa final'!$AA$18="Muy Baja",'Mapa final'!$AC$18="Catastrófico"),CONCATENATE("R3C",'Mapa final'!$Q$18),"")</f>
        <v/>
      </c>
      <c r="AI48" s="40" t="str">
        <f>IF(AND('Mapa final'!$AA$19="Muy Baja",'Mapa final'!$AC$19="Catastrófico"),CONCATENATE("R3C",'Mapa final'!$Q$19),"")</f>
        <v/>
      </c>
      <c r="AJ48" s="40" t="str">
        <f>IF(AND('Mapa final'!$AA$20="Muy Baja",'Mapa final'!$AC$20="Catastrófico"),CONCATENATE("R3C",'Mapa final'!$Q$20),"")</f>
        <v/>
      </c>
      <c r="AK48" s="40" t="str">
        <f>IF(AND('Mapa final'!$AA$21="Muy Baja",'Mapa final'!$AC$21="Catastrófico"),CONCATENATE("R3C",'Mapa final'!$Q$21),"")</f>
        <v/>
      </c>
      <c r="AL48" s="40" t="str">
        <f>IF(AND('Mapa final'!$AA$22="Muy Baja",'Mapa final'!$AC$22="Catastrófico"),CONCATENATE("R3C",'Mapa final'!$Q$22),"")</f>
        <v/>
      </c>
      <c r="AM48" s="41" t="str">
        <f>IF(AND('Mapa final'!$AA$23="Muy Baja",'Mapa final'!$AC$23="Catastrófico"),CONCATENATE("R3C",'Mapa final'!$Q$23),"")</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289"/>
      <c r="C49" s="289"/>
      <c r="D49" s="290"/>
      <c r="E49" s="390"/>
      <c r="F49" s="391"/>
      <c r="G49" s="391"/>
      <c r="H49" s="391"/>
      <c r="I49" s="406"/>
      <c r="J49" s="61" t="str">
        <f>IF(AND('Mapa final'!$AA$24="Muy Baja",'Mapa final'!$AC$24="Leve"),CONCATENATE("R4C",'Mapa final'!$Q$24),"")</f>
        <v/>
      </c>
      <c r="K49" s="62" t="str">
        <f>IF(AND('Mapa final'!$AA$25="Muy Baja",'Mapa final'!$AC$25="Leve"),CONCATENATE("R4C",'Mapa final'!$Q$25),"")</f>
        <v/>
      </c>
      <c r="L49" s="62" t="str">
        <f>IF(AND('Mapa final'!$AA$26="Muy Baja",'Mapa final'!$AC$26="Leve"),CONCATENATE("R4C",'Mapa final'!$Q$26),"")</f>
        <v/>
      </c>
      <c r="M49" s="62" t="str">
        <f>IF(AND('Mapa final'!$AA$27="Muy Baja",'Mapa final'!$AC$27="Leve"),CONCATENATE("R4C",'Mapa final'!$Q$27),"")</f>
        <v/>
      </c>
      <c r="N49" s="62" t="str">
        <f>IF(AND('Mapa final'!$AA$28="Muy Baja",'Mapa final'!$AC$28="Leve"),CONCATENATE("R4C",'Mapa final'!$Q$28),"")</f>
        <v/>
      </c>
      <c r="O49" s="63" t="str">
        <f>IF(AND('Mapa final'!$AA$29="Muy Baja",'Mapa final'!$AC$29="Leve"),CONCATENATE("R4C",'Mapa final'!$Q$29),"")</f>
        <v/>
      </c>
      <c r="P49" s="61" t="str">
        <f>IF(AND('Mapa final'!$AA$24="Muy Baja",'Mapa final'!$AC$24="Menor"),CONCATENATE("R4C",'Mapa final'!$Q$24),"")</f>
        <v/>
      </c>
      <c r="Q49" s="62" t="str">
        <f>IF(AND('Mapa final'!$AA$25="Muy Baja",'Mapa final'!$AC$25="Menor"),CONCATENATE("R4C",'Mapa final'!$Q$25),"")</f>
        <v/>
      </c>
      <c r="R49" s="62" t="str">
        <f>IF(AND('Mapa final'!$AA$26="Muy Baja",'Mapa final'!$AC$26="Menor"),CONCATENATE("R4C",'Mapa final'!$Q$26),"")</f>
        <v/>
      </c>
      <c r="S49" s="62" t="str">
        <f>IF(AND('Mapa final'!$AA$27="Muy Baja",'Mapa final'!$AC$27="Menor"),CONCATENATE("R4C",'Mapa final'!$Q$27),"")</f>
        <v/>
      </c>
      <c r="T49" s="62" t="str">
        <f>IF(AND('Mapa final'!$AA$28="Muy Baja",'Mapa final'!$AC$28="Menor"),CONCATENATE("R4C",'Mapa final'!$Q$28),"")</f>
        <v/>
      </c>
      <c r="U49" s="63" t="str">
        <f>IF(AND('Mapa final'!$AA$29="Muy Baja",'Mapa final'!$AC$29="Menor"),CONCATENATE("R4C",'Mapa final'!$Q$29),"")</f>
        <v/>
      </c>
      <c r="V49" s="52" t="str">
        <f>IF(AND('Mapa final'!$AA$24="Muy Baja",'Mapa final'!$AC$24="Moderado"),CONCATENATE("R4C",'Mapa final'!$Q$24),"")</f>
        <v/>
      </c>
      <c r="W49" s="53" t="str">
        <f>IF(AND('Mapa final'!$AA$25="Muy Baja",'Mapa final'!$AC$25="Moderado"),CONCATENATE("R4C",'Mapa final'!$Q$25),"")</f>
        <v/>
      </c>
      <c r="X49" s="53" t="str">
        <f>IF(AND('Mapa final'!$AA$26="Muy Baja",'Mapa final'!$AC$26="Moderado"),CONCATENATE("R4C",'Mapa final'!$Q$26),"")</f>
        <v/>
      </c>
      <c r="Y49" s="53" t="str">
        <f>IF(AND('Mapa final'!$AA$27="Muy Baja",'Mapa final'!$AC$27="Moderado"),CONCATENATE("R4C",'Mapa final'!$Q$27),"")</f>
        <v/>
      </c>
      <c r="Z49" s="53" t="str">
        <f>IF(AND('Mapa final'!$AA$28="Muy Baja",'Mapa final'!$AC$28="Moderado"),CONCATENATE("R4C",'Mapa final'!$Q$28),"")</f>
        <v/>
      </c>
      <c r="AA49" s="54" t="str">
        <f>IF(AND('Mapa final'!$AA$29="Muy Baja",'Mapa final'!$AC$29="Moderado"),CONCATENATE("R4C",'Mapa final'!$Q$29),"")</f>
        <v/>
      </c>
      <c r="AB49" s="36" t="str">
        <f>IF(AND('Mapa final'!$AA$24="Muy Baja",'Mapa final'!$AC$24="Mayor"),CONCATENATE("R4C",'Mapa final'!$Q$24),"")</f>
        <v/>
      </c>
      <c r="AC49" s="37" t="str">
        <f>IF(AND('Mapa final'!$AA$25="Muy Baja",'Mapa final'!$AC$25="Mayor"),CONCATENATE("R4C",'Mapa final'!$Q$25),"")</f>
        <v/>
      </c>
      <c r="AD49" s="37" t="str">
        <f>IF(AND('Mapa final'!$AA$26="Muy Baja",'Mapa final'!$AC$26="Mayor"),CONCATENATE("R4C",'Mapa final'!$Q$26),"")</f>
        <v/>
      </c>
      <c r="AE49" s="37" t="str">
        <f>IF(AND('Mapa final'!$AA$27="Muy Baja",'Mapa final'!$AC$27="Mayor"),CONCATENATE("R4C",'Mapa final'!$Q$27),"")</f>
        <v/>
      </c>
      <c r="AF49" s="37" t="str">
        <f>IF(AND('Mapa final'!$AA$28="Muy Baja",'Mapa final'!$AC$28="Mayor"),CONCATENATE("R4C",'Mapa final'!$Q$28),"")</f>
        <v/>
      </c>
      <c r="AG49" s="38" t="str">
        <f>IF(AND('Mapa final'!$AA$29="Muy Baja",'Mapa final'!$AC$29="Mayor"),CONCATENATE("R4C",'Mapa final'!$Q$29),"")</f>
        <v/>
      </c>
      <c r="AH49" s="39" t="str">
        <f>IF(AND('Mapa final'!$AA$24="Muy Baja",'Mapa final'!$AC$24="Catastrófico"),CONCATENATE("R4C",'Mapa final'!$Q$24),"")</f>
        <v/>
      </c>
      <c r="AI49" s="40" t="str">
        <f>IF(AND('Mapa final'!$AA$25="Muy Baja",'Mapa final'!$AC$25="Catastrófico"),CONCATENATE("R4C",'Mapa final'!$Q$25),"")</f>
        <v/>
      </c>
      <c r="AJ49" s="40" t="str">
        <f>IF(AND('Mapa final'!$AA$26="Muy Baja",'Mapa final'!$AC$26="Catastrófico"),CONCATENATE("R4C",'Mapa final'!$Q$26),"")</f>
        <v/>
      </c>
      <c r="AK49" s="40" t="str">
        <f>IF(AND('Mapa final'!$AA$27="Muy Baja",'Mapa final'!$AC$27="Catastrófico"),CONCATENATE("R4C",'Mapa final'!$Q$27),"")</f>
        <v/>
      </c>
      <c r="AL49" s="40" t="str">
        <f>IF(AND('Mapa final'!$AA$28="Muy Baja",'Mapa final'!$AC$28="Catastrófico"),CONCATENATE("R4C",'Mapa final'!$Q$28),"")</f>
        <v/>
      </c>
      <c r="AM49" s="41" t="str">
        <f>IF(AND('Mapa final'!$AA$29="Muy Baja",'Mapa final'!$AC$29="Catastrófico"),CONCATENATE("R4C",'Mapa final'!$Q$29),"")</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289"/>
      <c r="C50" s="289"/>
      <c r="D50" s="290"/>
      <c r="E50" s="390"/>
      <c r="F50" s="391"/>
      <c r="G50" s="391"/>
      <c r="H50" s="391"/>
      <c r="I50" s="406"/>
      <c r="J50" s="61" t="str">
        <f>IF(AND('Mapa final'!$AA$30="Muy Baja",'Mapa final'!$AC$30="Leve"),CONCATENATE("R5C",'Mapa final'!$Q$30),"")</f>
        <v/>
      </c>
      <c r="K50" s="62" t="str">
        <f>IF(AND('Mapa final'!$AA$31="Muy Baja",'Mapa final'!$AC$31="Leve"),CONCATENATE("R5C",'Mapa final'!$Q$31),"")</f>
        <v/>
      </c>
      <c r="L50" s="62" t="str">
        <f>IF(AND('Mapa final'!$AA$32="Muy Baja",'Mapa final'!$AC$32="Leve"),CONCATENATE("R5C",'Mapa final'!$Q$32),"")</f>
        <v/>
      </c>
      <c r="M50" s="62" t="str">
        <f>IF(AND('Mapa final'!$AA$33="Muy Baja",'Mapa final'!$AC$33="Leve"),CONCATENATE("R5C",'Mapa final'!$Q$33),"")</f>
        <v/>
      </c>
      <c r="N50" s="62" t="str">
        <f>IF(AND('Mapa final'!$AA$34="Muy Baja",'Mapa final'!$AC$34="Leve"),CONCATENATE("R5C",'Mapa final'!$Q$34),"")</f>
        <v/>
      </c>
      <c r="O50" s="63" t="str">
        <f>IF(AND('Mapa final'!$AA$35="Muy Baja",'Mapa final'!$AC$35="Leve"),CONCATENATE("R5C",'Mapa final'!$Q$35),"")</f>
        <v/>
      </c>
      <c r="P50" s="61" t="str">
        <f>IF(AND('Mapa final'!$AA$30="Muy Baja",'Mapa final'!$AC$30="Menor"),CONCATENATE("R5C",'Mapa final'!$Q$30),"")</f>
        <v/>
      </c>
      <c r="Q50" s="62" t="str">
        <f>IF(AND('Mapa final'!$AA$31="Muy Baja",'Mapa final'!$AC$31="Menor"),CONCATENATE("R5C",'Mapa final'!$Q$31),"")</f>
        <v/>
      </c>
      <c r="R50" s="62" t="str">
        <f>IF(AND('Mapa final'!$AA$32="Muy Baja",'Mapa final'!$AC$32="Menor"),CONCATENATE("R5C",'Mapa final'!$Q$32),"")</f>
        <v/>
      </c>
      <c r="S50" s="62" t="str">
        <f>IF(AND('Mapa final'!$AA$33="Muy Baja",'Mapa final'!$AC$33="Menor"),CONCATENATE("R5C",'Mapa final'!$Q$33),"")</f>
        <v/>
      </c>
      <c r="T50" s="62" t="str">
        <f>IF(AND('Mapa final'!$AA$34="Muy Baja",'Mapa final'!$AC$34="Menor"),CONCATENATE("R5C",'Mapa final'!$Q$34),"")</f>
        <v/>
      </c>
      <c r="U50" s="63" t="str">
        <f>IF(AND('Mapa final'!$AA$35="Muy Baja",'Mapa final'!$AC$35="Menor"),CONCATENATE("R5C",'Mapa final'!$Q$35),"")</f>
        <v/>
      </c>
      <c r="V50" s="52" t="str">
        <f>IF(AND('Mapa final'!$AA$30="Muy Baja",'Mapa final'!$AC$30="Moderado"),CONCATENATE("R5C",'Mapa final'!$Q$30),"")</f>
        <v/>
      </c>
      <c r="W50" s="53" t="str">
        <f>IF(AND('Mapa final'!$AA$31="Muy Baja",'Mapa final'!$AC$31="Moderado"),CONCATENATE("R5C",'Mapa final'!$Q$31),"")</f>
        <v/>
      </c>
      <c r="X50" s="53" t="str">
        <f>IF(AND('Mapa final'!$AA$32="Muy Baja",'Mapa final'!$AC$32="Moderado"),CONCATENATE("R5C",'Mapa final'!$Q$32),"")</f>
        <v/>
      </c>
      <c r="Y50" s="53" t="str">
        <f>IF(AND('Mapa final'!$AA$33="Muy Baja",'Mapa final'!$AC$33="Moderado"),CONCATENATE("R5C",'Mapa final'!$Q$33),"")</f>
        <v/>
      </c>
      <c r="Z50" s="53" t="str">
        <f>IF(AND('Mapa final'!$AA$34="Muy Baja",'Mapa final'!$AC$34="Moderado"),CONCATENATE("R5C",'Mapa final'!$Q$34),"")</f>
        <v/>
      </c>
      <c r="AA50" s="54" t="str">
        <f>IF(AND('Mapa final'!$AA$35="Muy Baja",'Mapa final'!$AC$35="Moderado"),CONCATENATE("R5C",'Mapa final'!$Q$35),"")</f>
        <v/>
      </c>
      <c r="AB50" s="36" t="str">
        <f>IF(AND('Mapa final'!$AA$30="Muy Baja",'Mapa final'!$AC$30="Mayor"),CONCATENATE("R5C",'Mapa final'!$Q$30),"")</f>
        <v/>
      </c>
      <c r="AC50" s="37" t="str">
        <f>IF(AND('Mapa final'!$AA$31="Muy Baja",'Mapa final'!$AC$31="Mayor"),CONCATENATE("R5C",'Mapa final'!$Q$31),"")</f>
        <v/>
      </c>
      <c r="AD50" s="42" t="str">
        <f>IF(AND('Mapa final'!$AA$32="Muy Baja",'Mapa final'!$AC$32="Mayor"),CONCATENATE("R5C",'Mapa final'!$Q$32),"")</f>
        <v/>
      </c>
      <c r="AE50" s="42" t="str">
        <f>IF(AND('Mapa final'!$AA$33="Muy Baja",'Mapa final'!$AC$33="Mayor"),CONCATENATE("R5C",'Mapa final'!$Q$33),"")</f>
        <v/>
      </c>
      <c r="AF50" s="42" t="str">
        <f>IF(AND('Mapa final'!$AA$34="Muy Baja",'Mapa final'!$AC$34="Mayor"),CONCATENATE("R5C",'Mapa final'!$Q$34),"")</f>
        <v/>
      </c>
      <c r="AG50" s="38" t="str">
        <f>IF(AND('Mapa final'!$AA$35="Muy Baja",'Mapa final'!$AC$35="Mayor"),CONCATENATE("R5C",'Mapa final'!$Q$35),"")</f>
        <v/>
      </c>
      <c r="AH50" s="39" t="str">
        <f>IF(AND('Mapa final'!$AA$30="Muy Baja",'Mapa final'!$AC$30="Catastrófico"),CONCATENATE("R5C",'Mapa final'!$Q$30),"")</f>
        <v/>
      </c>
      <c r="AI50" s="40" t="str">
        <f>IF(AND('Mapa final'!$AA$31="Muy Baja",'Mapa final'!$AC$31="Catastrófico"),CONCATENATE("R5C",'Mapa final'!$Q$31),"")</f>
        <v/>
      </c>
      <c r="AJ50" s="40" t="str">
        <f>IF(AND('Mapa final'!$AA$32="Muy Baja",'Mapa final'!$AC$32="Catastrófico"),CONCATENATE("R5C",'Mapa final'!$Q$32),"")</f>
        <v/>
      </c>
      <c r="AK50" s="40" t="str">
        <f>IF(AND('Mapa final'!$AA$33="Muy Baja",'Mapa final'!$AC$33="Catastrófico"),CONCATENATE("R5C",'Mapa final'!$Q$33),"")</f>
        <v/>
      </c>
      <c r="AL50" s="40" t="str">
        <f>IF(AND('Mapa final'!$AA$34="Muy Baja",'Mapa final'!$AC$34="Catastrófico"),CONCATENATE("R5C",'Mapa final'!$Q$34),"")</f>
        <v/>
      </c>
      <c r="AM50" s="41" t="str">
        <f>IF(AND('Mapa final'!$AA$35="Muy Baja",'Mapa final'!$AC$35="Catastrófico"),CONCATENATE("R5C",'Mapa final'!$Q$35),"")</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289"/>
      <c r="C51" s="289"/>
      <c r="D51" s="290"/>
      <c r="E51" s="390"/>
      <c r="F51" s="391"/>
      <c r="G51" s="391"/>
      <c r="H51" s="391"/>
      <c r="I51" s="406"/>
      <c r="J51" s="61" t="str">
        <f>IF(AND('Mapa final'!$AA$36="Muy Baja",'Mapa final'!$AC$36="Leve"),CONCATENATE("R6C",'Mapa final'!$Q$36),"")</f>
        <v/>
      </c>
      <c r="K51" s="62" t="str">
        <f>IF(AND('Mapa final'!$AA$37="Muy Baja",'Mapa final'!$AC$37="Leve"),CONCATENATE("R6C",'Mapa final'!$Q$37),"")</f>
        <v/>
      </c>
      <c r="L51" s="62" t="str">
        <f>IF(AND('Mapa final'!$AA$38="Muy Baja",'Mapa final'!$AC$38="Leve"),CONCATENATE("R6C",'Mapa final'!$Q$38),"")</f>
        <v/>
      </c>
      <c r="M51" s="62" t="str">
        <f>IF(AND('Mapa final'!$AA$39="Muy Baja",'Mapa final'!$AC$39="Leve"),CONCATENATE("R6C",'Mapa final'!$Q$39),"")</f>
        <v/>
      </c>
      <c r="N51" s="62" t="str">
        <f>IF(AND('Mapa final'!$AA$40="Muy Baja",'Mapa final'!$AC$40="Leve"),CONCATENATE("R6C",'Mapa final'!$Q$40),"")</f>
        <v/>
      </c>
      <c r="O51" s="63" t="str">
        <f>IF(AND('Mapa final'!$AA$41="Muy Baja",'Mapa final'!$AC$41="Leve"),CONCATENATE("R6C",'Mapa final'!$Q$41),"")</f>
        <v/>
      </c>
      <c r="P51" s="61" t="str">
        <f>IF(AND('Mapa final'!$AA$36="Muy Baja",'Mapa final'!$AC$36="Menor"),CONCATENATE("R6C",'Mapa final'!$Q$36),"")</f>
        <v/>
      </c>
      <c r="Q51" s="62" t="str">
        <f>IF(AND('Mapa final'!$AA$37="Muy Baja",'Mapa final'!$AC$37="Menor"),CONCATENATE("R6C",'Mapa final'!$Q$37),"")</f>
        <v/>
      </c>
      <c r="R51" s="62" t="str">
        <f>IF(AND('Mapa final'!$AA$38="Muy Baja",'Mapa final'!$AC$38="Menor"),CONCATENATE("R6C",'Mapa final'!$Q$38),"")</f>
        <v/>
      </c>
      <c r="S51" s="62" t="str">
        <f>IF(AND('Mapa final'!$AA$39="Muy Baja",'Mapa final'!$AC$39="Menor"),CONCATENATE("R6C",'Mapa final'!$Q$39),"")</f>
        <v/>
      </c>
      <c r="T51" s="62" t="str">
        <f>IF(AND('Mapa final'!$AA$40="Muy Baja",'Mapa final'!$AC$40="Menor"),CONCATENATE("R6C",'Mapa final'!$Q$40),"")</f>
        <v/>
      </c>
      <c r="U51" s="63" t="str">
        <f>IF(AND('Mapa final'!$AA$41="Muy Baja",'Mapa final'!$AC$41="Menor"),CONCATENATE("R6C",'Mapa final'!$Q$41),"")</f>
        <v/>
      </c>
      <c r="V51" s="52" t="str">
        <f>IF(AND('Mapa final'!$AA$36="Muy Baja",'Mapa final'!$AC$36="Moderado"),CONCATENATE("R6C",'Mapa final'!$Q$36),"")</f>
        <v/>
      </c>
      <c r="W51" s="53" t="str">
        <f>IF(AND('Mapa final'!$AA$37="Muy Baja",'Mapa final'!$AC$37="Moderado"),CONCATENATE("R6C",'Mapa final'!$Q$37),"")</f>
        <v/>
      </c>
      <c r="X51" s="53" t="str">
        <f>IF(AND('Mapa final'!$AA$38="Muy Baja",'Mapa final'!$AC$38="Moderado"),CONCATENATE("R6C",'Mapa final'!$Q$38),"")</f>
        <v/>
      </c>
      <c r="Y51" s="53" t="str">
        <f>IF(AND('Mapa final'!$AA$39="Muy Baja",'Mapa final'!$AC$39="Moderado"),CONCATENATE("R6C",'Mapa final'!$Q$39),"")</f>
        <v/>
      </c>
      <c r="Z51" s="53" t="str">
        <f>IF(AND('Mapa final'!$AA$40="Muy Baja",'Mapa final'!$AC$40="Moderado"),CONCATENATE("R6C",'Mapa final'!$Q$40),"")</f>
        <v/>
      </c>
      <c r="AA51" s="54" t="str">
        <f>IF(AND('Mapa final'!$AA$41="Muy Baja",'Mapa final'!$AC$41="Moderado"),CONCATENATE("R6C",'Mapa final'!$Q$41),"")</f>
        <v/>
      </c>
      <c r="AB51" s="36" t="str">
        <f>IF(AND('Mapa final'!$AA$36="Muy Baja",'Mapa final'!$AC$36="Mayor"),CONCATENATE("R6C",'Mapa final'!$Q$36),"")</f>
        <v/>
      </c>
      <c r="AC51" s="37" t="str">
        <f>IF(AND('Mapa final'!$AA$37="Muy Baja",'Mapa final'!$AC$37="Mayor"),CONCATENATE("R6C",'Mapa final'!$Q$37),"")</f>
        <v/>
      </c>
      <c r="AD51" s="42" t="str">
        <f>IF(AND('Mapa final'!$AA$38="Muy Baja",'Mapa final'!$AC$38="Mayor"),CONCATENATE("R6C",'Mapa final'!$Q$38),"")</f>
        <v/>
      </c>
      <c r="AE51" s="42" t="str">
        <f>IF(AND('Mapa final'!$AA$39="Muy Baja",'Mapa final'!$AC$39="Mayor"),CONCATENATE("R6C",'Mapa final'!$Q$39),"")</f>
        <v/>
      </c>
      <c r="AF51" s="42" t="str">
        <f>IF(AND('Mapa final'!$AA$40="Muy Baja",'Mapa final'!$AC$40="Mayor"),CONCATENATE("R6C",'Mapa final'!$Q$40),"")</f>
        <v/>
      </c>
      <c r="AG51" s="38" t="str">
        <f>IF(AND('Mapa final'!$AA$41="Muy Baja",'Mapa final'!$AC$41="Mayor"),CONCATENATE("R6C",'Mapa final'!$Q$41),"")</f>
        <v/>
      </c>
      <c r="AH51" s="39" t="str">
        <f>IF(AND('Mapa final'!$AA$36="Muy Baja",'Mapa final'!$AC$36="Catastrófico"),CONCATENATE("R6C",'Mapa final'!$Q$36),"")</f>
        <v/>
      </c>
      <c r="AI51" s="40" t="str">
        <f>IF(AND('Mapa final'!$AA$37="Muy Baja",'Mapa final'!$AC$37="Catastrófico"),CONCATENATE("R6C",'Mapa final'!$Q$37),"")</f>
        <v/>
      </c>
      <c r="AJ51" s="40" t="str">
        <f>IF(AND('Mapa final'!$AA$38="Muy Baja",'Mapa final'!$AC$38="Catastrófico"),CONCATENATE("R6C",'Mapa final'!$Q$38),"")</f>
        <v/>
      </c>
      <c r="AK51" s="40" t="str">
        <f>IF(AND('Mapa final'!$AA$39="Muy Baja",'Mapa final'!$AC$39="Catastrófico"),CONCATENATE("R6C",'Mapa final'!$Q$39),"")</f>
        <v/>
      </c>
      <c r="AL51" s="40" t="str">
        <f>IF(AND('Mapa final'!$AA$40="Muy Baja",'Mapa final'!$AC$40="Catastrófico"),CONCATENATE("R6C",'Mapa final'!$Q$40),"")</f>
        <v/>
      </c>
      <c r="AM51" s="41" t="str">
        <f>IF(AND('Mapa final'!$AA$41="Muy Baja",'Mapa final'!$AC$41="Catastrófico"),CONCATENATE("R6C",'Mapa final'!$Q$41),"")</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289"/>
      <c r="C52" s="289"/>
      <c r="D52" s="290"/>
      <c r="E52" s="390"/>
      <c r="F52" s="391"/>
      <c r="G52" s="391"/>
      <c r="H52" s="391"/>
      <c r="I52" s="406"/>
      <c r="J52" s="61" t="str">
        <f>IF(AND('Mapa final'!$AA$42="Muy Baja",'Mapa final'!$AC$42="Leve"),CONCATENATE("R7C",'Mapa final'!$Q$42),"")</f>
        <v/>
      </c>
      <c r="K52" s="62" t="str">
        <f>IF(AND('Mapa final'!$AA$43="Muy Baja",'Mapa final'!$AC$43="Leve"),CONCATENATE("R7C",'Mapa final'!$Q$43),"")</f>
        <v/>
      </c>
      <c r="L52" s="62" t="str">
        <f>IF(AND('Mapa final'!$AA$44="Muy Baja",'Mapa final'!$AC$44="Leve"),CONCATENATE("R7C",'Mapa final'!$Q$44),"")</f>
        <v/>
      </c>
      <c r="M52" s="62" t="str">
        <f>IF(AND('Mapa final'!$AA$45="Muy Baja",'Mapa final'!$AC$45="Leve"),CONCATENATE("R7C",'Mapa final'!$Q$45),"")</f>
        <v/>
      </c>
      <c r="N52" s="62" t="str">
        <f>IF(AND('Mapa final'!$AA$46="Muy Baja",'Mapa final'!$AC$46="Leve"),CONCATENATE("R7C",'Mapa final'!$Q$46),"")</f>
        <v/>
      </c>
      <c r="O52" s="63" t="str">
        <f>IF(AND('Mapa final'!$AA$47="Muy Baja",'Mapa final'!$AC$47="Leve"),CONCATENATE("R7C",'Mapa final'!$Q$47),"")</f>
        <v/>
      </c>
      <c r="P52" s="61" t="str">
        <f>IF(AND('Mapa final'!$AA$42="Muy Baja",'Mapa final'!$AC$42="Menor"),CONCATENATE("R7C",'Mapa final'!$Q$42),"")</f>
        <v/>
      </c>
      <c r="Q52" s="62" t="str">
        <f>IF(AND('Mapa final'!$AA$43="Muy Baja",'Mapa final'!$AC$43="Menor"),CONCATENATE("R7C",'Mapa final'!$Q$43),"")</f>
        <v/>
      </c>
      <c r="R52" s="62" t="str">
        <f>IF(AND('Mapa final'!$AA$44="Muy Baja",'Mapa final'!$AC$44="Menor"),CONCATENATE("R7C",'Mapa final'!$Q$44),"")</f>
        <v/>
      </c>
      <c r="S52" s="62" t="str">
        <f>IF(AND('Mapa final'!$AA$45="Muy Baja",'Mapa final'!$AC$45="Menor"),CONCATENATE("R7C",'Mapa final'!$Q$45),"")</f>
        <v/>
      </c>
      <c r="T52" s="62" t="str">
        <f>IF(AND('Mapa final'!$AA$46="Muy Baja",'Mapa final'!$AC$46="Menor"),CONCATENATE("R7C",'Mapa final'!$Q$46),"")</f>
        <v/>
      </c>
      <c r="U52" s="63" t="str">
        <f>IF(AND('Mapa final'!$AA$47="Muy Baja",'Mapa final'!$AC$47="Menor"),CONCATENATE("R7C",'Mapa final'!$Q$47),"")</f>
        <v/>
      </c>
      <c r="V52" s="52" t="str">
        <f>IF(AND('Mapa final'!$AA$42="Muy Baja",'Mapa final'!$AC$42="Moderado"),CONCATENATE("R7C",'Mapa final'!$Q$42),"")</f>
        <v/>
      </c>
      <c r="W52" s="53" t="str">
        <f>IF(AND('Mapa final'!$AA$43="Muy Baja",'Mapa final'!$AC$43="Moderado"),CONCATENATE("R7C",'Mapa final'!$Q$43),"")</f>
        <v/>
      </c>
      <c r="X52" s="53" t="str">
        <f>IF(AND('Mapa final'!$AA$44="Muy Baja",'Mapa final'!$AC$44="Moderado"),CONCATENATE("R7C",'Mapa final'!$Q$44),"")</f>
        <v/>
      </c>
      <c r="Y52" s="53" t="str">
        <f>IF(AND('Mapa final'!$AA$45="Muy Baja",'Mapa final'!$AC$45="Moderado"),CONCATENATE("R7C",'Mapa final'!$Q$45),"")</f>
        <v/>
      </c>
      <c r="Z52" s="53" t="str">
        <f>IF(AND('Mapa final'!$AA$46="Muy Baja",'Mapa final'!$AC$46="Moderado"),CONCATENATE("R7C",'Mapa final'!$Q$46),"")</f>
        <v/>
      </c>
      <c r="AA52" s="54" t="str">
        <f>IF(AND('Mapa final'!$AA$47="Muy Baja",'Mapa final'!$AC$47="Moderado"),CONCATENATE("R7C",'Mapa final'!$Q$47),"")</f>
        <v/>
      </c>
      <c r="AB52" s="36" t="str">
        <f>IF(AND('Mapa final'!$AA$42="Muy Baja",'Mapa final'!$AC$42="Mayor"),CONCATENATE("R7C",'Mapa final'!$Q$42),"")</f>
        <v/>
      </c>
      <c r="AC52" s="37" t="str">
        <f>IF(AND('Mapa final'!$AA$43="Muy Baja",'Mapa final'!$AC$43="Mayor"),CONCATENATE("R7C",'Mapa final'!$Q$43),"")</f>
        <v/>
      </c>
      <c r="AD52" s="42" t="str">
        <f>IF(AND('Mapa final'!$AA$44="Muy Baja",'Mapa final'!$AC$44="Mayor"),CONCATENATE("R7C",'Mapa final'!$Q$44),"")</f>
        <v/>
      </c>
      <c r="AE52" s="42" t="str">
        <f>IF(AND('Mapa final'!$AA$45="Muy Baja",'Mapa final'!$AC$45="Mayor"),CONCATENATE("R7C",'Mapa final'!$Q$45),"")</f>
        <v/>
      </c>
      <c r="AF52" s="42" t="str">
        <f>IF(AND('Mapa final'!$AA$46="Muy Baja",'Mapa final'!$AC$46="Mayor"),CONCATENATE("R7C",'Mapa final'!$Q$46),"")</f>
        <v/>
      </c>
      <c r="AG52" s="38" t="str">
        <f>IF(AND('Mapa final'!$AA$47="Muy Baja",'Mapa final'!$AC$47="Mayor"),CONCATENATE("R7C",'Mapa final'!$Q$47),"")</f>
        <v/>
      </c>
      <c r="AH52" s="39" t="str">
        <f>IF(AND('Mapa final'!$AA$42="Muy Baja",'Mapa final'!$AC$42="Catastrófico"),CONCATENATE("R7C",'Mapa final'!$Q$42),"")</f>
        <v/>
      </c>
      <c r="AI52" s="40" t="str">
        <f>IF(AND('Mapa final'!$AA$43="Muy Baja",'Mapa final'!$AC$43="Catastrófico"),CONCATENATE("R7C",'Mapa final'!$Q$43),"")</f>
        <v/>
      </c>
      <c r="AJ52" s="40" t="str">
        <f>IF(AND('Mapa final'!$AA$44="Muy Baja",'Mapa final'!$AC$44="Catastrófico"),CONCATENATE("R7C",'Mapa final'!$Q$44),"")</f>
        <v/>
      </c>
      <c r="AK52" s="40" t="str">
        <f>IF(AND('Mapa final'!$AA$45="Muy Baja",'Mapa final'!$AC$45="Catastrófico"),CONCATENATE("R7C",'Mapa final'!$Q$45),"")</f>
        <v/>
      </c>
      <c r="AL52" s="40" t="str">
        <f>IF(AND('Mapa final'!$AA$46="Muy Baja",'Mapa final'!$AC$46="Catastrófico"),CONCATENATE("R7C",'Mapa final'!$Q$46),"")</f>
        <v/>
      </c>
      <c r="AM52" s="41" t="str">
        <f>IF(AND('Mapa final'!$AA$47="Muy Baja",'Mapa final'!$AC$47="Catastrófico"),CONCATENATE("R7C",'Mapa final'!$Q$47),"")</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289"/>
      <c r="C53" s="289"/>
      <c r="D53" s="290"/>
      <c r="E53" s="390"/>
      <c r="F53" s="391"/>
      <c r="G53" s="391"/>
      <c r="H53" s="391"/>
      <c r="I53" s="406"/>
      <c r="J53" s="61" t="str">
        <f>IF(AND('Mapa final'!$AA$48="Muy Baja",'Mapa final'!$AC$48="Leve"),CONCATENATE("R8C",'Mapa final'!$Q$48),"")</f>
        <v/>
      </c>
      <c r="K53" s="62" t="str">
        <f>IF(AND('Mapa final'!$AA$49="Muy Baja",'Mapa final'!$AC$49="Leve"),CONCATENATE("R8C",'Mapa final'!$Q$49),"")</f>
        <v/>
      </c>
      <c r="L53" s="62" t="str">
        <f>IF(AND('Mapa final'!$AA$50="Muy Baja",'Mapa final'!$AC$50="Leve"),CONCATENATE("R8C",'Mapa final'!$Q$50),"")</f>
        <v/>
      </c>
      <c r="M53" s="62" t="str">
        <f>IF(AND('Mapa final'!$AA$51="Muy Baja",'Mapa final'!$AC$51="Leve"),CONCATENATE("R8C",'Mapa final'!$Q$51),"")</f>
        <v/>
      </c>
      <c r="N53" s="62" t="str">
        <f>IF(AND('Mapa final'!$AA$52="Muy Baja",'Mapa final'!$AC$52="Leve"),CONCATENATE("R8C",'Mapa final'!$Q$52),"")</f>
        <v/>
      </c>
      <c r="O53" s="63" t="str">
        <f>IF(AND('Mapa final'!$AA$53="Muy Baja",'Mapa final'!$AC$53="Leve"),CONCATENATE("R8C",'Mapa final'!$Q$53),"")</f>
        <v/>
      </c>
      <c r="P53" s="61" t="str">
        <f>IF(AND('Mapa final'!$AA$48="Muy Baja",'Mapa final'!$AC$48="Menor"),CONCATENATE("R8C",'Mapa final'!$Q$48),"")</f>
        <v/>
      </c>
      <c r="Q53" s="62" t="str">
        <f>IF(AND('Mapa final'!$AA$49="Muy Baja",'Mapa final'!$AC$49="Menor"),CONCATENATE("R8C",'Mapa final'!$Q$49),"")</f>
        <v/>
      </c>
      <c r="R53" s="62" t="str">
        <f>IF(AND('Mapa final'!$AA$50="Muy Baja",'Mapa final'!$AC$50="Menor"),CONCATENATE("R8C",'Mapa final'!$Q$50),"")</f>
        <v/>
      </c>
      <c r="S53" s="62" t="str">
        <f>IF(AND('Mapa final'!$AA$51="Muy Baja",'Mapa final'!$AC$51="Menor"),CONCATENATE("R8C",'Mapa final'!$Q$51),"")</f>
        <v/>
      </c>
      <c r="T53" s="62" t="str">
        <f>IF(AND('Mapa final'!$AA$52="Muy Baja",'Mapa final'!$AC$52="Menor"),CONCATENATE("R8C",'Mapa final'!$Q$52),"")</f>
        <v/>
      </c>
      <c r="U53" s="63" t="str">
        <f>IF(AND('Mapa final'!$AA$53="Muy Baja",'Mapa final'!$AC$53="Menor"),CONCATENATE("R8C",'Mapa final'!$Q$53),"")</f>
        <v/>
      </c>
      <c r="V53" s="52" t="str">
        <f>IF(AND('Mapa final'!$AA$48="Muy Baja",'Mapa final'!$AC$48="Moderado"),CONCATENATE("R8C",'Mapa final'!$Q$48),"")</f>
        <v/>
      </c>
      <c r="W53" s="53" t="str">
        <f>IF(AND('Mapa final'!$AA$49="Muy Baja",'Mapa final'!$AC$49="Moderado"),CONCATENATE("R8C",'Mapa final'!$Q$49),"")</f>
        <v/>
      </c>
      <c r="X53" s="53" t="str">
        <f>IF(AND('Mapa final'!$AA$50="Muy Baja",'Mapa final'!$AC$50="Moderado"),CONCATENATE("R8C",'Mapa final'!$Q$50),"")</f>
        <v/>
      </c>
      <c r="Y53" s="53" t="str">
        <f>IF(AND('Mapa final'!$AA$51="Muy Baja",'Mapa final'!$AC$51="Moderado"),CONCATENATE("R8C",'Mapa final'!$Q$51),"")</f>
        <v/>
      </c>
      <c r="Z53" s="53" t="str">
        <f>IF(AND('Mapa final'!$AA$52="Muy Baja",'Mapa final'!$AC$52="Moderado"),CONCATENATE("R8C",'Mapa final'!$Q$52),"")</f>
        <v/>
      </c>
      <c r="AA53" s="54" t="str">
        <f>IF(AND('Mapa final'!$AA$53="Muy Baja",'Mapa final'!$AC$53="Moderado"),CONCATENATE("R8C",'Mapa final'!$Q$53),"")</f>
        <v/>
      </c>
      <c r="AB53" s="36" t="str">
        <f>IF(AND('Mapa final'!$AA$48="Muy Baja",'Mapa final'!$AC$48="Mayor"),CONCATENATE("R8C",'Mapa final'!$Q$48),"")</f>
        <v/>
      </c>
      <c r="AC53" s="37" t="str">
        <f>IF(AND('Mapa final'!$AA$49="Muy Baja",'Mapa final'!$AC$49="Mayor"),CONCATENATE("R8C",'Mapa final'!$Q$49),"")</f>
        <v/>
      </c>
      <c r="AD53" s="42" t="str">
        <f>IF(AND('Mapa final'!$AA$50="Muy Baja",'Mapa final'!$AC$50="Mayor"),CONCATENATE("R8C",'Mapa final'!$Q$50),"")</f>
        <v/>
      </c>
      <c r="AE53" s="42" t="str">
        <f>IF(AND('Mapa final'!$AA$51="Muy Baja",'Mapa final'!$AC$51="Mayor"),CONCATENATE("R8C",'Mapa final'!$Q$51),"")</f>
        <v/>
      </c>
      <c r="AF53" s="42" t="str">
        <f>IF(AND('Mapa final'!$AA$52="Muy Baja",'Mapa final'!$AC$52="Mayor"),CONCATENATE("R8C",'Mapa final'!$Q$52),"")</f>
        <v/>
      </c>
      <c r="AG53" s="38" t="str">
        <f>IF(AND('Mapa final'!$AA$53="Muy Baja",'Mapa final'!$AC$53="Mayor"),CONCATENATE("R8C",'Mapa final'!$Q$53),"")</f>
        <v/>
      </c>
      <c r="AH53" s="39" t="str">
        <f>IF(AND('Mapa final'!$AA$48="Muy Baja",'Mapa final'!$AC$48="Catastrófico"),CONCATENATE("R8C",'Mapa final'!$Q$48),"")</f>
        <v/>
      </c>
      <c r="AI53" s="40" t="str">
        <f>IF(AND('Mapa final'!$AA$49="Muy Baja",'Mapa final'!$AC$49="Catastrófico"),CONCATENATE("R8C",'Mapa final'!$Q$49),"")</f>
        <v/>
      </c>
      <c r="AJ53" s="40" t="str">
        <f>IF(AND('Mapa final'!$AA$50="Muy Baja",'Mapa final'!$AC$50="Catastrófico"),CONCATENATE("R8C",'Mapa final'!$Q$50),"")</f>
        <v/>
      </c>
      <c r="AK53" s="40" t="str">
        <f>IF(AND('Mapa final'!$AA$51="Muy Baja",'Mapa final'!$AC$51="Catastrófico"),CONCATENATE("R8C",'Mapa final'!$Q$51),"")</f>
        <v/>
      </c>
      <c r="AL53" s="40" t="str">
        <f>IF(AND('Mapa final'!$AA$52="Muy Baja",'Mapa final'!$AC$52="Catastrófico"),CONCATENATE("R8C",'Mapa final'!$Q$52),"")</f>
        <v/>
      </c>
      <c r="AM53" s="41" t="str">
        <f>IF(AND('Mapa final'!$AA$53="Muy Baja",'Mapa final'!$AC$53="Catastrófico"),CONCATENATE("R8C",'Mapa final'!$Q$53),"")</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289"/>
      <c r="C54" s="289"/>
      <c r="D54" s="290"/>
      <c r="E54" s="390"/>
      <c r="F54" s="391"/>
      <c r="G54" s="391"/>
      <c r="H54" s="391"/>
      <c r="I54" s="406"/>
      <c r="J54" s="61" t="str">
        <f>IF(AND('Mapa final'!$AA$54="Muy Baja",'Mapa final'!$AC$54="Leve"),CONCATENATE("R9C",'Mapa final'!$Q$54),"")</f>
        <v/>
      </c>
      <c r="K54" s="62" t="str">
        <f>IF(AND('Mapa final'!$AA$55="Muy Baja",'Mapa final'!$AC$55="Leve"),CONCATENATE("R9C",'Mapa final'!$Q$55),"")</f>
        <v/>
      </c>
      <c r="L54" s="62" t="str">
        <f>IF(AND('Mapa final'!$AA$56="Muy Baja",'Mapa final'!$AC$56="Leve"),CONCATENATE("R9C",'Mapa final'!$Q$56),"")</f>
        <v/>
      </c>
      <c r="M54" s="62" t="str">
        <f>IF(AND('Mapa final'!$AA$57="Muy Baja",'Mapa final'!$AC$57="Leve"),CONCATENATE("R9C",'Mapa final'!$Q$57),"")</f>
        <v/>
      </c>
      <c r="N54" s="62" t="str">
        <f>IF(AND('Mapa final'!$AA$58="Muy Baja",'Mapa final'!$AC$58="Leve"),CONCATENATE("R9C",'Mapa final'!$Q$58),"")</f>
        <v/>
      </c>
      <c r="O54" s="63" t="str">
        <f>IF(AND('Mapa final'!$AA$59="Muy Baja",'Mapa final'!$AC$59="Leve"),CONCATENATE("R9C",'Mapa final'!$Q$59),"")</f>
        <v/>
      </c>
      <c r="P54" s="61" t="str">
        <f>IF(AND('Mapa final'!$AA$54="Muy Baja",'Mapa final'!$AC$54="Menor"),CONCATENATE("R9C",'Mapa final'!$Q$54),"")</f>
        <v/>
      </c>
      <c r="Q54" s="62" t="str">
        <f>IF(AND('Mapa final'!$AA$55="Muy Baja",'Mapa final'!$AC$55="Menor"),CONCATENATE("R9C",'Mapa final'!$Q$55),"")</f>
        <v/>
      </c>
      <c r="R54" s="62" t="str">
        <f>IF(AND('Mapa final'!$AA$56="Muy Baja",'Mapa final'!$AC$56="Menor"),CONCATENATE("R9C",'Mapa final'!$Q$56),"")</f>
        <v/>
      </c>
      <c r="S54" s="62" t="str">
        <f>IF(AND('Mapa final'!$AA$57="Muy Baja",'Mapa final'!$AC$57="Menor"),CONCATENATE("R9C",'Mapa final'!$Q$57),"")</f>
        <v/>
      </c>
      <c r="T54" s="62" t="str">
        <f>IF(AND('Mapa final'!$AA$58="Muy Baja",'Mapa final'!$AC$58="Menor"),CONCATENATE("R9C",'Mapa final'!$Q$58),"")</f>
        <v/>
      </c>
      <c r="U54" s="63" t="str">
        <f>IF(AND('Mapa final'!$AA$59="Muy Baja",'Mapa final'!$AC$59="Menor"),CONCATENATE("R9C",'Mapa final'!$Q$59),"")</f>
        <v/>
      </c>
      <c r="V54" s="52" t="str">
        <f>IF(AND('Mapa final'!$AA$54="Muy Baja",'Mapa final'!$AC$54="Moderado"),CONCATENATE("R9C",'Mapa final'!$Q$54),"")</f>
        <v/>
      </c>
      <c r="W54" s="53" t="str">
        <f>IF(AND('Mapa final'!$AA$55="Muy Baja",'Mapa final'!$AC$55="Moderado"),CONCATENATE("R9C",'Mapa final'!$Q$55),"")</f>
        <v/>
      </c>
      <c r="X54" s="53" t="str">
        <f>IF(AND('Mapa final'!$AA$56="Muy Baja",'Mapa final'!$AC$56="Moderado"),CONCATENATE("R9C",'Mapa final'!$Q$56),"")</f>
        <v/>
      </c>
      <c r="Y54" s="53" t="str">
        <f>IF(AND('Mapa final'!$AA$57="Muy Baja",'Mapa final'!$AC$57="Moderado"),CONCATENATE("R9C",'Mapa final'!$Q$57),"")</f>
        <v/>
      </c>
      <c r="Z54" s="53" t="str">
        <f>IF(AND('Mapa final'!$AA$58="Muy Baja",'Mapa final'!$AC$58="Moderado"),CONCATENATE("R9C",'Mapa final'!$Q$58),"")</f>
        <v/>
      </c>
      <c r="AA54" s="54" t="str">
        <f>IF(AND('Mapa final'!$AA$59="Muy Baja",'Mapa final'!$AC$59="Moderado"),CONCATENATE("R9C",'Mapa final'!$Q$59),"")</f>
        <v/>
      </c>
      <c r="AB54" s="36" t="str">
        <f>IF(AND('Mapa final'!$AA$54="Muy Baja",'Mapa final'!$AC$54="Mayor"),CONCATENATE("R9C",'Mapa final'!$Q$54),"")</f>
        <v/>
      </c>
      <c r="AC54" s="37" t="str">
        <f>IF(AND('Mapa final'!$AA$55="Muy Baja",'Mapa final'!$AC$55="Mayor"),CONCATENATE("R9C",'Mapa final'!$Q$55),"")</f>
        <v/>
      </c>
      <c r="AD54" s="42" t="str">
        <f>IF(AND('Mapa final'!$AA$56="Muy Baja",'Mapa final'!$AC$56="Mayor"),CONCATENATE("R9C",'Mapa final'!$Q$56),"")</f>
        <v/>
      </c>
      <c r="AE54" s="42" t="str">
        <f>IF(AND('Mapa final'!$AA$57="Muy Baja",'Mapa final'!$AC$57="Mayor"),CONCATENATE("R9C",'Mapa final'!$Q$57),"")</f>
        <v/>
      </c>
      <c r="AF54" s="42" t="str">
        <f>IF(AND('Mapa final'!$AA$58="Muy Baja",'Mapa final'!$AC$58="Mayor"),CONCATENATE("R9C",'Mapa final'!$Q$58),"")</f>
        <v/>
      </c>
      <c r="AG54" s="38" t="str">
        <f>IF(AND('Mapa final'!$AA$59="Muy Baja",'Mapa final'!$AC$59="Mayor"),CONCATENATE("R9C",'Mapa final'!$Q$59),"")</f>
        <v/>
      </c>
      <c r="AH54" s="39" t="str">
        <f>IF(AND('Mapa final'!$AA$54="Muy Baja",'Mapa final'!$AC$54="Catastrófico"),CONCATENATE("R9C",'Mapa final'!$Q$54),"")</f>
        <v/>
      </c>
      <c r="AI54" s="40" t="str">
        <f>IF(AND('Mapa final'!$AA$55="Muy Baja",'Mapa final'!$AC$55="Catastrófico"),CONCATENATE("R9C",'Mapa final'!$Q$55),"")</f>
        <v/>
      </c>
      <c r="AJ54" s="40" t="str">
        <f>IF(AND('Mapa final'!$AA$56="Muy Baja",'Mapa final'!$AC$56="Catastrófico"),CONCATENATE("R9C",'Mapa final'!$Q$56),"")</f>
        <v/>
      </c>
      <c r="AK54" s="40" t="str">
        <f>IF(AND('Mapa final'!$AA$57="Muy Baja",'Mapa final'!$AC$57="Catastrófico"),CONCATENATE("R9C",'Mapa final'!$Q$57),"")</f>
        <v/>
      </c>
      <c r="AL54" s="40" t="str">
        <f>IF(AND('Mapa final'!$AA$58="Muy Baja",'Mapa final'!$AC$58="Catastrófico"),CONCATENATE("R9C",'Mapa final'!$Q$58),"")</f>
        <v/>
      </c>
      <c r="AM54" s="41" t="str">
        <f>IF(AND('Mapa final'!$AA$59="Muy Baja",'Mapa final'!$AC$59="Catastrófico"),CONCATENATE("R9C",'Mapa final'!$Q$59),"")</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289"/>
      <c r="C55" s="289"/>
      <c r="D55" s="290"/>
      <c r="E55" s="392"/>
      <c r="F55" s="393"/>
      <c r="G55" s="393"/>
      <c r="H55" s="393"/>
      <c r="I55" s="407"/>
      <c r="J55" s="64" t="str">
        <f>IF(AND('Mapa final'!$AA$60="Muy Baja",'Mapa final'!$AC$60="Leve"),CONCATENATE("R10C",'Mapa final'!$Q$60),"")</f>
        <v/>
      </c>
      <c r="K55" s="65" t="str">
        <f>IF(AND('Mapa final'!$AA$61="Muy Baja",'Mapa final'!$AC$61="Leve"),CONCATENATE("R10C",'Mapa final'!$Q$61),"")</f>
        <v/>
      </c>
      <c r="L55" s="65" t="str">
        <f>IF(AND('Mapa final'!$AA$62="Muy Baja",'Mapa final'!$AC$62="Leve"),CONCATENATE("R10C",'Mapa final'!$Q$62),"")</f>
        <v/>
      </c>
      <c r="M55" s="65" t="str">
        <f>IF(AND('Mapa final'!$AA$63="Muy Baja",'Mapa final'!$AC$63="Leve"),CONCATENATE("R10C",'Mapa final'!$Q$63),"")</f>
        <v/>
      </c>
      <c r="N55" s="65" t="str">
        <f>IF(AND('Mapa final'!$AA$64="Muy Baja",'Mapa final'!$AC$64="Leve"),CONCATENATE("R10C",'Mapa final'!$Q$64),"")</f>
        <v/>
      </c>
      <c r="O55" s="66" t="str">
        <f>IF(AND('Mapa final'!$AA$65="Muy Baja",'Mapa final'!$AC$65="Leve"),CONCATENATE("R10C",'Mapa final'!$Q$65),"")</f>
        <v/>
      </c>
      <c r="P55" s="64" t="str">
        <f>IF(AND('Mapa final'!$AA$60="Muy Baja",'Mapa final'!$AC$60="Menor"),CONCATENATE("R10C",'Mapa final'!$Q$60),"")</f>
        <v/>
      </c>
      <c r="Q55" s="65" t="str">
        <f>IF(AND('Mapa final'!$AA$61="Muy Baja",'Mapa final'!$AC$61="Menor"),CONCATENATE("R10C",'Mapa final'!$Q$61),"")</f>
        <v/>
      </c>
      <c r="R55" s="65" t="str">
        <f>IF(AND('Mapa final'!$AA$62="Muy Baja",'Mapa final'!$AC$62="Menor"),CONCATENATE("R10C",'Mapa final'!$Q$62),"")</f>
        <v/>
      </c>
      <c r="S55" s="65" t="str">
        <f>IF(AND('Mapa final'!$AA$63="Muy Baja",'Mapa final'!$AC$63="Menor"),CONCATENATE("R10C",'Mapa final'!$Q$63),"")</f>
        <v/>
      </c>
      <c r="T55" s="65" t="str">
        <f>IF(AND('Mapa final'!$AA$64="Muy Baja",'Mapa final'!$AC$64="Menor"),CONCATENATE("R10C",'Mapa final'!$Q$64),"")</f>
        <v/>
      </c>
      <c r="U55" s="66" t="str">
        <f>IF(AND('Mapa final'!$AA$65="Muy Baja",'Mapa final'!$AC$65="Menor"),CONCATENATE("R10C",'Mapa final'!$Q$65),"")</f>
        <v/>
      </c>
      <c r="V55" s="55" t="str">
        <f>IF(AND('Mapa final'!$AA$60="Muy Baja",'Mapa final'!$AC$60="Moderado"),CONCATENATE("R10C",'Mapa final'!$Q$60),"")</f>
        <v/>
      </c>
      <c r="W55" s="56" t="str">
        <f>IF(AND('Mapa final'!$AA$61="Muy Baja",'Mapa final'!$AC$61="Moderado"),CONCATENATE("R10C",'Mapa final'!$Q$61),"")</f>
        <v/>
      </c>
      <c r="X55" s="56" t="str">
        <f>IF(AND('Mapa final'!$AA$62="Muy Baja",'Mapa final'!$AC$62="Moderado"),CONCATENATE("R10C",'Mapa final'!$Q$62),"")</f>
        <v/>
      </c>
      <c r="Y55" s="56" t="str">
        <f>IF(AND('Mapa final'!$AA$63="Muy Baja",'Mapa final'!$AC$63="Moderado"),CONCATENATE("R10C",'Mapa final'!$Q$63),"")</f>
        <v/>
      </c>
      <c r="Z55" s="56" t="str">
        <f>IF(AND('Mapa final'!$AA$64="Muy Baja",'Mapa final'!$AC$64="Moderado"),CONCATENATE("R10C",'Mapa final'!$Q$64),"")</f>
        <v/>
      </c>
      <c r="AA55" s="57" t="str">
        <f>IF(AND('Mapa final'!$AA$65="Muy Baja",'Mapa final'!$AC$65="Moderado"),CONCATENATE("R10C",'Mapa final'!$Q$65),"")</f>
        <v/>
      </c>
      <c r="AB55" s="43" t="str">
        <f>IF(AND('Mapa final'!$AA$60="Muy Baja",'Mapa final'!$AC$60="Mayor"),CONCATENATE("R10C",'Mapa final'!$Q$60),"")</f>
        <v/>
      </c>
      <c r="AC55" s="44" t="str">
        <f>IF(AND('Mapa final'!$AA$61="Muy Baja",'Mapa final'!$AC$61="Mayor"),CONCATENATE("R10C",'Mapa final'!$Q$61),"")</f>
        <v/>
      </c>
      <c r="AD55" s="44" t="str">
        <f>IF(AND('Mapa final'!$AA$62="Muy Baja",'Mapa final'!$AC$62="Mayor"),CONCATENATE("R10C",'Mapa final'!$Q$62),"")</f>
        <v/>
      </c>
      <c r="AE55" s="44" t="str">
        <f>IF(AND('Mapa final'!$AA$63="Muy Baja",'Mapa final'!$AC$63="Mayor"),CONCATENATE("R10C",'Mapa final'!$Q$63),"")</f>
        <v/>
      </c>
      <c r="AF55" s="44" t="str">
        <f>IF(AND('Mapa final'!$AA$64="Muy Baja",'Mapa final'!$AC$64="Mayor"),CONCATENATE("R10C",'Mapa final'!$Q$64),"")</f>
        <v/>
      </c>
      <c r="AG55" s="45" t="str">
        <f>IF(AND('Mapa final'!$AA$65="Muy Baja",'Mapa final'!$AC$65="Mayor"),CONCATENATE("R10C",'Mapa final'!$Q$65),"")</f>
        <v/>
      </c>
      <c r="AH55" s="46" t="str">
        <f>IF(AND('Mapa final'!$AA$60="Muy Baja",'Mapa final'!$AC$60="Catastrófico"),CONCATENATE("R10C",'Mapa final'!$Q$60),"")</f>
        <v/>
      </c>
      <c r="AI55" s="47" t="str">
        <f>IF(AND('Mapa final'!$AA$61="Muy Baja",'Mapa final'!$AC$61="Catastrófico"),CONCATENATE("R10C",'Mapa final'!$Q$61),"")</f>
        <v/>
      </c>
      <c r="AJ55" s="47" t="str">
        <f>IF(AND('Mapa final'!$AA$62="Muy Baja",'Mapa final'!$AC$62="Catastrófico"),CONCATENATE("R10C",'Mapa final'!$Q$62),"")</f>
        <v/>
      </c>
      <c r="AK55" s="47" t="str">
        <f>IF(AND('Mapa final'!$AA$63="Muy Baja",'Mapa final'!$AC$63="Catastrófico"),CONCATENATE("R10C",'Mapa final'!$Q$63),"")</f>
        <v/>
      </c>
      <c r="AL55" s="47" t="str">
        <f>IF(AND('Mapa final'!$AA$64="Muy Baja",'Mapa final'!$AC$64="Catastrófico"),CONCATENATE("R10C",'Mapa final'!$Q$64),"")</f>
        <v/>
      </c>
      <c r="AM55" s="48" t="str">
        <f>IF(AND('Mapa final'!$AA$65="Muy Baja",'Mapa final'!$AC$65="Catastrófico"),CONCATENATE("R10C",'Mapa final'!$Q$65),"")</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86" t="s">
        <v>106</v>
      </c>
      <c r="K56" s="387"/>
      <c r="L56" s="387"/>
      <c r="M56" s="387"/>
      <c r="N56" s="387"/>
      <c r="O56" s="405"/>
      <c r="P56" s="386" t="s">
        <v>105</v>
      </c>
      <c r="Q56" s="387"/>
      <c r="R56" s="387"/>
      <c r="S56" s="387"/>
      <c r="T56" s="387"/>
      <c r="U56" s="405"/>
      <c r="V56" s="386" t="s">
        <v>104</v>
      </c>
      <c r="W56" s="387"/>
      <c r="X56" s="387"/>
      <c r="Y56" s="387"/>
      <c r="Z56" s="387"/>
      <c r="AA56" s="405"/>
      <c r="AB56" s="386" t="s">
        <v>103</v>
      </c>
      <c r="AC56" s="426"/>
      <c r="AD56" s="387"/>
      <c r="AE56" s="387"/>
      <c r="AF56" s="387"/>
      <c r="AG56" s="405"/>
      <c r="AH56" s="386" t="s">
        <v>102</v>
      </c>
      <c r="AI56" s="387"/>
      <c r="AJ56" s="387"/>
      <c r="AK56" s="387"/>
      <c r="AL56" s="387"/>
      <c r="AM56" s="405"/>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90"/>
      <c r="K57" s="391"/>
      <c r="L57" s="391"/>
      <c r="M57" s="391"/>
      <c r="N57" s="391"/>
      <c r="O57" s="406"/>
      <c r="P57" s="390"/>
      <c r="Q57" s="391"/>
      <c r="R57" s="391"/>
      <c r="S57" s="391"/>
      <c r="T57" s="391"/>
      <c r="U57" s="406"/>
      <c r="V57" s="390"/>
      <c r="W57" s="391"/>
      <c r="X57" s="391"/>
      <c r="Y57" s="391"/>
      <c r="Z57" s="391"/>
      <c r="AA57" s="406"/>
      <c r="AB57" s="390"/>
      <c r="AC57" s="391"/>
      <c r="AD57" s="391"/>
      <c r="AE57" s="391"/>
      <c r="AF57" s="391"/>
      <c r="AG57" s="406"/>
      <c r="AH57" s="390"/>
      <c r="AI57" s="391"/>
      <c r="AJ57" s="391"/>
      <c r="AK57" s="391"/>
      <c r="AL57" s="391"/>
      <c r="AM57" s="406"/>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90"/>
      <c r="K58" s="391"/>
      <c r="L58" s="391"/>
      <c r="M58" s="391"/>
      <c r="N58" s="391"/>
      <c r="O58" s="406"/>
      <c r="P58" s="390"/>
      <c r="Q58" s="391"/>
      <c r="R58" s="391"/>
      <c r="S58" s="391"/>
      <c r="T58" s="391"/>
      <c r="U58" s="406"/>
      <c r="V58" s="390"/>
      <c r="W58" s="391"/>
      <c r="X58" s="391"/>
      <c r="Y58" s="391"/>
      <c r="Z58" s="391"/>
      <c r="AA58" s="406"/>
      <c r="AB58" s="390"/>
      <c r="AC58" s="391"/>
      <c r="AD58" s="391"/>
      <c r="AE58" s="391"/>
      <c r="AF58" s="391"/>
      <c r="AG58" s="406"/>
      <c r="AH58" s="390"/>
      <c r="AI58" s="391"/>
      <c r="AJ58" s="391"/>
      <c r="AK58" s="391"/>
      <c r="AL58" s="391"/>
      <c r="AM58" s="406"/>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90"/>
      <c r="K59" s="391"/>
      <c r="L59" s="391"/>
      <c r="M59" s="391"/>
      <c r="N59" s="391"/>
      <c r="O59" s="406"/>
      <c r="P59" s="390"/>
      <c r="Q59" s="391"/>
      <c r="R59" s="391"/>
      <c r="S59" s="391"/>
      <c r="T59" s="391"/>
      <c r="U59" s="406"/>
      <c r="V59" s="390"/>
      <c r="W59" s="391"/>
      <c r="X59" s="391"/>
      <c r="Y59" s="391"/>
      <c r="Z59" s="391"/>
      <c r="AA59" s="406"/>
      <c r="AB59" s="390"/>
      <c r="AC59" s="391"/>
      <c r="AD59" s="391"/>
      <c r="AE59" s="391"/>
      <c r="AF59" s="391"/>
      <c r="AG59" s="406"/>
      <c r="AH59" s="390"/>
      <c r="AI59" s="391"/>
      <c r="AJ59" s="391"/>
      <c r="AK59" s="391"/>
      <c r="AL59" s="391"/>
      <c r="AM59" s="406"/>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90"/>
      <c r="K60" s="391"/>
      <c r="L60" s="391"/>
      <c r="M60" s="391"/>
      <c r="N60" s="391"/>
      <c r="O60" s="406"/>
      <c r="P60" s="390"/>
      <c r="Q60" s="391"/>
      <c r="R60" s="391"/>
      <c r="S60" s="391"/>
      <c r="T60" s="391"/>
      <c r="U60" s="406"/>
      <c r="V60" s="390"/>
      <c r="W60" s="391"/>
      <c r="X60" s="391"/>
      <c r="Y60" s="391"/>
      <c r="Z60" s="391"/>
      <c r="AA60" s="406"/>
      <c r="AB60" s="390"/>
      <c r="AC60" s="391"/>
      <c r="AD60" s="391"/>
      <c r="AE60" s="391"/>
      <c r="AF60" s="391"/>
      <c r="AG60" s="406"/>
      <c r="AH60" s="390"/>
      <c r="AI60" s="391"/>
      <c r="AJ60" s="391"/>
      <c r="AK60" s="391"/>
      <c r="AL60" s="391"/>
      <c r="AM60" s="406"/>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92"/>
      <c r="K61" s="393"/>
      <c r="L61" s="393"/>
      <c r="M61" s="393"/>
      <c r="N61" s="393"/>
      <c r="O61" s="407"/>
      <c r="P61" s="392"/>
      <c r="Q61" s="393"/>
      <c r="R61" s="393"/>
      <c r="S61" s="393"/>
      <c r="T61" s="393"/>
      <c r="U61" s="407"/>
      <c r="V61" s="392"/>
      <c r="W61" s="393"/>
      <c r="X61" s="393"/>
      <c r="Y61" s="393"/>
      <c r="Z61" s="393"/>
      <c r="AA61" s="407"/>
      <c r="AB61" s="392"/>
      <c r="AC61" s="393"/>
      <c r="AD61" s="393"/>
      <c r="AE61" s="393"/>
      <c r="AF61" s="393"/>
      <c r="AG61" s="407"/>
      <c r="AH61" s="392"/>
      <c r="AI61" s="393"/>
      <c r="AJ61" s="393"/>
      <c r="AK61" s="393"/>
      <c r="AL61" s="393"/>
      <c r="AM61" s="407"/>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4"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27" t="s">
        <v>54</v>
      </c>
      <c r="C1" s="427"/>
      <c r="D1" s="427"/>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51</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50</v>
      </c>
      <c r="C4" s="14" t="s">
        <v>96</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52</v>
      </c>
      <c r="C5" s="17" t="s">
        <v>97</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101</v>
      </c>
      <c r="C6" s="17" t="s">
        <v>98</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99</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53</v>
      </c>
      <c r="C8" s="17" t="s">
        <v>100</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28" t="s">
        <v>61</v>
      </c>
      <c r="C1" s="428"/>
      <c r="D1" s="428"/>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40" t="s">
        <v>55</v>
      </c>
      <c r="D3" s="140" t="s">
        <v>56</v>
      </c>
      <c r="E3" s="90"/>
      <c r="F3" s="90"/>
      <c r="G3" s="90"/>
      <c r="H3" s="90"/>
      <c r="I3" s="90"/>
      <c r="J3" s="90"/>
      <c r="K3" s="90"/>
      <c r="L3" s="90"/>
      <c r="M3" s="90"/>
      <c r="N3" s="90"/>
      <c r="O3" s="90"/>
      <c r="P3" s="90"/>
      <c r="Q3" s="90"/>
      <c r="R3" s="90"/>
      <c r="S3" s="90"/>
      <c r="T3" s="90"/>
      <c r="U3" s="90"/>
    </row>
    <row r="4" spans="1:21" ht="33.75" x14ac:dyDescent="0.25">
      <c r="A4" s="90" t="s">
        <v>81</v>
      </c>
      <c r="B4" s="141" t="s">
        <v>95</v>
      </c>
      <c r="C4" s="142" t="s">
        <v>204</v>
      </c>
      <c r="D4" s="143" t="s">
        <v>91</v>
      </c>
      <c r="E4" s="90"/>
      <c r="F4" s="90"/>
      <c r="G4" s="90"/>
      <c r="H4" s="90"/>
      <c r="I4" s="90"/>
      <c r="J4" s="90"/>
      <c r="K4" s="90"/>
      <c r="L4" s="90"/>
      <c r="M4" s="90"/>
      <c r="N4" s="90"/>
      <c r="O4" s="90"/>
      <c r="P4" s="90"/>
      <c r="Q4" s="90"/>
      <c r="R4" s="90"/>
      <c r="S4" s="90"/>
      <c r="T4" s="90"/>
      <c r="U4" s="90"/>
    </row>
    <row r="5" spans="1:21" ht="67.5" x14ac:dyDescent="0.25">
      <c r="A5" s="90" t="s">
        <v>82</v>
      </c>
      <c r="B5" s="144" t="s">
        <v>57</v>
      </c>
      <c r="C5" s="145" t="s">
        <v>205</v>
      </c>
      <c r="D5" s="146" t="s">
        <v>92</v>
      </c>
      <c r="E5" s="90"/>
      <c r="F5" s="90"/>
      <c r="G5" s="90"/>
      <c r="H5" s="90"/>
      <c r="I5" s="90"/>
      <c r="J5" s="90"/>
      <c r="K5" s="90"/>
      <c r="L5" s="90"/>
      <c r="M5" s="90"/>
      <c r="N5" s="90"/>
      <c r="O5" s="90"/>
      <c r="P5" s="90"/>
      <c r="Q5" s="90"/>
      <c r="R5" s="90"/>
      <c r="S5" s="90"/>
      <c r="T5" s="90"/>
      <c r="U5" s="90"/>
    </row>
    <row r="6" spans="1:21" ht="67.5" x14ac:dyDescent="0.25">
      <c r="A6" s="90" t="s">
        <v>79</v>
      </c>
      <c r="B6" s="147" t="s">
        <v>58</v>
      </c>
      <c r="C6" s="145" t="s">
        <v>209</v>
      </c>
      <c r="D6" s="146" t="s">
        <v>94</v>
      </c>
      <c r="E6" s="90"/>
      <c r="F6" s="90"/>
      <c r="G6" s="90"/>
      <c r="H6" s="90"/>
      <c r="I6" s="90"/>
      <c r="J6" s="90"/>
      <c r="K6" s="90"/>
      <c r="L6" s="90"/>
      <c r="M6" s="90"/>
      <c r="N6" s="90"/>
      <c r="O6" s="90"/>
      <c r="P6" s="90"/>
      <c r="Q6" s="90"/>
      <c r="R6" s="90"/>
      <c r="S6" s="90"/>
      <c r="T6" s="90"/>
      <c r="U6" s="90"/>
    </row>
    <row r="7" spans="1:21" ht="101.25" x14ac:dyDescent="0.25">
      <c r="A7" s="90" t="s">
        <v>7</v>
      </c>
      <c r="B7" s="148" t="s">
        <v>59</v>
      </c>
      <c r="C7" s="145" t="s">
        <v>210</v>
      </c>
      <c r="D7" s="146" t="s">
        <v>93</v>
      </c>
      <c r="E7" s="90"/>
      <c r="F7" s="90"/>
      <c r="G7" s="90"/>
      <c r="H7" s="90"/>
      <c r="I7" s="90"/>
      <c r="J7" s="90"/>
      <c r="K7" s="90"/>
      <c r="L7" s="90"/>
      <c r="M7" s="90"/>
      <c r="N7" s="90"/>
      <c r="O7" s="90"/>
      <c r="P7" s="90"/>
      <c r="Q7" s="90"/>
      <c r="R7" s="90"/>
      <c r="S7" s="90"/>
      <c r="T7" s="90"/>
      <c r="U7" s="90"/>
    </row>
    <row r="8" spans="1:21" ht="67.5" x14ac:dyDescent="0.25">
      <c r="A8" s="90" t="s">
        <v>83</v>
      </c>
      <c r="B8" s="149" t="s">
        <v>60</v>
      </c>
      <c r="C8" s="145" t="s">
        <v>206</v>
      </c>
      <c r="D8" s="146" t="s">
        <v>112</v>
      </c>
      <c r="E8" s="90"/>
      <c r="F8" s="90"/>
      <c r="G8" s="90"/>
      <c r="H8" s="90"/>
      <c r="I8" s="90"/>
      <c r="J8" s="90"/>
      <c r="K8" s="90"/>
      <c r="L8" s="90"/>
      <c r="M8" s="90"/>
      <c r="N8" s="90"/>
      <c r="O8" s="90"/>
      <c r="P8" s="90"/>
      <c r="Q8" s="90"/>
      <c r="R8" s="90"/>
      <c r="S8" s="90"/>
      <c r="T8" s="90"/>
      <c r="U8" s="90"/>
    </row>
    <row r="9" spans="1:21" s="23" customFormat="1" ht="20.25" x14ac:dyDescent="0.25">
      <c r="A9" s="88"/>
      <c r="B9" s="88"/>
      <c r="C9" s="154"/>
      <c r="D9" s="154"/>
      <c r="E9" s="88"/>
      <c r="F9" s="88"/>
      <c r="G9" s="88"/>
      <c r="H9" s="88"/>
      <c r="I9" s="88"/>
      <c r="J9" s="88"/>
      <c r="K9" s="88"/>
      <c r="L9" s="88"/>
      <c r="M9" s="88"/>
      <c r="N9" s="88"/>
      <c r="O9" s="88"/>
      <c r="P9" s="88"/>
      <c r="Q9" s="88"/>
      <c r="R9" s="88"/>
      <c r="S9" s="88"/>
      <c r="T9" s="88"/>
      <c r="U9" s="88"/>
    </row>
    <row r="10" spans="1:21" s="23" customFormat="1" ht="16.5" x14ac:dyDescent="0.25">
      <c r="A10" s="88"/>
      <c r="B10" s="155"/>
      <c r="C10" s="155"/>
      <c r="D10" s="155"/>
      <c r="E10" s="88"/>
      <c r="F10" s="88"/>
      <c r="G10" s="88"/>
      <c r="H10" s="88"/>
      <c r="I10" s="88"/>
      <c r="J10" s="88"/>
      <c r="K10" s="88"/>
      <c r="L10" s="88"/>
      <c r="M10" s="88"/>
      <c r="N10" s="88"/>
      <c r="O10" s="88"/>
      <c r="P10" s="88"/>
      <c r="Q10" s="88"/>
      <c r="R10" s="88"/>
      <c r="S10" s="88"/>
      <c r="T10" s="88"/>
      <c r="U10" s="88"/>
    </row>
    <row r="11" spans="1:21" s="23" customFormat="1" x14ac:dyDescent="0.25">
      <c r="A11" s="88"/>
      <c r="B11" s="88" t="s">
        <v>89</v>
      </c>
      <c r="C11" s="88" t="s">
        <v>208</v>
      </c>
      <c r="D11" s="88" t="s">
        <v>142</v>
      </c>
      <c r="E11" s="88"/>
      <c r="F11" s="88"/>
      <c r="G11" s="88"/>
      <c r="H11" s="88"/>
      <c r="I11" s="88"/>
      <c r="J11" s="88"/>
      <c r="K11" s="88"/>
      <c r="L11" s="88"/>
      <c r="M11" s="88"/>
      <c r="N11" s="88"/>
      <c r="O11" s="88"/>
      <c r="P11" s="88"/>
      <c r="Q11" s="88"/>
      <c r="R11" s="88"/>
      <c r="S11" s="88"/>
      <c r="T11" s="88"/>
      <c r="U11" s="88"/>
    </row>
    <row r="12" spans="1:21" s="23" customFormat="1" x14ac:dyDescent="0.25">
      <c r="A12" s="88"/>
      <c r="B12" s="88" t="s">
        <v>87</v>
      </c>
      <c r="C12" s="88" t="s">
        <v>207</v>
      </c>
      <c r="D12" s="88" t="s">
        <v>143</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211</v>
      </c>
      <c r="D13" s="88" t="s">
        <v>144</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213</v>
      </c>
      <c r="D14" s="88" t="s">
        <v>145</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212</v>
      </c>
      <c r="D15" s="88" t="s">
        <v>146</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54"/>
      <c r="D22" s="154"/>
      <c r="E22" s="88"/>
      <c r="F22" s="88"/>
      <c r="G22" s="88"/>
      <c r="H22" s="88"/>
      <c r="I22" s="88"/>
      <c r="J22" s="88"/>
      <c r="K22" s="88"/>
      <c r="L22" s="88"/>
      <c r="M22" s="88"/>
      <c r="N22" s="88"/>
      <c r="O22" s="88"/>
    </row>
    <row r="23" spans="1:15" s="23" customFormat="1" ht="20.25" x14ac:dyDescent="0.25">
      <c r="A23" s="88"/>
      <c r="B23" s="88"/>
      <c r="C23" s="154"/>
      <c r="D23" s="154"/>
      <c r="E23" s="88"/>
      <c r="F23" s="88"/>
      <c r="G23" s="88"/>
      <c r="H23" s="88"/>
      <c r="I23" s="88"/>
      <c r="J23" s="88"/>
      <c r="K23" s="88"/>
      <c r="L23" s="88"/>
      <c r="M23" s="88"/>
      <c r="N23" s="88"/>
      <c r="O23" s="88"/>
    </row>
    <row r="24" spans="1:15" s="23" customFormat="1" ht="20.25" x14ac:dyDescent="0.25">
      <c r="A24" s="88"/>
      <c r="B24" s="88"/>
      <c r="C24" s="154"/>
      <c r="D24" s="154"/>
      <c r="E24" s="88"/>
      <c r="F24" s="88"/>
      <c r="G24" s="88"/>
      <c r="H24" s="88"/>
      <c r="I24" s="88"/>
      <c r="J24" s="88"/>
      <c r="K24" s="88"/>
      <c r="L24" s="88"/>
      <c r="M24" s="88"/>
      <c r="N24" s="88"/>
      <c r="O24" s="88"/>
    </row>
    <row r="25" spans="1:15" s="23" customFormat="1" ht="20.25" x14ac:dyDescent="0.25">
      <c r="A25" s="88"/>
      <c r="B25" s="88"/>
      <c r="C25" s="154"/>
      <c r="D25" s="154"/>
      <c r="E25" s="88"/>
      <c r="F25" s="88"/>
      <c r="G25" s="88"/>
      <c r="H25" s="88"/>
      <c r="I25" s="88"/>
      <c r="J25" s="88"/>
      <c r="K25" s="88"/>
      <c r="L25" s="88"/>
      <c r="M25" s="88"/>
      <c r="N25" s="88"/>
      <c r="O25" s="88"/>
    </row>
    <row r="26" spans="1:15" s="23" customFormat="1" ht="20.25" x14ac:dyDescent="0.25">
      <c r="A26" s="88"/>
      <c r="B26" s="88"/>
      <c r="C26" s="154"/>
      <c r="D26" s="154"/>
      <c r="E26" s="88"/>
      <c r="F26" s="88"/>
      <c r="G26" s="88"/>
      <c r="H26" s="88"/>
      <c r="I26" s="88"/>
      <c r="J26" s="88"/>
      <c r="K26" s="88"/>
      <c r="L26" s="88"/>
      <c r="M26" s="88"/>
      <c r="N26" s="88"/>
      <c r="O26" s="88"/>
    </row>
    <row r="27" spans="1:15" s="23" customFormat="1" ht="20.25" x14ac:dyDescent="0.25">
      <c r="A27" s="88"/>
      <c r="B27" s="88"/>
      <c r="C27" s="154"/>
      <c r="D27" s="154"/>
      <c r="E27" s="88"/>
      <c r="F27" s="88"/>
      <c r="G27" s="88"/>
      <c r="H27" s="88"/>
      <c r="I27" s="88"/>
      <c r="J27" s="88"/>
      <c r="K27" s="88"/>
      <c r="L27" s="88"/>
      <c r="M27" s="88"/>
      <c r="N27" s="88"/>
      <c r="O27" s="88"/>
    </row>
    <row r="28" spans="1:15" s="23" customFormat="1" ht="20.25" x14ac:dyDescent="0.25">
      <c r="A28" s="88"/>
      <c r="B28" s="88"/>
      <c r="C28" s="154"/>
      <c r="D28" s="154"/>
      <c r="E28" s="88"/>
      <c r="F28" s="88"/>
      <c r="G28" s="88"/>
      <c r="H28" s="88"/>
      <c r="I28" s="88"/>
      <c r="J28" s="88"/>
      <c r="K28" s="88"/>
      <c r="L28" s="88"/>
      <c r="M28" s="88"/>
      <c r="N28" s="88"/>
      <c r="O28" s="88"/>
    </row>
    <row r="29" spans="1:15" s="23" customFormat="1" ht="20.25" x14ac:dyDescent="0.25">
      <c r="A29" s="88"/>
      <c r="B29" s="88"/>
      <c r="C29" s="154"/>
      <c r="D29" s="154"/>
      <c r="E29" s="88"/>
      <c r="F29" s="88"/>
      <c r="G29" s="88"/>
      <c r="H29" s="88"/>
      <c r="I29" s="88"/>
      <c r="J29" s="88"/>
      <c r="K29" s="88"/>
      <c r="L29" s="88"/>
      <c r="M29" s="88"/>
      <c r="N29" s="88"/>
      <c r="O29" s="88"/>
    </row>
    <row r="30" spans="1:15" s="23" customFormat="1" ht="20.25" x14ac:dyDescent="0.25">
      <c r="A30" s="88"/>
      <c r="B30" s="88"/>
      <c r="C30" s="154"/>
      <c r="D30" s="154"/>
      <c r="E30" s="88"/>
      <c r="F30" s="88"/>
      <c r="G30" s="88"/>
      <c r="H30" s="88"/>
      <c r="I30" s="88"/>
      <c r="J30" s="88"/>
      <c r="K30" s="88"/>
      <c r="L30" s="88"/>
      <c r="M30" s="88"/>
      <c r="N30" s="88"/>
      <c r="O30" s="88"/>
    </row>
    <row r="31" spans="1:15" s="23" customFormat="1" ht="20.25" x14ac:dyDescent="0.25">
      <c r="A31" s="88"/>
      <c r="B31" s="88"/>
      <c r="C31" s="154"/>
      <c r="D31" s="154"/>
      <c r="E31" s="88"/>
      <c r="F31" s="88"/>
      <c r="G31" s="88"/>
      <c r="H31" s="88"/>
      <c r="I31" s="88"/>
      <c r="J31" s="88"/>
      <c r="K31" s="88"/>
      <c r="L31" s="88"/>
      <c r="M31" s="88"/>
      <c r="N31" s="88"/>
      <c r="O31" s="88"/>
    </row>
    <row r="32" spans="1:15" s="23" customFormat="1" ht="20.25" x14ac:dyDescent="0.25">
      <c r="A32" s="88"/>
      <c r="B32" s="88"/>
      <c r="C32" s="154"/>
      <c r="D32" s="154"/>
      <c r="E32" s="88"/>
      <c r="F32" s="88"/>
      <c r="G32" s="88"/>
      <c r="H32" s="88"/>
      <c r="I32" s="88"/>
      <c r="J32" s="88"/>
      <c r="K32" s="88"/>
      <c r="L32" s="88"/>
      <c r="M32" s="88"/>
      <c r="N32" s="88"/>
      <c r="O32" s="88"/>
    </row>
    <row r="33" spans="1:15" s="23" customFormat="1" ht="20.25" x14ac:dyDescent="0.25">
      <c r="A33" s="88"/>
      <c r="B33" s="88"/>
      <c r="C33" s="154"/>
      <c r="D33" s="154"/>
      <c r="E33" s="88"/>
      <c r="F33" s="88"/>
      <c r="G33" s="88"/>
      <c r="H33" s="88"/>
      <c r="I33" s="88"/>
      <c r="J33" s="88"/>
      <c r="K33" s="88"/>
      <c r="L33" s="88"/>
      <c r="M33" s="88"/>
      <c r="N33" s="88"/>
      <c r="O33" s="88"/>
    </row>
    <row r="34" spans="1:15" s="23" customFormat="1" ht="20.25" x14ac:dyDescent="0.25">
      <c r="A34" s="88"/>
      <c r="B34" s="88"/>
      <c r="C34" s="154"/>
      <c r="D34" s="154"/>
      <c r="E34" s="88"/>
      <c r="F34" s="88"/>
      <c r="G34" s="88"/>
      <c r="H34" s="88"/>
      <c r="I34" s="88"/>
      <c r="J34" s="88"/>
      <c r="K34" s="88"/>
      <c r="L34" s="88"/>
      <c r="M34" s="88"/>
      <c r="N34" s="88"/>
      <c r="O34" s="88"/>
    </row>
    <row r="35" spans="1:15" s="23" customFormat="1" ht="20.25" x14ac:dyDescent="0.25">
      <c r="A35" s="88"/>
      <c r="B35" s="88"/>
      <c r="C35" s="154"/>
      <c r="D35" s="154"/>
      <c r="E35" s="88"/>
      <c r="F35" s="88"/>
      <c r="G35" s="88"/>
      <c r="H35" s="88"/>
      <c r="I35" s="88"/>
      <c r="J35" s="88"/>
      <c r="K35" s="88"/>
      <c r="L35" s="88"/>
      <c r="M35" s="88"/>
      <c r="N35" s="88"/>
      <c r="O35" s="88"/>
    </row>
    <row r="36" spans="1:15" s="23" customFormat="1" ht="20.25" x14ac:dyDescent="0.25">
      <c r="A36" s="88"/>
      <c r="B36" s="88"/>
      <c r="C36" s="154"/>
      <c r="D36" s="154"/>
      <c r="E36" s="88"/>
      <c r="F36" s="88"/>
      <c r="G36" s="88"/>
      <c r="H36" s="88"/>
      <c r="I36" s="88"/>
      <c r="J36" s="88"/>
      <c r="K36" s="88"/>
      <c r="L36" s="88"/>
      <c r="M36" s="88"/>
      <c r="N36" s="88"/>
      <c r="O36" s="88"/>
    </row>
    <row r="37" spans="1:15" s="23" customFormat="1" ht="20.25" x14ac:dyDescent="0.25">
      <c r="A37" s="88"/>
      <c r="B37" s="88"/>
      <c r="C37" s="154"/>
      <c r="D37" s="154"/>
      <c r="E37" s="88"/>
      <c r="F37" s="88"/>
      <c r="G37" s="88"/>
      <c r="H37" s="88"/>
      <c r="I37" s="88"/>
      <c r="J37" s="88"/>
      <c r="K37" s="88"/>
      <c r="L37" s="88"/>
      <c r="M37" s="88"/>
      <c r="N37" s="88"/>
      <c r="O37" s="88"/>
    </row>
    <row r="38" spans="1:15" s="23" customFormat="1" ht="20.25" x14ac:dyDescent="0.25">
      <c r="A38" s="88"/>
      <c r="B38" s="88"/>
      <c r="C38" s="154"/>
      <c r="D38" s="154"/>
      <c r="E38" s="88"/>
      <c r="F38" s="88"/>
      <c r="G38" s="88"/>
      <c r="H38" s="88"/>
      <c r="I38" s="88"/>
      <c r="J38" s="88"/>
      <c r="K38" s="88"/>
      <c r="L38" s="88"/>
      <c r="M38" s="88"/>
      <c r="N38" s="88"/>
      <c r="O38" s="88"/>
    </row>
    <row r="39" spans="1:15" s="23" customFormat="1" ht="20.25" x14ac:dyDescent="0.25">
      <c r="A39" s="88"/>
      <c r="B39" s="88"/>
      <c r="C39" s="154"/>
      <c r="D39" s="154"/>
      <c r="E39" s="88"/>
      <c r="F39" s="88"/>
      <c r="G39" s="88"/>
      <c r="H39" s="88"/>
      <c r="I39" s="88"/>
      <c r="J39" s="88"/>
      <c r="K39" s="88"/>
      <c r="L39" s="88"/>
      <c r="M39" s="88"/>
      <c r="N39" s="88"/>
      <c r="O39" s="88"/>
    </row>
    <row r="40" spans="1:15" s="23" customFormat="1" ht="20.25" x14ac:dyDescent="0.25">
      <c r="A40" s="88"/>
      <c r="B40" s="88"/>
      <c r="C40" s="154"/>
      <c r="D40" s="154"/>
      <c r="E40" s="88"/>
      <c r="F40" s="88"/>
      <c r="G40" s="88"/>
      <c r="H40" s="88"/>
      <c r="I40" s="88"/>
      <c r="J40" s="88"/>
      <c r="K40" s="88"/>
      <c r="L40" s="88"/>
      <c r="M40" s="88"/>
      <c r="N40" s="88"/>
      <c r="O40" s="88"/>
    </row>
    <row r="41" spans="1:15" s="23" customFormat="1" ht="20.25" x14ac:dyDescent="0.25">
      <c r="A41" s="88"/>
      <c r="B41" s="88"/>
      <c r="C41" s="154"/>
      <c r="D41" s="154"/>
      <c r="E41" s="88"/>
      <c r="F41" s="88"/>
      <c r="G41" s="88"/>
      <c r="H41" s="88"/>
      <c r="I41" s="88"/>
      <c r="J41" s="88"/>
      <c r="K41" s="88"/>
      <c r="L41" s="88"/>
      <c r="M41" s="88"/>
      <c r="N41" s="88"/>
      <c r="O41" s="88"/>
    </row>
    <row r="42" spans="1:15" s="23" customFormat="1" ht="20.25" x14ac:dyDescent="0.25">
      <c r="A42" s="88"/>
      <c r="B42" s="88"/>
      <c r="C42" s="154"/>
      <c r="D42" s="154"/>
      <c r="E42" s="88"/>
      <c r="F42" s="88"/>
      <c r="G42" s="88"/>
      <c r="H42" s="88"/>
      <c r="I42" s="88"/>
      <c r="J42" s="88"/>
      <c r="K42" s="88"/>
      <c r="L42" s="88"/>
      <c r="M42" s="88"/>
      <c r="N42" s="88"/>
      <c r="O42" s="88"/>
    </row>
    <row r="43" spans="1:15" s="23" customFormat="1" ht="20.25" x14ac:dyDescent="0.25">
      <c r="A43" s="88"/>
      <c r="B43" s="88"/>
      <c r="C43" s="154"/>
      <c r="D43" s="154"/>
      <c r="E43" s="88"/>
      <c r="F43" s="88"/>
      <c r="G43" s="88"/>
      <c r="H43" s="88"/>
      <c r="I43" s="88"/>
      <c r="J43" s="88"/>
      <c r="K43" s="88"/>
      <c r="L43" s="88"/>
      <c r="M43" s="88"/>
      <c r="N43" s="88"/>
      <c r="O43" s="88"/>
    </row>
    <row r="44" spans="1:15" s="23" customFormat="1" ht="20.25" x14ac:dyDescent="0.25">
      <c r="A44" s="88"/>
      <c r="B44" s="88"/>
      <c r="C44" s="154"/>
      <c r="D44" s="154"/>
      <c r="E44" s="88"/>
      <c r="F44" s="88"/>
      <c r="G44" s="88"/>
      <c r="H44" s="88"/>
      <c r="I44" s="88"/>
      <c r="J44" s="88"/>
      <c r="K44" s="88"/>
      <c r="L44" s="88"/>
      <c r="M44" s="88"/>
      <c r="N44" s="88"/>
      <c r="O44" s="88"/>
    </row>
    <row r="45" spans="1:15" s="23" customFormat="1" ht="20.25" x14ac:dyDescent="0.25">
      <c r="A45" s="88"/>
      <c r="B45" s="88"/>
      <c r="C45" s="154"/>
      <c r="D45" s="154"/>
      <c r="E45" s="88"/>
      <c r="F45" s="88"/>
      <c r="G45" s="88"/>
      <c r="H45" s="88"/>
      <c r="I45" s="88"/>
      <c r="J45" s="88"/>
      <c r="K45" s="88"/>
      <c r="L45" s="88"/>
      <c r="M45" s="88"/>
      <c r="N45" s="88"/>
      <c r="O45" s="88"/>
    </row>
    <row r="46" spans="1:15" s="23" customFormat="1" ht="20.25" x14ac:dyDescent="0.25">
      <c r="A46" s="88"/>
      <c r="B46" s="88"/>
      <c r="C46" s="154"/>
      <c r="D46" s="154"/>
      <c r="E46" s="88"/>
      <c r="F46" s="88"/>
      <c r="G46" s="88"/>
      <c r="H46" s="88"/>
      <c r="I46" s="88"/>
      <c r="J46" s="88"/>
      <c r="K46" s="88"/>
      <c r="L46" s="88"/>
      <c r="M46" s="88"/>
      <c r="N46" s="88"/>
      <c r="O46" s="88"/>
    </row>
    <row r="47" spans="1:15" s="23" customFormat="1" ht="20.25" x14ac:dyDescent="0.25">
      <c r="A47" s="88"/>
      <c r="B47" s="88"/>
      <c r="C47" s="154"/>
      <c r="D47" s="154"/>
      <c r="E47" s="88"/>
      <c r="F47" s="88"/>
      <c r="G47" s="88"/>
      <c r="H47" s="88"/>
      <c r="I47" s="88"/>
      <c r="J47" s="88"/>
      <c r="K47" s="88"/>
      <c r="L47" s="88"/>
      <c r="M47" s="88"/>
      <c r="N47" s="88"/>
      <c r="O47" s="88"/>
    </row>
    <row r="48" spans="1:15" s="23" customFormat="1" ht="20.25" x14ac:dyDescent="0.25">
      <c r="A48" s="88"/>
      <c r="B48" s="88"/>
      <c r="C48" s="154"/>
      <c r="D48" s="154"/>
      <c r="E48" s="88"/>
      <c r="F48" s="88"/>
      <c r="G48" s="88"/>
      <c r="H48" s="88"/>
      <c r="I48" s="88"/>
      <c r="J48" s="88"/>
      <c r="K48" s="88"/>
      <c r="L48" s="88"/>
      <c r="M48" s="88"/>
      <c r="N48" s="88"/>
      <c r="O48" s="88"/>
    </row>
    <row r="49" spans="1:15" s="23" customFormat="1" ht="20.25" x14ac:dyDescent="0.25">
      <c r="A49" s="88"/>
      <c r="B49" s="88"/>
      <c r="C49" s="154"/>
      <c r="D49" s="154"/>
      <c r="E49" s="88"/>
      <c r="F49" s="88"/>
      <c r="G49" s="88"/>
      <c r="H49" s="88"/>
      <c r="I49" s="88"/>
      <c r="J49" s="88"/>
      <c r="K49" s="88"/>
      <c r="L49" s="88"/>
      <c r="M49" s="88"/>
      <c r="N49" s="88"/>
      <c r="O49" s="88"/>
    </row>
    <row r="50" spans="1:15" s="23" customFormat="1" ht="20.25" x14ac:dyDescent="0.25">
      <c r="A50" s="88"/>
      <c r="B50" s="88"/>
      <c r="C50" s="154"/>
      <c r="D50" s="154"/>
      <c r="E50" s="88"/>
      <c r="F50" s="88"/>
      <c r="G50" s="88"/>
      <c r="H50" s="88"/>
      <c r="I50" s="88"/>
      <c r="J50" s="88"/>
      <c r="K50" s="88"/>
      <c r="L50" s="88"/>
      <c r="M50" s="88"/>
      <c r="N50" s="88"/>
      <c r="O50" s="88"/>
    </row>
    <row r="51" spans="1:15" s="23" customFormat="1" ht="20.25" x14ac:dyDescent="0.25">
      <c r="A51" s="88"/>
      <c r="B51" s="88"/>
      <c r="C51" s="154"/>
      <c r="D51" s="154"/>
      <c r="E51" s="88"/>
      <c r="F51" s="88"/>
      <c r="G51" s="88"/>
      <c r="H51" s="88"/>
      <c r="I51" s="88"/>
      <c r="J51" s="88"/>
      <c r="K51" s="88"/>
      <c r="L51" s="88"/>
      <c r="M51" s="88"/>
      <c r="N51" s="88"/>
      <c r="O51" s="88"/>
    </row>
    <row r="52" spans="1:15" s="23" customFormat="1" ht="20.25" x14ac:dyDescent="0.25">
      <c r="A52" s="88"/>
      <c r="C52" s="156"/>
      <c r="D52" s="156"/>
    </row>
    <row r="53" spans="1:15" s="23" customFormat="1" ht="20.25" x14ac:dyDescent="0.25">
      <c r="A53" s="88"/>
      <c r="C53" s="156"/>
      <c r="D53" s="156"/>
    </row>
    <row r="54" spans="1:15" s="23" customFormat="1" ht="20.25" x14ac:dyDescent="0.25">
      <c r="A54" s="88"/>
      <c r="C54" s="156"/>
      <c r="D54" s="156"/>
    </row>
    <row r="55" spans="1:15" s="23" customFormat="1" ht="20.25" x14ac:dyDescent="0.25">
      <c r="A55" s="88"/>
      <c r="C55" s="156"/>
      <c r="D55" s="156"/>
    </row>
    <row r="56" spans="1:15" s="23" customFormat="1" ht="20.25" x14ac:dyDescent="0.25">
      <c r="A56" s="88"/>
      <c r="C56" s="156"/>
      <c r="D56" s="156"/>
    </row>
    <row r="57" spans="1:15" s="23" customFormat="1" ht="20.25" x14ac:dyDescent="0.25">
      <c r="A57" s="88"/>
      <c r="C57" s="156"/>
      <c r="D57" s="156"/>
    </row>
    <row r="58" spans="1:15" s="23" customFormat="1" ht="20.25" x14ac:dyDescent="0.25">
      <c r="A58" s="88"/>
      <c r="C58" s="156"/>
      <c r="D58" s="156"/>
    </row>
    <row r="59" spans="1:15" s="23" customFormat="1" ht="20.25" x14ac:dyDescent="0.25">
      <c r="A59" s="88"/>
      <c r="C59" s="156"/>
      <c r="D59" s="156"/>
    </row>
    <row r="60" spans="1:15" s="23" customFormat="1" ht="20.25" x14ac:dyDescent="0.25">
      <c r="A60" s="88"/>
      <c r="C60" s="156"/>
      <c r="D60" s="156"/>
    </row>
    <row r="61" spans="1:15" s="23" customFormat="1" ht="20.25" x14ac:dyDescent="0.25">
      <c r="A61" s="88"/>
      <c r="C61" s="156"/>
      <c r="D61" s="156"/>
    </row>
    <row r="62" spans="1:15" s="23" customFormat="1" ht="20.25" x14ac:dyDescent="0.25">
      <c r="A62" s="88"/>
      <c r="C62" s="156"/>
      <c r="D62" s="156"/>
    </row>
    <row r="63" spans="1:15" s="23" customFormat="1" ht="20.25" x14ac:dyDescent="0.25">
      <c r="A63" s="88"/>
      <c r="C63" s="156"/>
      <c r="D63" s="156"/>
    </row>
    <row r="64" spans="1:15" s="23" customFormat="1" ht="20.25" x14ac:dyDescent="0.25">
      <c r="A64" s="88"/>
      <c r="C64" s="156"/>
      <c r="D64" s="156"/>
    </row>
    <row r="65" spans="1:4" s="23" customFormat="1" ht="20.25" x14ac:dyDescent="0.25">
      <c r="A65" s="88"/>
      <c r="C65" s="156"/>
      <c r="D65" s="156"/>
    </row>
    <row r="66" spans="1:4" s="23" customFormat="1" ht="20.25" x14ac:dyDescent="0.25">
      <c r="A66" s="88"/>
      <c r="C66" s="156"/>
      <c r="D66" s="156"/>
    </row>
    <row r="67" spans="1:4" s="23" customFormat="1" ht="20.25" x14ac:dyDescent="0.25">
      <c r="A67" s="88"/>
      <c r="C67" s="156"/>
      <c r="D67" s="156"/>
    </row>
    <row r="68" spans="1:4" s="23" customFormat="1" ht="20.25" x14ac:dyDescent="0.25">
      <c r="A68" s="88"/>
      <c r="C68" s="156"/>
      <c r="D68" s="156"/>
    </row>
    <row r="69" spans="1:4" s="23" customFormat="1" ht="20.25" x14ac:dyDescent="0.25">
      <c r="A69" s="88"/>
      <c r="C69" s="156"/>
      <c r="D69" s="156"/>
    </row>
    <row r="70" spans="1:4" s="23" customFormat="1" ht="20.25" x14ac:dyDescent="0.25">
      <c r="A70" s="88"/>
      <c r="C70" s="156"/>
      <c r="D70" s="156"/>
    </row>
    <row r="71" spans="1:4" s="23" customFormat="1" ht="20.25" x14ac:dyDescent="0.25">
      <c r="A71" s="88"/>
      <c r="C71" s="156"/>
      <c r="D71" s="156"/>
    </row>
    <row r="72" spans="1:4" s="23" customFormat="1" ht="20.25" x14ac:dyDescent="0.25">
      <c r="A72" s="88"/>
      <c r="C72" s="156"/>
      <c r="D72" s="156"/>
    </row>
    <row r="73" spans="1:4" s="23" customFormat="1" ht="20.25" x14ac:dyDescent="0.25">
      <c r="A73" s="88"/>
      <c r="C73" s="156"/>
      <c r="D73" s="156"/>
    </row>
    <row r="74" spans="1:4" s="23" customFormat="1" ht="20.25" x14ac:dyDescent="0.25">
      <c r="A74" s="88"/>
      <c r="C74" s="156"/>
      <c r="D74" s="156"/>
    </row>
    <row r="75" spans="1:4" s="23" customFormat="1" ht="20.25" x14ac:dyDescent="0.25">
      <c r="A75" s="88"/>
      <c r="C75" s="156"/>
      <c r="D75" s="156"/>
    </row>
    <row r="76" spans="1:4" s="23" customFormat="1" ht="20.25" x14ac:dyDescent="0.25">
      <c r="A76" s="88"/>
      <c r="C76" s="156"/>
      <c r="D76" s="156"/>
    </row>
    <row r="77" spans="1:4" s="23" customFormat="1" ht="20.25" x14ac:dyDescent="0.25">
      <c r="A77" s="88"/>
      <c r="C77" s="156"/>
      <c r="D77" s="156"/>
    </row>
    <row r="78" spans="1:4" s="23" customFormat="1" ht="20.25" x14ac:dyDescent="0.25">
      <c r="A78" s="88"/>
      <c r="C78" s="156"/>
      <c r="D78" s="156"/>
    </row>
    <row r="79" spans="1:4" s="23" customFormat="1" ht="20.25" x14ac:dyDescent="0.25">
      <c r="A79" s="88"/>
      <c r="C79" s="156"/>
      <c r="D79" s="156"/>
    </row>
    <row r="80" spans="1:4" s="23" customFormat="1" ht="20.25" x14ac:dyDescent="0.25">
      <c r="A80" s="88"/>
      <c r="C80" s="156"/>
      <c r="D80" s="156"/>
    </row>
    <row r="81" spans="1:4" s="23" customFormat="1" ht="20.25" x14ac:dyDescent="0.25">
      <c r="A81" s="88"/>
      <c r="C81" s="156"/>
      <c r="D81" s="156"/>
    </row>
    <row r="82" spans="1:4" s="23" customFormat="1" ht="20.25" x14ac:dyDescent="0.25">
      <c r="A82" s="88"/>
      <c r="C82" s="156"/>
      <c r="D82" s="156"/>
    </row>
    <row r="83" spans="1:4" s="23" customFormat="1" ht="20.25" x14ac:dyDescent="0.25">
      <c r="A83" s="88"/>
      <c r="C83" s="156"/>
      <c r="D83" s="156"/>
    </row>
    <row r="84" spans="1:4" s="23" customFormat="1" ht="20.25" x14ac:dyDescent="0.25">
      <c r="A84" s="88"/>
      <c r="C84" s="156"/>
      <c r="D84" s="156"/>
    </row>
    <row r="85" spans="1:4" s="23" customFormat="1" ht="20.25" x14ac:dyDescent="0.25">
      <c r="A85" s="88"/>
      <c r="C85" s="156"/>
      <c r="D85" s="156"/>
    </row>
    <row r="86" spans="1:4" s="23" customFormat="1" ht="20.25" x14ac:dyDescent="0.25">
      <c r="A86" s="88"/>
      <c r="C86" s="156"/>
      <c r="D86" s="156"/>
    </row>
    <row r="87" spans="1:4" s="23" customFormat="1" ht="20.25" x14ac:dyDescent="0.25">
      <c r="A87" s="88"/>
      <c r="C87" s="156"/>
      <c r="D87" s="156"/>
    </row>
    <row r="88" spans="1:4" s="23" customFormat="1" ht="20.25" x14ac:dyDescent="0.25">
      <c r="A88" s="88"/>
      <c r="C88" s="156"/>
      <c r="D88" s="156"/>
    </row>
    <row r="89" spans="1:4" s="23" customFormat="1" ht="20.25" x14ac:dyDescent="0.25">
      <c r="A89" s="88"/>
      <c r="C89" s="156"/>
      <c r="D89" s="156"/>
    </row>
    <row r="90" spans="1:4" s="23" customFormat="1" ht="20.25" x14ac:dyDescent="0.25">
      <c r="A90" s="88"/>
      <c r="C90" s="156"/>
      <c r="D90" s="156"/>
    </row>
    <row r="91" spans="1:4" s="23" customFormat="1" ht="20.25" x14ac:dyDescent="0.25">
      <c r="A91" s="88"/>
      <c r="C91" s="156"/>
      <c r="D91" s="156"/>
    </row>
    <row r="92" spans="1:4" s="23" customFormat="1" ht="20.25" x14ac:dyDescent="0.25">
      <c r="A92" s="88"/>
      <c r="C92" s="156"/>
      <c r="D92" s="156"/>
    </row>
    <row r="93" spans="1:4" s="23" customFormat="1" ht="20.25" x14ac:dyDescent="0.25">
      <c r="A93" s="88"/>
      <c r="C93" s="156"/>
      <c r="D93" s="156"/>
    </row>
    <row r="94" spans="1:4" s="23" customFormat="1" ht="20.25" x14ac:dyDescent="0.25">
      <c r="A94" s="88"/>
      <c r="C94" s="156"/>
      <c r="D94" s="156"/>
    </row>
    <row r="95" spans="1:4" s="23" customFormat="1" ht="20.25" x14ac:dyDescent="0.25">
      <c r="A95" s="88"/>
      <c r="C95" s="156"/>
      <c r="D95" s="156"/>
    </row>
    <row r="96" spans="1:4" s="23" customFormat="1" ht="20.25" x14ac:dyDescent="0.25">
      <c r="A96" s="88"/>
      <c r="C96" s="156"/>
      <c r="D96" s="156"/>
    </row>
    <row r="97" spans="1:4" s="23" customFormat="1" ht="20.25" x14ac:dyDescent="0.25">
      <c r="A97" s="88"/>
      <c r="C97" s="156"/>
      <c r="D97" s="156"/>
    </row>
    <row r="98" spans="1:4" s="23" customFormat="1" ht="20.25" x14ac:dyDescent="0.25">
      <c r="A98" s="88"/>
      <c r="C98" s="156"/>
      <c r="D98" s="156"/>
    </row>
    <row r="99" spans="1:4" s="23" customFormat="1" ht="20.25" x14ac:dyDescent="0.25">
      <c r="A99" s="88"/>
      <c r="C99" s="156"/>
      <c r="D99" s="156"/>
    </row>
    <row r="100" spans="1:4" s="23" customFormat="1" ht="20.25" x14ac:dyDescent="0.25">
      <c r="A100" s="88"/>
      <c r="C100" s="156"/>
      <c r="D100" s="156"/>
    </row>
    <row r="101" spans="1:4" s="23" customFormat="1" ht="20.25" x14ac:dyDescent="0.25">
      <c r="A101" s="88"/>
      <c r="C101" s="156"/>
      <c r="D101" s="156"/>
    </row>
    <row r="102" spans="1:4" s="23" customFormat="1" ht="20.25" x14ac:dyDescent="0.25">
      <c r="A102" s="88"/>
      <c r="C102" s="156"/>
      <c r="D102" s="156"/>
    </row>
    <row r="103" spans="1:4" s="23" customFormat="1" ht="20.25" x14ac:dyDescent="0.25">
      <c r="A103" s="88"/>
      <c r="C103" s="156"/>
      <c r="D103" s="156"/>
    </row>
    <row r="104" spans="1:4" s="23" customFormat="1" ht="20.25" x14ac:dyDescent="0.25">
      <c r="A104" s="88"/>
      <c r="C104" s="156"/>
      <c r="D104" s="156"/>
    </row>
    <row r="105" spans="1:4" s="23" customFormat="1" ht="20.25" x14ac:dyDescent="0.25">
      <c r="A105" s="88"/>
      <c r="C105" s="156"/>
      <c r="D105" s="156"/>
    </row>
    <row r="106" spans="1:4" s="23" customFormat="1" ht="20.25" x14ac:dyDescent="0.25">
      <c r="A106" s="88"/>
      <c r="C106" s="156"/>
      <c r="D106" s="156"/>
    </row>
    <row r="107" spans="1:4" s="23" customFormat="1" ht="20.25" x14ac:dyDescent="0.25">
      <c r="A107" s="88"/>
      <c r="C107" s="156"/>
      <c r="D107" s="156"/>
    </row>
    <row r="108" spans="1:4" s="23" customFormat="1" ht="20.25" x14ac:dyDescent="0.25">
      <c r="A108" s="88"/>
      <c r="C108" s="156"/>
      <c r="D108" s="156"/>
    </row>
    <row r="109" spans="1:4" s="23" customFormat="1" ht="20.25" x14ac:dyDescent="0.25">
      <c r="A109" s="88"/>
      <c r="C109" s="156"/>
      <c r="D109" s="156"/>
    </row>
    <row r="110" spans="1:4" s="23" customFormat="1" ht="20.25" x14ac:dyDescent="0.25">
      <c r="A110" s="88"/>
      <c r="C110" s="156"/>
      <c r="D110" s="156"/>
    </row>
    <row r="111" spans="1:4" s="23" customFormat="1" ht="20.25" x14ac:dyDescent="0.25">
      <c r="A111" s="88"/>
      <c r="C111" s="156"/>
      <c r="D111" s="156"/>
    </row>
    <row r="112" spans="1:4" s="23" customFormat="1" ht="20.25" x14ac:dyDescent="0.25">
      <c r="A112" s="88"/>
      <c r="C112" s="156"/>
      <c r="D112" s="156"/>
    </row>
    <row r="113" spans="1:4" s="23" customFormat="1" ht="20.25" x14ac:dyDescent="0.25">
      <c r="A113" s="88"/>
      <c r="C113" s="156"/>
      <c r="D113" s="156"/>
    </row>
    <row r="114" spans="1:4" s="23" customFormat="1" ht="20.25" x14ac:dyDescent="0.25">
      <c r="A114" s="88"/>
      <c r="C114" s="156"/>
      <c r="D114" s="156"/>
    </row>
    <row r="115" spans="1:4" s="23" customFormat="1" ht="20.25" x14ac:dyDescent="0.25">
      <c r="A115" s="88"/>
      <c r="C115" s="156"/>
      <c r="D115" s="156"/>
    </row>
    <row r="116" spans="1:4" s="23" customFormat="1" ht="20.25" x14ac:dyDescent="0.25">
      <c r="A116" s="88"/>
      <c r="C116" s="156"/>
      <c r="D116" s="156"/>
    </row>
    <row r="117" spans="1:4" s="23" customFormat="1" ht="20.25" x14ac:dyDescent="0.25">
      <c r="A117" s="88"/>
      <c r="C117" s="156"/>
      <c r="D117" s="156"/>
    </row>
    <row r="118" spans="1:4" s="23" customFormat="1" ht="20.25" x14ac:dyDescent="0.25">
      <c r="A118" s="88"/>
      <c r="C118" s="156"/>
      <c r="D118" s="156"/>
    </row>
    <row r="119" spans="1:4" s="23" customFormat="1" ht="20.25" x14ac:dyDescent="0.25">
      <c r="A119" s="88"/>
      <c r="C119" s="156"/>
      <c r="D119" s="156"/>
    </row>
    <row r="120" spans="1:4" s="23" customFormat="1" ht="20.25" x14ac:dyDescent="0.25">
      <c r="A120" s="88"/>
      <c r="C120" s="156"/>
      <c r="D120" s="156"/>
    </row>
    <row r="121" spans="1:4" s="23" customFormat="1" ht="20.25" x14ac:dyDescent="0.25">
      <c r="A121" s="88"/>
      <c r="C121" s="156"/>
      <c r="D121" s="156"/>
    </row>
    <row r="122" spans="1:4" s="23" customFormat="1" ht="20.25" x14ac:dyDescent="0.25">
      <c r="A122" s="88"/>
      <c r="C122" s="156"/>
      <c r="D122" s="156"/>
    </row>
    <row r="123" spans="1:4" s="23" customFormat="1" ht="20.25" x14ac:dyDescent="0.25">
      <c r="A123" s="88"/>
      <c r="C123" s="156"/>
      <c r="D123" s="156"/>
    </row>
    <row r="124" spans="1:4" s="23" customFormat="1" ht="20.25" x14ac:dyDescent="0.25">
      <c r="A124" s="88"/>
      <c r="C124" s="156"/>
      <c r="D124" s="156"/>
    </row>
    <row r="125" spans="1:4" s="23" customFormat="1" ht="20.25" x14ac:dyDescent="0.25">
      <c r="A125" s="88"/>
      <c r="C125" s="156"/>
      <c r="D125" s="156"/>
    </row>
    <row r="126" spans="1:4" s="23" customFormat="1" ht="20.25" x14ac:dyDescent="0.25">
      <c r="A126" s="88"/>
      <c r="C126" s="156"/>
      <c r="D126" s="156"/>
    </row>
    <row r="127" spans="1:4" s="23" customFormat="1" ht="20.25" x14ac:dyDescent="0.25">
      <c r="A127" s="88"/>
      <c r="C127" s="156"/>
      <c r="D127" s="156"/>
    </row>
    <row r="128" spans="1:4" s="23" customFormat="1" ht="20.25" x14ac:dyDescent="0.25">
      <c r="A128" s="88"/>
      <c r="C128" s="156"/>
      <c r="D128" s="156"/>
    </row>
    <row r="129" spans="1:4" s="23" customFormat="1" ht="20.25" x14ac:dyDescent="0.25">
      <c r="A129" s="88"/>
      <c r="C129" s="156"/>
      <c r="D129" s="156"/>
    </row>
    <row r="130" spans="1:4" s="23" customFormat="1" ht="20.25" x14ac:dyDescent="0.25">
      <c r="A130" s="88"/>
      <c r="C130" s="156"/>
      <c r="D130" s="156"/>
    </row>
    <row r="131" spans="1:4" s="23" customFormat="1" ht="20.25" x14ac:dyDescent="0.25">
      <c r="A131" s="88"/>
      <c r="C131" s="156"/>
      <c r="D131" s="156"/>
    </row>
    <row r="132" spans="1:4" s="23" customFormat="1" ht="20.25" x14ac:dyDescent="0.25">
      <c r="A132" s="88"/>
      <c r="C132" s="156"/>
      <c r="D132" s="156"/>
    </row>
    <row r="133" spans="1:4" s="23" customFormat="1" ht="20.25" x14ac:dyDescent="0.25">
      <c r="A133" s="88"/>
      <c r="C133" s="156"/>
      <c r="D133" s="156"/>
    </row>
    <row r="134" spans="1:4" s="23" customFormat="1" ht="20.25" x14ac:dyDescent="0.25">
      <c r="A134" s="88"/>
      <c r="C134" s="156"/>
      <c r="D134" s="156"/>
    </row>
    <row r="135" spans="1:4" s="23" customFormat="1" ht="20.25" x14ac:dyDescent="0.25">
      <c r="A135" s="88"/>
      <c r="C135" s="156"/>
      <c r="D135" s="156"/>
    </row>
    <row r="136" spans="1:4" s="23" customFormat="1" ht="20.25" x14ac:dyDescent="0.25">
      <c r="A136" s="88"/>
      <c r="C136" s="156"/>
      <c r="D136" s="156"/>
    </row>
    <row r="137" spans="1:4" s="23" customFormat="1" ht="20.25" x14ac:dyDescent="0.25">
      <c r="A137" s="88"/>
      <c r="C137" s="156"/>
      <c r="D137" s="156"/>
    </row>
    <row r="138" spans="1:4" s="23" customFormat="1" ht="20.25" x14ac:dyDescent="0.25">
      <c r="A138" s="88"/>
      <c r="C138" s="156"/>
      <c r="D138" s="156"/>
    </row>
    <row r="139" spans="1:4" s="23" customFormat="1" ht="20.25" x14ac:dyDescent="0.25">
      <c r="A139" s="88"/>
      <c r="C139" s="156"/>
      <c r="D139" s="156"/>
    </row>
    <row r="140" spans="1:4" s="23" customFormat="1" ht="20.25" x14ac:dyDescent="0.25">
      <c r="A140" s="88"/>
      <c r="C140" s="156"/>
      <c r="D140" s="156"/>
    </row>
    <row r="141" spans="1:4" s="23" customFormat="1" ht="20.25" x14ac:dyDescent="0.25">
      <c r="A141" s="88"/>
      <c r="C141" s="156"/>
      <c r="D141" s="156"/>
    </row>
    <row r="142" spans="1:4" s="23" customFormat="1" ht="20.25" x14ac:dyDescent="0.25">
      <c r="A142" s="88"/>
      <c r="C142" s="156"/>
      <c r="D142" s="156"/>
    </row>
    <row r="143" spans="1:4" s="23" customFormat="1" ht="20.25" x14ac:dyDescent="0.25">
      <c r="A143" s="88"/>
      <c r="C143" s="156"/>
      <c r="D143" s="156"/>
    </row>
    <row r="144" spans="1:4" s="23" customFormat="1" ht="20.25" x14ac:dyDescent="0.25">
      <c r="A144" s="88"/>
      <c r="C144" s="156"/>
      <c r="D144" s="156"/>
    </row>
    <row r="145" spans="1:4" s="23" customFormat="1" ht="20.25" x14ac:dyDescent="0.25">
      <c r="A145" s="88"/>
      <c r="C145" s="156"/>
      <c r="D145" s="156"/>
    </row>
    <row r="146" spans="1:4" s="23" customFormat="1" ht="20.25" x14ac:dyDescent="0.25">
      <c r="A146" s="88"/>
      <c r="C146" s="156"/>
      <c r="D146" s="156"/>
    </row>
    <row r="147" spans="1:4" s="23" customFormat="1" ht="20.25" x14ac:dyDescent="0.25">
      <c r="A147" s="88"/>
      <c r="C147" s="156"/>
      <c r="D147" s="156"/>
    </row>
    <row r="148" spans="1:4" s="23" customFormat="1" ht="20.25" x14ac:dyDescent="0.25">
      <c r="A148" s="88"/>
      <c r="C148" s="156"/>
      <c r="D148" s="156"/>
    </row>
    <row r="149" spans="1:4" s="23" customFormat="1" ht="20.25" x14ac:dyDescent="0.25">
      <c r="A149" s="88"/>
      <c r="C149" s="156"/>
      <c r="D149" s="156"/>
    </row>
    <row r="150" spans="1:4" s="23" customFormat="1" ht="20.25" x14ac:dyDescent="0.25">
      <c r="A150" s="88"/>
      <c r="C150" s="156"/>
      <c r="D150" s="156"/>
    </row>
    <row r="151" spans="1:4" s="23" customFormat="1" ht="20.25" x14ac:dyDescent="0.25">
      <c r="A151" s="88"/>
      <c r="C151" s="156"/>
      <c r="D151" s="156"/>
    </row>
    <row r="152" spans="1:4" s="23" customFormat="1" ht="20.25" x14ac:dyDescent="0.25">
      <c r="A152" s="88"/>
      <c r="C152" s="156"/>
      <c r="D152" s="156"/>
    </row>
    <row r="153" spans="1:4" s="23" customFormat="1" ht="20.25" x14ac:dyDescent="0.25">
      <c r="A153" s="88"/>
      <c r="C153" s="156"/>
      <c r="D153" s="156"/>
    </row>
    <row r="154" spans="1:4" s="23" customFormat="1" ht="20.25" x14ac:dyDescent="0.25">
      <c r="A154" s="88"/>
      <c r="C154" s="156"/>
      <c r="D154" s="156"/>
    </row>
    <row r="155" spans="1:4" s="23" customFormat="1" ht="20.25" x14ac:dyDescent="0.25">
      <c r="A155" s="88"/>
      <c r="C155" s="156"/>
      <c r="D155" s="156"/>
    </row>
    <row r="156" spans="1:4" s="23" customFormat="1" ht="20.25" x14ac:dyDescent="0.25">
      <c r="A156" s="88"/>
      <c r="C156" s="156"/>
      <c r="D156" s="156"/>
    </row>
    <row r="157" spans="1:4" s="23" customFormat="1" ht="20.25" x14ac:dyDescent="0.25">
      <c r="A157" s="88"/>
      <c r="C157" s="156"/>
      <c r="D157" s="156"/>
    </row>
    <row r="158" spans="1:4" s="23" customFormat="1" ht="20.25" x14ac:dyDescent="0.25">
      <c r="A158" s="88"/>
      <c r="C158" s="156"/>
      <c r="D158" s="156"/>
    </row>
    <row r="159" spans="1:4" s="23" customFormat="1" ht="20.25" x14ac:dyDescent="0.25">
      <c r="A159" s="88"/>
      <c r="C159" s="156"/>
      <c r="D159" s="156"/>
    </row>
    <row r="160" spans="1:4" s="23" customFormat="1" ht="20.25" x14ac:dyDescent="0.25">
      <c r="A160" s="88"/>
      <c r="C160" s="156"/>
      <c r="D160" s="156"/>
    </row>
    <row r="161" spans="1:4" s="23" customFormat="1" ht="20.25" x14ac:dyDescent="0.25">
      <c r="A161" s="88"/>
      <c r="C161" s="156"/>
      <c r="D161" s="156"/>
    </row>
    <row r="162" spans="1:4" s="23" customFormat="1" ht="20.25" x14ac:dyDescent="0.25">
      <c r="A162" s="88"/>
      <c r="C162" s="156"/>
      <c r="D162" s="156"/>
    </row>
    <row r="163" spans="1:4" s="23" customFormat="1" ht="20.25" x14ac:dyDescent="0.25">
      <c r="A163" s="88"/>
      <c r="C163" s="156"/>
      <c r="D163" s="156"/>
    </row>
    <row r="164" spans="1:4" s="23" customFormat="1" ht="20.25" x14ac:dyDescent="0.25">
      <c r="A164" s="88"/>
      <c r="C164" s="156"/>
      <c r="D164" s="156"/>
    </row>
    <row r="165" spans="1:4" s="23" customFormat="1" ht="20.25" x14ac:dyDescent="0.25">
      <c r="A165" s="88"/>
      <c r="C165" s="156"/>
      <c r="D165" s="156"/>
    </row>
    <row r="166" spans="1:4" s="23" customFormat="1" ht="20.25" x14ac:dyDescent="0.25">
      <c r="A166" s="88"/>
      <c r="C166" s="156"/>
      <c r="D166" s="156"/>
    </row>
    <row r="167" spans="1:4" s="23" customFormat="1" ht="20.25" x14ac:dyDescent="0.25">
      <c r="A167" s="88"/>
      <c r="C167" s="156"/>
      <c r="D167" s="156"/>
    </row>
    <row r="168" spans="1:4" s="23" customFormat="1" ht="20.25" x14ac:dyDescent="0.25">
      <c r="A168" s="88"/>
      <c r="C168" s="156"/>
      <c r="D168" s="156"/>
    </row>
    <row r="169" spans="1:4" s="23" customFormat="1" ht="20.25" x14ac:dyDescent="0.25">
      <c r="A169" s="88"/>
      <c r="C169" s="156"/>
      <c r="D169" s="156"/>
    </row>
    <row r="170" spans="1:4" s="23" customFormat="1" ht="20.25" x14ac:dyDescent="0.25">
      <c r="A170" s="88"/>
      <c r="C170" s="156"/>
      <c r="D170" s="156"/>
    </row>
    <row r="171" spans="1:4" s="23" customFormat="1" ht="20.25" x14ac:dyDescent="0.25">
      <c r="A171" s="88"/>
      <c r="C171" s="156"/>
      <c r="D171" s="156"/>
    </row>
    <row r="172" spans="1:4" s="23" customFormat="1" ht="20.25" x14ac:dyDescent="0.25">
      <c r="A172" s="88"/>
      <c r="C172" s="156"/>
      <c r="D172" s="156"/>
    </row>
    <row r="173" spans="1:4" s="23" customFormat="1" ht="20.25" x14ac:dyDescent="0.25">
      <c r="A173" s="88"/>
      <c r="C173" s="156"/>
      <c r="D173" s="156"/>
    </row>
    <row r="174" spans="1:4" s="23" customFormat="1" ht="20.25" x14ac:dyDescent="0.25">
      <c r="A174" s="88"/>
      <c r="C174" s="156"/>
      <c r="D174" s="156"/>
    </row>
    <row r="175" spans="1:4" s="23" customFormat="1" ht="20.25" x14ac:dyDescent="0.25">
      <c r="A175" s="88"/>
      <c r="C175" s="156"/>
      <c r="D175" s="156"/>
    </row>
    <row r="176" spans="1:4" s="23" customFormat="1" ht="20.25" x14ac:dyDescent="0.25">
      <c r="A176" s="88"/>
      <c r="C176" s="156"/>
      <c r="D176" s="156"/>
    </row>
    <row r="177" spans="1:4" s="23" customFormat="1" ht="20.25" x14ac:dyDescent="0.25">
      <c r="A177" s="88"/>
      <c r="C177" s="156"/>
      <c r="D177" s="156"/>
    </row>
    <row r="178" spans="1:4" s="23" customFormat="1" ht="20.25" x14ac:dyDescent="0.25">
      <c r="A178" s="88"/>
      <c r="C178" s="156"/>
      <c r="D178" s="156"/>
    </row>
    <row r="179" spans="1:4" s="23" customFormat="1" ht="20.25" x14ac:dyDescent="0.25">
      <c r="A179" s="88"/>
      <c r="C179" s="156"/>
      <c r="D179" s="156"/>
    </row>
    <row r="180" spans="1:4" s="23" customFormat="1" ht="20.25" x14ac:dyDescent="0.25">
      <c r="A180" s="88"/>
      <c r="C180" s="156"/>
      <c r="D180" s="156"/>
    </row>
    <row r="181" spans="1:4" s="23" customFormat="1" ht="20.25" x14ac:dyDescent="0.25">
      <c r="A181" s="88"/>
      <c r="C181" s="156"/>
      <c r="D181" s="156"/>
    </row>
    <row r="182" spans="1:4" s="23" customFormat="1" ht="20.25" x14ac:dyDescent="0.25">
      <c r="A182" s="88"/>
      <c r="C182" s="156"/>
      <c r="D182" s="156"/>
    </row>
    <row r="183" spans="1:4" s="23" customFormat="1" ht="20.25" x14ac:dyDescent="0.25">
      <c r="A183" s="88"/>
      <c r="C183" s="156"/>
      <c r="D183" s="156"/>
    </row>
    <row r="184" spans="1:4" s="23" customFormat="1" ht="20.25" x14ac:dyDescent="0.25">
      <c r="A184" s="88"/>
      <c r="C184" s="156"/>
      <c r="D184" s="156"/>
    </row>
    <row r="185" spans="1:4" s="23" customFormat="1" ht="20.25" x14ac:dyDescent="0.25">
      <c r="A185" s="88"/>
      <c r="C185" s="156"/>
      <c r="D185" s="156"/>
    </row>
    <row r="186" spans="1:4" s="23" customFormat="1" ht="20.25" x14ac:dyDescent="0.25">
      <c r="A186" s="88"/>
      <c r="C186" s="156"/>
      <c r="D186" s="156"/>
    </row>
    <row r="187" spans="1:4" s="23" customFormat="1" ht="20.25" x14ac:dyDescent="0.25">
      <c r="A187" s="88"/>
      <c r="C187" s="156"/>
      <c r="D187" s="156"/>
    </row>
    <row r="188" spans="1:4" s="23" customFormat="1" ht="20.25" x14ac:dyDescent="0.25">
      <c r="A188" s="88"/>
      <c r="C188" s="156"/>
      <c r="D188" s="156"/>
    </row>
    <row r="189" spans="1:4" s="23" customFormat="1" ht="20.25" x14ac:dyDescent="0.25">
      <c r="A189" s="88"/>
      <c r="C189" s="156"/>
      <c r="D189" s="156"/>
    </row>
    <row r="190" spans="1:4" s="23" customFormat="1" ht="20.25" x14ac:dyDescent="0.25">
      <c r="A190" s="88"/>
      <c r="C190" s="156"/>
      <c r="D190" s="156"/>
    </row>
    <row r="191" spans="1:4" s="23" customFormat="1" ht="20.25" x14ac:dyDescent="0.25">
      <c r="A191" s="88"/>
      <c r="C191" s="156"/>
      <c r="D191" s="156"/>
    </row>
    <row r="192" spans="1:4" s="23" customFormat="1" ht="20.25" x14ac:dyDescent="0.25">
      <c r="A192" s="88"/>
      <c r="C192" s="156"/>
      <c r="D192" s="156"/>
    </row>
    <row r="193" spans="1:4" s="23" customFormat="1" ht="20.25" x14ac:dyDescent="0.25">
      <c r="A193" s="88"/>
      <c r="C193" s="156"/>
      <c r="D193" s="156"/>
    </row>
    <row r="194" spans="1:4" s="23" customFormat="1" ht="20.25" x14ac:dyDescent="0.25">
      <c r="A194" s="88"/>
      <c r="C194" s="156"/>
      <c r="D194" s="156"/>
    </row>
    <row r="195" spans="1:4" s="23" customFormat="1" ht="20.25" x14ac:dyDescent="0.25">
      <c r="A195" s="88"/>
      <c r="C195" s="156"/>
      <c r="D195" s="156"/>
    </row>
    <row r="196" spans="1:4" s="23" customFormat="1" ht="20.25" x14ac:dyDescent="0.25">
      <c r="A196" s="88"/>
      <c r="C196" s="156"/>
      <c r="D196" s="156"/>
    </row>
    <row r="197" spans="1:4" s="23" customFormat="1" ht="20.25" x14ac:dyDescent="0.25">
      <c r="A197" s="88"/>
      <c r="C197" s="156"/>
      <c r="D197" s="156"/>
    </row>
    <row r="198" spans="1:4" s="23" customFormat="1" ht="20.25" x14ac:dyDescent="0.25">
      <c r="A198" s="88"/>
      <c r="C198" s="156"/>
      <c r="D198" s="156"/>
    </row>
    <row r="199" spans="1:4" s="23" customFormat="1" ht="20.25" x14ac:dyDescent="0.25">
      <c r="A199" s="88"/>
      <c r="C199" s="156"/>
      <c r="D199" s="156"/>
    </row>
    <row r="200" spans="1:4" s="23" customFormat="1" ht="20.25" x14ac:dyDescent="0.25">
      <c r="A200" s="88"/>
      <c r="C200" s="156"/>
      <c r="D200" s="156"/>
    </row>
    <row r="201" spans="1:4" s="23" customFormat="1" ht="20.25" x14ac:dyDescent="0.25">
      <c r="A201" s="88"/>
      <c r="C201" s="156"/>
      <c r="D201" s="156"/>
    </row>
    <row r="202" spans="1:4" s="23" customFormat="1" ht="20.25" x14ac:dyDescent="0.25">
      <c r="A202" s="88"/>
      <c r="C202" s="156"/>
      <c r="D202" s="156"/>
    </row>
    <row r="203" spans="1:4" s="23" customFormat="1" ht="20.25" x14ac:dyDescent="0.25">
      <c r="A203" s="88"/>
      <c r="C203" s="156"/>
      <c r="D203" s="156"/>
    </row>
    <row r="204" spans="1:4" s="23" customFormat="1" ht="20.25" x14ac:dyDescent="0.25">
      <c r="A204" s="88"/>
      <c r="C204" s="156"/>
      <c r="D204" s="156"/>
    </row>
    <row r="205" spans="1:4" s="23" customFormat="1" ht="20.25" x14ac:dyDescent="0.25">
      <c r="A205" s="88"/>
      <c r="C205" s="156"/>
      <c r="D205" s="156"/>
    </row>
    <row r="206" spans="1:4" s="23" customFormat="1" ht="20.25" x14ac:dyDescent="0.25">
      <c r="A206" s="88"/>
      <c r="C206" s="156"/>
      <c r="D206" s="156"/>
    </row>
    <row r="207" spans="1:4" s="23" customFormat="1" ht="20.25" x14ac:dyDescent="0.25">
      <c r="A207" s="88"/>
      <c r="C207" s="156"/>
      <c r="D207" s="156"/>
    </row>
    <row r="208" spans="1:4" s="23" customFormat="1" x14ac:dyDescent="0.25">
      <c r="A208" s="88"/>
    </row>
    <row r="209" spans="1:8" s="23" customFormat="1" ht="20.25" x14ac:dyDescent="0.25">
      <c r="A209" s="88"/>
      <c r="B209" s="157" t="s">
        <v>86</v>
      </c>
      <c r="C209" s="157" t="s">
        <v>139</v>
      </c>
      <c r="D209" s="158" t="s">
        <v>86</v>
      </c>
      <c r="E209" s="158" t="s">
        <v>139</v>
      </c>
    </row>
    <row r="210" spans="1:8" s="23" customFormat="1" ht="42" x14ac:dyDescent="0.35">
      <c r="A210" s="88"/>
      <c r="B210" s="159" t="s">
        <v>88</v>
      </c>
      <c r="C210" s="159"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8"/>
      <c r="B211" s="159" t="s">
        <v>88</v>
      </c>
      <c r="C211" s="159" t="s">
        <v>205</v>
      </c>
      <c r="E211" s="23" t="s">
        <v>204</v>
      </c>
      <c r="F211" s="23" t="str">
        <f t="shared" ref="F211:F221" si="0">IF(NOT(ISBLANK(D211)),D211,IF(NOT(ISBLANK(E211)),"     "&amp;E211,FALSE))</f>
        <v xml:space="preserve">     Afectación menor a 200 SMLMV</v>
      </c>
    </row>
    <row r="212" spans="1:8" s="23" customFormat="1" ht="42" x14ac:dyDescent="0.35">
      <c r="A212" s="88"/>
      <c r="B212" s="159" t="s">
        <v>88</v>
      </c>
      <c r="C212" s="159" t="s">
        <v>209</v>
      </c>
      <c r="E212" s="23" t="s">
        <v>205</v>
      </c>
      <c r="F212" s="23" t="str">
        <f t="shared" si="0"/>
        <v xml:space="preserve">     Entre 200 y 1000 SMLMV</v>
      </c>
    </row>
    <row r="213" spans="1:8" s="23" customFormat="1" ht="42" x14ac:dyDescent="0.35">
      <c r="A213" s="88"/>
      <c r="B213" s="159" t="s">
        <v>88</v>
      </c>
      <c r="C213" s="159" t="s">
        <v>210</v>
      </c>
      <c r="E213" s="23" t="s">
        <v>209</v>
      </c>
      <c r="F213" s="23" t="str">
        <f t="shared" si="0"/>
        <v xml:space="preserve">     Entre 1000 y 5000 SMLMV </v>
      </c>
    </row>
    <row r="214" spans="1:8" s="23" customFormat="1" ht="42" x14ac:dyDescent="0.35">
      <c r="A214" s="88"/>
      <c r="B214" s="159" t="s">
        <v>88</v>
      </c>
      <c r="C214" s="159" t="s">
        <v>206</v>
      </c>
      <c r="E214" s="23" t="s">
        <v>210</v>
      </c>
      <c r="F214" s="23" t="str">
        <f t="shared" si="0"/>
        <v xml:space="preserve">     Entre 5000 y 10000 SMLMV</v>
      </c>
    </row>
    <row r="215" spans="1:8" s="23" customFormat="1" ht="42" x14ac:dyDescent="0.35">
      <c r="A215" s="88"/>
      <c r="B215" s="159" t="s">
        <v>56</v>
      </c>
      <c r="C215" s="159" t="s">
        <v>91</v>
      </c>
      <c r="E215" s="23" t="s">
        <v>206</v>
      </c>
      <c r="F215" s="23" t="str">
        <f t="shared" si="0"/>
        <v xml:space="preserve">     Mayor a 10000 SMLMV</v>
      </c>
    </row>
    <row r="216" spans="1:8" s="23" customFormat="1" ht="63" x14ac:dyDescent="0.35">
      <c r="A216" s="88"/>
      <c r="B216" s="159" t="s">
        <v>56</v>
      </c>
      <c r="C216" s="159" t="s">
        <v>92</v>
      </c>
      <c r="D216" s="23" t="s">
        <v>56</v>
      </c>
      <c r="F216" s="23" t="str">
        <f t="shared" si="0"/>
        <v>Pérdida Reputacional</v>
      </c>
    </row>
    <row r="217" spans="1:8" s="23" customFormat="1" ht="42" x14ac:dyDescent="0.35">
      <c r="A217" s="88"/>
      <c r="B217" s="159" t="s">
        <v>56</v>
      </c>
      <c r="C217" s="159" t="s">
        <v>94</v>
      </c>
      <c r="E217" s="23" t="s">
        <v>91</v>
      </c>
      <c r="F217" s="23" t="str">
        <f>IF(NOT(ISBLANK(D217)),D217,IF(NOT(ISBLANK(E217)),"     "&amp;E217,FALSE))</f>
        <v xml:space="preserve">     El riesgo afecta la imagen de alguna área de la organización</v>
      </c>
    </row>
    <row r="218" spans="1:8" s="23" customFormat="1" ht="63" x14ac:dyDescent="0.35">
      <c r="A218" s="88"/>
      <c r="B218" s="159" t="s">
        <v>56</v>
      </c>
      <c r="C218" s="159"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9" t="s">
        <v>56</v>
      </c>
      <c r="C219" s="159" t="s">
        <v>112</v>
      </c>
      <c r="E219" s="23" t="s">
        <v>94</v>
      </c>
      <c r="F219" s="23" t="str">
        <f t="shared" si="0"/>
        <v xml:space="preserve">     El riesgo afecta la imagen de la entidad con algunos usuarios de relevancia frente al logro de los objetivos</v>
      </c>
    </row>
    <row r="220" spans="1:8" s="23" customFormat="1" x14ac:dyDescent="0.25">
      <c r="A220" s="88"/>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60" t="s">
        <v>140</v>
      </c>
    </row>
    <row r="224" spans="1:8" s="23" customFormat="1" x14ac:dyDescent="0.25">
      <c r="F224" s="160"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29" t="s">
        <v>76</v>
      </c>
      <c r="C1" s="430"/>
      <c r="D1" s="430"/>
      <c r="E1" s="430"/>
      <c r="F1" s="431"/>
    </row>
    <row r="2" spans="2:6" ht="16.5" thickBot="1" x14ac:dyDescent="0.3">
      <c r="B2" s="74"/>
      <c r="C2" s="74"/>
      <c r="D2" s="74"/>
      <c r="E2" s="74"/>
      <c r="F2" s="74"/>
    </row>
    <row r="3" spans="2:6" ht="16.5" thickBot="1" x14ac:dyDescent="0.25">
      <c r="B3" s="433" t="s">
        <v>62</v>
      </c>
      <c r="C3" s="434"/>
      <c r="D3" s="434"/>
      <c r="E3" s="86" t="s">
        <v>63</v>
      </c>
      <c r="F3" s="87" t="s">
        <v>64</v>
      </c>
    </row>
    <row r="4" spans="2:6" ht="31.5" x14ac:dyDescent="0.2">
      <c r="B4" s="435" t="s">
        <v>65</v>
      </c>
      <c r="C4" s="437" t="s">
        <v>13</v>
      </c>
      <c r="D4" s="75" t="s">
        <v>14</v>
      </c>
      <c r="E4" s="76" t="s">
        <v>66</v>
      </c>
      <c r="F4" s="77">
        <v>0.25</v>
      </c>
    </row>
    <row r="5" spans="2:6" ht="47.25" x14ac:dyDescent="0.2">
      <c r="B5" s="436"/>
      <c r="C5" s="438"/>
      <c r="D5" s="78" t="s">
        <v>15</v>
      </c>
      <c r="E5" s="79" t="s">
        <v>67</v>
      </c>
      <c r="F5" s="80">
        <v>0.15</v>
      </c>
    </row>
    <row r="6" spans="2:6" ht="47.25" x14ac:dyDescent="0.2">
      <c r="B6" s="436"/>
      <c r="C6" s="438"/>
      <c r="D6" s="78" t="s">
        <v>16</v>
      </c>
      <c r="E6" s="79" t="s">
        <v>68</v>
      </c>
      <c r="F6" s="80">
        <v>0.1</v>
      </c>
    </row>
    <row r="7" spans="2:6" ht="63" x14ac:dyDescent="0.2">
      <c r="B7" s="436"/>
      <c r="C7" s="438" t="s">
        <v>17</v>
      </c>
      <c r="D7" s="78" t="s">
        <v>10</v>
      </c>
      <c r="E7" s="79" t="s">
        <v>69</v>
      </c>
      <c r="F7" s="80">
        <v>0.25</v>
      </c>
    </row>
    <row r="8" spans="2:6" ht="31.5" x14ac:dyDescent="0.2">
      <c r="B8" s="436"/>
      <c r="C8" s="438"/>
      <c r="D8" s="78" t="s">
        <v>9</v>
      </c>
      <c r="E8" s="79" t="s">
        <v>70</v>
      </c>
      <c r="F8" s="80">
        <v>0.15</v>
      </c>
    </row>
    <row r="9" spans="2:6" ht="47.25" x14ac:dyDescent="0.2">
      <c r="B9" s="436" t="s">
        <v>150</v>
      </c>
      <c r="C9" s="438" t="s">
        <v>18</v>
      </c>
      <c r="D9" s="78" t="s">
        <v>19</v>
      </c>
      <c r="E9" s="79" t="s">
        <v>71</v>
      </c>
      <c r="F9" s="81" t="s">
        <v>72</v>
      </c>
    </row>
    <row r="10" spans="2:6" ht="63" x14ac:dyDescent="0.2">
      <c r="B10" s="436"/>
      <c r="C10" s="438"/>
      <c r="D10" s="78" t="s">
        <v>20</v>
      </c>
      <c r="E10" s="79" t="s">
        <v>73</v>
      </c>
      <c r="F10" s="81" t="s">
        <v>72</v>
      </c>
    </row>
    <row r="11" spans="2:6" ht="47.25" x14ac:dyDescent="0.2">
      <c r="B11" s="436"/>
      <c r="C11" s="438" t="s">
        <v>21</v>
      </c>
      <c r="D11" s="78" t="s">
        <v>22</v>
      </c>
      <c r="E11" s="79" t="s">
        <v>74</v>
      </c>
      <c r="F11" s="81" t="s">
        <v>72</v>
      </c>
    </row>
    <row r="12" spans="2:6" ht="47.25" x14ac:dyDescent="0.2">
      <c r="B12" s="436"/>
      <c r="C12" s="438"/>
      <c r="D12" s="78" t="s">
        <v>23</v>
      </c>
      <c r="E12" s="79" t="s">
        <v>75</v>
      </c>
      <c r="F12" s="81" t="s">
        <v>72</v>
      </c>
    </row>
    <row r="13" spans="2:6" ht="31.5" x14ac:dyDescent="0.2">
      <c r="B13" s="436"/>
      <c r="C13" s="438" t="s">
        <v>24</v>
      </c>
      <c r="D13" s="78" t="s">
        <v>113</v>
      </c>
      <c r="E13" s="79" t="s">
        <v>116</v>
      </c>
      <c r="F13" s="81" t="s">
        <v>72</v>
      </c>
    </row>
    <row r="14" spans="2:6" ht="32.25" thickBot="1" x14ac:dyDescent="0.25">
      <c r="B14" s="439"/>
      <c r="C14" s="440"/>
      <c r="D14" s="82" t="s">
        <v>114</v>
      </c>
      <c r="E14" s="83" t="s">
        <v>115</v>
      </c>
      <c r="F14" s="84" t="s">
        <v>72</v>
      </c>
    </row>
    <row r="15" spans="2:6" ht="49.5" customHeight="1" x14ac:dyDescent="0.2">
      <c r="B15" s="432" t="s">
        <v>147</v>
      </c>
      <c r="C15" s="432"/>
      <c r="D15" s="432"/>
      <c r="E15" s="432"/>
      <c r="F15" s="432"/>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DORIS_GALEANO</cp:lastModifiedBy>
  <cp:lastPrinted>2020-05-13T01:12:22Z</cp:lastPrinted>
  <dcterms:created xsi:type="dcterms:W3CDTF">2020-03-24T23:12:47Z</dcterms:created>
  <dcterms:modified xsi:type="dcterms:W3CDTF">2022-02-17T00:48:31Z</dcterms:modified>
</cp:coreProperties>
</file>