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F:\PLANEACION ALCALDIA IBAGUE\ACTIVIDADES 2022\APADRINAMIENTO\MAPA DE RIESGOS\"/>
    </mc:Choice>
  </mc:AlternateContent>
  <bookViews>
    <workbookView xWindow="0" yWindow="0" windowWidth="24000" windowHeight="9735" tabRatio="818"/>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52511"/>
  <pivotCaches>
    <pivotCache cacheId="7" r:id="rId11"/>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9" i="1" l="1"/>
  <c r="S20" i="1"/>
  <c r="S21" i="1"/>
  <c r="S22" i="1"/>
  <c r="S23" i="1"/>
  <c r="J22" i="1"/>
  <c r="K22" i="1" s="1"/>
  <c r="J28" i="1"/>
  <c r="J34" i="1"/>
  <c r="K34" i="1" s="1"/>
  <c r="J40" i="1"/>
  <c r="K40" i="1" s="1"/>
  <c r="J46" i="1"/>
  <c r="K46" i="1" s="1"/>
  <c r="J52" i="1"/>
  <c r="K52" i="1" s="1"/>
  <c r="J58" i="1"/>
  <c r="K58" i="1" s="1"/>
  <c r="J64" i="1"/>
  <c r="K64" i="1" s="1"/>
  <c r="V33" i="1"/>
  <c r="S33" i="1"/>
  <c r="V32" i="1"/>
  <c r="S32" i="1"/>
  <c r="V31" i="1"/>
  <c r="S31" i="1"/>
  <c r="AD32" i="1" s="1"/>
  <c r="AC32" i="1" s="1"/>
  <c r="V30" i="1"/>
  <c r="S30" i="1"/>
  <c r="V29" i="1"/>
  <c r="S29" i="1"/>
  <c r="V28" i="1"/>
  <c r="S28" i="1"/>
  <c r="V27" i="1"/>
  <c r="S27" i="1"/>
  <c r="V26" i="1"/>
  <c r="S26" i="1"/>
  <c r="V25" i="1"/>
  <c r="S25" i="1"/>
  <c r="V24" i="1"/>
  <c r="S24" i="1"/>
  <c r="V23" i="1"/>
  <c r="AD24" i="1"/>
  <c r="AC24" i="1" s="1"/>
  <c r="V22" i="1"/>
  <c r="V21" i="1"/>
  <c r="V20" i="1"/>
  <c r="V17" i="1"/>
  <c r="V16" i="1"/>
  <c r="V14" i="1"/>
  <c r="V15" i="1"/>
  <c r="V11" i="1"/>
  <c r="M56" i="1"/>
  <c r="M29" i="1"/>
  <c r="M47" i="1"/>
  <c r="M31" i="1"/>
  <c r="M65" i="1"/>
  <c r="M49" i="1"/>
  <c r="M33" i="1"/>
  <c r="M67" i="1"/>
  <c r="M42" i="1"/>
  <c r="M60" i="1"/>
  <c r="M51" i="1"/>
  <c r="M38" i="1"/>
  <c r="M24" i="1"/>
  <c r="M69" i="1"/>
  <c r="M26" i="1"/>
  <c r="M54" i="1"/>
  <c r="M44" i="1"/>
  <c r="M45" i="1"/>
  <c r="M63" i="1"/>
  <c r="M35" i="1"/>
  <c r="M39" i="1"/>
  <c r="M30" i="1"/>
  <c r="M57" i="1"/>
  <c r="M53" i="1"/>
  <c r="M48" i="1"/>
  <c r="M32" i="1"/>
  <c r="M66" i="1"/>
  <c r="M50" i="1"/>
  <c r="M68" i="1"/>
  <c r="M59" i="1"/>
  <c r="M23" i="1"/>
  <c r="M37" i="1"/>
  <c r="M55" i="1"/>
  <c r="M41" i="1"/>
  <c r="M25" i="1"/>
  <c r="M43" i="1"/>
  <c r="M27" i="1"/>
  <c r="M61" i="1"/>
  <c r="M62" i="1"/>
  <c r="M36" i="1"/>
  <c r="AD26" i="1" l="1"/>
  <c r="AC26" i="1" s="1"/>
  <c r="Z30" i="1"/>
  <c r="AA30" i="1" s="1"/>
  <c r="Z27" i="1"/>
  <c r="AB27" i="1" s="1"/>
  <c r="AD31" i="1"/>
  <c r="AC31" i="1" s="1"/>
  <c r="AD25" i="1"/>
  <c r="AC25" i="1" s="1"/>
  <c r="AD29" i="1"/>
  <c r="AC29" i="1" s="1"/>
  <c r="AD33" i="1"/>
  <c r="AC33" i="1" s="1"/>
  <c r="K28" i="1"/>
  <c r="Z28" i="1"/>
  <c r="Z32" i="1"/>
  <c r="AD28" i="1"/>
  <c r="AC28" i="1" s="1"/>
  <c r="AD30" i="1"/>
  <c r="AC30" i="1" s="1"/>
  <c r="Z29" i="1"/>
  <c r="Z31" i="1"/>
  <c r="Z33" i="1"/>
  <c r="Z24" i="1"/>
  <c r="Z22" i="1"/>
  <c r="Z26" i="1"/>
  <c r="Z25" i="1"/>
  <c r="AD27" i="1"/>
  <c r="AC27" i="1" s="1"/>
  <c r="AB30" i="1" l="1"/>
  <c r="AA27" i="1"/>
  <c r="AE27" i="1" s="1"/>
  <c r="AB32" i="1"/>
  <c r="AA32" i="1"/>
  <c r="AE32" i="1" s="1"/>
  <c r="AB31" i="1"/>
  <c r="AA31" i="1"/>
  <c r="AE31" i="1" s="1"/>
  <c r="AB28" i="1"/>
  <c r="AA28" i="1"/>
  <c r="AE28" i="1" s="1"/>
  <c r="AA33" i="1"/>
  <c r="AE33" i="1" s="1"/>
  <c r="AB33" i="1"/>
  <c r="AB29" i="1"/>
  <c r="AA29" i="1"/>
  <c r="AE29" i="1" s="1"/>
  <c r="AE30" i="1"/>
  <c r="AB22" i="1"/>
  <c r="Z23" i="1" s="1"/>
  <c r="AB23" i="1" s="1"/>
  <c r="AA22" i="1"/>
  <c r="AB25" i="1"/>
  <c r="AA25" i="1"/>
  <c r="AE25" i="1" s="1"/>
  <c r="AB26" i="1"/>
  <c r="AA26" i="1"/>
  <c r="AE26" i="1" s="1"/>
  <c r="AB24" i="1"/>
  <c r="AA24" i="1"/>
  <c r="AE24" i="1" s="1"/>
  <c r="AA23" i="1" l="1"/>
  <c r="S11" i="1"/>
  <c r="F217" i="13"/>
  <c r="S14" i="1"/>
  <c r="S15" i="1"/>
  <c r="AD14" i="1" l="1"/>
  <c r="AC14" i="1" l="1"/>
  <c r="AD15" i="1"/>
  <c r="AC15" i="1" s="1"/>
  <c r="V10" i="1" l="1"/>
  <c r="S10" i="1"/>
  <c r="J10" i="1" l="1"/>
  <c r="K10" i="1" s="1"/>
  <c r="M19" i="1"/>
  <c r="M17" i="1"/>
  <c r="M20" i="1"/>
  <c r="M21" i="1"/>
  <c r="M18" i="1"/>
  <c r="F221" i="13" l="1"/>
  <c r="F211" i="13"/>
  <c r="F212" i="13"/>
  <c r="F213" i="13"/>
  <c r="F214" i="13"/>
  <c r="F215" i="13"/>
  <c r="F216" i="13"/>
  <c r="F218" i="13"/>
  <c r="F219" i="13"/>
  <c r="F220" i="13"/>
  <c r="F210" i="13"/>
  <c r="M15" i="1"/>
  <c r="M14" i="1"/>
  <c r="M12" i="1"/>
  <c r="B221" i="13" a="1"/>
  <c r="M13" i="1"/>
  <c r="M11" i="1"/>
  <c r="B221" i="13" l="1"/>
  <c r="S5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9" i="1" l="1"/>
  <c r="S69" i="1"/>
  <c r="V68" i="1"/>
  <c r="S68" i="1"/>
  <c r="V67" i="1"/>
  <c r="S67" i="1"/>
  <c r="V66" i="1"/>
  <c r="S66" i="1"/>
  <c r="V65" i="1"/>
  <c r="S65" i="1"/>
  <c r="V64" i="1"/>
  <c r="S64" i="1"/>
  <c r="V63" i="1"/>
  <c r="S63" i="1"/>
  <c r="V62" i="1"/>
  <c r="S62" i="1"/>
  <c r="V61" i="1"/>
  <c r="S61" i="1"/>
  <c r="V60" i="1"/>
  <c r="S60" i="1"/>
  <c r="V59" i="1"/>
  <c r="S59" i="1"/>
  <c r="V58" i="1"/>
  <c r="S58" i="1"/>
  <c r="V57" i="1"/>
  <c r="S57" i="1"/>
  <c r="V56" i="1"/>
  <c r="S56" i="1"/>
  <c r="V55" i="1"/>
  <c r="S55" i="1"/>
  <c r="V54" i="1"/>
  <c r="S54" i="1"/>
  <c r="V53" i="1"/>
  <c r="S53" i="1"/>
  <c r="AD53" i="1" s="1"/>
  <c r="V52" i="1"/>
  <c r="J16" i="1"/>
  <c r="S17" i="1"/>
  <c r="S16" i="1"/>
  <c r="AD20" i="1" l="1"/>
  <c r="AC20" i="1" s="1"/>
  <c r="Z20" i="1"/>
  <c r="AD21" i="1"/>
  <c r="AC21" i="1" s="1"/>
  <c r="Z21" i="1"/>
  <c r="AD65" i="1"/>
  <c r="AD59" i="1"/>
  <c r="K16" i="1"/>
  <c r="Z16" i="1" s="1"/>
  <c r="Z64" i="1"/>
  <c r="Z58" i="1"/>
  <c r="Z52" i="1"/>
  <c r="AA20" i="1" l="1"/>
  <c r="AE20" i="1" s="1"/>
  <c r="AB20" i="1"/>
  <c r="AB16" i="1"/>
  <c r="Z17" i="1" s="1"/>
  <c r="AA17" i="1" s="1"/>
  <c r="AA16" i="1"/>
  <c r="AB21" i="1"/>
  <c r="AA21" i="1"/>
  <c r="AE21" i="1" s="1"/>
  <c r="AA64" i="1"/>
  <c r="AB64" i="1"/>
  <c r="Z65" i="1" s="1"/>
  <c r="AA65" i="1" s="1"/>
  <c r="AA58" i="1"/>
  <c r="AB58" i="1"/>
  <c r="Z59" i="1" s="1"/>
  <c r="AB59" i="1" s="1"/>
  <c r="Z60" i="1" s="1"/>
  <c r="AA52" i="1"/>
  <c r="AB52" i="1"/>
  <c r="Z53" i="1" s="1"/>
  <c r="AB53" i="1" s="1"/>
  <c r="Z54" i="1" s="1"/>
  <c r="AB17" i="1" l="1"/>
  <c r="AA59" i="1"/>
  <c r="AA53" i="1"/>
  <c r="AB60" i="1"/>
  <c r="Z61" i="1" s="1"/>
  <c r="AA60" i="1"/>
  <c r="AB54" i="1"/>
  <c r="Z55" i="1" s="1"/>
  <c r="AA54" i="1"/>
  <c r="AB65" i="1"/>
  <c r="Z66"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61" i="1" l="1"/>
  <c r="AB61" i="1"/>
  <c r="AA55" i="1"/>
  <c r="AB55" i="1"/>
  <c r="Z56" i="1" s="1"/>
  <c r="AA66" i="1"/>
  <c r="AB66" i="1"/>
  <c r="Z67" i="1" s="1"/>
  <c r="AA56" i="1" l="1"/>
  <c r="AB56" i="1"/>
  <c r="Z57" i="1" s="1"/>
  <c r="Z62" i="1"/>
  <c r="Z63" i="1"/>
  <c r="AB67" i="1"/>
  <c r="AA67" i="1"/>
  <c r="AA63" i="1" l="1"/>
  <c r="AB63" i="1"/>
  <c r="AA62" i="1"/>
  <c r="AB62" i="1"/>
  <c r="AA57" i="1"/>
  <c r="AB57" i="1"/>
  <c r="Z68" i="1"/>
  <c r="Z69" i="1"/>
  <c r="Z10" i="1"/>
  <c r="AA10" i="1" s="1"/>
  <c r="AA69" i="1" l="1"/>
  <c r="AB69" i="1"/>
  <c r="AA68" i="1"/>
  <c r="AB68" i="1"/>
  <c r="AB10" i="1" l="1"/>
  <c r="Z11" i="1" s="1"/>
  <c r="AA11" i="1" l="1"/>
  <c r="AB11" i="1"/>
  <c r="AD64" i="1"/>
  <c r="AC64" i="1" l="1"/>
  <c r="AD66" i="1"/>
  <c r="AD58" i="1"/>
  <c r="AD52" i="1"/>
  <c r="AC52" i="1" s="1"/>
  <c r="Z14" i="1"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4" i="1"/>
  <c r="P25" i="19"/>
  <c r="V55" i="19"/>
  <c r="J15" i="19"/>
  <c r="AB15" i="19"/>
  <c r="J35" i="19"/>
  <c r="AB35" i="19"/>
  <c r="J55" i="19"/>
  <c r="AB25" i="19"/>
  <c r="P35" i="19"/>
  <c r="P55" i="19"/>
  <c r="AB45" i="19"/>
  <c r="P15" i="19"/>
  <c r="AE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8" i="1"/>
  <c r="AC65"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66" i="1"/>
  <c r="AD67"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53" i="1"/>
  <c r="AD54" i="1"/>
  <c r="AC59" i="1"/>
  <c r="AD60" i="1"/>
  <c r="AA14" i="1" l="1"/>
  <c r="AE14" i="1" s="1"/>
  <c r="AB14" i="1"/>
  <c r="Z15" i="1" s="1"/>
  <c r="AC67" i="1"/>
  <c r="AD68" i="1"/>
  <c r="K35" i="19"/>
  <c r="AC25" i="19"/>
  <c r="K45" i="19"/>
  <c r="AI45" i="19"/>
  <c r="W45" i="19"/>
  <c r="Q35" i="19"/>
  <c r="K55" i="19"/>
  <c r="AC15" i="19"/>
  <c r="Q15" i="19"/>
  <c r="AC35" i="19"/>
  <c r="AI35" i="19"/>
  <c r="Q55" i="19"/>
  <c r="AI25" i="19"/>
  <c r="AE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4" i="1"/>
  <c r="AD55"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60" i="1"/>
  <c r="AD6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3"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A15" i="1" l="1"/>
  <c r="AE15" i="1" s="1"/>
  <c r="AB15" i="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5" i="1"/>
  <c r="AD56" i="1"/>
  <c r="AC68" i="1"/>
  <c r="AD69" i="1"/>
  <c r="AC69" i="1" s="1"/>
  <c r="AJ43" i="19"/>
  <c r="AD33" i="19"/>
  <c r="X33" i="19"/>
  <c r="X13" i="19"/>
  <c r="AD43" i="19"/>
  <c r="L43" i="19"/>
  <c r="AE54" i="1"/>
  <c r="X23" i="19"/>
  <c r="R33" i="19"/>
  <c r="R43" i="19"/>
  <c r="AD53" i="19"/>
  <c r="AJ13" i="19"/>
  <c r="R23" i="19"/>
  <c r="R13" i="19"/>
  <c r="AJ53" i="19"/>
  <c r="L33" i="19"/>
  <c r="L23" i="19"/>
  <c r="X43" i="19"/>
  <c r="X53" i="19"/>
  <c r="AD13" i="19"/>
  <c r="L53" i="19"/>
  <c r="L13" i="19"/>
  <c r="AD23" i="19"/>
  <c r="AJ33" i="19"/>
  <c r="AJ23" i="19"/>
  <c r="R53" i="19"/>
  <c r="M55" i="19"/>
  <c r="AK15" i="19"/>
  <c r="AE25" i="19"/>
  <c r="AE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61" i="1"/>
  <c r="AD62"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6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1"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9"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6" i="1"/>
  <c r="AD57" i="1"/>
  <c r="AC5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62" i="1"/>
  <c r="AD63" i="1"/>
  <c r="AC63"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63" i="1"/>
  <c r="AA14" i="19"/>
  <c r="O54" i="19"/>
  <c r="U44" i="19"/>
  <c r="U43" i="19"/>
  <c r="U13" i="19"/>
  <c r="AM53" i="19"/>
  <c r="AA53" i="19"/>
  <c r="AA43" i="19"/>
  <c r="O53" i="19"/>
  <c r="O23" i="19"/>
  <c r="O13" i="19"/>
  <c r="AG43" i="19"/>
  <c r="U33" i="19"/>
  <c r="U23" i="19"/>
  <c r="AM13" i="19"/>
  <c r="AM23" i="19"/>
  <c r="AG13" i="19"/>
  <c r="AA23" i="19"/>
  <c r="AG33" i="19"/>
  <c r="AA33" i="19"/>
  <c r="AM33" i="19"/>
  <c r="AA13" i="19"/>
  <c r="AE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2" i="1"/>
  <c r="AF53" i="19"/>
  <c r="T43" i="19"/>
  <c r="Z53" i="19"/>
  <c r="N43" i="19"/>
  <c r="T23" i="19"/>
  <c r="AF43" i="19"/>
  <c r="Z13" i="19"/>
  <c r="Z43" i="19"/>
  <c r="AF23" i="19"/>
  <c r="AL13" i="19"/>
  <c r="Z23" i="19"/>
  <c r="AL43" i="19"/>
  <c r="AF13" i="19"/>
  <c r="AL23" i="19"/>
  <c r="N13" i="19"/>
  <c r="T33" i="19"/>
  <c r="AL53" i="19"/>
  <c r="N23" i="19"/>
  <c r="N53" i="19"/>
  <c r="AF33" i="19"/>
  <c r="N33" i="19"/>
  <c r="AE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22" i="1" l="1"/>
  <c r="N22" i="1" s="1"/>
  <c r="M16" i="1"/>
  <c r="N16" i="1" s="1"/>
  <c r="M46" i="1"/>
  <c r="N46" i="1" s="1"/>
  <c r="M10" i="1"/>
  <c r="N10" i="1" s="1"/>
  <c r="M28" i="1"/>
  <c r="N28" i="1" s="1"/>
  <c r="M52" i="1"/>
  <c r="N52" i="1" s="1"/>
  <c r="M34" i="1"/>
  <c r="N34" i="1" s="1"/>
  <c r="M58" i="1"/>
  <c r="N58" i="1" s="1"/>
  <c r="M40" i="1"/>
  <c r="N40" i="1" s="1"/>
  <c r="M64" i="1"/>
  <c r="N64" i="1" s="1"/>
  <c r="O64" i="1" l="1"/>
  <c r="P64" i="1"/>
  <c r="V12" i="18"/>
  <c r="V36" i="18"/>
  <c r="V20" i="18"/>
  <c r="AH28" i="18"/>
  <c r="J28" i="18"/>
  <c r="P20" i="18"/>
  <c r="V44" i="18"/>
  <c r="AB20" i="18"/>
  <c r="AH36" i="18"/>
  <c r="J36" i="18"/>
  <c r="AB36" i="18"/>
  <c r="J12" i="18"/>
  <c r="J44" i="18"/>
  <c r="AB28" i="18"/>
  <c r="AH12" i="18"/>
  <c r="J20" i="18"/>
  <c r="P12" i="18"/>
  <c r="P28" i="18"/>
  <c r="P44" i="18"/>
  <c r="AB12" i="18"/>
  <c r="AB44" i="18"/>
  <c r="P36" i="18"/>
  <c r="V28" i="18"/>
  <c r="AH44" i="18"/>
  <c r="AH20" i="18"/>
  <c r="O58" i="1"/>
  <c r="P58" i="1"/>
  <c r="Z42" i="18"/>
  <c r="T18" i="18"/>
  <c r="N18" i="18"/>
  <c r="T26" i="18"/>
  <c r="AF34" i="18"/>
  <c r="N42" i="18"/>
  <c r="Z18" i="18"/>
  <c r="N10" i="18"/>
  <c r="AF26" i="18"/>
  <c r="Z10" i="18"/>
  <c r="AL34" i="18"/>
  <c r="N26" i="18"/>
  <c r="AL18" i="18"/>
  <c r="AL42" i="18"/>
  <c r="AF42" i="18"/>
  <c r="AF18" i="18"/>
  <c r="Z26" i="18"/>
  <c r="AF10" i="18"/>
  <c r="N34" i="18"/>
  <c r="T10" i="18"/>
  <c r="T42" i="18"/>
  <c r="Z34" i="18"/>
  <c r="T34" i="18"/>
  <c r="AL10" i="18"/>
  <c r="AL26" i="18"/>
  <c r="O34" i="1"/>
  <c r="P34" i="1"/>
  <c r="L16" i="18"/>
  <c r="AJ16" i="18"/>
  <c r="R8" i="18"/>
  <c r="R32" i="18"/>
  <c r="AD8" i="18"/>
  <c r="X40" i="18"/>
  <c r="AJ24" i="18"/>
  <c r="AJ32" i="18"/>
  <c r="L32" i="18"/>
  <c r="X8" i="18"/>
  <c r="R40" i="18"/>
  <c r="L40" i="18"/>
  <c r="X16" i="18"/>
  <c r="AJ40" i="18"/>
  <c r="R16" i="18"/>
  <c r="AD40" i="18"/>
  <c r="AD32" i="18"/>
  <c r="X32" i="18"/>
  <c r="AD24" i="18"/>
  <c r="L24" i="18"/>
  <c r="X24" i="18"/>
  <c r="AD16" i="18"/>
  <c r="AJ8" i="18"/>
  <c r="R24" i="18"/>
  <c r="L8" i="18"/>
  <c r="O52" i="1"/>
  <c r="P52" i="1"/>
  <c r="R18" i="18"/>
  <c r="AJ10" i="18"/>
  <c r="L18" i="18"/>
  <c r="AJ34" i="18"/>
  <c r="R26" i="18"/>
  <c r="AJ42" i="18"/>
  <c r="R10" i="18"/>
  <c r="AD34" i="18"/>
  <c r="R34" i="18"/>
  <c r="L34" i="18"/>
  <c r="AJ18" i="18"/>
  <c r="X42" i="18"/>
  <c r="R42" i="18"/>
  <c r="X26" i="18"/>
  <c r="AD26" i="18"/>
  <c r="AJ26" i="18"/>
  <c r="X34" i="18"/>
  <c r="L10" i="18"/>
  <c r="X10" i="18"/>
  <c r="AD18" i="18"/>
  <c r="AD10" i="18"/>
  <c r="X18" i="18"/>
  <c r="L42" i="18"/>
  <c r="L26" i="18"/>
  <c r="AD42" i="18"/>
  <c r="O28" i="1"/>
  <c r="P28" i="1"/>
  <c r="P16" i="18"/>
  <c r="P40" i="18"/>
  <c r="V32" i="18"/>
  <c r="V8" i="18"/>
  <c r="AH24" i="18"/>
  <c r="AH8" i="18"/>
  <c r="P24" i="18"/>
  <c r="J8" i="18"/>
  <c r="AB32" i="18"/>
  <c r="AB8" i="18"/>
  <c r="AB40" i="18"/>
  <c r="J24" i="18"/>
  <c r="J32" i="18"/>
  <c r="P8" i="18"/>
  <c r="AH32" i="18"/>
  <c r="AH16" i="18"/>
  <c r="V16" i="18"/>
  <c r="AH40" i="18"/>
  <c r="AB16" i="18"/>
  <c r="V40" i="18"/>
  <c r="AB24" i="18"/>
  <c r="J16" i="18"/>
  <c r="P32" i="18"/>
  <c r="V24" i="18"/>
  <c r="J40" i="18"/>
  <c r="J30" i="18"/>
  <c r="P38" i="18"/>
  <c r="AB6" i="18"/>
  <c r="J38" i="18"/>
  <c r="AH6" i="18"/>
  <c r="V6" i="18"/>
  <c r="J14" i="18"/>
  <c r="J6" i="18"/>
  <c r="P30" i="18"/>
  <c r="AH22" i="18"/>
  <c r="P6" i="18"/>
  <c r="AB38" i="18"/>
  <c r="P22" i="18"/>
  <c r="AB30" i="18"/>
  <c r="O10" i="1"/>
  <c r="AD10" i="1" s="1"/>
  <c r="AH38" i="18"/>
  <c r="AH30" i="18"/>
  <c r="J22" i="18"/>
  <c r="V38" i="18"/>
  <c r="P10" i="1"/>
  <c r="P14" i="18"/>
  <c r="V22" i="18"/>
  <c r="V14" i="18"/>
  <c r="AB22" i="18"/>
  <c r="V30" i="18"/>
  <c r="AB14" i="18"/>
  <c r="AH14" i="18"/>
  <c r="O46" i="1"/>
  <c r="P46" i="1"/>
  <c r="AB10" i="18"/>
  <c r="J18" i="18"/>
  <c r="P18" i="18"/>
  <c r="AB26" i="18"/>
  <c r="J26" i="18"/>
  <c r="AH10" i="18"/>
  <c r="AB42" i="18"/>
  <c r="V18" i="18"/>
  <c r="AB34" i="18"/>
  <c r="V10" i="18"/>
  <c r="AH26" i="18"/>
  <c r="V42" i="18"/>
  <c r="P26" i="18"/>
  <c r="AB18" i="18"/>
  <c r="J42" i="18"/>
  <c r="P34" i="18"/>
  <c r="P42" i="18"/>
  <c r="AH34" i="18"/>
  <c r="P10" i="18"/>
  <c r="V34" i="18"/>
  <c r="V26" i="18"/>
  <c r="AH42" i="18"/>
  <c r="AH18" i="18"/>
  <c r="J34" i="18"/>
  <c r="J10" i="18"/>
  <c r="L30" i="18"/>
  <c r="R38" i="18"/>
  <c r="AJ14" i="18"/>
  <c r="R14" i="18"/>
  <c r="L6" i="18"/>
  <c r="AD30" i="18"/>
  <c r="AJ38" i="18"/>
  <c r="AJ22" i="18"/>
  <c r="X30" i="18"/>
  <c r="AJ6" i="18"/>
  <c r="L38" i="18"/>
  <c r="AD14" i="18"/>
  <c r="L14" i="18"/>
  <c r="AD6" i="18"/>
  <c r="X38" i="18"/>
  <c r="L22" i="18"/>
  <c r="R6" i="18"/>
  <c r="X14" i="18"/>
  <c r="X22" i="18"/>
  <c r="X6" i="18"/>
  <c r="AJ30" i="18"/>
  <c r="R22" i="18"/>
  <c r="R30" i="18"/>
  <c r="AD38" i="18"/>
  <c r="P16" i="1"/>
  <c r="AD22" i="18"/>
  <c r="O16" i="1"/>
  <c r="AD16" i="1" s="1"/>
  <c r="O40" i="1"/>
  <c r="P40" i="1"/>
  <c r="AL32" i="18"/>
  <c r="N40" i="18"/>
  <c r="AF16" i="18"/>
  <c r="AL40" i="18"/>
  <c r="T8" i="18"/>
  <c r="T40" i="18"/>
  <c r="AF8" i="18"/>
  <c r="Z16" i="18"/>
  <c r="N8" i="18"/>
  <c r="AF32" i="18"/>
  <c r="AF40" i="18"/>
  <c r="AF24" i="18"/>
  <c r="AL8" i="18"/>
  <c r="AL24" i="18"/>
  <c r="N32" i="18"/>
  <c r="Z40" i="18"/>
  <c r="T24" i="18"/>
  <c r="Z8" i="18"/>
  <c r="Z32" i="18"/>
  <c r="N16" i="18"/>
  <c r="AL16" i="18"/>
  <c r="N24" i="18"/>
  <c r="T32" i="18"/>
  <c r="Z24" i="18"/>
  <c r="T16" i="18"/>
  <c r="O22" i="1"/>
  <c r="AD22" i="1" s="1"/>
  <c r="P22" i="1"/>
  <c r="AL6" i="18"/>
  <c r="Z30" i="18"/>
  <c r="N30" i="18"/>
  <c r="Z22" i="18"/>
  <c r="Z6" i="18"/>
  <c r="AL38" i="18"/>
  <c r="N14" i="18"/>
  <c r="T14" i="18"/>
  <c r="AL14" i="18"/>
  <c r="N22" i="18"/>
  <c r="T22" i="18"/>
  <c r="AF6" i="18"/>
  <c r="AF38" i="18"/>
  <c r="Z38" i="18"/>
  <c r="T38" i="18"/>
  <c r="N6" i="18"/>
  <c r="AL22" i="18"/>
  <c r="T6" i="18"/>
  <c r="AF22" i="18"/>
  <c r="AL30" i="18"/>
  <c r="T30" i="18"/>
  <c r="N38" i="18"/>
  <c r="AF30" i="18"/>
  <c r="Z14" i="18"/>
  <c r="AF14" i="18"/>
  <c r="AC22" i="1" l="1"/>
  <c r="AE22" i="1" s="1"/>
  <c r="AD23" i="1"/>
  <c r="AC23" i="1" s="1"/>
  <c r="AC16" i="1"/>
  <c r="AE16" i="1" s="1"/>
  <c r="AD17" i="1"/>
  <c r="AC10" i="1"/>
  <c r="AE10" i="1" s="1"/>
  <c r="AD11" i="1"/>
  <c r="AB48" i="19" l="1"/>
  <c r="P48" i="19"/>
  <c r="P38" i="19"/>
  <c r="AH28" i="19"/>
  <c r="J8" i="19"/>
  <c r="P28" i="19"/>
  <c r="V28" i="19"/>
  <c r="V48" i="19"/>
  <c r="J28" i="19"/>
  <c r="V18" i="19"/>
  <c r="AB28" i="19"/>
  <c r="AH48" i="19"/>
  <c r="AB8" i="19"/>
  <c r="P18" i="19"/>
  <c r="J48" i="19"/>
  <c r="J38" i="19"/>
  <c r="AH18" i="19"/>
  <c r="V8" i="19"/>
  <c r="AH8" i="19"/>
  <c r="J18" i="19"/>
  <c r="AB18" i="19"/>
  <c r="AH38" i="19"/>
  <c r="P8" i="19"/>
  <c r="AB38" i="19"/>
  <c r="V38" i="19"/>
  <c r="AE23" i="1"/>
  <c r="K8" i="19"/>
  <c r="AI18" i="19"/>
  <c r="Q18" i="19"/>
  <c r="AC18" i="19"/>
  <c r="W18" i="19"/>
  <c r="Q48" i="19"/>
  <c r="Q28" i="19"/>
  <c r="W28" i="19"/>
  <c r="W8" i="19"/>
  <c r="K48" i="19"/>
  <c r="K38" i="19"/>
  <c r="K28" i="19"/>
  <c r="AI28" i="19"/>
  <c r="W38" i="19"/>
  <c r="Q38" i="19"/>
  <c r="K18" i="19"/>
  <c r="W48" i="19"/>
  <c r="AC28" i="19"/>
  <c r="AC8" i="19"/>
  <c r="AI8" i="19"/>
  <c r="AC38" i="19"/>
  <c r="AI48" i="19"/>
  <c r="Q8" i="19"/>
  <c r="AC48" i="19"/>
  <c r="AI38" i="19"/>
  <c r="AH7" i="19"/>
  <c r="AB7" i="19"/>
  <c r="J37" i="19"/>
  <c r="J17" i="19"/>
  <c r="AB37" i="19"/>
  <c r="V37" i="19"/>
  <c r="AB17" i="19"/>
  <c r="P37" i="19"/>
  <c r="V17" i="19"/>
  <c r="P47" i="19"/>
  <c r="AB47" i="19"/>
  <c r="J47" i="19"/>
  <c r="P27" i="19"/>
  <c r="V7" i="19"/>
  <c r="AB27" i="19"/>
  <c r="J27" i="19"/>
  <c r="P17" i="19"/>
  <c r="AH47" i="19"/>
  <c r="P7" i="19"/>
  <c r="V27" i="19"/>
  <c r="V47" i="19"/>
  <c r="J7" i="19"/>
  <c r="AH27" i="19"/>
  <c r="AH17" i="19"/>
  <c r="AH37" i="19"/>
  <c r="AC17" i="1"/>
  <c r="AE17" i="1" s="1"/>
  <c r="AC11" i="1"/>
  <c r="V16" i="19"/>
  <c r="J26" i="19"/>
  <c r="J6" i="19"/>
  <c r="AB46" i="19"/>
  <c r="AH16" i="19"/>
  <c r="P26" i="19"/>
  <c r="J46" i="19"/>
  <c r="AH46" i="19"/>
  <c r="AH6" i="19"/>
  <c r="J36" i="19"/>
  <c r="AH36" i="19"/>
  <c r="V6" i="19"/>
  <c r="V46" i="19"/>
  <c r="P6" i="19"/>
  <c r="V26" i="19"/>
  <c r="AH26" i="19"/>
  <c r="P16" i="19"/>
  <c r="AB6" i="19"/>
  <c r="J16" i="19"/>
  <c r="P36" i="19"/>
  <c r="AB16" i="19"/>
  <c r="AB26" i="19"/>
  <c r="AB36" i="19"/>
  <c r="P46" i="19"/>
  <c r="V36" i="19"/>
  <c r="AI6" i="19" l="1"/>
  <c r="AE11" i="1"/>
  <c r="L7" i="19"/>
  <c r="K47" i="19"/>
  <c r="AI37" i="19"/>
  <c r="W7" i="19"/>
  <c r="AI27" i="19"/>
  <c r="AC37" i="19"/>
  <c r="K7" i="19"/>
  <c r="K17" i="19"/>
  <c r="AI17" i="19"/>
  <c r="AC17" i="19"/>
  <c r="AC27" i="19"/>
  <c r="K27" i="19"/>
  <c r="Q27" i="19"/>
  <c r="AI7" i="19"/>
  <c r="Q7" i="19"/>
  <c r="AC7" i="19"/>
  <c r="AC47" i="19"/>
  <c r="W27" i="19"/>
  <c r="AI47" i="19"/>
  <c r="Q37" i="19"/>
  <c r="W26" i="19"/>
  <c r="Q17" i="19"/>
  <c r="K37" i="19"/>
  <c r="Q47" i="19"/>
  <c r="W17" i="19"/>
  <c r="W47" i="19"/>
  <c r="W37" i="19"/>
  <c r="K16" i="19"/>
  <c r="AC6" i="19"/>
  <c r="Q26" i="19"/>
  <c r="W36" i="19"/>
  <c r="Q46" i="19"/>
  <c r="K36" i="19"/>
  <c r="W6" i="19"/>
  <c r="AC16" i="19"/>
  <c r="AC26" i="19"/>
  <c r="AI36" i="19"/>
  <c r="Q6" i="19"/>
  <c r="AI26" i="19"/>
  <c r="AC46" i="19"/>
  <c r="W16" i="19"/>
  <c r="AI46" i="19"/>
  <c r="W46" i="19"/>
  <c r="AC36" i="19"/>
  <c r="K46" i="19"/>
  <c r="K26" i="19"/>
  <c r="Q36" i="19"/>
  <c r="AI16" i="19"/>
  <c r="Q16" i="19"/>
  <c r="K6" i="19"/>
  <c r="X36" i="19" l="1"/>
  <c r="AD27" i="19"/>
  <c r="R16" i="19"/>
  <c r="L46" i="19"/>
  <c r="AJ6" i="19"/>
  <c r="AD6" i="19"/>
  <c r="X26" i="19"/>
  <c r="L16" i="19"/>
  <c r="R26" i="19"/>
  <c r="AD46" i="19"/>
  <c r="AD16" i="19"/>
  <c r="R36" i="19"/>
  <c r="L26" i="19"/>
  <c r="X6" i="19"/>
  <c r="AD36" i="19"/>
  <c r="AJ16" i="19"/>
  <c r="AJ46" i="19"/>
  <c r="L36" i="19"/>
  <c r="R46" i="19"/>
  <c r="R6" i="19"/>
  <c r="L6" i="19"/>
  <c r="X16" i="19"/>
  <c r="X46" i="19"/>
  <c r="AJ26" i="19"/>
  <c r="AD26" i="19"/>
  <c r="AJ36" i="19"/>
  <c r="AE16" i="19"/>
  <c r="AK26" i="19"/>
  <c r="AK6" i="19"/>
  <c r="AK46" i="19"/>
  <c r="M6" i="19"/>
  <c r="S16" i="19"/>
  <c r="Y36" i="19"/>
  <c r="M46" i="19"/>
  <c r="Y26" i="19"/>
  <c r="AK16" i="19"/>
  <c r="Y6" i="19"/>
  <c r="S6" i="19"/>
  <c r="S36" i="19"/>
  <c r="AE46" i="19"/>
  <c r="M26" i="19"/>
  <c r="AK36" i="19"/>
  <c r="AE36" i="19"/>
  <c r="M16" i="19"/>
  <c r="Y46" i="19"/>
  <c r="M36" i="19"/>
  <c r="S46" i="19"/>
  <c r="S26" i="19"/>
  <c r="Y16" i="19"/>
  <c r="AE26" i="19"/>
  <c r="AE6" i="19"/>
  <c r="AJ37" i="19"/>
  <c r="R7" i="19"/>
  <c r="L17" i="19"/>
  <c r="X47" i="19"/>
  <c r="X7" i="19"/>
  <c r="R17" i="19"/>
  <c r="L27" i="19"/>
  <c r="AJ7" i="19"/>
  <c r="X17" i="19"/>
  <c r="X27" i="19"/>
  <c r="AJ17" i="19"/>
  <c r="R47" i="19"/>
  <c r="L37" i="19"/>
  <c r="AD37" i="19"/>
  <c r="L47" i="19"/>
  <c r="AD47" i="19"/>
  <c r="AJ27" i="19"/>
  <c r="X37" i="19"/>
  <c r="R37" i="19"/>
  <c r="AD17" i="19"/>
  <c r="AD7" i="19"/>
  <c r="AJ47" i="19"/>
  <c r="R27" i="19"/>
  <c r="S7" i="19"/>
  <c r="M47" i="19"/>
  <c r="S17" i="19"/>
  <c r="M17" i="19"/>
  <c r="AE47" i="19"/>
  <c r="AK7" i="19"/>
  <c r="AE17" i="19"/>
  <c r="Y17" i="19"/>
  <c r="AK47" i="19"/>
  <c r="M37" i="19"/>
  <c r="AK17" i="19"/>
  <c r="AK27" i="19"/>
  <c r="AE7" i="19"/>
  <c r="AK37" i="19"/>
  <c r="Y47" i="19"/>
  <c r="S27" i="19"/>
  <c r="Y7" i="19"/>
  <c r="M27" i="19"/>
  <c r="S37" i="19"/>
  <c r="Y37" i="19"/>
  <c r="S47" i="19"/>
  <c r="AE27" i="19"/>
  <c r="AE37" i="19"/>
  <c r="M7" i="19"/>
  <c r="Y27" i="19"/>
</calcChain>
</file>

<file path=xl/comments1.xml><?xml version="1.0" encoding="utf-8"?>
<comments xmlns="http://schemas.openxmlformats.org/spreadsheetml/2006/main">
  <authors>
    <author>MONI</author>
  </authors>
  <commentList>
    <comment ref="I10" authorId="0" shapeId="0">
      <text>
        <r>
          <rPr>
            <b/>
            <sz val="9"/>
            <color indexed="81"/>
            <rFont val="Tahoma"/>
            <family val="2"/>
          </rPr>
          <t>MONI:</t>
        </r>
        <r>
          <rPr>
            <sz val="9"/>
            <color indexed="81"/>
            <rFont val="Tahoma"/>
            <family val="2"/>
          </rPr>
          <t xml:space="preserve">
Se cuenta el promedio de contratos sin adiciones, teniendo en cuenta que mensualmente se revisa las necesidades para cumpliento de metas</t>
        </r>
      </text>
    </comment>
    <comment ref="I16" authorId="0" shapeId="0">
      <text>
        <r>
          <rPr>
            <b/>
            <sz val="9"/>
            <color indexed="81"/>
            <rFont val="Tahoma"/>
            <family val="2"/>
          </rPr>
          <t>MONI:</t>
        </r>
        <r>
          <rPr>
            <sz val="9"/>
            <color indexed="81"/>
            <rFont val="Tahoma"/>
            <family val="2"/>
          </rPr>
          <t xml:space="preserve">
Se establece como Diaria, porque los recursos tecnológicos están expuestos ante cualquier eventualidad</t>
        </r>
      </text>
    </comment>
    <comment ref="I22" authorId="0" shapeId="0">
      <text>
        <r>
          <rPr>
            <b/>
            <sz val="9"/>
            <color indexed="81"/>
            <rFont val="Tahoma"/>
            <family val="2"/>
          </rPr>
          <t>MONI:</t>
        </r>
        <r>
          <rPr>
            <sz val="9"/>
            <color indexed="81"/>
            <rFont val="Tahoma"/>
            <family val="2"/>
          </rPr>
          <t xml:space="preserve">
Se da este valor porque porque diariamente se debe impactar a la comunicad con recursos tecnológicos</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<sst xmlns="http://schemas.openxmlformats.org/spreadsheetml/2006/main" count="557" uniqueCount="258">
  <si>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</si>
  <si>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</si>
  <si>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</si>
  <si>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</si>
  <si>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</si>
  <si>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</si>
  <si>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</si>
  <si>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</si>
  <si>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</si>
  <si>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</si>
  <si>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</si>
  <si>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</si>
  <si>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</si>
  <si>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</si>
  <si>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</si>
  <si>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</si>
  <si>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</si>
  <si>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</si>
  <si>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</si>
  <si>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</si>
  <si>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</si>
  <si>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</si>
  <si>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</si>
  <si>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</si>
  <si>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</si>
  <si>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</si>
  <si>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</si>
  <si>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</si>
  <si>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</si>
  <si>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</si>
  <si>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</si>
  <si>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</si>
  <si>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</si>
  <si>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</si>
  <si>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</si>
  <si>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</si>
  <si>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</si>
  <si>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</si>
  <si>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</si>
  <si>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</si>
  <si>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</si>
  <si>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</si>
  <si>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</si>
  <si>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</si>
  <si>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</si>
  <si>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</si>
  <si>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</si>
  <si>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</si>
  <si>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</si>
  <si>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</si>
  <si>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</si>
  <si>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</si>
  <si>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</si>
  <si>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</si>
  <si>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</si>
  <si>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</si>
  <si>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</si>
  <si>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</si>
  <si>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</si>
  <si>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</si>
  <si>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</si>
  <si>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</si>
  <si>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</si>
  <si>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</si>
  <si>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</si>
  <si>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</si>
  <si>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</si>
  <si>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</si>
  <si>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</si>
  <si>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</si>
  <si>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</si>
  <si>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</si>
  <si>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</si>
  <si>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</si>
  <si>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</si>
  <si>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</si>
  <si>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</si>
  <si>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</si>
  <si>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</si>
  <si>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</si>
  <si>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</si>
  <si>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</si>
  <si>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</si>
  <si>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</si>
  <si>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</si>
  <si>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</si>
  <si>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</si>
  <si>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</si>
  <si>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</si>
  <si>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</si>
  <si>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</si>
  <si>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</si>
  <si>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</si>
  <si>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</si>
  <si>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</si>
  <si>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</si>
  <si>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</si>
  <si>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</si>
  <si>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</si>
  <si>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</si>
  <si>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</si>
  <si>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</si>
  <si>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</si>
  <si>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</si>
  <si>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</si>
  <si>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</si>
  <si>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</si>
  <si>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</si>
  <si>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</si>
  <si>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</si>
  <si>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</si>
  <si>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</si>
  <si>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</si>
  <si>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</si>
  <si>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</si>
  <si>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</si>
  <si>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</si>
  <si>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</si>
  <si>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</si>
  <si>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</si>
  <si>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</si>
  <si>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</si>
  <si>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</si>
  <si>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</si>
  <si>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</si>
  <si>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</si>
  <si>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</si>
  <si>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</si>
  <si>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</si>
  <si>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</si>
  <si>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</si>
  <si>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</si>
  <si>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</si>
  <si>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</si>
  <si>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</si>
  <si>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</si>
  <si>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</si>
  <si>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</si>
  <si>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</si>
  <si>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</si>
  <si>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</si>
  <si>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</si>
  <si>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</si>
  <si>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</si>
  <si>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</si>
  <si>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</si>
  <si>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</si>
  <si>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</si>
  <si>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</si>
  <si>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</si>
  <si>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</si>
  <si>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</si>
  <si>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</si>
  <si>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</si>
  <si>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</si>
  <si>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</si>
  <si>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</si>
  <si>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</si>
  <si>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</si>
  <si>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</si>
  <si>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</si>
  <si>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</si>
  <si>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</si>
  <si>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</si>
  <si>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</si>
  <si>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</si>
  <si>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</si>
  <si>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</si>
  <si>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</si>
  <si>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</si>
  <si>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</si>
  <si>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</si>
  <si>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</si>
  <si>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</si>
  <si>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</si>
  <si>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</si>
  <si>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</si>
  <si>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</si>
  <si>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</si>
  <si>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</si>
  <si>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</si>
  <si>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</si>
  <si>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</si>
  <si>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</si>
  <si>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</si>
  <si>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</si>
  <si>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</si>
  <si>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</si>
  <si>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</si>
  <si>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</si>
  <si>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</si>
  <si>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</si>
  <si>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</si>
  <si>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</si>
  <si>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</si>
  <si>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</si>
  <si>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</si>
  <si>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</si>
  <si>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</si>
  <si>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</si>
  <si>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</si>
  <si>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</si>
  <si>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</si>
  <si>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</si>
  <si>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</si>
  <si>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</si>
  <si>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</si>
  <si>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</si>
  <si>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</si>
  <si>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</si>
  <si>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</si>
  <si>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</si>
  <si>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</si>
  <si>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</si>
  <si>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</si>
  <si>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 xml:space="preserve">Uso de recurso Tecnológico </t>
  </si>
  <si>
    <t>Secretaría de las TIC</t>
  </si>
  <si>
    <t>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</si>
  <si>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INICIA CON LA FORMULACIÓN DE LA POLÍTICA PÚBLICA DE INNOVACIÓN Y TIC, CONTINÚA CON LA EJECUCIÓN Y SEGUIMIENTO DE LA POLÍTICA PÚBLICA, LA GESTIÓN DE PROYECTOS DE INNOVACIÓN Y TIC, LA GESTIÓN DE TIC PARA SERVICIOS Y GOBIERNO ABIERTO, FINALIZANDO CON EL SEGUIMIENTO Y EVALUACIÓN DEL PROCESO.</t>
  </si>
  <si>
    <t>GESTIÓN DE INNOVACION Y TIC</t>
  </si>
  <si>
    <t>No cumplimiento del objetivo del proceso y metas del plan de desarrollo</t>
  </si>
  <si>
    <t>Ausencia de acciones estratégicas de la administración para la transformación social, productiva y competitiva de la comunidad Ibaguereña mediante el uso y apropiación de las TIC</t>
  </si>
  <si>
    <t>Recursos económicos insuficientes para el Cumplimiento metas Plan Desarrollo Municipal. (sostenimiento PVD o VIVELAB, Zonas WFI; Inversión en proyectos de CTeI)</t>
  </si>
  <si>
    <t>Ausencia de Personal y personal sin la debida experiencia para el desarrollo de actividades en el PVD y/o VIVELAB o manejo y gestión de proyectos de ciencia tecnología e innovación</t>
  </si>
  <si>
    <t>Pérdida de esfuerzos tecnológicos y Retraso en transferencia de conocimientos de uso y apropiación de las TIC</t>
  </si>
  <si>
    <t>Rezago tecnológico para las poblaciones vulnerables</t>
  </si>
  <si>
    <t>Obsolescencia tecnológica que impacten los programas de masificación y apropiación de TIC</t>
  </si>
  <si>
    <t>Deterioro en la infraestructura de los centros tecnológicos provocado por el ambiente.</t>
  </si>
  <si>
    <t>Cierre temporal de los centros digitales que impactan el programa de masificación y apropiación de las TIC.</t>
  </si>
  <si>
    <t>Posible perdida reputacional y económica por no cumplimiento del objetivo y mestas del plan de desarrollo  debido a la ausencia de acciónes estratégicas para la transformación social, productivoa y competitiva de la comunidad Ibaguereña mediante el uso y apropiación de las TIC</t>
  </si>
  <si>
    <t>Posibilidad de pérdida económica y reputacional por pérdida de esfuerzos tecnológicos y retrasos en transferencia de conocimientos de uso y aprovechamiento de las TIC debido a rezago tecnológico para las poblaciones vulnerables</t>
  </si>
  <si>
    <t>Debilitar la infraestructura tecnológica y no contribuir  al desarrollo de soluicones a problemáticas de Ciudad</t>
  </si>
  <si>
    <t>Posibilidad de pérdida económica y reputacional por debilitar la infraestructura tecnológica y no contribuir  al desarrollo de soluicones a problemáticas de Ciudad debido al cierre temporal de los centros digitales que impactan el programa de masificación y apropiación de las TIC.</t>
  </si>
  <si>
    <t>Uso de Infraestructura Tecnológica</t>
  </si>
  <si>
    <t>Uso de recurso Económicos</t>
  </si>
  <si>
    <t>D1;O5;O6: Obligatoriedad de metas en el plan Desarrollo para la  asignacion de recursos metas para cubrir necesidades de la comunidad para el uso y gestion TIC  e Investigacion de ciencia y tecnologia</t>
  </si>
  <si>
    <t>D3;O5: Fortalecer el grupo de Innovación con personal idóneo para el desarrollo de actividades propias de la Secretaria y el cumplimiento de metas del plan de desarrollo</t>
  </si>
  <si>
    <t>del 01/03/2022 al 31/12/2022</t>
  </si>
  <si>
    <t>D2;O8: Realizacion de estudios económicos y análisis de mercado para la celebracion de contratos de tecnologico con el objeto de mejorar la infraestructura tecnológica; A1;A2;D1: Aplicar el procedimiento para efectuar mantenimiento a la infraestructura física, bienes muebles y recurso tecnológico.</t>
  </si>
  <si>
    <t>A1;A2;D1: Aplicar el procedimiento para efectuar mantenimiento a la infraestructura física, bienes muebles y recurso tecnológico.  A1;F5: Estabalece un buen canal de comunicación con los otros pocesos para el apoyo de seguridad o vigilancia  A2;D1: Solicitar vigilancia 24/7 en los Puntos Vive Digitale (Donde la alcaldía tiene moviliario a cargo) a recursos físicos.</t>
  </si>
  <si>
    <t xml:space="preserve">A2;D3: Cursos virtuales; Cursos Presenciales con Medidas de Bioseguridad                                                   D1;O1;O3: Crear nuevos y manterner convenios de ofertas academicas gratuitas con entidades público o privadas aliadas para el desarrollo de metas en apropiación y uso de las  TIC </t>
  </si>
  <si>
    <t>F1;F4;O1;O5: Convenios con entidades público o privadas para impulsar la transformación digital, la ciencia, la innovación e Investigación                                                       D1;O2: Promover los PVD y VIVELAB a la comunidad por medios publicitarios para impulsar la transformación digital</t>
  </si>
  <si>
    <t xml:space="preserve">Desinterés de la comunidad para capacitarse en apropiación de las TIC;
</t>
  </si>
  <si>
    <t>Aislamientos preventivos obligatorios, establecidos por los organismos oficiales para mitigar la propagación de epidemias y/o pandemias.
Dificultades de orden público o de dificil acceso</t>
  </si>
  <si>
    <t>07/003/2/2022</t>
  </si>
  <si>
    <t>Observación</t>
  </si>
  <si>
    <t>- Mediante los memorandos 2500-2021-045061 y 2501-2021- 066730 se remite a planeación la información de proyección presupuestal y físico para el cumpliento de las metas del plan de desarrollo proyectados para la vigencia 2022</t>
  </si>
  <si>
    <t>Prestación de Servicios para administrar los Puntos Vive Digitales (68, 70, 71, 72, 77, 110 132, 318, 319, 449, 450)
Prestación de Servicios para Fortalecimiento de Uso y Apropiación (74, 451)
Prestación de Servicios para apoyo de proyectos ( 75, 107, 111)</t>
  </si>
  <si>
    <t>No se ha ejecutado en el primer bimestre de 2022</t>
  </si>
  <si>
    <t>Mediante memorando 2022-009949 de fecha 03/02/2022, se solicita apoyo para reparaciones locativas
Mediante memorando 2022-009874 de fecha 02/02/2022 se solicita Puntos de desinfección</t>
  </si>
  <si>
    <t>A corte de 07/03/2022 se ha capacitado 5 personas en los cursos virtuales que se encuentran en la plataforma ibagueaprendetic.ibague.gov.co</t>
  </si>
  <si>
    <t>A corte de 07/03/2022 se ha impactado a 337 personas en los cursos presenciales en los Puntos Vive Digitales que se encuentran ubicados en diferentes puntos de la ciudad</t>
  </si>
  <si>
    <t xml:space="preserve"> La Secretario de las TIC en conjutno con Asesor y Profesional Especializado del Grupo de Innovación y TIC ) ,trimestral se verifica el cumplimiento de los siguientes instrumentos (plan de anual de adquisiciones, plan operativo anual de inversión, plan anual de caja y plan de acción) donde se encuentra progrmadas las metas de producto planteadas en el plan de desarrollo; la evidencia reposará en la serie documental de Informe de Gestión de la Secretaría de las TIC, también en el correo institucional innovaciontic@ibague.gov.co y Plataforma PISAMI. En caso de que no se asigne presupuesto, se debe contemplar alianzas públicas y/o solicitar recursos al alcalde justificando la necesidad.</t>
  </si>
  <si>
    <t xml:space="preserve"> La Secretario de las TIC en conjutno con Asesor y Profesional Especializado del Grupo de Innovación y TIC , anualmente verifica la necesidad de personal para la prestación de servicios con el objeto de realizar actividades en los centros digitales, zonas de Wifi, Capacitaciones no Formales en TIC, formulación y radicación de proyectos que impacten a la comunidad ibaguereña; lo anterior contemplado en el plan de anual de adquisiciones,  plan operativo anual de inversión, plan anual de caja y plan de acción; la evidencia reposa en la plataforma PISAMI, Formato de procesos de asistencia externa y registros en bancos de proyectos. En caso de que no se asigne presupuesto se debe contemplar alianzas o convenios público privadas para el cumplimiento de metas.</t>
  </si>
  <si>
    <t xml:space="preserve"> La Secretario de las TIC en conjutno con Asesor y Profesional Especializado del Grupo de Innovación y TIC,  anualmente realiza procesos contractuales se adquiere de software y hardware con el objeto de potencializar los centros digitales y así mismo impulsar el uso y apropiación de las tecnologías de la información lo anterior contemplado en el plan de anual de adquisiciones,  plan operativo anual de inversión, plan anual de caja y plan de acción. Así mismo el mobiliario y los equipos tecnológicos se encuentran amparados en una póliza de seguro en caso eventuales de daños a equipos. Así mismo se hacen brigadas de mantenimiento preventivo y correctivo a los equipos. La evidencia reposa en Plataforma PISAMI y en la serie documental de Informe de Gestión de la Secretaría de las TIC. En caso de que no se asigne recursos económicos mediante adiciones presupuestales, justificando la necesidad.</t>
  </si>
  <si>
    <t xml:space="preserve"> La Secretario de las TIC en conjutno con Asesor y Profesional Especializado del Grupo de Innovación y TIC y con el apoyo de otros procesos internos de la administración (Recursos Físicos) anualmente fortalecer la infraestructura de los centros digitales cuando éstos presentan eventos naturales, fallas estructurales y fallas del fluido eléctrico o por factores de orden público  Así mismo el mobiliario y los equipos tecnológicos se encuentran amparados en una póliza de seguro en caso eventuales de daños a equipos. La evidencia reposa en Plataforma PISAMI (Mmemorando, oficicios, circulaes) y en la serie documental de Informe de Gestión de la Secretaría de las TIC y proceso contractual en calidad de comodato o arriendo. Si se presenta el caso de que no se logre la alianza con la Secretaría Administrativa, se debe solicitar recursos económicos justificando la necesidad del servicio.</t>
  </si>
  <si>
    <t>La Secretaría de las TIC en conjutno con Asesor y Profesional Especializado del Grupo de Innovación y TIC, trimestralmente verifica el cumplimiento de las mentas del Plan de desarrollo, teniendo en cuenta el avance mediante el desarrollo estrategias de capacitaciones virtuales para incentivar el uso y apropiación de las TIC. La evidencia reposa en la plataforma ibagueaprendetic.ibague.gov.co. Si se presenta el caso de que no se logre las mestas de capacitación se realizará alianzas público privadas para alcanzar las metas del plan de desarrollo.</t>
  </si>
  <si>
    <t>La Secretaría de las TIC en conjutno con Asesor y Profesional Especializado del Grupo de Innovación y TIC, trimestralmente verifica las mentas del Plan de desarrollo, teniendo en cuenta el avance mediante el desarrollo estrategias de capacitaciones presenciales para incentivar el uso y apropiación de las TIC. La evidencia reposa en la plataforma PISAMI, así mismo en los Formatos de Asistencia Externa en la gestión documental de la secretaría. Si se presenta el caso de que no se logre las mestas de capacitación se realizará alianzas público privadas para alcanzar las metas del plan de desarrollo.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</si>
</sst>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top style="dashed">
        <color theme="9" tint="-0.249977111117893"/>
      </top>
      <bottom/>
      <diagonal/>
    </border>
    <border>
      <left style="dashed">
        <color theme="9" tint="-0.249977111117893"/>
      </left>
      <right/>
      <top/>
      <bottom/>
      <diagonal/>
    </border>
    <border>
      <left style="dashed">
        <color theme="9" tint="-0.249977111117893"/>
      </left>
      <right/>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6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applyProtection="1"/>
    <xf numFmtId="0" fontId="40" fillId="3" borderId="52" xfId="2" applyFont="1" applyFill="1" applyBorder="1" applyProtection="1"/>
    <xf numFmtId="0" fontId="40" fillId="3" borderId="53" xfId="2" applyFont="1" applyFill="1" applyBorder="1" applyProtection="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applyProtection="1"/>
    <xf numFmtId="0" fontId="45" fillId="3" borderId="0" xfId="0" applyFont="1" applyFill="1" applyBorder="1" applyAlignment="1" applyProtection="1">
      <alignment horizontal="left" vertical="center" wrapText="1"/>
    </xf>
    <xf numFmtId="0" fontId="46" fillId="3" borderId="0" xfId="0" applyFont="1" applyFill="1" applyBorder="1" applyAlignment="1" applyProtection="1">
      <alignment horizontal="left" vertical="top" wrapText="1"/>
    </xf>
    <xf numFmtId="0" fontId="40" fillId="3" borderId="0" xfId="2" applyFont="1" applyFill="1" applyBorder="1" applyProtection="1"/>
    <xf numFmtId="0" fontId="40" fillId="3" borderId="15" xfId="2" applyFont="1" applyFill="1" applyBorder="1" applyProtection="1"/>
    <xf numFmtId="0" fontId="40" fillId="3" borderId="16" xfId="2" applyFont="1" applyFill="1" applyBorder="1" applyProtection="1"/>
    <xf numFmtId="0" fontId="40" fillId="3" borderId="18" xfId="2" applyFont="1" applyFill="1" applyBorder="1" applyProtection="1"/>
    <xf numFmtId="0" fontId="40" fillId="3" borderId="17" xfId="2" applyFont="1" applyFill="1" applyBorder="1" applyProtection="1"/>
    <xf numFmtId="0" fontId="44" fillId="3" borderId="0" xfId="2" applyFont="1" applyFill="1" applyBorder="1" applyAlignment="1" applyProtection="1">
      <alignment horizontal="left" vertical="center" wrapText="1"/>
    </xf>
    <xf numFmtId="0" fontId="40" fillId="3" borderId="0" xfId="2" applyFont="1" applyFill="1" applyBorder="1" applyAlignment="1" applyProtection="1">
      <alignment horizontal="left" vertical="center" wrapText="1"/>
    </xf>
    <xf numFmtId="0" fontId="40" fillId="3" borderId="0" xfId="2" quotePrefix="1" applyFont="1" applyFill="1" applyBorder="1" applyAlignment="1" applyProtection="1">
      <alignment horizontal="left" vertical="center" wrapText="1"/>
    </xf>
    <xf numFmtId="0" fontId="40" fillId="3" borderId="15" xfId="2" applyFont="1" applyFill="1" applyBorder="1" applyAlignment="1" applyProtection="1"/>
    <xf numFmtId="0" fontId="42" fillId="3" borderId="14" xfId="2" quotePrefix="1" applyFont="1" applyFill="1" applyBorder="1" applyAlignment="1" applyProtection="1">
      <alignment horizontal="left" vertical="top" wrapText="1"/>
    </xf>
    <xf numFmtId="0" fontId="43" fillId="3" borderId="0" xfId="2" quotePrefix="1" applyFont="1" applyFill="1" applyBorder="1" applyAlignment="1" applyProtection="1">
      <alignment horizontal="left" vertical="top" wrapText="1"/>
    </xf>
    <xf numFmtId="0" fontId="4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9" fontId="1" fillId="0" borderId="4" xfId="0" applyNumberFormat="1" applyFont="1" applyFill="1" applyBorder="1" applyAlignment="1" applyProtection="1">
      <alignment horizontal="center" vertical="top"/>
      <protection hidden="1"/>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Fill="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9" fontId="27"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Border="1" applyAlignment="1">
      <alignment horizontal="justify" vertical="center" wrapText="1" readingOrder="1"/>
    </xf>
    <xf numFmtId="0" fontId="55" fillId="3" borderId="0" xfId="0" applyFont="1" applyFill="1" applyAlignment="1">
      <alignment vertical="center"/>
    </xf>
    <xf numFmtId="0" fontId="54" fillId="0" borderId="0" xfId="0" applyFont="1" applyBorder="1" applyAlignment="1">
      <alignment horizontal="justify" vertical="center" wrapText="1" readingOrder="1"/>
    </xf>
    <xf numFmtId="0" fontId="54" fillId="0" borderId="0" xfId="0" applyFont="1" applyFill="1" applyAlignment="1">
      <alignment vertical="center"/>
    </xf>
    <xf numFmtId="0" fontId="12" fillId="0" borderId="0" xfId="0" pivotButton="1" applyFont="1"/>
    <xf numFmtId="0" fontId="56" fillId="0" borderId="0" xfId="0" applyFont="1" applyFill="1" applyAlignment="1">
      <alignment horizontal="center" wrapText="1"/>
    </xf>
    <xf numFmtId="0" fontId="57" fillId="0" borderId="0" xfId="0" applyFont="1"/>
    <xf numFmtId="0" fontId="27" fillId="3" borderId="75" xfId="0" applyFont="1" applyFill="1" applyBorder="1" applyAlignment="1">
      <alignment vertical="center" wrapText="1"/>
    </xf>
    <xf numFmtId="14" fontId="27" fillId="0" borderId="2" xfId="0" applyNumberFormat="1" applyFont="1" applyBorder="1" applyAlignment="1" applyProtection="1">
      <alignment horizontal="center" vertical="top" wrapText="1"/>
      <protection locked="0"/>
    </xf>
    <xf numFmtId="14" fontId="1" fillId="0" borderId="2" xfId="0" applyNumberFormat="1" applyFont="1" applyBorder="1" applyAlignment="1" applyProtection="1">
      <alignment horizontal="center" vertical="top" wrapText="1"/>
      <protection locked="0"/>
    </xf>
    <xf numFmtId="0" fontId="1" fillId="0" borderId="75"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27" fillId="3" borderId="75" xfId="0" applyFont="1" applyFill="1" applyBorder="1" applyAlignment="1">
      <alignment horizontal="left" vertical="center" wrapText="1"/>
    </xf>
    <xf numFmtId="0" fontId="1" fillId="0" borderId="2" xfId="0" applyFont="1" applyFill="1" applyBorder="1" applyAlignment="1" applyProtection="1">
      <alignment horizontal="justify" vertical="top" wrapText="1"/>
      <protection locked="0"/>
    </xf>
    <xf numFmtId="14" fontId="27" fillId="0" borderId="2" xfId="0" quotePrefix="1" applyNumberFormat="1" applyFont="1" applyBorder="1" applyAlignment="1" applyProtection="1">
      <alignment horizontal="center" vertical="top" wrapText="1"/>
      <protection locked="0"/>
    </xf>
    <xf numFmtId="0" fontId="2" fillId="0" borderId="2" xfId="0" applyFont="1" applyBorder="1" applyAlignment="1" applyProtection="1">
      <alignment horizontal="justify" vertical="top" wrapText="1"/>
      <protection locked="0"/>
    </xf>
    <xf numFmtId="0" fontId="2" fillId="0" borderId="2" xfId="0" applyFont="1" applyFill="1" applyBorder="1" applyAlignment="1" applyProtection="1">
      <alignment horizontal="justify" vertical="top" wrapText="1"/>
      <protection locked="0"/>
    </xf>
    <xf numFmtId="0" fontId="41" fillId="14" borderId="48" xfId="2" applyFont="1" applyFill="1" applyBorder="1" applyAlignment="1" applyProtection="1">
      <alignment horizontal="center" vertical="center" wrapText="1"/>
    </xf>
    <xf numFmtId="0" fontId="41" fillId="14" borderId="49" xfId="2" applyFont="1" applyFill="1" applyBorder="1" applyAlignment="1" applyProtection="1">
      <alignment horizontal="center" vertical="center" wrapText="1"/>
    </xf>
    <xf numFmtId="0" fontId="41" fillId="14" borderId="50" xfId="2" applyFont="1" applyFill="1" applyBorder="1" applyAlignment="1" applyProtection="1">
      <alignment horizontal="center" vertical="center" wrapText="1"/>
    </xf>
    <xf numFmtId="0" fontId="40" fillId="0" borderId="14" xfId="2" quotePrefix="1" applyFont="1" applyBorder="1" applyAlignment="1" applyProtection="1">
      <alignment horizontal="left" vertical="center" wrapText="1"/>
    </xf>
    <xf numFmtId="0" fontId="40" fillId="0" borderId="0" xfId="2" quotePrefix="1" applyFont="1" applyBorder="1" applyAlignment="1" applyProtection="1">
      <alignment horizontal="left" vertical="center" wrapText="1"/>
    </xf>
    <xf numFmtId="0" fontId="40" fillId="0" borderId="15" xfId="2" quotePrefix="1" applyFont="1" applyBorder="1" applyAlignment="1" applyProtection="1">
      <alignment horizontal="left" vertical="center" wrapText="1"/>
    </xf>
    <xf numFmtId="0" fontId="40" fillId="0" borderId="68" xfId="2" quotePrefix="1" applyFont="1" applyBorder="1" applyAlignment="1" applyProtection="1">
      <alignment horizontal="left" vertical="center" wrapText="1"/>
    </xf>
    <xf numFmtId="0" fontId="40" fillId="0" borderId="69" xfId="2" quotePrefix="1" applyFont="1" applyBorder="1" applyAlignment="1" applyProtection="1">
      <alignment horizontal="left" vertical="center" wrapText="1"/>
    </xf>
    <xf numFmtId="0" fontId="40" fillId="0" borderId="70" xfId="2" quotePrefix="1" applyFont="1" applyBorder="1" applyAlignment="1" applyProtection="1">
      <alignment horizontal="left" vertical="center" wrapText="1"/>
    </xf>
    <xf numFmtId="0" fontId="42" fillId="3" borderId="51" xfId="2" quotePrefix="1" applyFont="1" applyFill="1" applyBorder="1" applyAlignment="1" applyProtection="1">
      <alignment horizontal="left" vertical="top" wrapText="1"/>
    </xf>
    <xf numFmtId="0" fontId="43" fillId="3" borderId="52" xfId="2" quotePrefix="1" applyFont="1" applyFill="1" applyBorder="1" applyAlignment="1" applyProtection="1">
      <alignment horizontal="left" vertical="top" wrapText="1"/>
    </xf>
    <xf numFmtId="0" fontId="43" fillId="3" borderId="53" xfId="2" quotePrefix="1" applyFont="1" applyFill="1" applyBorder="1" applyAlignment="1" applyProtection="1">
      <alignment horizontal="left" vertical="top" wrapText="1"/>
    </xf>
    <xf numFmtId="0" fontId="40" fillId="0" borderId="14" xfId="2" quotePrefix="1" applyFont="1" applyBorder="1" applyAlignment="1" applyProtection="1">
      <alignment horizontal="left" vertical="top" wrapText="1"/>
    </xf>
    <xf numFmtId="0" fontId="40" fillId="0" borderId="0" xfId="2" quotePrefix="1" applyFont="1" applyBorder="1" applyAlignment="1" applyProtection="1">
      <alignment horizontal="left" vertical="top" wrapText="1"/>
    </xf>
    <xf numFmtId="0" fontId="40" fillId="0" borderId="15" xfId="2" quotePrefix="1" applyFont="1" applyBorder="1" applyAlignment="1" applyProtection="1">
      <alignment horizontal="left" vertical="top" wrapText="1"/>
    </xf>
    <xf numFmtId="0" fontId="45" fillId="14" borderId="54" xfId="3" applyFont="1" applyFill="1" applyBorder="1" applyAlignment="1" applyProtection="1">
      <alignment horizontal="center" vertical="center" wrapText="1"/>
    </xf>
    <xf numFmtId="0" fontId="45" fillId="14" borderId="55" xfId="3" applyFont="1" applyFill="1" applyBorder="1" applyAlignment="1" applyProtection="1">
      <alignment horizontal="center" vertical="center" wrapText="1"/>
    </xf>
    <xf numFmtId="0" fontId="45" fillId="14" borderId="56" xfId="2" applyFont="1" applyFill="1" applyBorder="1" applyAlignment="1" applyProtection="1">
      <alignment horizontal="center" vertical="center"/>
    </xf>
    <xf numFmtId="0" fontId="4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45" fillId="3" borderId="58" xfId="3" applyFont="1" applyFill="1" applyBorder="1" applyAlignment="1" applyProtection="1">
      <alignment horizontal="left" vertical="top" wrapText="1" readingOrder="1"/>
    </xf>
    <xf numFmtId="0" fontId="45" fillId="3" borderId="59" xfId="3" applyFont="1" applyFill="1" applyBorder="1" applyAlignment="1" applyProtection="1">
      <alignment horizontal="left" vertical="top" wrapText="1" readingOrder="1"/>
    </xf>
    <xf numFmtId="0" fontId="46" fillId="13" borderId="60" xfId="2" applyFont="1" applyFill="1" applyBorder="1" applyAlignment="1" applyProtection="1">
      <alignment horizontal="justify" vertical="center" wrapText="1"/>
    </xf>
    <xf numFmtId="0" fontId="46" fillId="13" borderId="61" xfId="2" applyFont="1" applyFill="1" applyBorder="1" applyAlignment="1" applyProtection="1">
      <alignment horizontal="justify" vertical="center" wrapText="1"/>
    </xf>
    <xf numFmtId="0" fontId="45" fillId="3" borderId="62" xfId="0" applyFont="1" applyFill="1" applyBorder="1" applyAlignment="1" applyProtection="1">
      <alignment horizontal="left" vertical="center" wrapText="1"/>
    </xf>
    <xf numFmtId="0" fontId="45" fillId="3" borderId="63" xfId="0" applyFont="1" applyFill="1" applyBorder="1" applyAlignment="1" applyProtection="1">
      <alignment horizontal="left" vertical="center" wrapText="1"/>
    </xf>
    <xf numFmtId="0" fontId="46" fillId="13" borderId="64" xfId="2" applyFont="1" applyFill="1" applyBorder="1" applyAlignment="1" applyProtection="1">
      <alignment horizontal="justify" vertical="center" wrapText="1"/>
    </xf>
    <xf numFmtId="0" fontId="46" fillId="13" borderId="65" xfId="2" applyFont="1" applyFill="1" applyBorder="1" applyAlignment="1" applyProtection="1">
      <alignment horizontal="justify" vertical="center" wrapText="1"/>
    </xf>
    <xf numFmtId="0" fontId="40" fillId="3" borderId="14" xfId="2" applyFont="1" applyFill="1" applyBorder="1" applyAlignment="1" applyProtection="1">
      <alignment horizontal="left" vertical="top" wrapText="1"/>
    </xf>
    <xf numFmtId="0" fontId="40" fillId="3" borderId="0" xfId="2" applyFont="1" applyFill="1" applyBorder="1" applyAlignment="1" applyProtection="1">
      <alignment horizontal="left" vertical="top" wrapText="1"/>
    </xf>
    <xf numFmtId="0" fontId="40" fillId="3" borderId="15" xfId="2" applyFont="1" applyFill="1" applyBorder="1" applyAlignment="1" applyProtection="1">
      <alignment horizontal="left" vertical="top" wrapText="1"/>
    </xf>
    <xf numFmtId="0" fontId="46" fillId="3" borderId="64" xfId="2" applyFont="1" applyFill="1" applyBorder="1" applyAlignment="1" applyProtection="1">
      <alignment horizontal="justify" vertical="center" wrapText="1"/>
    </xf>
    <xf numFmtId="0" fontId="46" fillId="3" borderId="65" xfId="2" applyFont="1" applyFill="1" applyBorder="1" applyAlignment="1" applyProtection="1">
      <alignment horizontal="justify" vertical="center" wrapText="1"/>
    </xf>
    <xf numFmtId="0" fontId="45" fillId="3" borderId="71" xfId="0" applyFont="1" applyFill="1" applyBorder="1" applyAlignment="1" applyProtection="1">
      <alignment horizontal="left" vertical="center" wrapText="1"/>
    </xf>
    <xf numFmtId="0" fontId="45" fillId="3" borderId="72" xfId="0" applyFont="1" applyFill="1" applyBorder="1" applyAlignment="1" applyProtection="1">
      <alignment horizontal="left" vertical="center" wrapText="1"/>
    </xf>
    <xf numFmtId="0" fontId="45" fillId="3" borderId="73" xfId="0" applyFont="1" applyFill="1" applyBorder="1" applyAlignment="1" applyProtection="1">
      <alignment horizontal="left" vertical="center" wrapText="1"/>
    </xf>
    <xf numFmtId="0" fontId="45" fillId="3" borderId="74" xfId="0" applyFont="1" applyFill="1" applyBorder="1" applyAlignment="1" applyProtection="1">
      <alignment horizontal="left" vertical="center" wrapText="1"/>
    </xf>
    <xf numFmtId="0" fontId="46" fillId="3" borderId="66" xfId="0" applyFont="1" applyFill="1" applyBorder="1" applyAlignment="1" applyProtection="1">
      <alignment horizontal="justify" vertical="center" wrapText="1"/>
    </xf>
    <xf numFmtId="0" fontId="46" fillId="3" borderId="67" xfId="0" applyFont="1" applyFill="1" applyBorder="1" applyAlignment="1" applyProtection="1">
      <alignment horizontal="justify" vertical="center" wrapText="1"/>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7" xfId="0" applyFont="1" applyBorder="1" applyAlignment="1" applyProtection="1">
      <alignment horizontal="center" vertical="top" wrapText="1"/>
      <protection locked="0"/>
    </xf>
    <xf numFmtId="0" fontId="50" fillId="0" borderId="78" xfId="0" applyFont="1" applyBorder="1" applyAlignment="1" applyProtection="1">
      <alignment horizontal="center" vertical="top" wrapText="1"/>
      <protection locked="0"/>
    </xf>
    <xf numFmtId="0" fontId="50" fillId="0" borderId="79"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9" fillId="0" borderId="4" xfId="0" applyFont="1" applyFill="1" applyBorder="1" applyAlignment="1" applyProtection="1">
      <alignment horizontal="center" vertical="top" wrapText="1"/>
      <protection hidden="1"/>
    </xf>
    <xf numFmtId="0" fontId="49" fillId="0" borderId="8" xfId="0" applyFont="1" applyFill="1" applyBorder="1" applyAlignment="1" applyProtection="1">
      <alignment horizontal="center" vertical="top" wrapText="1"/>
      <protection hidden="1"/>
    </xf>
    <xf numFmtId="0" fontId="49" fillId="0" borderId="5" xfId="0" applyFont="1" applyFill="1" applyBorder="1" applyAlignment="1" applyProtection="1">
      <alignment horizontal="center" vertical="top" wrapText="1"/>
      <protection hidden="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 fillId="0" borderId="80" xfId="0" applyFont="1" applyBorder="1" applyAlignment="1" applyProtection="1">
      <alignment horizontal="center" vertical="top" wrapText="1"/>
      <protection locked="0"/>
    </xf>
    <xf numFmtId="0" fontId="2" fillId="0" borderId="81" xfId="0" applyFont="1" applyBorder="1" applyAlignment="1" applyProtection="1">
      <alignment horizontal="center" vertical="top" wrapText="1"/>
      <protection locked="0"/>
    </xf>
    <xf numFmtId="0" fontId="2" fillId="0" borderId="82"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7" fillId="3" borderId="75" xfId="0" applyFont="1" applyFill="1" applyBorder="1" applyAlignment="1" applyProtection="1">
      <alignment horizontal="left" vertical="center"/>
      <protection locked="0"/>
    </xf>
    <xf numFmtId="0" fontId="4" fillId="2" borderId="2" xfId="0" applyFont="1" applyFill="1" applyBorder="1" applyAlignment="1">
      <alignment horizontal="center" vertical="center"/>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 fillId="0" borderId="77"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2" fillId="0" borderId="79"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5" fillId="0" borderId="0"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Border="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03">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abSelected="1" zoomScale="130" zoomScaleNormal="130" workbookViewId="0">
      <selection activeCell="E34" sqref="E34:F34"/>
    </sheetView>
  </sheetViews>
  <sheetFormatPr baseColWidth="10" defaultRowHeight="15" x14ac:dyDescent="0.25"/>
  <cols>
    <col min="1" max="1" width="2.85546875" style="68" customWidth="1"/>
    <col min="2" max="3" width="24.7109375" style="68" customWidth="1"/>
    <col min="4" max="4" width="16" style="68" customWidth="1"/>
    <col min="5" max="5" width="24.7109375" style="68" customWidth="1"/>
    <col min="6" max="6" width="27.7109375" style="68" customWidth="1"/>
    <col min="7" max="8" width="24.7109375" style="68" customWidth="1"/>
    <col min="9" max="16384" width="11.42578125" style="68"/>
  </cols>
  <sheetData>
    <row r="1" spans="2:8" ht="15.75" thickBot="1" x14ac:dyDescent="0.3"/>
    <row r="2" spans="2:8" ht="18" x14ac:dyDescent="0.25">
      <c r="B2" s="171" t="s">
        <v>154</v>
      </c>
      <c r="C2" s="172"/>
      <c r="D2" s="172"/>
      <c r="E2" s="172"/>
      <c r="F2" s="172"/>
      <c r="G2" s="172"/>
      <c r="H2" s="173"/>
    </row>
    <row r="3" spans="2:8" x14ac:dyDescent="0.25">
      <c r="B3" s="69"/>
      <c r="C3" s="70"/>
      <c r="D3" s="70"/>
      <c r="E3" s="70"/>
      <c r="F3" s="70"/>
      <c r="G3" s="70"/>
      <c r="H3" s="71"/>
    </row>
    <row r="4" spans="2:8" ht="63" customHeight="1" x14ac:dyDescent="0.25">
      <c r="B4" s="174" t="s">
        <v>197</v>
      </c>
      <c r="C4" s="175"/>
      <c r="D4" s="175"/>
      <c r="E4" s="175"/>
      <c r="F4" s="175"/>
      <c r="G4" s="175"/>
      <c r="H4" s="176"/>
    </row>
    <row r="5" spans="2:8" ht="63" customHeight="1" x14ac:dyDescent="0.25">
      <c r="B5" s="177"/>
      <c r="C5" s="178"/>
      <c r="D5" s="178"/>
      <c r="E5" s="178"/>
      <c r="F5" s="178"/>
      <c r="G5" s="178"/>
      <c r="H5" s="179"/>
    </row>
    <row r="6" spans="2:8" ht="16.5" x14ac:dyDescent="0.25">
      <c r="B6" s="180" t="s">
        <v>152</v>
      </c>
      <c r="C6" s="181"/>
      <c r="D6" s="181"/>
      <c r="E6" s="181"/>
      <c r="F6" s="181"/>
      <c r="G6" s="181"/>
      <c r="H6" s="182"/>
    </row>
    <row r="7" spans="2:8" ht="95.25" customHeight="1" x14ac:dyDescent="0.25">
      <c r="B7" s="190" t="s">
        <v>157</v>
      </c>
      <c r="C7" s="191"/>
      <c r="D7" s="191"/>
      <c r="E7" s="191"/>
      <c r="F7" s="191"/>
      <c r="G7" s="191"/>
      <c r="H7" s="192"/>
    </row>
    <row r="8" spans="2:8" ht="16.5" x14ac:dyDescent="0.25">
      <c r="B8" s="104"/>
      <c r="C8" s="105"/>
      <c r="D8" s="105"/>
      <c r="E8" s="105"/>
      <c r="F8" s="105"/>
      <c r="G8" s="105"/>
      <c r="H8" s="106"/>
    </row>
    <row r="9" spans="2:8" ht="16.5" customHeight="1" x14ac:dyDescent="0.25">
      <c r="B9" s="183" t="s">
        <v>190</v>
      </c>
      <c r="C9" s="184"/>
      <c r="D9" s="184"/>
      <c r="E9" s="184"/>
      <c r="F9" s="184"/>
      <c r="G9" s="184"/>
      <c r="H9" s="185"/>
    </row>
    <row r="10" spans="2:8" ht="44.25" customHeight="1" x14ac:dyDescent="0.25">
      <c r="B10" s="183"/>
      <c r="C10" s="184"/>
      <c r="D10" s="184"/>
      <c r="E10" s="184"/>
      <c r="F10" s="184"/>
      <c r="G10" s="184"/>
      <c r="H10" s="185"/>
    </row>
    <row r="11" spans="2:8" ht="15.75" thickBot="1" x14ac:dyDescent="0.3">
      <c r="B11" s="92"/>
      <c r="C11" s="95"/>
      <c r="D11" s="100"/>
      <c r="E11" s="101"/>
      <c r="F11" s="101"/>
      <c r="G11" s="102"/>
      <c r="H11" s="103"/>
    </row>
    <row r="12" spans="2:8" ht="15.75" thickTop="1" x14ac:dyDescent="0.25">
      <c r="B12" s="92"/>
      <c r="C12" s="186" t="s">
        <v>153</v>
      </c>
      <c r="D12" s="187"/>
      <c r="E12" s="188" t="s">
        <v>191</v>
      </c>
      <c r="F12" s="189"/>
      <c r="G12" s="95"/>
      <c r="H12" s="96"/>
    </row>
    <row r="13" spans="2:8" ht="35.25" customHeight="1" x14ac:dyDescent="0.25">
      <c r="B13" s="92"/>
      <c r="C13" s="193" t="s">
        <v>184</v>
      </c>
      <c r="D13" s="194"/>
      <c r="E13" s="195" t="s">
        <v>189</v>
      </c>
      <c r="F13" s="196"/>
      <c r="G13" s="95"/>
      <c r="H13" s="96"/>
    </row>
    <row r="14" spans="2:8" ht="17.25" customHeight="1" x14ac:dyDescent="0.25">
      <c r="B14" s="92"/>
      <c r="C14" s="193" t="s">
        <v>185</v>
      </c>
      <c r="D14" s="194"/>
      <c r="E14" s="195" t="s">
        <v>187</v>
      </c>
      <c r="F14" s="196"/>
      <c r="G14" s="95"/>
      <c r="H14" s="96"/>
    </row>
    <row r="15" spans="2:8" ht="19.5" customHeight="1" x14ac:dyDescent="0.25">
      <c r="B15" s="92"/>
      <c r="C15" s="193" t="s">
        <v>186</v>
      </c>
      <c r="D15" s="194"/>
      <c r="E15" s="195" t="s">
        <v>188</v>
      </c>
      <c r="F15" s="196"/>
      <c r="G15" s="95"/>
      <c r="H15" s="96"/>
    </row>
    <row r="16" spans="2:8" ht="69.75" customHeight="1" x14ac:dyDescent="0.25">
      <c r="B16" s="92"/>
      <c r="C16" s="193" t="s">
        <v>155</v>
      </c>
      <c r="D16" s="194"/>
      <c r="E16" s="195" t="s">
        <v>156</v>
      </c>
      <c r="F16" s="196"/>
      <c r="G16" s="95"/>
      <c r="H16" s="96"/>
    </row>
    <row r="17" spans="2:8" ht="34.5" customHeight="1" x14ac:dyDescent="0.25">
      <c r="B17" s="92"/>
      <c r="C17" s="197" t="s">
        <v>2</v>
      </c>
      <c r="D17" s="198"/>
      <c r="E17" s="199" t="s">
        <v>198</v>
      </c>
      <c r="F17" s="200"/>
      <c r="G17" s="95"/>
      <c r="H17" s="96"/>
    </row>
    <row r="18" spans="2:8" ht="27.75" customHeight="1" x14ac:dyDescent="0.25">
      <c r="B18" s="92"/>
      <c r="C18" s="197" t="s">
        <v>3</v>
      </c>
      <c r="D18" s="198"/>
      <c r="E18" s="199" t="s">
        <v>199</v>
      </c>
      <c r="F18" s="200"/>
      <c r="G18" s="95"/>
      <c r="H18" s="96"/>
    </row>
    <row r="19" spans="2:8" ht="28.5" customHeight="1" x14ac:dyDescent="0.25">
      <c r="B19" s="92"/>
      <c r="C19" s="197" t="s">
        <v>41</v>
      </c>
      <c r="D19" s="198"/>
      <c r="E19" s="199" t="s">
        <v>200</v>
      </c>
      <c r="F19" s="200"/>
      <c r="G19" s="95"/>
      <c r="H19" s="96"/>
    </row>
    <row r="20" spans="2:8" ht="72.75" customHeight="1" x14ac:dyDescent="0.25">
      <c r="B20" s="92"/>
      <c r="C20" s="197" t="s">
        <v>1</v>
      </c>
      <c r="D20" s="198"/>
      <c r="E20" s="199" t="s">
        <v>201</v>
      </c>
      <c r="F20" s="200"/>
      <c r="G20" s="95"/>
      <c r="H20" s="96"/>
    </row>
    <row r="21" spans="2:8" ht="64.5" customHeight="1" x14ac:dyDescent="0.25">
      <c r="B21" s="92"/>
      <c r="C21" s="197" t="s">
        <v>49</v>
      </c>
      <c r="D21" s="198"/>
      <c r="E21" s="199" t="s">
        <v>159</v>
      </c>
      <c r="F21" s="200"/>
      <c r="G21" s="95"/>
      <c r="H21" s="96"/>
    </row>
    <row r="22" spans="2:8" ht="71.25" customHeight="1" x14ac:dyDescent="0.25">
      <c r="B22" s="92"/>
      <c r="C22" s="197" t="s">
        <v>158</v>
      </c>
      <c r="D22" s="198"/>
      <c r="E22" s="199" t="s">
        <v>160</v>
      </c>
      <c r="F22" s="200"/>
      <c r="G22" s="95"/>
      <c r="H22" s="96"/>
    </row>
    <row r="23" spans="2:8" ht="55.5" customHeight="1" x14ac:dyDescent="0.25">
      <c r="B23" s="92"/>
      <c r="C23" s="206" t="s">
        <v>161</v>
      </c>
      <c r="D23" s="207"/>
      <c r="E23" s="204" t="s">
        <v>162</v>
      </c>
      <c r="F23" s="205"/>
      <c r="G23" s="95"/>
      <c r="H23" s="96"/>
    </row>
    <row r="24" spans="2:8" ht="42" customHeight="1" x14ac:dyDescent="0.25">
      <c r="B24" s="92"/>
      <c r="C24" s="206" t="s">
        <v>47</v>
      </c>
      <c r="D24" s="207"/>
      <c r="E24" s="204" t="s">
        <v>163</v>
      </c>
      <c r="F24" s="205"/>
      <c r="G24" s="95"/>
      <c r="H24" s="96"/>
    </row>
    <row r="25" spans="2:8" ht="59.25" customHeight="1" x14ac:dyDescent="0.25">
      <c r="B25" s="92"/>
      <c r="C25" s="206" t="s">
        <v>151</v>
      </c>
      <c r="D25" s="207"/>
      <c r="E25" s="199" t="s">
        <v>164</v>
      </c>
      <c r="F25" s="200"/>
      <c r="G25" s="95"/>
      <c r="H25" s="96"/>
    </row>
    <row r="26" spans="2:8" ht="23.25" customHeight="1" x14ac:dyDescent="0.25">
      <c r="B26" s="92"/>
      <c r="C26" s="206" t="s">
        <v>12</v>
      </c>
      <c r="D26" s="207"/>
      <c r="E26" s="204" t="s">
        <v>165</v>
      </c>
      <c r="F26" s="205"/>
      <c r="G26" s="95"/>
      <c r="H26" s="96"/>
    </row>
    <row r="27" spans="2:8" ht="30.75" customHeight="1" x14ac:dyDescent="0.25">
      <c r="B27" s="92"/>
      <c r="C27" s="206" t="s">
        <v>169</v>
      </c>
      <c r="D27" s="207"/>
      <c r="E27" s="204" t="s">
        <v>166</v>
      </c>
      <c r="F27" s="205"/>
      <c r="G27" s="95"/>
      <c r="H27" s="96"/>
    </row>
    <row r="28" spans="2:8" ht="35.25" customHeight="1" x14ac:dyDescent="0.25">
      <c r="B28" s="92"/>
      <c r="C28" s="206" t="s">
        <v>170</v>
      </c>
      <c r="D28" s="207"/>
      <c r="E28" s="204" t="s">
        <v>167</v>
      </c>
      <c r="F28" s="205"/>
      <c r="G28" s="95"/>
      <c r="H28" s="96"/>
    </row>
    <row r="29" spans="2:8" ht="33" customHeight="1" x14ac:dyDescent="0.25">
      <c r="B29" s="92"/>
      <c r="C29" s="206" t="s">
        <v>170</v>
      </c>
      <c r="D29" s="207"/>
      <c r="E29" s="204" t="s">
        <v>167</v>
      </c>
      <c r="F29" s="205"/>
      <c r="G29" s="95"/>
      <c r="H29" s="96"/>
    </row>
    <row r="30" spans="2:8" ht="30" customHeight="1" x14ac:dyDescent="0.25">
      <c r="B30" s="92"/>
      <c r="C30" s="206" t="s">
        <v>171</v>
      </c>
      <c r="D30" s="207"/>
      <c r="E30" s="204" t="s">
        <v>168</v>
      </c>
      <c r="F30" s="205"/>
      <c r="G30" s="95"/>
      <c r="H30" s="96"/>
    </row>
    <row r="31" spans="2:8" ht="35.25" customHeight="1" x14ac:dyDescent="0.25">
      <c r="B31" s="92"/>
      <c r="C31" s="206" t="s">
        <v>172</v>
      </c>
      <c r="D31" s="207"/>
      <c r="E31" s="204" t="s">
        <v>173</v>
      </c>
      <c r="F31" s="205"/>
      <c r="G31" s="95"/>
      <c r="H31" s="96"/>
    </row>
    <row r="32" spans="2:8" ht="31.5" customHeight="1" x14ac:dyDescent="0.25">
      <c r="B32" s="92"/>
      <c r="C32" s="206" t="s">
        <v>174</v>
      </c>
      <c r="D32" s="207"/>
      <c r="E32" s="204" t="s">
        <v>175</v>
      </c>
      <c r="F32" s="205"/>
      <c r="G32" s="95"/>
      <c r="H32" s="96"/>
    </row>
    <row r="33" spans="2:8" ht="35.25" customHeight="1" x14ac:dyDescent="0.25">
      <c r="B33" s="92"/>
      <c r="C33" s="206" t="s">
        <v>176</v>
      </c>
      <c r="D33" s="207"/>
      <c r="E33" s="204" t="s">
        <v>177</v>
      </c>
      <c r="F33" s="205"/>
      <c r="G33" s="95"/>
      <c r="H33" s="96"/>
    </row>
    <row r="34" spans="2:8" ht="59.25" customHeight="1" x14ac:dyDescent="0.25">
      <c r="B34" s="92"/>
      <c r="C34" s="206" t="s">
        <v>178</v>
      </c>
      <c r="D34" s="207"/>
      <c r="E34" s="204" t="s">
        <v>179</v>
      </c>
      <c r="F34" s="205"/>
      <c r="G34" s="95"/>
      <c r="H34" s="96"/>
    </row>
    <row r="35" spans="2:8" ht="29.25" customHeight="1" x14ac:dyDescent="0.25">
      <c r="B35" s="92"/>
      <c r="C35" s="206" t="s">
        <v>29</v>
      </c>
      <c r="D35" s="207"/>
      <c r="E35" s="204" t="s">
        <v>180</v>
      </c>
      <c r="F35" s="205"/>
      <c r="G35" s="95"/>
      <c r="H35" s="96"/>
    </row>
    <row r="36" spans="2:8" ht="82.5" customHeight="1" x14ac:dyDescent="0.25">
      <c r="B36" s="92"/>
      <c r="C36" s="206" t="s">
        <v>182</v>
      </c>
      <c r="D36" s="207"/>
      <c r="E36" s="204" t="s">
        <v>181</v>
      </c>
      <c r="F36" s="205"/>
      <c r="G36" s="95"/>
      <c r="H36" s="96"/>
    </row>
    <row r="37" spans="2:8" ht="46.5" customHeight="1" x14ac:dyDescent="0.25">
      <c r="B37" s="92"/>
      <c r="C37" s="206" t="s">
        <v>38</v>
      </c>
      <c r="D37" s="207"/>
      <c r="E37" s="204" t="s">
        <v>183</v>
      </c>
      <c r="F37" s="205"/>
      <c r="G37" s="95"/>
      <c r="H37" s="96"/>
    </row>
    <row r="38" spans="2:8" ht="6.75" customHeight="1" thickBot="1" x14ac:dyDescent="0.3">
      <c r="B38" s="92"/>
      <c r="C38" s="208"/>
      <c r="D38" s="209"/>
      <c r="E38" s="210"/>
      <c r="F38" s="211"/>
      <c r="G38" s="95"/>
      <c r="H38" s="96"/>
    </row>
    <row r="39" spans="2:8" ht="15.75" thickTop="1" x14ac:dyDescent="0.25">
      <c r="B39" s="92"/>
      <c r="C39" s="93"/>
      <c r="D39" s="93"/>
      <c r="E39" s="94"/>
      <c r="F39" s="94"/>
      <c r="G39" s="95"/>
      <c r="H39" s="96"/>
    </row>
    <row r="40" spans="2:8" ht="21" customHeight="1" x14ac:dyDescent="0.25">
      <c r="B40" s="201" t="s">
        <v>192</v>
      </c>
      <c r="C40" s="202"/>
      <c r="D40" s="202"/>
      <c r="E40" s="202"/>
      <c r="F40" s="202"/>
      <c r="G40" s="202"/>
      <c r="H40" s="203"/>
    </row>
    <row r="41" spans="2:8" ht="20.25" customHeight="1" x14ac:dyDescent="0.25">
      <c r="B41" s="201" t="s">
        <v>193</v>
      </c>
      <c r="C41" s="202"/>
      <c r="D41" s="202"/>
      <c r="E41" s="202"/>
      <c r="F41" s="202"/>
      <c r="G41" s="202"/>
      <c r="H41" s="203"/>
    </row>
    <row r="42" spans="2:8" ht="20.25" customHeight="1" x14ac:dyDescent="0.25">
      <c r="B42" s="201" t="s">
        <v>194</v>
      </c>
      <c r="C42" s="202"/>
      <c r="D42" s="202"/>
      <c r="E42" s="202"/>
      <c r="F42" s="202"/>
      <c r="G42" s="202"/>
      <c r="H42" s="203"/>
    </row>
    <row r="43" spans="2:8" ht="20.25" customHeight="1" x14ac:dyDescent="0.25">
      <c r="B43" s="201" t="s">
        <v>195</v>
      </c>
      <c r="C43" s="202"/>
      <c r="D43" s="202"/>
      <c r="E43" s="202"/>
      <c r="F43" s="202"/>
      <c r="G43" s="202"/>
      <c r="H43" s="203"/>
    </row>
    <row r="44" spans="2:8" x14ac:dyDescent="0.25">
      <c r="B44" s="201" t="s">
        <v>196</v>
      </c>
      <c r="C44" s="202"/>
      <c r="D44" s="202"/>
      <c r="E44" s="202"/>
      <c r="F44" s="202"/>
      <c r="G44" s="202"/>
      <c r="H44" s="203"/>
    </row>
    <row r="45" spans="2:8" ht="15.75" thickBot="1" x14ac:dyDescent="0.3">
      <c r="B45" s="97"/>
      <c r="C45" s="98"/>
      <c r="D45" s="98"/>
      <c r="E45" s="98"/>
      <c r="F45" s="98"/>
      <c r="G45" s="98"/>
      <c r="H45" s="99"/>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R72"/>
  <sheetViews>
    <sheetView topLeftCell="G21" zoomScale="60" zoomScaleNormal="60" workbookViewId="0">
      <selection activeCell="R24" sqref="R24"/>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28.28515625" style="1" hidden="1" customWidth="1"/>
    <col min="14" max="14" width="17.5703125" style="1" customWidth="1"/>
    <col min="15" max="15" width="6.28515625" style="1" bestFit="1" customWidth="1"/>
    <col min="16" max="16" width="16" style="1" customWidth="1"/>
    <col min="17" max="17" width="5.85546875" style="1" customWidth="1"/>
    <col min="18" max="18" width="65.28515625" style="1" customWidth="1"/>
    <col min="19" max="19" width="15.140625" style="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customWidth="1"/>
    <col min="26" max="26" width="38.5703125" style="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7" style="1" customWidth="1"/>
    <col min="34" max="34" width="18.85546875" style="1" customWidth="1"/>
    <col min="35" max="35" width="16.85546875" style="1" customWidth="1"/>
    <col min="36" max="36" width="18.5703125" style="1" customWidth="1"/>
    <col min="37" max="37" width="46.42578125" style="1" customWidth="1"/>
    <col min="38" max="38" width="21" style="1" customWidth="1"/>
    <col min="39" max="16384" width="11.42578125" style="1"/>
  </cols>
  <sheetData>
    <row r="1" spans="1:70" x14ac:dyDescent="0.3">
      <c r="A1" s="299" t="s">
        <v>138</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1"/>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x14ac:dyDescent="0.3">
      <c r="A2" s="302"/>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4"/>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3.25" x14ac:dyDescent="0.3">
      <c r="A4" s="278" t="s">
        <v>42</v>
      </c>
      <c r="B4" s="279"/>
      <c r="C4" s="287" t="s">
        <v>219</v>
      </c>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23.25" x14ac:dyDescent="0.3">
      <c r="A5" s="278" t="s">
        <v>124</v>
      </c>
      <c r="B5" s="279"/>
      <c r="C5" s="287" t="s">
        <v>217</v>
      </c>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23.25" x14ac:dyDescent="0.3">
      <c r="A6" s="278" t="s">
        <v>43</v>
      </c>
      <c r="B6" s="279"/>
      <c r="C6" s="298" t="s">
        <v>218</v>
      </c>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305" t="s">
        <v>133</v>
      </c>
      <c r="B7" s="306"/>
      <c r="C7" s="307"/>
      <c r="D7" s="307"/>
      <c r="E7" s="307"/>
      <c r="F7" s="307"/>
      <c r="G7" s="307"/>
      <c r="H7" s="307"/>
      <c r="I7" s="308"/>
      <c r="J7" s="267" t="s">
        <v>134</v>
      </c>
      <c r="K7" s="307"/>
      <c r="L7" s="307"/>
      <c r="M7" s="307"/>
      <c r="N7" s="307"/>
      <c r="O7" s="307"/>
      <c r="P7" s="308"/>
      <c r="Q7" s="267" t="s">
        <v>135</v>
      </c>
      <c r="R7" s="307"/>
      <c r="S7" s="307"/>
      <c r="T7" s="307"/>
      <c r="U7" s="307"/>
      <c r="V7" s="307"/>
      <c r="W7" s="307"/>
      <c r="X7" s="307"/>
      <c r="Y7" s="308"/>
      <c r="Z7" s="267" t="s">
        <v>136</v>
      </c>
      <c r="AA7" s="307"/>
      <c r="AB7" s="307"/>
      <c r="AC7" s="307"/>
      <c r="AD7" s="307"/>
      <c r="AE7" s="307"/>
      <c r="AF7" s="308"/>
      <c r="AG7" s="267" t="s">
        <v>34</v>
      </c>
      <c r="AH7" s="307"/>
      <c r="AI7" s="307"/>
      <c r="AJ7" s="307"/>
      <c r="AK7" s="307"/>
      <c r="AL7" s="30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x14ac:dyDescent="0.3">
      <c r="A8" s="280" t="s">
        <v>0</v>
      </c>
      <c r="B8" s="288" t="s">
        <v>2</v>
      </c>
      <c r="C8" s="264" t="s">
        <v>3</v>
      </c>
      <c r="D8" s="264" t="s">
        <v>41</v>
      </c>
      <c r="E8" s="240" t="s">
        <v>202</v>
      </c>
      <c r="F8" s="282" t="s">
        <v>1</v>
      </c>
      <c r="G8" s="149"/>
      <c r="H8" s="240" t="s">
        <v>49</v>
      </c>
      <c r="I8" s="264" t="s">
        <v>129</v>
      </c>
      <c r="J8" s="241" t="s">
        <v>33</v>
      </c>
      <c r="K8" s="266" t="s">
        <v>5</v>
      </c>
      <c r="L8" s="240" t="s">
        <v>85</v>
      </c>
      <c r="M8" s="240" t="s">
        <v>90</v>
      </c>
      <c r="N8" s="268" t="s">
        <v>44</v>
      </c>
      <c r="O8" s="266" t="s">
        <v>5</v>
      </c>
      <c r="P8" s="264" t="s">
        <v>47</v>
      </c>
      <c r="Q8" s="284" t="s">
        <v>11</v>
      </c>
      <c r="R8" s="265" t="s">
        <v>151</v>
      </c>
      <c r="S8" s="240" t="s">
        <v>12</v>
      </c>
      <c r="T8" s="265" t="s">
        <v>8</v>
      </c>
      <c r="U8" s="265"/>
      <c r="V8" s="265"/>
      <c r="W8" s="265"/>
      <c r="X8" s="265"/>
      <c r="Y8" s="265"/>
      <c r="Z8" s="286" t="s">
        <v>132</v>
      </c>
      <c r="AA8" s="286" t="s">
        <v>45</v>
      </c>
      <c r="AB8" s="286" t="s">
        <v>5</v>
      </c>
      <c r="AC8" s="286" t="s">
        <v>46</v>
      </c>
      <c r="AD8" s="286" t="s">
        <v>5</v>
      </c>
      <c r="AE8" s="286" t="s">
        <v>48</v>
      </c>
      <c r="AF8" s="284" t="s">
        <v>29</v>
      </c>
      <c r="AG8" s="265" t="s">
        <v>34</v>
      </c>
      <c r="AH8" s="265" t="s">
        <v>35</v>
      </c>
      <c r="AI8" s="265" t="s">
        <v>36</v>
      </c>
      <c r="AJ8" s="265" t="s">
        <v>37</v>
      </c>
      <c r="AK8" s="265" t="s">
        <v>245</v>
      </c>
      <c r="AL8" s="265"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79.5" x14ac:dyDescent="0.25">
      <c r="A9" s="281"/>
      <c r="B9" s="288"/>
      <c r="C9" s="265"/>
      <c r="D9" s="265"/>
      <c r="E9" s="241"/>
      <c r="F9" s="283"/>
      <c r="G9" s="149" t="s">
        <v>203</v>
      </c>
      <c r="H9" s="264"/>
      <c r="I9" s="265"/>
      <c r="J9" s="264"/>
      <c r="K9" s="267"/>
      <c r="L9" s="264"/>
      <c r="M9" s="264"/>
      <c r="N9" s="267"/>
      <c r="O9" s="267"/>
      <c r="P9" s="265"/>
      <c r="Q9" s="285"/>
      <c r="R9" s="265"/>
      <c r="S9" s="264"/>
      <c r="T9" s="7" t="s">
        <v>13</v>
      </c>
      <c r="U9" s="7" t="s">
        <v>17</v>
      </c>
      <c r="V9" s="7" t="s">
        <v>28</v>
      </c>
      <c r="W9" s="7" t="s">
        <v>18</v>
      </c>
      <c r="X9" s="7" t="s">
        <v>21</v>
      </c>
      <c r="Y9" s="7" t="s">
        <v>24</v>
      </c>
      <c r="Z9" s="286"/>
      <c r="AA9" s="286"/>
      <c r="AB9" s="286"/>
      <c r="AC9" s="286"/>
      <c r="AD9" s="286"/>
      <c r="AE9" s="286"/>
      <c r="AF9" s="285"/>
      <c r="AG9" s="265"/>
      <c r="AH9" s="265"/>
      <c r="AI9" s="265"/>
      <c r="AJ9" s="265"/>
      <c r="AK9" s="265"/>
      <c r="AL9" s="26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65" x14ac:dyDescent="0.25">
      <c r="A10" s="215">
        <v>1</v>
      </c>
      <c r="B10" s="218" t="s">
        <v>128</v>
      </c>
      <c r="C10" s="218" t="s">
        <v>220</v>
      </c>
      <c r="D10" s="221" t="s">
        <v>221</v>
      </c>
      <c r="E10" s="166" t="s">
        <v>222</v>
      </c>
      <c r="F10" s="224" t="s">
        <v>229</v>
      </c>
      <c r="G10" s="263" t="s">
        <v>234</v>
      </c>
      <c r="H10" s="272" t="s">
        <v>117</v>
      </c>
      <c r="I10" s="275">
        <v>80</v>
      </c>
      <c r="J10" s="237" t="str">
        <f>IF(I10&lt;=0,"",IF(I10&lt;=2,"Muy Baja",IF(I10&lt;=24,"Baja",IF(I10&lt;=500,"Media",IF(I10&lt;=5000,"Alta","Muy Alta")))))</f>
        <v>Media</v>
      </c>
      <c r="K10" s="257">
        <f>IF(J10="","",IF(J10="Muy Baja",0.2,IF(J10="Baja",0.4,IF(J10="Media",0.6,IF(J10="Alta",0.8,IF(J10="Muy Alta",1,))))))</f>
        <v>0.6</v>
      </c>
      <c r="L10" s="260" t="s">
        <v>145</v>
      </c>
      <c r="M10" s="257"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237" t="str">
        <f ca="1">IF(OR(M10='Tabla Impacto'!$C$11,M10='Tabla Impacto'!$D$11),"Leve",IF(OR(M10='Tabla Impacto'!$C$12,M10='Tabla Impacto'!$D$12),"Menor",IF(OR(M10='Tabla Impacto'!$C$13,M10='Tabla Impacto'!$D$13),"Moderado",IF(OR(M10='Tabla Impacto'!$C$14,M10='Tabla Impacto'!$D$14),"Mayor",IF(OR(M10='Tabla Impacto'!$C$15,M10='Tabla Impacto'!$D$15),"Catastrófico","")))))</f>
        <v>Mayor</v>
      </c>
      <c r="O10" s="257">
        <f ca="1">IF(N10="","",IF(N10="Leve",0.2,IF(N10="Menor",0.4,IF(N10="Moderado",0.6,IF(N10="Mayor",0.8,IF(N10="Catastrófico",1,))))))</f>
        <v>0.8</v>
      </c>
      <c r="P10" s="254"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7">
        <v>1</v>
      </c>
      <c r="R10" s="167" t="s">
        <v>252</v>
      </c>
      <c r="S10" s="109" t="str">
        <f>IF(OR(T10="Preventivo",T10="Detectivo"),"Probabilidad",IF(T10="Correctivo","Impacto",""))</f>
        <v>Probabilidad</v>
      </c>
      <c r="T10" s="123" t="s">
        <v>14</v>
      </c>
      <c r="U10" s="123" t="s">
        <v>9</v>
      </c>
      <c r="V10" s="124" t="str">
        <f>IF(AND(T10="Preventivo",U10="Automático"),"50%",IF(AND(T10="Preventivo",U10="Manual"),"40%",IF(AND(T10="Detectivo",U10="Automático"),"40%",IF(AND(T10="Detectivo",U10="Manual"),"30%",IF(AND(T10="Correctivo",U10="Automático"),"35%",IF(AND(T10="Correctivo",U10="Manual"),"25%",""))))))</f>
        <v>40%</v>
      </c>
      <c r="W10" s="123" t="s">
        <v>19</v>
      </c>
      <c r="X10" s="123" t="s">
        <v>22</v>
      </c>
      <c r="Y10" s="123" t="s">
        <v>113</v>
      </c>
      <c r="Z10" s="112">
        <f>IFERROR(IF(S10="Probabilidad",(K10-(+K10*V10)),IF(S10="Impacto",K10,"")),"")</f>
        <v>0.36</v>
      </c>
      <c r="AA10" s="127" t="str">
        <f>IFERROR(IF(Z10="","",IF(Z10&lt;=0.2,"Muy Baja",IF(Z10&lt;=0.4,"Baja",IF(Z10&lt;=0.6,"Media",IF(Z10&lt;=0.8,"Alta","Muy Alta"))))),"")</f>
        <v>Baja</v>
      </c>
      <c r="AB10" s="128">
        <f>+Z10</f>
        <v>0.36</v>
      </c>
      <c r="AC10" s="127" t="str">
        <f ca="1">IFERROR(IF(AD10="","",IF(AD10&lt;=0.2,"Leve",IF(AD10&lt;=0.4,"Menor",IF(AD10&lt;=0.6,"Moderado",IF(AD10&lt;=0.8,"Mayor","Catastrófico"))))),"")</f>
        <v>Mayor</v>
      </c>
      <c r="AD10" s="128">
        <f ca="1">IFERROR(IF(S10="Impacto",(O10-(+O10*V10)),IF(S10="Probabilidad",O10,"")),"")</f>
        <v>0.8</v>
      </c>
      <c r="AE10" s="129"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130" t="s">
        <v>32</v>
      </c>
      <c r="AG10" s="125" t="s">
        <v>235</v>
      </c>
      <c r="AH10" s="126" t="s">
        <v>216</v>
      </c>
      <c r="AI10" s="161" t="s">
        <v>237</v>
      </c>
      <c r="AJ10" s="161" t="s">
        <v>244</v>
      </c>
      <c r="AK10" s="168" t="s">
        <v>246</v>
      </c>
      <c r="AL10" s="126" t="s">
        <v>40</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181.5" customHeight="1" x14ac:dyDescent="0.3">
      <c r="A11" s="216"/>
      <c r="B11" s="219"/>
      <c r="C11" s="219"/>
      <c r="D11" s="222"/>
      <c r="E11" s="160" t="s">
        <v>223</v>
      </c>
      <c r="F11" s="225"/>
      <c r="G11" s="263"/>
      <c r="H11" s="273"/>
      <c r="I11" s="276"/>
      <c r="J11" s="238"/>
      <c r="K11" s="258"/>
      <c r="L11" s="261"/>
      <c r="M11" s="258">
        <f ca="1">IF(NOT(ISERROR(MATCH(L11,_xlfn.ANCHORARRAY(F22),0))),K24&amp;"Por favor no seleccionar los criterios de impacto",L11)</f>
        <v>0</v>
      </c>
      <c r="N11" s="238"/>
      <c r="O11" s="258"/>
      <c r="P11" s="255"/>
      <c r="Q11" s="107">
        <v>2</v>
      </c>
      <c r="R11" s="122" t="s">
        <v>253</v>
      </c>
      <c r="S11" s="109" t="str">
        <f>IF(OR(T11="Preventivo",T11="Detectivo"),"Probabilidad",IF(T11="Correctivo","Impacto",""))</f>
        <v>Probabilidad</v>
      </c>
      <c r="T11" s="123" t="s">
        <v>14</v>
      </c>
      <c r="U11" s="123" t="s">
        <v>9</v>
      </c>
      <c r="V11" s="124" t="str">
        <f t="shared" ref="V11" si="0">IF(AND(T11="Preventivo",U11="Automático"),"50%",IF(AND(T11="Preventivo",U11="Manual"),"40%",IF(AND(T11="Detectivo",U11="Automático"),"40%",IF(AND(T11="Detectivo",U11="Manual"),"30%",IF(AND(T11="Correctivo",U11="Automático"),"35%",IF(AND(T11="Correctivo",U11="Manual"),"25%",""))))))</f>
        <v>40%</v>
      </c>
      <c r="W11" s="123" t="s">
        <v>19</v>
      </c>
      <c r="X11" s="123" t="s">
        <v>22</v>
      </c>
      <c r="Y11" s="123" t="s">
        <v>113</v>
      </c>
      <c r="Z11" s="112">
        <f>IFERROR(IF(AND(S10="Probabilidad",S11="Probabilidad"),(AB10-(+AB10*V11)),IF(AND(S10="Impacto",S11="Probabilidad"),(AB9-(+AB9*V11)),IF(S11="Impacto",AB10,""))),"")</f>
        <v>0.216</v>
      </c>
      <c r="AA11" s="127" t="str">
        <f t="shared" ref="AA11" si="1">IFERROR(IF(Z11="","",IF(Z11&lt;=0.2,"Muy Baja",IF(Z11&lt;=0.4,"Baja",IF(Z11&lt;=0.6,"Media",IF(Z11&lt;=0.8,"Alta","Muy Alta"))))),"")</f>
        <v>Baja</v>
      </c>
      <c r="AB11" s="128">
        <f t="shared" ref="AB11" si="2">+Z11</f>
        <v>0.216</v>
      </c>
      <c r="AC11" s="127" t="str">
        <f t="shared" ref="AC11" ca="1" si="3">IFERROR(IF(AD11="","",IF(AD11&lt;=0.2,"Leve",IF(AD11&lt;=0.4,"Menor",IF(AD11&lt;=0.6,"Moderado",IF(AD11&lt;=0.8,"Mayor","Catastrófico"))))),"")</f>
        <v>Mayor</v>
      </c>
      <c r="AD11" s="131">
        <f ca="1">IFERROR(IF(AND(S10="Impacto",S11="Impacto"),(AD10-(+AD10*V11)),IF(AND(S10="Probabilidad",S11="Impacto"),(AD9-(+AD9*V11)),IF(S11="Probabilidad",AD10,""))),"")</f>
        <v>0.8</v>
      </c>
      <c r="AE11" s="129" t="str">
        <f t="shared" ref="AE11" ca="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130" t="s">
        <v>130</v>
      </c>
      <c r="AG11" s="117" t="s">
        <v>236</v>
      </c>
      <c r="AH11" s="126" t="s">
        <v>216</v>
      </c>
      <c r="AI11" s="162" t="s">
        <v>237</v>
      </c>
      <c r="AJ11" s="161" t="s">
        <v>244</v>
      </c>
      <c r="AK11" s="164" t="s">
        <v>247</v>
      </c>
      <c r="AL11" s="118" t="s">
        <v>40</v>
      </c>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x14ac:dyDescent="0.3">
      <c r="A12" s="216"/>
      <c r="B12" s="219"/>
      <c r="C12" s="219"/>
      <c r="D12" s="222"/>
      <c r="E12" s="150"/>
      <c r="F12" s="225"/>
      <c r="G12" s="263"/>
      <c r="H12" s="273"/>
      <c r="I12" s="276"/>
      <c r="J12" s="238"/>
      <c r="K12" s="258"/>
      <c r="L12" s="261"/>
      <c r="M12" s="258">
        <f ca="1">IF(NOT(ISERROR(MATCH(L12,_xlfn.ANCHORARRAY(F23),0))),K25&amp;"Por favor no seleccionar los criterios de impacto",L12)</f>
        <v>0</v>
      </c>
      <c r="N12" s="238"/>
      <c r="O12" s="258"/>
      <c r="P12" s="255"/>
      <c r="Q12" s="107">
        <v>3</v>
      </c>
      <c r="R12" s="120"/>
      <c r="S12" s="109"/>
      <c r="T12" s="123"/>
      <c r="U12" s="123"/>
      <c r="V12" s="124"/>
      <c r="W12" s="123"/>
      <c r="X12" s="123"/>
      <c r="Y12" s="123"/>
      <c r="Z12" s="112"/>
      <c r="AA12" s="127"/>
      <c r="AB12" s="128"/>
      <c r="AC12" s="127"/>
      <c r="AD12" s="131"/>
      <c r="AE12" s="129"/>
      <c r="AF12" s="130"/>
      <c r="AG12" s="117"/>
      <c r="AH12" s="117"/>
      <c r="AI12" s="162"/>
      <c r="AJ12" s="119"/>
      <c r="AK12" s="164"/>
      <c r="AL12" s="11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x14ac:dyDescent="0.3">
      <c r="A13" s="216"/>
      <c r="B13" s="219"/>
      <c r="C13" s="219"/>
      <c r="D13" s="222"/>
      <c r="E13" s="150"/>
      <c r="F13" s="225"/>
      <c r="G13" s="263"/>
      <c r="H13" s="273"/>
      <c r="I13" s="276"/>
      <c r="J13" s="238"/>
      <c r="K13" s="258"/>
      <c r="L13" s="261"/>
      <c r="M13" s="258">
        <f ca="1">IF(NOT(ISERROR(MATCH(L13,_xlfn.ANCHORARRAY(F24),0))),K26&amp;"Por favor no seleccionar los criterios de impacto",L13)</f>
        <v>0</v>
      </c>
      <c r="N13" s="238"/>
      <c r="O13" s="258"/>
      <c r="P13" s="255"/>
      <c r="Q13" s="107">
        <v>4</v>
      </c>
      <c r="R13" s="108"/>
      <c r="S13" s="109"/>
      <c r="T13" s="123"/>
      <c r="U13" s="123"/>
      <c r="V13" s="124"/>
      <c r="W13" s="123"/>
      <c r="X13" s="123"/>
      <c r="Y13" s="123"/>
      <c r="Z13" s="112"/>
      <c r="AA13" s="127"/>
      <c r="AB13" s="128"/>
      <c r="AC13" s="127"/>
      <c r="AD13" s="131"/>
      <c r="AE13" s="129"/>
      <c r="AF13" s="130"/>
      <c r="AG13" s="164"/>
      <c r="AH13" s="118"/>
      <c r="AI13" s="162"/>
      <c r="AJ13" s="119"/>
      <c r="AK13" s="117"/>
      <c r="AL13" s="11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x14ac:dyDescent="0.3">
      <c r="A14" s="216"/>
      <c r="B14" s="219"/>
      <c r="C14" s="219"/>
      <c r="D14" s="222"/>
      <c r="E14" s="150"/>
      <c r="F14" s="225"/>
      <c r="G14" s="263"/>
      <c r="H14" s="273"/>
      <c r="I14" s="276"/>
      <c r="J14" s="238"/>
      <c r="K14" s="258"/>
      <c r="L14" s="261"/>
      <c r="M14" s="258">
        <f ca="1">IF(NOT(ISERROR(MATCH(L14,_xlfn.ANCHORARRAY(F25),0))),K27&amp;"Por favor no seleccionar los criterios de impacto",L14)</f>
        <v>0</v>
      </c>
      <c r="N14" s="238"/>
      <c r="O14" s="258"/>
      <c r="P14" s="255"/>
      <c r="Q14" s="107">
        <v>5</v>
      </c>
      <c r="R14" s="108"/>
      <c r="S14" s="109" t="str">
        <f t="shared" ref="S14:S15" si="5">IF(OR(T14="Preventivo",T14="Detectivo"),"Probabilidad",IF(T14="Correctivo","Impacto",""))</f>
        <v/>
      </c>
      <c r="T14" s="123"/>
      <c r="U14" s="123"/>
      <c r="V14" s="124" t="str">
        <f t="shared" ref="V14:V15" si="6">IF(AND(T14="Preventivo",U14="Automático"),"50%",IF(AND(T14="Preventivo",U14="Manual"),"40%",IF(AND(T14="Detectivo",U14="Automático"),"40%",IF(AND(T14="Detectivo",U14="Manual"),"30%",IF(AND(T14="Correctivo",U14="Automático"),"35%",IF(AND(T14="Correctivo",U14="Manual"),"25%",""))))))</f>
        <v/>
      </c>
      <c r="W14" s="123"/>
      <c r="X14" s="123"/>
      <c r="Y14" s="123"/>
      <c r="Z14" s="112" t="str">
        <f t="shared" ref="Z14:Z15" si="7">IFERROR(IF(AND(S13="Probabilidad",S14="Probabilidad"),(AB13-(+AB13*V14)),IF(AND(S13="Impacto",S14="Probabilidad"),(AB12-(+AB12*V14)),IF(S14="Impacto",AB13,""))),"")</f>
        <v/>
      </c>
      <c r="AA14" s="127" t="str">
        <f t="shared" ref="AA14:AA15" si="8">IFERROR(IF(Z14="","",IF(Z14&lt;=0.2,"Muy Baja",IF(Z14&lt;=0.4,"Baja",IF(Z14&lt;=0.6,"Media",IF(Z14&lt;=0.8,"Alta","Muy Alta"))))),"")</f>
        <v/>
      </c>
      <c r="AB14" s="128" t="str">
        <f t="shared" ref="AB14:AB15" si="9">+Z14</f>
        <v/>
      </c>
      <c r="AC14" s="127" t="str">
        <f t="shared" ref="AC14:AC15" si="10">IFERROR(IF(AD14="","",IF(AD14&lt;=0.2,"Leve",IF(AD14&lt;=0.4,"Menor",IF(AD14&lt;=0.6,"Moderado",IF(AD14&lt;=0.8,"Mayor","Catastrófico"))))),"")</f>
        <v/>
      </c>
      <c r="AD14" s="131" t="str">
        <f t="shared" ref="AD14:AD15" si="11">IFERROR(IF(AND(S13="Impacto",S14="Impacto"),(AD13-(+AD13*V14)),IF(AND(S13="Probabilidad",S14="Impacto"),(AD12-(+AD12*V14)),IF(S14="Probabilidad",AD13,""))),"")</f>
        <v/>
      </c>
      <c r="AE14" s="129" t="str">
        <f t="shared" ref="AE14:AE15" si="12">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
      </c>
      <c r="AF14" s="130"/>
      <c r="AG14" s="117"/>
      <c r="AH14" s="118"/>
      <c r="AI14" s="119"/>
      <c r="AJ14" s="119"/>
      <c r="AK14" s="117"/>
      <c r="AL14" s="11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x14ac:dyDescent="0.3">
      <c r="A15" s="217"/>
      <c r="B15" s="220"/>
      <c r="C15" s="220"/>
      <c r="D15" s="223"/>
      <c r="E15" s="150"/>
      <c r="F15" s="226"/>
      <c r="G15" s="263"/>
      <c r="H15" s="274"/>
      <c r="I15" s="277"/>
      <c r="J15" s="239"/>
      <c r="K15" s="259"/>
      <c r="L15" s="262"/>
      <c r="M15" s="259">
        <f ca="1">IF(NOT(ISERROR(MATCH(L15,_xlfn.ANCHORARRAY(F26),0))),K28&amp;"Por favor no seleccionar los criterios de impacto",L15)</f>
        <v>0</v>
      </c>
      <c r="N15" s="239"/>
      <c r="O15" s="259"/>
      <c r="P15" s="256"/>
      <c r="Q15" s="107">
        <v>6</v>
      </c>
      <c r="R15" s="108"/>
      <c r="S15" s="109" t="str">
        <f t="shared" si="5"/>
        <v/>
      </c>
      <c r="T15" s="123"/>
      <c r="U15" s="123"/>
      <c r="V15" s="124" t="str">
        <f t="shared" si="6"/>
        <v/>
      </c>
      <c r="W15" s="123"/>
      <c r="X15" s="123"/>
      <c r="Y15" s="123"/>
      <c r="Z15" s="112" t="str">
        <f t="shared" si="7"/>
        <v/>
      </c>
      <c r="AA15" s="127" t="str">
        <f t="shared" si="8"/>
        <v/>
      </c>
      <c r="AB15" s="128" t="str">
        <f t="shared" si="9"/>
        <v/>
      </c>
      <c r="AC15" s="127" t="str">
        <f t="shared" si="10"/>
        <v/>
      </c>
      <c r="AD15" s="131" t="str">
        <f t="shared" si="11"/>
        <v/>
      </c>
      <c r="AE15" s="129" t="str">
        <f t="shared" si="12"/>
        <v/>
      </c>
      <c r="AF15" s="130"/>
      <c r="AG15" s="117"/>
      <c r="AH15" s="118"/>
      <c r="AI15" s="119"/>
      <c r="AJ15" s="119"/>
      <c r="AK15" s="117"/>
      <c r="AL15" s="11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198" x14ac:dyDescent="0.3">
      <c r="A16" s="215">
        <v>2</v>
      </c>
      <c r="B16" s="218" t="s">
        <v>128</v>
      </c>
      <c r="C16" s="251" t="s">
        <v>224</v>
      </c>
      <c r="D16" s="242" t="s">
        <v>225</v>
      </c>
      <c r="E16" s="163" t="s">
        <v>226</v>
      </c>
      <c r="F16" s="230" t="s">
        <v>230</v>
      </c>
      <c r="G16" s="269" t="s">
        <v>215</v>
      </c>
      <c r="H16" s="231" t="s">
        <v>123</v>
      </c>
      <c r="I16" s="234">
        <v>5001</v>
      </c>
      <c r="J16" s="212" t="str">
        <f>IF(I16&lt;=0,"",IF(I16&lt;=2,"Muy Baja",IF(I16&lt;=24,"Baja",IF(I16&lt;=500,"Media",IF(I16&lt;=5000,"Alta","Muy Alta")))))</f>
        <v>Muy Alta</v>
      </c>
      <c r="K16" s="245">
        <f>IF(J16="","",IF(J16="Muy Baja",0.2,IF(J16="Baja",0.4,IF(J16="Media",0.6,IF(J16="Alta",0.8,IF(J16="Muy Alta",1,))))))</f>
        <v>1</v>
      </c>
      <c r="L16" s="289" t="s">
        <v>146</v>
      </c>
      <c r="M16" s="245" t="str">
        <f ca="1">IF(NOT(ISERROR(MATCH(L16,'Tabla Impacto'!$B$221:$B$223,0))),'Tabla Impacto'!$F$223&amp;"Por favor no seleccionar los criterios de impacto(Afectación Económica o presupuestal y Pérdida Reputacional)",L16)</f>
        <v xml:space="preserve">     El riesgo afecta la imagen de la entidad a nivel nacional, con efecto publicitarios sostenible a nivel país</v>
      </c>
      <c r="N16" s="212" t="str">
        <f ca="1">IF(OR(M16='Tabla Impacto'!$C$11,M16='Tabla Impacto'!$D$11),"Leve",IF(OR(M16='Tabla Impacto'!$C$12,M16='Tabla Impacto'!$D$12),"Menor",IF(OR(M16='Tabla Impacto'!$C$13,M16='Tabla Impacto'!$D$13),"Moderado",IF(OR(M16='Tabla Impacto'!$C$14,M16='Tabla Impacto'!$D$14),"Mayor",IF(OR(M16='Tabla Impacto'!$C$15,M16='Tabla Impacto'!$D$15),"Catastrófico","")))))</f>
        <v>Catastrófico</v>
      </c>
      <c r="O16" s="245">
        <f ca="1">IF(N16="","",IF(N16="Leve",0.2,IF(N16="Menor",0.4,IF(N16="Moderado",0.6,IF(N16="Mayor",0.8,IF(N16="Catastrófico",1,))))))</f>
        <v>1</v>
      </c>
      <c r="P16" s="248" t="str">
        <f ca="1">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Extremo</v>
      </c>
      <c r="Q16" s="107">
        <v>1</v>
      </c>
      <c r="R16" s="122" t="s">
        <v>254</v>
      </c>
      <c r="S16" s="109" t="str">
        <f>IF(OR(T16="Preventivo",T16="Detectivo"),"Probabilidad",IF(T16="Correctivo","Impacto",""))</f>
        <v>Probabilidad</v>
      </c>
      <c r="T16" s="123" t="s">
        <v>14</v>
      </c>
      <c r="U16" s="123" t="s">
        <v>9</v>
      </c>
      <c r="V16" s="124" t="str">
        <f>IF(AND(T16="Preventivo",U16="Automático"),"50%",IF(AND(T16="Preventivo",U16="Manual"),"40%",IF(AND(T16="Detectivo",U16="Automático"),"40%",IF(AND(T16="Detectivo",U16="Manual"),"30%",IF(AND(T16="Correctivo",U16="Automático"),"35%",IF(AND(T16="Correctivo",U16="Manual"),"25%",""))))))</f>
        <v>40%</v>
      </c>
      <c r="W16" s="123" t="s">
        <v>19</v>
      </c>
      <c r="X16" s="123" t="s">
        <v>23</v>
      </c>
      <c r="Y16" s="123" t="s">
        <v>113</v>
      </c>
      <c r="Z16" s="112">
        <f>IFERROR(IF(S16="Probabilidad",(K16-(+K16*V16)),IF(S16="Impacto",K16,"")),"")</f>
        <v>0.6</v>
      </c>
      <c r="AA16" s="127" t="str">
        <f>IFERROR(IF(Z16="","",IF(Z16&lt;=0.2,"Muy Baja",IF(Z16&lt;=0.4,"Baja",IF(Z16&lt;=0.6,"Media",IF(Z16&lt;=0.8,"Alta","Muy Alta"))))),"")</f>
        <v>Media</v>
      </c>
      <c r="AB16" s="128">
        <f>+Z16</f>
        <v>0.6</v>
      </c>
      <c r="AC16" s="127" t="str">
        <f ca="1">IFERROR(IF(AD16="","",IF(AD16&lt;=0.2,"Leve",IF(AD16&lt;=0.4,"Menor",IF(AD16&lt;=0.6,"Moderado",IF(AD16&lt;=0.8,"Mayor","Catastrófico"))))),"")</f>
        <v>Catastrófico</v>
      </c>
      <c r="AD16" s="128">
        <f ca="1">IFERROR(IF(S16="Impacto",(O16-(+O16*V16)),IF(S16="Probabilidad",O16,"")),"")</f>
        <v>1</v>
      </c>
      <c r="AE16" s="129" t="str">
        <f ca="1">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Extremo</v>
      </c>
      <c r="AF16" s="116" t="s">
        <v>32</v>
      </c>
      <c r="AG16" s="164" t="s">
        <v>238</v>
      </c>
      <c r="AH16" s="118" t="s">
        <v>216</v>
      </c>
      <c r="AI16" s="162" t="s">
        <v>237</v>
      </c>
      <c r="AJ16" s="161" t="s">
        <v>244</v>
      </c>
      <c r="AK16" s="161" t="s">
        <v>248</v>
      </c>
      <c r="AL16" s="118" t="s">
        <v>40</v>
      </c>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92.75" customHeight="1" x14ac:dyDescent="0.3">
      <c r="A17" s="216"/>
      <c r="B17" s="219"/>
      <c r="C17" s="252"/>
      <c r="D17" s="243"/>
      <c r="E17" s="163" t="s">
        <v>227</v>
      </c>
      <c r="F17" s="230"/>
      <c r="G17" s="270"/>
      <c r="H17" s="232"/>
      <c r="I17" s="235"/>
      <c r="J17" s="213"/>
      <c r="K17" s="246"/>
      <c r="L17" s="290"/>
      <c r="M17" s="246">
        <f ca="1">IF(NOT(ISERROR(MATCH(L17,_xlfn.ANCHORARRAY(F28),0))),K30&amp;"Por favor no seleccionar los criterios de impacto",L17)</f>
        <v>0</v>
      </c>
      <c r="N17" s="213"/>
      <c r="O17" s="246"/>
      <c r="P17" s="249"/>
      <c r="Q17" s="107">
        <v>2</v>
      </c>
      <c r="R17" s="169" t="s">
        <v>255</v>
      </c>
      <c r="S17" s="109" t="str">
        <f>IF(OR(T17="Preventivo",T17="Detectivo"),"Probabilidad",IF(T17="Correctivo","Impacto",""))</f>
        <v>Probabilidad</v>
      </c>
      <c r="T17" s="123" t="s">
        <v>14</v>
      </c>
      <c r="U17" s="123" t="s">
        <v>9</v>
      </c>
      <c r="V17" s="124" t="str">
        <f t="shared" ref="V17:V21" si="13">IF(AND(T17="Preventivo",U17="Automático"),"50%",IF(AND(T17="Preventivo",U17="Manual"),"40%",IF(AND(T17="Detectivo",U17="Automático"),"40%",IF(AND(T17="Detectivo",U17="Manual"),"30%",IF(AND(T17="Correctivo",U17="Automático"),"35%",IF(AND(T17="Correctivo",U17="Manual"),"25%",""))))))</f>
        <v>40%</v>
      </c>
      <c r="W17" s="123" t="s">
        <v>19</v>
      </c>
      <c r="X17" s="123" t="s">
        <v>23</v>
      </c>
      <c r="Y17" s="123" t="s">
        <v>113</v>
      </c>
      <c r="Z17" s="112">
        <f>IFERROR(IF(AND(S16="Probabilidad",S17="Probabilidad"),(AB16-(+AB16*V17)),IF(AND(S16="Impacto",S17="Probabilidad"),(AB15-(+AB15*V17)),IF(S17="Impacto",AB16,""))),"")</f>
        <v>0.36</v>
      </c>
      <c r="AA17" s="127" t="str">
        <f t="shared" ref="AA17:AA21" si="14">IFERROR(IF(Z17="","",IF(Z17&lt;=0.2,"Muy Baja",IF(Z17&lt;=0.4,"Baja",IF(Z17&lt;=0.6,"Media",IF(Z17&lt;=0.8,"Alta","Muy Alta"))))),"")</f>
        <v>Baja</v>
      </c>
      <c r="AB17" s="128">
        <f t="shared" ref="AB17:AB21" si="15">+Z17</f>
        <v>0.36</v>
      </c>
      <c r="AC17" s="127" t="str">
        <f t="shared" ref="AC17:AC21" ca="1" si="16">IFERROR(IF(AD17="","",IF(AD17&lt;=0.2,"Leve",IF(AD17&lt;=0.4,"Menor",IF(AD17&lt;=0.6,"Moderado",IF(AD17&lt;=0.8,"Mayor","Catastrófico"))))),"")</f>
        <v>Catastrófico</v>
      </c>
      <c r="AD17" s="131">
        <f ca="1">IFERROR(IF(AND(S16="Impacto",S17="Impacto"),(AD16-(+AD16*V17)),IF(AND(S16="Probabilidad",S17="Impacto"),(AD15-(+AD15*V17)),IF(S17="Probabilidad",AD16,""))),"")</f>
        <v>1</v>
      </c>
      <c r="AE17" s="129" t="str">
        <f t="shared" ref="AE17:AE21" ca="1" si="17">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Extremo</v>
      </c>
      <c r="AF17" s="116" t="s">
        <v>131</v>
      </c>
      <c r="AG17" s="164" t="s">
        <v>239</v>
      </c>
      <c r="AH17" s="118" t="s">
        <v>216</v>
      </c>
      <c r="AI17" s="162" t="s">
        <v>237</v>
      </c>
      <c r="AJ17" s="161" t="s">
        <v>244</v>
      </c>
      <c r="AK17" s="161" t="s">
        <v>249</v>
      </c>
      <c r="AL17" s="118" t="s">
        <v>40</v>
      </c>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x14ac:dyDescent="0.3">
      <c r="A18" s="216"/>
      <c r="B18" s="219"/>
      <c r="C18" s="252"/>
      <c r="D18" s="243"/>
      <c r="E18" s="163"/>
      <c r="F18" s="230"/>
      <c r="G18" s="270"/>
      <c r="H18" s="232"/>
      <c r="I18" s="235"/>
      <c r="J18" s="213"/>
      <c r="K18" s="246"/>
      <c r="L18" s="290"/>
      <c r="M18" s="246">
        <f ca="1">IF(NOT(ISERROR(MATCH(L18,_xlfn.ANCHORARRAY(F29),0))),K31&amp;"Por favor no seleccionar los criterios de impacto",L18)</f>
        <v>0</v>
      </c>
      <c r="N18" s="213"/>
      <c r="O18" s="246"/>
      <c r="P18" s="249"/>
      <c r="Q18" s="107"/>
      <c r="R18" s="120"/>
      <c r="S18" s="109"/>
      <c r="T18" s="123"/>
      <c r="U18" s="123"/>
      <c r="V18" s="124"/>
      <c r="W18" s="123"/>
      <c r="X18" s="123"/>
      <c r="Y18" s="123"/>
      <c r="Z18" s="112"/>
      <c r="AA18" s="127"/>
      <c r="AB18" s="128"/>
      <c r="AC18" s="127"/>
      <c r="AD18" s="131"/>
      <c r="AE18" s="129"/>
      <c r="AF18" s="116"/>
      <c r="AG18" s="164"/>
      <c r="AH18" s="117"/>
      <c r="AI18" s="162"/>
      <c r="AJ18" s="119"/>
      <c r="AK18" s="164"/>
      <c r="AL18" s="11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x14ac:dyDescent="0.3">
      <c r="A19" s="216"/>
      <c r="B19" s="219"/>
      <c r="C19" s="252"/>
      <c r="D19" s="243"/>
      <c r="E19" s="151"/>
      <c r="F19" s="230"/>
      <c r="G19" s="270"/>
      <c r="H19" s="232"/>
      <c r="I19" s="235"/>
      <c r="J19" s="213"/>
      <c r="K19" s="246"/>
      <c r="L19" s="290"/>
      <c r="M19" s="246">
        <f ca="1">IF(NOT(ISERROR(MATCH(L19,_xlfn.ANCHORARRAY(F30),0))),K32&amp;"Por favor no seleccionar los criterios de impacto",L19)</f>
        <v>0</v>
      </c>
      <c r="N19" s="213"/>
      <c r="O19" s="246"/>
      <c r="P19" s="249"/>
      <c r="Q19" s="107">
        <v>4</v>
      </c>
      <c r="R19" s="165"/>
      <c r="S19" s="109" t="str">
        <f t="shared" ref="S19:S23" si="18">IF(OR(T19="Preventivo",T19="Detectivo"),"Probabilidad",IF(T19="Correctivo","Impacto",""))</f>
        <v/>
      </c>
      <c r="T19" s="123"/>
      <c r="U19" s="123"/>
      <c r="V19" s="124"/>
      <c r="W19" s="123"/>
      <c r="X19" s="123"/>
      <c r="Y19" s="123"/>
      <c r="Z19" s="112"/>
      <c r="AA19" s="127"/>
      <c r="AB19" s="128"/>
      <c r="AC19" s="127"/>
      <c r="AD19" s="131"/>
      <c r="AE19" s="129"/>
      <c r="AF19" s="116"/>
      <c r="AG19" s="117"/>
      <c r="AH19" s="118"/>
      <c r="AI19" s="162"/>
      <c r="AJ19" s="119"/>
      <c r="AK19" s="117"/>
      <c r="AL19" s="11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x14ac:dyDescent="0.3">
      <c r="A20" s="216"/>
      <c r="B20" s="219"/>
      <c r="C20" s="252"/>
      <c r="D20" s="243"/>
      <c r="E20" s="151"/>
      <c r="F20" s="230"/>
      <c r="G20" s="270"/>
      <c r="H20" s="232"/>
      <c r="I20" s="235"/>
      <c r="J20" s="213"/>
      <c r="K20" s="246"/>
      <c r="L20" s="290"/>
      <c r="M20" s="246">
        <f ca="1">IF(NOT(ISERROR(MATCH(L20,_xlfn.ANCHORARRAY(F31),0))),K33&amp;"Por favor no seleccionar los criterios de impacto",L20)</f>
        <v>0</v>
      </c>
      <c r="N20" s="213"/>
      <c r="O20" s="246"/>
      <c r="P20" s="249"/>
      <c r="Q20" s="107">
        <v>5</v>
      </c>
      <c r="R20" s="108"/>
      <c r="S20" s="109" t="str">
        <f t="shared" si="18"/>
        <v/>
      </c>
      <c r="T20" s="123"/>
      <c r="U20" s="123"/>
      <c r="V20" s="124" t="str">
        <f t="shared" si="13"/>
        <v/>
      </c>
      <c r="W20" s="123"/>
      <c r="X20" s="123"/>
      <c r="Y20" s="123"/>
      <c r="Z20" s="112" t="str">
        <f t="shared" ref="Z20:Z21" si="19">IFERROR(IF(AND(S19="Probabilidad",S20="Probabilidad"),(AB19-(+AB19*V20)),IF(AND(S19="Impacto",S20="Probabilidad"),(AB18-(+AB18*V20)),IF(S20="Impacto",AB19,""))),"")</f>
        <v/>
      </c>
      <c r="AA20" s="127" t="str">
        <f t="shared" si="14"/>
        <v/>
      </c>
      <c r="AB20" s="128" t="str">
        <f t="shared" si="15"/>
        <v/>
      </c>
      <c r="AC20" s="127" t="str">
        <f t="shared" si="16"/>
        <v/>
      </c>
      <c r="AD20" s="131" t="str">
        <f t="shared" ref="AD20:AD21" si="20">IFERROR(IF(AND(S19="Impacto",S20="Impacto"),(AD19-(+AD19*V20)),IF(AND(S19="Probabilidad",S20="Impacto"),(AD18-(+AD18*V20)),IF(S20="Probabilidad",AD19,""))),"")</f>
        <v/>
      </c>
      <c r="AE20" s="129" t="str">
        <f t="shared" si="17"/>
        <v/>
      </c>
      <c r="AF20" s="116"/>
      <c r="AG20" s="117"/>
      <c r="AH20" s="118"/>
      <c r="AI20" s="119"/>
      <c r="AJ20" s="119"/>
      <c r="AK20" s="117"/>
      <c r="AL20" s="11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x14ac:dyDescent="0.3">
      <c r="A21" s="217"/>
      <c r="B21" s="220"/>
      <c r="C21" s="253"/>
      <c r="D21" s="244"/>
      <c r="E21" s="151"/>
      <c r="F21" s="230"/>
      <c r="G21" s="271"/>
      <c r="H21" s="233"/>
      <c r="I21" s="236"/>
      <c r="J21" s="214"/>
      <c r="K21" s="247"/>
      <c r="L21" s="291"/>
      <c r="M21" s="247">
        <f ca="1">IF(NOT(ISERROR(MATCH(L21,_xlfn.ANCHORARRAY(F32),0))),K34&amp;"Por favor no seleccionar los criterios de impacto",L21)</f>
        <v>0</v>
      </c>
      <c r="N21" s="214"/>
      <c r="O21" s="247"/>
      <c r="P21" s="250"/>
      <c r="Q21" s="107">
        <v>6</v>
      </c>
      <c r="R21" s="108"/>
      <c r="S21" s="109" t="str">
        <f t="shared" si="18"/>
        <v/>
      </c>
      <c r="T21" s="123"/>
      <c r="U21" s="123"/>
      <c r="V21" s="124" t="str">
        <f t="shared" si="13"/>
        <v/>
      </c>
      <c r="W21" s="123"/>
      <c r="X21" s="123"/>
      <c r="Y21" s="123"/>
      <c r="Z21" s="112" t="str">
        <f t="shared" si="19"/>
        <v/>
      </c>
      <c r="AA21" s="127" t="str">
        <f t="shared" si="14"/>
        <v/>
      </c>
      <c r="AB21" s="128" t="str">
        <f t="shared" si="15"/>
        <v/>
      </c>
      <c r="AC21" s="127" t="str">
        <f t="shared" si="16"/>
        <v/>
      </c>
      <c r="AD21" s="131" t="str">
        <f t="shared" si="20"/>
        <v/>
      </c>
      <c r="AE21" s="129" t="str">
        <f t="shared" si="17"/>
        <v/>
      </c>
      <c r="AF21" s="116"/>
      <c r="AG21" s="117"/>
      <c r="AH21" s="118"/>
      <c r="AI21" s="119"/>
      <c r="AJ21" s="119"/>
      <c r="AK21" s="117"/>
      <c r="AL21" s="11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48.5" customHeight="1" x14ac:dyDescent="0.3">
      <c r="A22" s="215">
        <v>3</v>
      </c>
      <c r="B22" s="218" t="s">
        <v>128</v>
      </c>
      <c r="C22" s="227" t="s">
        <v>231</v>
      </c>
      <c r="D22" s="227" t="s">
        <v>228</v>
      </c>
      <c r="E22" s="151" t="s">
        <v>243</v>
      </c>
      <c r="F22" s="230" t="s">
        <v>232</v>
      </c>
      <c r="G22" s="292" t="s">
        <v>233</v>
      </c>
      <c r="H22" s="231" t="s">
        <v>122</v>
      </c>
      <c r="I22" s="234">
        <v>5001</v>
      </c>
      <c r="J22" s="212" t="str">
        <f t="shared" ref="J22" si="21">IF(I22&lt;=0,"",IF(I22&lt;=2,"Muy Baja",IF(I22&lt;=24,"Baja",IF(I22&lt;=500,"Media",IF(I22&lt;=5000,"Alta","Muy Alta")))))</f>
        <v>Muy Alta</v>
      </c>
      <c r="K22" s="245">
        <f t="shared" ref="K22" si="22">IF(J22="","",IF(J22="Muy Baja",0.2,IF(J22="Baja",0.4,IF(J22="Media",0.6,IF(J22="Alta",0.8,IF(J22="Muy Alta",1,))))))</f>
        <v>1</v>
      </c>
      <c r="L22" s="289" t="s">
        <v>146</v>
      </c>
      <c r="M22" s="245" t="str">
        <f ca="1">IF(NOT(ISERROR(MATCH(L22,'Tabla Impacto'!$B$221:$B$223,0))),'Tabla Impacto'!$F$223&amp;"Por favor no seleccionar los criterios de impacto(Afectación Económica o presupuestal y Pérdida Reputacional)",L22)</f>
        <v xml:space="preserve">     El riesgo afecta la imagen de la entidad a nivel nacional, con efecto publicitarios sostenible a nivel país</v>
      </c>
      <c r="N22" s="212" t="str">
        <f ca="1">IF(OR(M22='Tabla Impacto'!$C$11,M22='Tabla Impacto'!$D$11),"Leve",IF(OR(M22='Tabla Impacto'!$C$12,M22='Tabla Impacto'!$D$12),"Menor",IF(OR(M22='Tabla Impacto'!$C$13,M22='Tabla Impacto'!$D$13),"Moderado",IF(OR(M22='Tabla Impacto'!$C$14,M22='Tabla Impacto'!$D$14),"Mayor",IF(OR(M22='Tabla Impacto'!$C$15,M22='Tabla Impacto'!$D$15),"Catastrófico","")))))</f>
        <v>Catastrófico</v>
      </c>
      <c r="O22" s="245">
        <f t="shared" ref="O22" ca="1" si="23">IF(N22="","",IF(N22="Leve",0.2,IF(N22="Menor",0.4,IF(N22="Moderado",0.6,IF(N22="Mayor",0.8,IF(N22="Catastrófico",1,))))))</f>
        <v>1</v>
      </c>
      <c r="P22" s="248" t="str">
        <f t="shared" ref="P22" ca="1" si="24">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Extremo</v>
      </c>
      <c r="Q22" s="107">
        <v>1</v>
      </c>
      <c r="R22" s="170" t="s">
        <v>256</v>
      </c>
      <c r="S22" s="109" t="str">
        <f t="shared" si="18"/>
        <v>Probabilidad</v>
      </c>
      <c r="T22" s="110" t="s">
        <v>15</v>
      </c>
      <c r="U22" s="110" t="s">
        <v>9</v>
      </c>
      <c r="V22" s="111" t="str">
        <f>IF(AND(T22="Preventivo",U22="Automático"),"50%",IF(AND(T22="Preventivo",U22="Manual"),"40%",IF(AND(T22="Detectivo",U22="Automático"),"40%",IF(AND(T22="Detectivo",U22="Manual"),"30%",IF(AND(T22="Correctivo",U22="Automático"),"35%",IF(AND(T22="Correctivo",U22="Manual"),"25%",""))))))</f>
        <v>30%</v>
      </c>
      <c r="W22" s="110" t="s">
        <v>19</v>
      </c>
      <c r="X22" s="110" t="s">
        <v>22</v>
      </c>
      <c r="Y22" s="110" t="s">
        <v>113</v>
      </c>
      <c r="Z22" s="112">
        <f>IFERROR(IF(S22="Probabilidad",(K22-(+K22*V22)),IF(S22="Impacto",K22,"")),"")</f>
        <v>0.7</v>
      </c>
      <c r="AA22" s="113" t="str">
        <f>IFERROR(IF(Z22="","",IF(Z22&lt;=0.2,"Muy Baja",IF(Z22&lt;=0.4,"Baja",IF(Z22&lt;=0.6,"Media",IF(Z22&lt;=0.8,"Alta","Muy Alta"))))),"")</f>
        <v>Alta</v>
      </c>
      <c r="AB22" s="114">
        <f>+Z22</f>
        <v>0.7</v>
      </c>
      <c r="AC22" s="113" t="str">
        <f ca="1">IFERROR(IF(AD22="","",IF(AD22&lt;=0.2,"Leve",IF(AD22&lt;=0.4,"Menor",IF(AD22&lt;=0.6,"Moderado",IF(AD22&lt;=0.8,"Mayor","Catastrófico"))))),"")</f>
        <v>Catastrófico</v>
      </c>
      <c r="AD22" s="121">
        <f ca="1">IFERROR(IF(S22="Impacto",(O22-(+O22*V22)),IF(S22="Probabilidad",O22,"")),"")</f>
        <v>1</v>
      </c>
      <c r="AE22" s="115" t="str">
        <f ca="1">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Extremo</v>
      </c>
      <c r="AF22" s="116"/>
      <c r="AG22" s="164" t="s">
        <v>240</v>
      </c>
      <c r="AH22" s="118" t="s">
        <v>216</v>
      </c>
      <c r="AI22" s="162" t="s">
        <v>237</v>
      </c>
      <c r="AJ22" s="161" t="s">
        <v>244</v>
      </c>
      <c r="AK22" s="161" t="s">
        <v>250</v>
      </c>
      <c r="AL22" s="118" t="s">
        <v>40</v>
      </c>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165" customHeight="1" x14ac:dyDescent="0.3">
      <c r="A23" s="216"/>
      <c r="B23" s="219"/>
      <c r="C23" s="228"/>
      <c r="D23" s="228"/>
      <c r="E23" s="151" t="s">
        <v>242</v>
      </c>
      <c r="F23" s="230"/>
      <c r="G23" s="293"/>
      <c r="H23" s="232"/>
      <c r="I23" s="235"/>
      <c r="J23" s="213"/>
      <c r="K23" s="246"/>
      <c r="L23" s="290"/>
      <c r="M23" s="246">
        <f ca="1">IF(NOT(ISERROR(MATCH(L23,_xlfn.ANCHORARRAY(F34),0))),K36&amp;"Por favor no seleccionar los criterios de impacto",L23)</f>
        <v>0</v>
      </c>
      <c r="N23" s="213"/>
      <c r="O23" s="246"/>
      <c r="P23" s="249"/>
      <c r="Q23" s="107">
        <v>2</v>
      </c>
      <c r="R23" s="167" t="s">
        <v>257</v>
      </c>
      <c r="S23" s="109" t="str">
        <f t="shared" si="18"/>
        <v>Probabilidad</v>
      </c>
      <c r="T23" s="110" t="s">
        <v>14</v>
      </c>
      <c r="U23" s="110" t="s">
        <v>9</v>
      </c>
      <c r="V23" s="111" t="str">
        <f t="shared" ref="V23:V27" si="25">IF(AND(T23="Preventivo",U23="Automático"),"50%",IF(AND(T23="Preventivo",U23="Manual"),"40%",IF(AND(T23="Detectivo",U23="Automático"),"40%",IF(AND(T23="Detectivo",U23="Manual"),"30%",IF(AND(T23="Correctivo",U23="Automático"),"35%",IF(AND(T23="Correctivo",U23="Manual"),"25%",""))))))</f>
        <v>40%</v>
      </c>
      <c r="W23" s="110" t="s">
        <v>19</v>
      </c>
      <c r="X23" s="110" t="s">
        <v>22</v>
      </c>
      <c r="Y23" s="110" t="s">
        <v>113</v>
      </c>
      <c r="Z23" s="112">
        <f>IFERROR(IF(AND(S22="Probabilidad",S23="Probabilidad"),(AB22-(+AB22*V23)),IF(AND(S22="Impacto",S23="Probabilidad"),(AB21-(+AB21*V23)),IF(S23="Impacto",AB22,""))),"")</f>
        <v>0.42</v>
      </c>
      <c r="AA23" s="113" t="str">
        <f t="shared" ref="AA23:AA27" si="26">IFERROR(IF(Z23="","",IF(Z23&lt;=0.2,"Muy Baja",IF(Z23&lt;=0.4,"Baja",IF(Z23&lt;=0.6,"Media",IF(Z23&lt;=0.8,"Alta","Muy Alta"))))),"")</f>
        <v>Media</v>
      </c>
      <c r="AB23" s="114">
        <f t="shared" ref="AB23:AB27" si="27">+Z23</f>
        <v>0.42</v>
      </c>
      <c r="AC23" s="113" t="str">
        <f t="shared" ref="AC23:AC27" ca="1" si="28">IFERROR(IF(AD23="","",IF(AD23&lt;=0.2,"Leve",IF(AD23&lt;=0.4,"Menor",IF(AD23&lt;=0.6,"Moderado",IF(AD23&lt;=0.8,"Mayor","Catastrófico"))))),"")</f>
        <v>Catastrófico</v>
      </c>
      <c r="AD23" s="121">
        <f ca="1">IFERROR(IF(AND(S22="Impacto",S23="Impacto"),(AD22-(+AD22*V23)),IF(AND(S22="Probabilidad",S23="Impacto"),(AD21-(+AD21*V23)),IF(S23="Probabilidad",AD22,""))),"")</f>
        <v>1</v>
      </c>
      <c r="AE23" s="115" t="str">
        <f t="shared" ref="AE23:AE27" ca="1" si="29">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Extremo</v>
      </c>
      <c r="AF23" s="116"/>
      <c r="AG23" s="164" t="s">
        <v>241</v>
      </c>
      <c r="AH23" s="118" t="s">
        <v>216</v>
      </c>
      <c r="AI23" s="162" t="s">
        <v>237</v>
      </c>
      <c r="AJ23" s="161" t="s">
        <v>244</v>
      </c>
      <c r="AK23" s="161" t="s">
        <v>251</v>
      </c>
      <c r="AL23" s="118" t="s">
        <v>40</v>
      </c>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x14ac:dyDescent="0.3">
      <c r="A24" s="216"/>
      <c r="B24" s="219"/>
      <c r="C24" s="228"/>
      <c r="D24" s="228"/>
      <c r="E24" s="151"/>
      <c r="F24" s="230"/>
      <c r="G24" s="293"/>
      <c r="H24" s="232"/>
      <c r="I24" s="235"/>
      <c r="J24" s="213"/>
      <c r="K24" s="246"/>
      <c r="L24" s="290"/>
      <c r="M24" s="246">
        <f ca="1">IF(NOT(ISERROR(MATCH(L24,_xlfn.ANCHORARRAY(F35),0))),K37&amp;"Por favor no seleccionar los criterios de impacto",L24)</f>
        <v>0</v>
      </c>
      <c r="N24" s="213"/>
      <c r="O24" s="246"/>
      <c r="P24" s="249"/>
      <c r="Q24" s="107">
        <v>3</v>
      </c>
      <c r="R24" s="120"/>
      <c r="S24" s="109" t="str">
        <f>IF(OR(T24="Preventivo",T24="Detectivo"),"Probabilidad",IF(T24="Correctivo","Impacto",""))</f>
        <v/>
      </c>
      <c r="T24" s="110"/>
      <c r="U24" s="110"/>
      <c r="V24" s="111" t="str">
        <f t="shared" si="25"/>
        <v/>
      </c>
      <c r="W24" s="110"/>
      <c r="X24" s="110"/>
      <c r="Y24" s="110"/>
      <c r="Z24" s="112" t="str">
        <f t="shared" ref="Z24:Z27" si="30">IFERROR(IF(AND(S23="Probabilidad",S24="Probabilidad"),(AB23-(+AB23*V24)),IF(AND(S23="Impacto",S24="Probabilidad"),(AB22-(+AB22*V24)),IF(S24="Impacto",AB23,""))),"")</f>
        <v/>
      </c>
      <c r="AA24" s="113" t="str">
        <f t="shared" si="26"/>
        <v/>
      </c>
      <c r="AB24" s="114" t="str">
        <f t="shared" si="27"/>
        <v/>
      </c>
      <c r="AC24" s="113" t="str">
        <f t="shared" si="28"/>
        <v/>
      </c>
      <c r="AD24" s="121" t="str">
        <f t="shared" ref="AD24:AD27" si="31">IFERROR(IF(AND(S23="Impacto",S24="Impacto"),(AD23-(+AD23*V24)),IF(AND(S23="Probabilidad",S24="Impacto"),(AD22-(+AD22*V24)),IF(S24="Probabilidad",AD23,""))),"")</f>
        <v/>
      </c>
      <c r="AE24" s="115" t="str">
        <f t="shared" si="29"/>
        <v/>
      </c>
      <c r="AF24" s="116"/>
      <c r="AG24" s="117"/>
      <c r="AH24" s="118"/>
      <c r="AI24" s="119"/>
      <c r="AJ24" s="119"/>
      <c r="AK24" s="117"/>
      <c r="AL24" s="11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3">
      <c r="A25" s="216"/>
      <c r="B25" s="219"/>
      <c r="C25" s="228"/>
      <c r="D25" s="228"/>
      <c r="E25" s="151"/>
      <c r="F25" s="230"/>
      <c r="G25" s="293"/>
      <c r="H25" s="232"/>
      <c r="I25" s="235"/>
      <c r="J25" s="213"/>
      <c r="K25" s="246"/>
      <c r="L25" s="290"/>
      <c r="M25" s="246">
        <f ca="1">IF(NOT(ISERROR(MATCH(L25,_xlfn.ANCHORARRAY(F36),0))),K38&amp;"Por favor no seleccionar los criterios de impacto",L25)</f>
        <v>0</v>
      </c>
      <c r="N25" s="213"/>
      <c r="O25" s="246"/>
      <c r="P25" s="249"/>
      <c r="Q25" s="107">
        <v>4</v>
      </c>
      <c r="R25" s="108"/>
      <c r="S25" s="109" t="str">
        <f t="shared" ref="S25:S27" si="32">IF(OR(T25="Preventivo",T25="Detectivo"),"Probabilidad",IF(T25="Correctivo","Impacto",""))</f>
        <v/>
      </c>
      <c r="T25" s="110"/>
      <c r="U25" s="110"/>
      <c r="V25" s="111" t="str">
        <f t="shared" si="25"/>
        <v/>
      </c>
      <c r="W25" s="110"/>
      <c r="X25" s="110"/>
      <c r="Y25" s="110"/>
      <c r="Z25" s="112" t="str">
        <f t="shared" si="30"/>
        <v/>
      </c>
      <c r="AA25" s="113" t="str">
        <f t="shared" si="26"/>
        <v/>
      </c>
      <c r="AB25" s="114" t="str">
        <f t="shared" si="27"/>
        <v/>
      </c>
      <c r="AC25" s="113" t="str">
        <f t="shared" si="28"/>
        <v/>
      </c>
      <c r="AD25" s="121" t="str">
        <f t="shared" si="31"/>
        <v/>
      </c>
      <c r="AE25" s="115" t="str">
        <f t="shared" si="29"/>
        <v/>
      </c>
      <c r="AF25" s="116"/>
      <c r="AG25" s="117"/>
      <c r="AH25" s="118"/>
      <c r="AI25" s="119"/>
      <c r="AJ25" s="119"/>
      <c r="AK25" s="117"/>
      <c r="AL25" s="11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3">
      <c r="A26" s="216"/>
      <c r="B26" s="219"/>
      <c r="C26" s="228"/>
      <c r="D26" s="228"/>
      <c r="E26" s="151"/>
      <c r="F26" s="230"/>
      <c r="G26" s="293"/>
      <c r="H26" s="232"/>
      <c r="I26" s="235"/>
      <c r="J26" s="213"/>
      <c r="K26" s="246"/>
      <c r="L26" s="290"/>
      <c r="M26" s="246">
        <f ca="1">IF(NOT(ISERROR(MATCH(L26,_xlfn.ANCHORARRAY(F37),0))),K39&amp;"Por favor no seleccionar los criterios de impacto",L26)</f>
        <v>0</v>
      </c>
      <c r="N26" s="213"/>
      <c r="O26" s="246"/>
      <c r="P26" s="249"/>
      <c r="Q26" s="107">
        <v>5</v>
      </c>
      <c r="R26" s="108"/>
      <c r="S26" s="109" t="str">
        <f t="shared" si="32"/>
        <v/>
      </c>
      <c r="T26" s="110"/>
      <c r="U26" s="110"/>
      <c r="V26" s="111" t="str">
        <f t="shared" si="25"/>
        <v/>
      </c>
      <c r="W26" s="110"/>
      <c r="X26" s="110"/>
      <c r="Y26" s="110"/>
      <c r="Z26" s="112" t="str">
        <f t="shared" si="30"/>
        <v/>
      </c>
      <c r="AA26" s="113" t="str">
        <f t="shared" si="26"/>
        <v/>
      </c>
      <c r="AB26" s="114" t="str">
        <f t="shared" si="27"/>
        <v/>
      </c>
      <c r="AC26" s="113" t="str">
        <f t="shared" si="28"/>
        <v/>
      </c>
      <c r="AD26" s="121" t="str">
        <f t="shared" si="31"/>
        <v/>
      </c>
      <c r="AE26" s="115" t="str">
        <f t="shared" si="29"/>
        <v/>
      </c>
      <c r="AF26" s="116"/>
      <c r="AG26" s="117"/>
      <c r="AH26" s="118"/>
      <c r="AI26" s="119"/>
      <c r="AJ26" s="119"/>
      <c r="AK26" s="117"/>
      <c r="AL26" s="11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3">
      <c r="A27" s="217"/>
      <c r="B27" s="220"/>
      <c r="C27" s="229"/>
      <c r="D27" s="229"/>
      <c r="E27" s="151"/>
      <c r="F27" s="230"/>
      <c r="G27" s="294"/>
      <c r="H27" s="233"/>
      <c r="I27" s="236"/>
      <c r="J27" s="214"/>
      <c r="K27" s="247"/>
      <c r="L27" s="291"/>
      <c r="M27" s="247">
        <f ca="1">IF(NOT(ISERROR(MATCH(L27,_xlfn.ANCHORARRAY(F38),0))),K40&amp;"Por favor no seleccionar los criterios de impacto",L27)</f>
        <v>0</v>
      </c>
      <c r="N27" s="214"/>
      <c r="O27" s="247"/>
      <c r="P27" s="250"/>
      <c r="Q27" s="107">
        <v>6</v>
      </c>
      <c r="R27" s="108"/>
      <c r="S27" s="109" t="str">
        <f t="shared" si="32"/>
        <v/>
      </c>
      <c r="T27" s="110"/>
      <c r="U27" s="110"/>
      <c r="V27" s="111" t="str">
        <f t="shared" si="25"/>
        <v/>
      </c>
      <c r="W27" s="110"/>
      <c r="X27" s="110"/>
      <c r="Y27" s="110"/>
      <c r="Z27" s="112" t="str">
        <f t="shared" si="30"/>
        <v/>
      </c>
      <c r="AA27" s="113" t="str">
        <f t="shared" si="26"/>
        <v/>
      </c>
      <c r="AB27" s="114" t="str">
        <f t="shared" si="27"/>
        <v/>
      </c>
      <c r="AC27" s="113" t="str">
        <f t="shared" si="28"/>
        <v/>
      </c>
      <c r="AD27" s="121" t="str">
        <f t="shared" si="31"/>
        <v/>
      </c>
      <c r="AE27" s="115" t="str">
        <f t="shared" si="29"/>
        <v/>
      </c>
      <c r="AF27" s="116"/>
      <c r="AG27" s="117"/>
      <c r="AH27" s="118"/>
      <c r="AI27" s="119"/>
      <c r="AJ27" s="119"/>
      <c r="AK27" s="117"/>
      <c r="AL27" s="11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x14ac:dyDescent="0.3">
      <c r="A28" s="215">
        <v>4</v>
      </c>
      <c r="B28" s="251"/>
      <c r="C28" s="251"/>
      <c r="D28" s="242"/>
      <c r="E28" s="151"/>
      <c r="F28" s="230"/>
      <c r="G28" s="152"/>
      <c r="H28" s="231"/>
      <c r="I28" s="234"/>
      <c r="J28" s="212" t="str">
        <f t="shared" ref="J28" si="33">IF(I28&lt;=0,"",IF(I28&lt;=2,"Muy Baja",IF(I28&lt;=24,"Baja",IF(I28&lt;=500,"Media",IF(I28&lt;=5000,"Alta","Muy Alta")))))</f>
        <v/>
      </c>
      <c r="K28" s="245" t="str">
        <f t="shared" ref="K28" si="34">IF(J28="","",IF(J28="Muy Baja",0.2,IF(J28="Baja",0.4,IF(J28="Media",0.6,IF(J28="Alta",0.8,IF(J28="Muy Alta",1,))))))</f>
        <v/>
      </c>
      <c r="L28" s="289"/>
      <c r="M28" s="245">
        <f ca="1">IF(NOT(ISERROR(MATCH(L28,'Tabla Impacto'!$B$221:$B$223,0))),'Tabla Impacto'!$F$223&amp;"Por favor no seleccionar los criterios de impacto(Afectación Económica o presupuestal y Pérdida Reputacional)",L28)</f>
        <v>0</v>
      </c>
      <c r="N28" s="212" t="str">
        <f ca="1">IF(OR(M28='Tabla Impacto'!$C$11,M28='Tabla Impacto'!$D$11),"Leve",IF(OR(M28='Tabla Impacto'!$C$12,M28='Tabla Impacto'!$D$12),"Menor",IF(OR(M28='Tabla Impacto'!$C$13,M28='Tabla Impacto'!$D$13),"Moderado",IF(OR(M28='Tabla Impacto'!$C$14,M28='Tabla Impacto'!$D$14),"Mayor",IF(OR(M28='Tabla Impacto'!$C$15,M28='Tabla Impacto'!$D$15),"Catastrófico","")))))</f>
        <v/>
      </c>
      <c r="O28" s="245" t="str">
        <f t="shared" ref="O28" ca="1" si="35">IF(N28="","",IF(N28="Leve",0.2,IF(N28="Menor",0.4,IF(N28="Moderado",0.6,IF(N28="Mayor",0.8,IF(N28="Catastrófico",1,))))))</f>
        <v/>
      </c>
      <c r="P28" s="248" t="str">
        <f t="shared" ref="P28" ca="1" si="36">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7">
        <v>1</v>
      </c>
      <c r="R28" s="108"/>
      <c r="S28" s="109" t="str">
        <f>IF(OR(T28="Preventivo",T28="Detectivo"),"Probabilidad",IF(T28="Correctivo","Impacto",""))</f>
        <v/>
      </c>
      <c r="T28" s="110"/>
      <c r="U28" s="110"/>
      <c r="V28" s="111" t="str">
        <f>IF(AND(T28="Preventivo",U28="Automático"),"50%",IF(AND(T28="Preventivo",U28="Manual"),"40%",IF(AND(T28="Detectivo",U28="Automático"),"40%",IF(AND(T28="Detectivo",U28="Manual"),"30%",IF(AND(T28="Correctivo",U28="Automático"),"35%",IF(AND(T28="Correctivo",U28="Manual"),"25%",""))))))</f>
        <v/>
      </c>
      <c r="W28" s="110"/>
      <c r="X28" s="110"/>
      <c r="Y28" s="110"/>
      <c r="Z28" s="112" t="str">
        <f>IFERROR(IF(S28="Probabilidad",(K28-(+K28*V28)),IF(S28="Impacto",K28,"")),"")</f>
        <v/>
      </c>
      <c r="AA28" s="113" t="str">
        <f>IFERROR(IF(Z28="","",IF(Z28&lt;=0.2,"Muy Baja",IF(Z28&lt;=0.4,"Baja",IF(Z28&lt;=0.6,"Media",IF(Z28&lt;=0.8,"Alta","Muy Alta"))))),"")</f>
        <v/>
      </c>
      <c r="AB28" s="114" t="str">
        <f>+Z28</f>
        <v/>
      </c>
      <c r="AC28" s="113" t="str">
        <f>IFERROR(IF(AD28="","",IF(AD28&lt;=0.2,"Leve",IF(AD28&lt;=0.4,"Menor",IF(AD28&lt;=0.6,"Moderado",IF(AD28&lt;=0.8,"Mayor","Catastrófico"))))),"")</f>
        <v/>
      </c>
      <c r="AD28" s="121" t="str">
        <f>IFERROR(IF(S28="Impacto",(O28-(+O28*V28)),IF(S28="Probabilidad",O28,"")),"")</f>
        <v/>
      </c>
      <c r="AE28" s="115"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16"/>
      <c r="AG28" s="117"/>
      <c r="AH28" s="118"/>
      <c r="AI28" s="119"/>
      <c r="AJ28" s="119"/>
      <c r="AK28" s="117"/>
      <c r="AL28" s="11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x14ac:dyDescent="0.3">
      <c r="A29" s="216"/>
      <c r="B29" s="252"/>
      <c r="C29" s="252"/>
      <c r="D29" s="243"/>
      <c r="E29" s="151"/>
      <c r="F29" s="230"/>
      <c r="G29" s="152"/>
      <c r="H29" s="232"/>
      <c r="I29" s="235"/>
      <c r="J29" s="213"/>
      <c r="K29" s="246"/>
      <c r="L29" s="290"/>
      <c r="M29" s="246">
        <f ca="1">IF(NOT(ISERROR(MATCH(L29,_xlfn.ANCHORARRAY(F40),0))),K42&amp;"Por favor no seleccionar los criterios de impacto",L29)</f>
        <v>0</v>
      </c>
      <c r="N29" s="213"/>
      <c r="O29" s="246"/>
      <c r="P29" s="249"/>
      <c r="Q29" s="107">
        <v>2</v>
      </c>
      <c r="R29" s="108"/>
      <c r="S29" s="109" t="str">
        <f>IF(OR(T29="Preventivo",T29="Detectivo"),"Probabilidad",IF(T29="Correctivo","Impacto",""))</f>
        <v/>
      </c>
      <c r="T29" s="110"/>
      <c r="U29" s="110"/>
      <c r="V29" s="111" t="str">
        <f t="shared" ref="V29:V33" si="37">IF(AND(T29="Preventivo",U29="Automático"),"50%",IF(AND(T29="Preventivo",U29="Manual"),"40%",IF(AND(T29="Detectivo",U29="Automático"),"40%",IF(AND(T29="Detectivo",U29="Manual"),"30%",IF(AND(T29="Correctivo",U29="Automático"),"35%",IF(AND(T29="Correctivo",U29="Manual"),"25%",""))))))</f>
        <v/>
      </c>
      <c r="W29" s="110"/>
      <c r="X29" s="110"/>
      <c r="Y29" s="110"/>
      <c r="Z29" s="112" t="str">
        <f>IFERROR(IF(AND(S28="Probabilidad",S29="Probabilidad"),(AB28-(+AB28*V29)),IF(AND(S28="Impacto",S29="Probabilidad"),(AB27-(+AB27*V29)),IF(S29="Impacto",AB28,""))),"")</f>
        <v/>
      </c>
      <c r="AA29" s="113" t="str">
        <f t="shared" ref="AA29:AA33" si="38">IFERROR(IF(Z29="","",IF(Z29&lt;=0.2,"Muy Baja",IF(Z29&lt;=0.4,"Baja",IF(Z29&lt;=0.6,"Media",IF(Z29&lt;=0.8,"Alta","Muy Alta"))))),"")</f>
        <v/>
      </c>
      <c r="AB29" s="114" t="str">
        <f t="shared" ref="AB29:AB33" si="39">+Z29</f>
        <v/>
      </c>
      <c r="AC29" s="113" t="str">
        <f t="shared" ref="AC29:AC33" si="40">IFERROR(IF(AD29="","",IF(AD29&lt;=0.2,"Leve",IF(AD29&lt;=0.4,"Menor",IF(AD29&lt;=0.6,"Moderado",IF(AD29&lt;=0.8,"Mayor","Catastrófico"))))),"")</f>
        <v/>
      </c>
      <c r="AD29" s="121" t="str">
        <f>IFERROR(IF(AND(S28="Impacto",S29="Impacto"),(AD28-(+AD28*V29)),IF(AND(S28="Probabilidad",S29="Impacto"),(AD27-(+AD27*V29)),IF(S29="Probabilidad",AD28,""))),"")</f>
        <v/>
      </c>
      <c r="AE29" s="115" t="str">
        <f t="shared" ref="AE29:AE33" si="41">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16"/>
      <c r="AG29" s="117"/>
      <c r="AH29" s="118"/>
      <c r="AI29" s="119"/>
      <c r="AJ29" s="119"/>
      <c r="AK29" s="117"/>
      <c r="AL29" s="11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x14ac:dyDescent="0.3">
      <c r="A30" s="216"/>
      <c r="B30" s="252"/>
      <c r="C30" s="252"/>
      <c r="D30" s="243"/>
      <c r="E30" s="151"/>
      <c r="F30" s="230"/>
      <c r="G30" s="152"/>
      <c r="H30" s="232"/>
      <c r="I30" s="235"/>
      <c r="J30" s="213"/>
      <c r="K30" s="246"/>
      <c r="L30" s="290"/>
      <c r="M30" s="246">
        <f ca="1">IF(NOT(ISERROR(MATCH(L30,_xlfn.ANCHORARRAY(F41),0))),K43&amp;"Por favor no seleccionar los criterios de impacto",L30)</f>
        <v>0</v>
      </c>
      <c r="N30" s="213"/>
      <c r="O30" s="246"/>
      <c r="P30" s="249"/>
      <c r="Q30" s="107">
        <v>3</v>
      </c>
      <c r="R30" s="120"/>
      <c r="S30" s="109" t="str">
        <f>IF(OR(T30="Preventivo",T30="Detectivo"),"Probabilidad",IF(T30="Correctivo","Impacto",""))</f>
        <v/>
      </c>
      <c r="T30" s="110"/>
      <c r="U30" s="110"/>
      <c r="V30" s="111" t="str">
        <f t="shared" si="37"/>
        <v/>
      </c>
      <c r="W30" s="110"/>
      <c r="X30" s="110"/>
      <c r="Y30" s="110"/>
      <c r="Z30" s="112" t="str">
        <f t="shared" ref="Z30:Z33" si="42">IFERROR(IF(AND(S29="Probabilidad",S30="Probabilidad"),(AB29-(+AB29*V30)),IF(AND(S29="Impacto",S30="Probabilidad"),(AB28-(+AB28*V30)),IF(S30="Impacto",AB29,""))),"")</f>
        <v/>
      </c>
      <c r="AA30" s="113" t="str">
        <f t="shared" si="38"/>
        <v/>
      </c>
      <c r="AB30" s="114" t="str">
        <f t="shared" si="39"/>
        <v/>
      </c>
      <c r="AC30" s="113" t="str">
        <f t="shared" si="40"/>
        <v/>
      </c>
      <c r="AD30" s="121" t="str">
        <f t="shared" ref="AD30:AD33" si="43">IFERROR(IF(AND(S29="Impacto",S30="Impacto"),(AD29-(+AD29*V30)),IF(AND(S29="Probabilidad",S30="Impacto"),(AD28-(+AD28*V30)),IF(S30="Probabilidad",AD29,""))),"")</f>
        <v/>
      </c>
      <c r="AE30" s="115" t="str">
        <f t="shared" si="41"/>
        <v/>
      </c>
      <c r="AF30" s="116"/>
      <c r="AG30" s="117"/>
      <c r="AH30" s="118"/>
      <c r="AI30" s="119"/>
      <c r="AJ30" s="119"/>
      <c r="AK30" s="117"/>
      <c r="AL30" s="11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x14ac:dyDescent="0.3">
      <c r="A31" s="216"/>
      <c r="B31" s="252"/>
      <c r="C31" s="252"/>
      <c r="D31" s="243"/>
      <c r="E31" s="151"/>
      <c r="F31" s="230"/>
      <c r="G31" s="152"/>
      <c r="H31" s="232"/>
      <c r="I31" s="235"/>
      <c r="J31" s="213"/>
      <c r="K31" s="246"/>
      <c r="L31" s="290"/>
      <c r="M31" s="246">
        <f ca="1">IF(NOT(ISERROR(MATCH(L31,_xlfn.ANCHORARRAY(F42),0))),K44&amp;"Por favor no seleccionar los criterios de impacto",L31)</f>
        <v>0</v>
      </c>
      <c r="N31" s="213"/>
      <c r="O31" s="246"/>
      <c r="P31" s="249"/>
      <c r="Q31" s="107">
        <v>4</v>
      </c>
      <c r="R31" s="108"/>
      <c r="S31" s="109" t="str">
        <f t="shared" ref="S31:S33" si="44">IF(OR(T31="Preventivo",T31="Detectivo"),"Probabilidad",IF(T31="Correctivo","Impacto",""))</f>
        <v/>
      </c>
      <c r="T31" s="110"/>
      <c r="U31" s="110"/>
      <c r="V31" s="111" t="str">
        <f t="shared" si="37"/>
        <v/>
      </c>
      <c r="W31" s="110"/>
      <c r="X31" s="110"/>
      <c r="Y31" s="110"/>
      <c r="Z31" s="112" t="str">
        <f t="shared" si="42"/>
        <v/>
      </c>
      <c r="AA31" s="113" t="str">
        <f t="shared" si="38"/>
        <v/>
      </c>
      <c r="AB31" s="114" t="str">
        <f t="shared" si="39"/>
        <v/>
      </c>
      <c r="AC31" s="113" t="str">
        <f t="shared" si="40"/>
        <v/>
      </c>
      <c r="AD31" s="121" t="str">
        <f t="shared" si="43"/>
        <v/>
      </c>
      <c r="AE31" s="115" t="str">
        <f t="shared" si="41"/>
        <v/>
      </c>
      <c r="AF31" s="116"/>
      <c r="AG31" s="117"/>
      <c r="AH31" s="118"/>
      <c r="AI31" s="119"/>
      <c r="AJ31" s="119"/>
      <c r="AK31" s="117"/>
      <c r="AL31" s="11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x14ac:dyDescent="0.3">
      <c r="A32" s="216"/>
      <c r="B32" s="252"/>
      <c r="C32" s="252"/>
      <c r="D32" s="243"/>
      <c r="E32" s="151"/>
      <c r="F32" s="230"/>
      <c r="G32" s="152"/>
      <c r="H32" s="232"/>
      <c r="I32" s="235"/>
      <c r="J32" s="213"/>
      <c r="K32" s="246"/>
      <c r="L32" s="290"/>
      <c r="M32" s="246">
        <f ca="1">IF(NOT(ISERROR(MATCH(L32,_xlfn.ANCHORARRAY(F43),0))),K45&amp;"Por favor no seleccionar los criterios de impacto",L32)</f>
        <v>0</v>
      </c>
      <c r="N32" s="213"/>
      <c r="O32" s="246"/>
      <c r="P32" s="249"/>
      <c r="Q32" s="107">
        <v>5</v>
      </c>
      <c r="R32" s="108"/>
      <c r="S32" s="109" t="str">
        <f t="shared" si="44"/>
        <v/>
      </c>
      <c r="T32" s="110"/>
      <c r="U32" s="110"/>
      <c r="V32" s="111" t="str">
        <f t="shared" si="37"/>
        <v/>
      </c>
      <c r="W32" s="110"/>
      <c r="X32" s="110"/>
      <c r="Y32" s="110"/>
      <c r="Z32" s="112" t="str">
        <f t="shared" si="42"/>
        <v/>
      </c>
      <c r="AA32" s="113" t="str">
        <f t="shared" si="38"/>
        <v/>
      </c>
      <c r="AB32" s="114" t="str">
        <f t="shared" si="39"/>
        <v/>
      </c>
      <c r="AC32" s="113" t="str">
        <f t="shared" si="40"/>
        <v/>
      </c>
      <c r="AD32" s="121" t="str">
        <f t="shared" si="43"/>
        <v/>
      </c>
      <c r="AE32" s="115" t="str">
        <f t="shared" si="41"/>
        <v/>
      </c>
      <c r="AF32" s="116"/>
      <c r="AG32" s="117"/>
      <c r="AH32" s="118"/>
      <c r="AI32" s="119"/>
      <c r="AJ32" s="119"/>
      <c r="AK32" s="117"/>
      <c r="AL32" s="11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x14ac:dyDescent="0.3">
      <c r="A33" s="217"/>
      <c r="B33" s="253"/>
      <c r="C33" s="253"/>
      <c r="D33" s="244"/>
      <c r="E33" s="151"/>
      <c r="F33" s="230"/>
      <c r="G33" s="152"/>
      <c r="H33" s="233"/>
      <c r="I33" s="236"/>
      <c r="J33" s="214"/>
      <c r="K33" s="247"/>
      <c r="L33" s="291"/>
      <c r="M33" s="247">
        <f ca="1">IF(NOT(ISERROR(MATCH(L33,_xlfn.ANCHORARRAY(F44),0))),K46&amp;"Por favor no seleccionar los criterios de impacto",L33)</f>
        <v>0</v>
      </c>
      <c r="N33" s="214"/>
      <c r="O33" s="247"/>
      <c r="P33" s="250"/>
      <c r="Q33" s="107">
        <v>6</v>
      </c>
      <c r="R33" s="108"/>
      <c r="S33" s="109" t="str">
        <f t="shared" si="44"/>
        <v/>
      </c>
      <c r="T33" s="110"/>
      <c r="U33" s="110"/>
      <c r="V33" s="111" t="str">
        <f t="shared" si="37"/>
        <v/>
      </c>
      <c r="W33" s="110"/>
      <c r="X33" s="110"/>
      <c r="Y33" s="110"/>
      <c r="Z33" s="112" t="str">
        <f t="shared" si="42"/>
        <v/>
      </c>
      <c r="AA33" s="113" t="str">
        <f t="shared" si="38"/>
        <v/>
      </c>
      <c r="AB33" s="114" t="str">
        <f t="shared" si="39"/>
        <v/>
      </c>
      <c r="AC33" s="113" t="str">
        <f t="shared" si="40"/>
        <v/>
      </c>
      <c r="AD33" s="121" t="str">
        <f t="shared" si="43"/>
        <v/>
      </c>
      <c r="AE33" s="115" t="str">
        <f t="shared" si="41"/>
        <v/>
      </c>
      <c r="AF33" s="116"/>
      <c r="AG33" s="117"/>
      <c r="AH33" s="118"/>
      <c r="AI33" s="119"/>
      <c r="AJ33" s="119"/>
      <c r="AK33" s="117"/>
      <c r="AL33" s="11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x14ac:dyDescent="0.3">
      <c r="A34" s="215">
        <v>5</v>
      </c>
      <c r="B34" s="251"/>
      <c r="C34" s="251"/>
      <c r="D34" s="242"/>
      <c r="E34" s="151"/>
      <c r="F34" s="230"/>
      <c r="G34" s="152"/>
      <c r="H34" s="231"/>
      <c r="I34" s="234"/>
      <c r="J34" s="212" t="str">
        <f t="shared" ref="J34" si="45">IF(I34&lt;=0,"",IF(I34&lt;=2,"Muy Baja",IF(I34&lt;=24,"Baja",IF(I34&lt;=500,"Media",IF(I34&lt;=5000,"Alta","Muy Alta")))))</f>
        <v/>
      </c>
      <c r="K34" s="245" t="str">
        <f t="shared" ref="K34" si="46">IF(J34="","",IF(J34="Muy Baja",0.2,IF(J34="Baja",0.4,IF(J34="Media",0.6,IF(J34="Alta",0.8,IF(J34="Muy Alta",1,))))))</f>
        <v/>
      </c>
      <c r="L34" s="289"/>
      <c r="M34" s="245">
        <f ca="1">IF(NOT(ISERROR(MATCH(L34,'Tabla Impacto'!$B$221:$B$223,0))),'Tabla Impacto'!$F$223&amp;"Por favor no seleccionar los criterios de impacto(Afectación Económica o presupuestal y Pérdida Reputacional)",L34)</f>
        <v>0</v>
      </c>
      <c r="N34" s="212" t="str">
        <f ca="1">IF(OR(M34='Tabla Impacto'!$C$11,M34='Tabla Impacto'!$D$11),"Leve",IF(OR(M34='Tabla Impacto'!$C$12,M34='Tabla Impacto'!$D$12),"Menor",IF(OR(M34='Tabla Impacto'!$C$13,M34='Tabla Impacto'!$D$13),"Moderado",IF(OR(M34='Tabla Impacto'!$C$14,M34='Tabla Impacto'!$D$14),"Mayor",IF(OR(M34='Tabla Impacto'!$C$15,M34='Tabla Impacto'!$D$15),"Catastrófico","")))))</f>
        <v/>
      </c>
      <c r="O34" s="245" t="str">
        <f t="shared" ref="O34" ca="1" si="47">IF(N34="","",IF(N34="Leve",0.2,IF(N34="Menor",0.4,IF(N34="Moderado",0.6,IF(N34="Mayor",0.8,IF(N34="Catastrófico",1,))))))</f>
        <v/>
      </c>
      <c r="P34" s="248" t="str">
        <f t="shared" ref="P34" ca="1" si="48">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7">
        <v>1</v>
      </c>
      <c r="R34" s="108"/>
      <c r="S34" s="109" t="s">
        <v>214</v>
      </c>
      <c r="T34" s="110"/>
      <c r="U34" s="110"/>
      <c r="V34" s="111" t="s">
        <v>214</v>
      </c>
      <c r="W34" s="110"/>
      <c r="X34" s="110"/>
      <c r="Y34" s="110"/>
      <c r="Z34" s="112" t="s">
        <v>214</v>
      </c>
      <c r="AA34" s="113" t="s">
        <v>214</v>
      </c>
      <c r="AB34" s="114" t="s">
        <v>214</v>
      </c>
      <c r="AC34" s="113" t="s">
        <v>214</v>
      </c>
      <c r="AD34" s="121" t="s">
        <v>214</v>
      </c>
      <c r="AE34" s="115" t="s">
        <v>214</v>
      </c>
      <c r="AF34" s="116"/>
      <c r="AG34" s="117"/>
      <c r="AH34" s="118"/>
      <c r="AI34" s="119"/>
      <c r="AJ34" s="119"/>
      <c r="AK34" s="117"/>
      <c r="AL34" s="11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x14ac:dyDescent="0.3">
      <c r="A35" s="216"/>
      <c r="B35" s="252"/>
      <c r="C35" s="252"/>
      <c r="D35" s="243"/>
      <c r="E35" s="151"/>
      <c r="F35" s="230"/>
      <c r="G35" s="152"/>
      <c r="H35" s="232"/>
      <c r="I35" s="235"/>
      <c r="J35" s="213"/>
      <c r="K35" s="246"/>
      <c r="L35" s="290"/>
      <c r="M35" s="246">
        <f ca="1">IF(NOT(ISERROR(MATCH(L35,_xlfn.ANCHORARRAY(F46),0))),K48&amp;"Por favor no seleccionar los criterios de impacto",L35)</f>
        <v>0</v>
      </c>
      <c r="N35" s="213"/>
      <c r="O35" s="246"/>
      <c r="P35" s="249"/>
      <c r="Q35" s="107">
        <v>2</v>
      </c>
      <c r="R35" s="108"/>
      <c r="S35" s="109" t="s">
        <v>214</v>
      </c>
      <c r="T35" s="110"/>
      <c r="U35" s="110"/>
      <c r="V35" s="111" t="s">
        <v>214</v>
      </c>
      <c r="W35" s="110"/>
      <c r="X35" s="110"/>
      <c r="Y35" s="110"/>
      <c r="Z35" s="112" t="s">
        <v>214</v>
      </c>
      <c r="AA35" s="113" t="s">
        <v>214</v>
      </c>
      <c r="AB35" s="114" t="s">
        <v>214</v>
      </c>
      <c r="AC35" s="113" t="s">
        <v>214</v>
      </c>
      <c r="AD35" s="121" t="s">
        <v>214</v>
      </c>
      <c r="AE35" s="115" t="s">
        <v>214</v>
      </c>
      <c r="AF35" s="116"/>
      <c r="AG35" s="117"/>
      <c r="AH35" s="118"/>
      <c r="AI35" s="119"/>
      <c r="AJ35" s="119"/>
      <c r="AK35" s="117"/>
      <c r="AL35" s="11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x14ac:dyDescent="0.3">
      <c r="A36" s="216"/>
      <c r="B36" s="252"/>
      <c r="C36" s="252"/>
      <c r="D36" s="243"/>
      <c r="E36" s="151"/>
      <c r="F36" s="230"/>
      <c r="G36" s="152"/>
      <c r="H36" s="232"/>
      <c r="I36" s="235"/>
      <c r="J36" s="213"/>
      <c r="K36" s="246"/>
      <c r="L36" s="290"/>
      <c r="M36" s="246">
        <f ca="1">IF(NOT(ISERROR(MATCH(L36,_xlfn.ANCHORARRAY(F47),0))),K49&amp;"Por favor no seleccionar los criterios de impacto",L36)</f>
        <v>0</v>
      </c>
      <c r="N36" s="213"/>
      <c r="O36" s="246"/>
      <c r="P36" s="249"/>
      <c r="Q36" s="107">
        <v>3</v>
      </c>
      <c r="R36" s="120"/>
      <c r="S36" s="109" t="s">
        <v>214</v>
      </c>
      <c r="T36" s="110"/>
      <c r="U36" s="110"/>
      <c r="V36" s="111" t="s">
        <v>214</v>
      </c>
      <c r="W36" s="110"/>
      <c r="X36" s="110"/>
      <c r="Y36" s="110"/>
      <c r="Z36" s="112" t="s">
        <v>214</v>
      </c>
      <c r="AA36" s="113" t="s">
        <v>214</v>
      </c>
      <c r="AB36" s="114" t="s">
        <v>214</v>
      </c>
      <c r="AC36" s="113" t="s">
        <v>214</v>
      </c>
      <c r="AD36" s="121" t="s">
        <v>214</v>
      </c>
      <c r="AE36" s="115" t="s">
        <v>214</v>
      </c>
      <c r="AF36" s="116"/>
      <c r="AG36" s="117"/>
      <c r="AH36" s="118"/>
      <c r="AI36" s="119"/>
      <c r="AJ36" s="119"/>
      <c r="AK36" s="117"/>
      <c r="AL36" s="11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x14ac:dyDescent="0.3">
      <c r="A37" s="216"/>
      <c r="B37" s="252"/>
      <c r="C37" s="252"/>
      <c r="D37" s="243"/>
      <c r="E37" s="151"/>
      <c r="F37" s="230"/>
      <c r="G37" s="152"/>
      <c r="H37" s="232"/>
      <c r="I37" s="235"/>
      <c r="J37" s="213"/>
      <c r="K37" s="246"/>
      <c r="L37" s="290"/>
      <c r="M37" s="246">
        <f ca="1">IF(NOT(ISERROR(MATCH(L37,_xlfn.ANCHORARRAY(F48),0))),K50&amp;"Por favor no seleccionar los criterios de impacto",L37)</f>
        <v>0</v>
      </c>
      <c r="N37" s="213"/>
      <c r="O37" s="246"/>
      <c r="P37" s="249"/>
      <c r="Q37" s="107">
        <v>4</v>
      </c>
      <c r="R37" s="108"/>
      <c r="S37" s="109" t="s">
        <v>214</v>
      </c>
      <c r="T37" s="110"/>
      <c r="U37" s="110"/>
      <c r="V37" s="111" t="s">
        <v>214</v>
      </c>
      <c r="W37" s="110"/>
      <c r="X37" s="110"/>
      <c r="Y37" s="110"/>
      <c r="Z37" s="112" t="s">
        <v>214</v>
      </c>
      <c r="AA37" s="113" t="s">
        <v>214</v>
      </c>
      <c r="AB37" s="114" t="s">
        <v>214</v>
      </c>
      <c r="AC37" s="113" t="s">
        <v>214</v>
      </c>
      <c r="AD37" s="121" t="s">
        <v>214</v>
      </c>
      <c r="AE37" s="115" t="s">
        <v>214</v>
      </c>
      <c r="AF37" s="116"/>
      <c r="AG37" s="117"/>
      <c r="AH37" s="118"/>
      <c r="AI37" s="119"/>
      <c r="AJ37" s="119"/>
      <c r="AK37" s="117"/>
      <c r="AL37" s="11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x14ac:dyDescent="0.3">
      <c r="A38" s="216"/>
      <c r="B38" s="252"/>
      <c r="C38" s="252"/>
      <c r="D38" s="243"/>
      <c r="E38" s="151"/>
      <c r="F38" s="230"/>
      <c r="G38" s="152"/>
      <c r="H38" s="232"/>
      <c r="I38" s="235"/>
      <c r="J38" s="213"/>
      <c r="K38" s="246"/>
      <c r="L38" s="290"/>
      <c r="M38" s="246">
        <f ca="1">IF(NOT(ISERROR(MATCH(L38,_xlfn.ANCHORARRAY(F49),0))),K51&amp;"Por favor no seleccionar los criterios de impacto",L38)</f>
        <v>0</v>
      </c>
      <c r="N38" s="213"/>
      <c r="O38" s="246"/>
      <c r="P38" s="249"/>
      <c r="Q38" s="107">
        <v>5</v>
      </c>
      <c r="R38" s="108"/>
      <c r="S38" s="109" t="s">
        <v>214</v>
      </c>
      <c r="T38" s="110"/>
      <c r="U38" s="110"/>
      <c r="V38" s="111" t="s">
        <v>214</v>
      </c>
      <c r="W38" s="110"/>
      <c r="X38" s="110"/>
      <c r="Y38" s="110"/>
      <c r="Z38" s="112" t="s">
        <v>214</v>
      </c>
      <c r="AA38" s="113" t="s">
        <v>214</v>
      </c>
      <c r="AB38" s="114" t="s">
        <v>214</v>
      </c>
      <c r="AC38" s="113" t="s">
        <v>214</v>
      </c>
      <c r="AD38" s="121" t="s">
        <v>214</v>
      </c>
      <c r="AE38" s="115" t="s">
        <v>214</v>
      </c>
      <c r="AF38" s="116"/>
      <c r="AG38" s="117"/>
      <c r="AH38" s="118"/>
      <c r="AI38" s="119"/>
      <c r="AJ38" s="119"/>
      <c r="AK38" s="117"/>
      <c r="AL38" s="11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x14ac:dyDescent="0.3">
      <c r="A39" s="217"/>
      <c r="B39" s="253"/>
      <c r="C39" s="253"/>
      <c r="D39" s="244"/>
      <c r="E39" s="151"/>
      <c r="F39" s="230"/>
      <c r="G39" s="152"/>
      <c r="H39" s="233"/>
      <c r="I39" s="236"/>
      <c r="J39" s="214"/>
      <c r="K39" s="247"/>
      <c r="L39" s="291"/>
      <c r="M39" s="247">
        <f ca="1">IF(NOT(ISERROR(MATCH(L39,_xlfn.ANCHORARRAY(F50),0))),K52&amp;"Por favor no seleccionar los criterios de impacto",L39)</f>
        <v>0</v>
      </c>
      <c r="N39" s="214"/>
      <c r="O39" s="247"/>
      <c r="P39" s="250"/>
      <c r="Q39" s="107">
        <v>6</v>
      </c>
      <c r="R39" s="108"/>
      <c r="S39" s="109" t="s">
        <v>214</v>
      </c>
      <c r="T39" s="110"/>
      <c r="U39" s="110"/>
      <c r="V39" s="111" t="s">
        <v>214</v>
      </c>
      <c r="W39" s="110"/>
      <c r="X39" s="110"/>
      <c r="Y39" s="110"/>
      <c r="Z39" s="112" t="s">
        <v>214</v>
      </c>
      <c r="AA39" s="113" t="s">
        <v>214</v>
      </c>
      <c r="AB39" s="114" t="s">
        <v>214</v>
      </c>
      <c r="AC39" s="113" t="s">
        <v>214</v>
      </c>
      <c r="AD39" s="121" t="s">
        <v>214</v>
      </c>
      <c r="AE39" s="115" t="s">
        <v>214</v>
      </c>
      <c r="AF39" s="116"/>
      <c r="AG39" s="117"/>
      <c r="AH39" s="118"/>
      <c r="AI39" s="119"/>
      <c r="AJ39" s="119"/>
      <c r="AK39" s="117"/>
      <c r="AL39" s="11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x14ac:dyDescent="0.3">
      <c r="A40" s="215">
        <v>6</v>
      </c>
      <c r="B40" s="251"/>
      <c r="C40" s="251"/>
      <c r="D40" s="242"/>
      <c r="E40" s="151"/>
      <c r="F40" s="230"/>
      <c r="G40" s="152"/>
      <c r="H40" s="231"/>
      <c r="I40" s="234"/>
      <c r="J40" s="212" t="str">
        <f t="shared" ref="J40" si="49">IF(I40&lt;=0,"",IF(I40&lt;=2,"Muy Baja",IF(I40&lt;=24,"Baja",IF(I40&lt;=500,"Media",IF(I40&lt;=5000,"Alta","Muy Alta")))))</f>
        <v/>
      </c>
      <c r="K40" s="245" t="str">
        <f t="shared" ref="K40" si="50">IF(J40="","",IF(J40="Muy Baja",0.2,IF(J40="Baja",0.4,IF(J40="Media",0.6,IF(J40="Alta",0.8,IF(J40="Muy Alta",1,))))))</f>
        <v/>
      </c>
      <c r="L40" s="289"/>
      <c r="M40" s="245">
        <f ca="1">IF(NOT(ISERROR(MATCH(L40,'Tabla Impacto'!$B$221:$B$223,0))),'Tabla Impacto'!$F$223&amp;"Por favor no seleccionar los criterios de impacto(Afectación Económica o presupuestal y Pérdida Reputacional)",L40)</f>
        <v>0</v>
      </c>
      <c r="N40" s="212" t="str">
        <f ca="1">IF(OR(M40='Tabla Impacto'!$C$11,M40='Tabla Impacto'!$D$11),"Leve",IF(OR(M40='Tabla Impacto'!$C$12,M40='Tabla Impacto'!$D$12),"Menor",IF(OR(M40='Tabla Impacto'!$C$13,M40='Tabla Impacto'!$D$13),"Moderado",IF(OR(M40='Tabla Impacto'!$C$14,M40='Tabla Impacto'!$D$14),"Mayor",IF(OR(M40='Tabla Impacto'!$C$15,M40='Tabla Impacto'!$D$15),"Catastrófico","")))))</f>
        <v/>
      </c>
      <c r="O40" s="245" t="str">
        <f t="shared" ref="O40" ca="1" si="51">IF(N40="","",IF(N40="Leve",0.2,IF(N40="Menor",0.4,IF(N40="Moderado",0.6,IF(N40="Mayor",0.8,IF(N40="Catastrófico",1,))))))</f>
        <v/>
      </c>
      <c r="P40" s="248" t="str">
        <f t="shared" ref="P40" ca="1" si="52">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7">
        <v>1</v>
      </c>
      <c r="R40" s="108"/>
      <c r="S40" s="109" t="s">
        <v>214</v>
      </c>
      <c r="T40" s="110"/>
      <c r="U40" s="110"/>
      <c r="V40" s="111" t="s">
        <v>214</v>
      </c>
      <c r="W40" s="110"/>
      <c r="X40" s="110"/>
      <c r="Y40" s="110"/>
      <c r="Z40" s="112" t="s">
        <v>214</v>
      </c>
      <c r="AA40" s="113" t="s">
        <v>214</v>
      </c>
      <c r="AB40" s="114" t="s">
        <v>214</v>
      </c>
      <c r="AC40" s="113" t="s">
        <v>214</v>
      </c>
      <c r="AD40" s="121" t="s">
        <v>214</v>
      </c>
      <c r="AE40" s="115" t="s">
        <v>214</v>
      </c>
      <c r="AF40" s="116"/>
      <c r="AG40" s="117"/>
      <c r="AH40" s="118"/>
      <c r="AI40" s="119"/>
      <c r="AJ40" s="119"/>
      <c r="AK40" s="117"/>
      <c r="AL40" s="11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x14ac:dyDescent="0.3">
      <c r="A41" s="216"/>
      <c r="B41" s="252"/>
      <c r="C41" s="252"/>
      <c r="D41" s="243"/>
      <c r="E41" s="151"/>
      <c r="F41" s="230"/>
      <c r="G41" s="152"/>
      <c r="H41" s="232"/>
      <c r="I41" s="235"/>
      <c r="J41" s="213"/>
      <c r="K41" s="246"/>
      <c r="L41" s="290"/>
      <c r="M41" s="246">
        <f ca="1">IF(NOT(ISERROR(MATCH(L41,_xlfn.ANCHORARRAY(F52),0))),K54&amp;"Por favor no seleccionar los criterios de impacto",L41)</f>
        <v>0</v>
      </c>
      <c r="N41" s="213"/>
      <c r="O41" s="246"/>
      <c r="P41" s="249"/>
      <c r="Q41" s="107">
        <v>2</v>
      </c>
      <c r="R41" s="108"/>
      <c r="S41" s="109" t="s">
        <v>214</v>
      </c>
      <c r="T41" s="110"/>
      <c r="U41" s="110"/>
      <c r="V41" s="111" t="s">
        <v>214</v>
      </c>
      <c r="W41" s="110"/>
      <c r="X41" s="110"/>
      <c r="Y41" s="110"/>
      <c r="Z41" s="112" t="s">
        <v>214</v>
      </c>
      <c r="AA41" s="113" t="s">
        <v>214</v>
      </c>
      <c r="AB41" s="114" t="s">
        <v>214</v>
      </c>
      <c r="AC41" s="113" t="s">
        <v>214</v>
      </c>
      <c r="AD41" s="121" t="s">
        <v>214</v>
      </c>
      <c r="AE41" s="115" t="s">
        <v>214</v>
      </c>
      <c r="AF41" s="116"/>
      <c r="AG41" s="117"/>
      <c r="AH41" s="118"/>
      <c r="AI41" s="119"/>
      <c r="AJ41" s="119"/>
      <c r="AK41" s="117"/>
      <c r="AL41" s="11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x14ac:dyDescent="0.3">
      <c r="A42" s="216"/>
      <c r="B42" s="252"/>
      <c r="C42" s="252"/>
      <c r="D42" s="243"/>
      <c r="E42" s="151"/>
      <c r="F42" s="230"/>
      <c r="G42" s="152"/>
      <c r="H42" s="232"/>
      <c r="I42" s="235"/>
      <c r="J42" s="213"/>
      <c r="K42" s="246"/>
      <c r="L42" s="290"/>
      <c r="M42" s="246">
        <f ca="1">IF(NOT(ISERROR(MATCH(L42,_xlfn.ANCHORARRAY(F53),0))),K55&amp;"Por favor no seleccionar los criterios de impacto",L42)</f>
        <v>0</v>
      </c>
      <c r="N42" s="213"/>
      <c r="O42" s="246"/>
      <c r="P42" s="249"/>
      <c r="Q42" s="107">
        <v>3</v>
      </c>
      <c r="R42" s="120"/>
      <c r="S42" s="109" t="s">
        <v>214</v>
      </c>
      <c r="T42" s="110"/>
      <c r="U42" s="110"/>
      <c r="V42" s="111" t="s">
        <v>214</v>
      </c>
      <c r="W42" s="110"/>
      <c r="X42" s="110"/>
      <c r="Y42" s="110"/>
      <c r="Z42" s="112" t="s">
        <v>214</v>
      </c>
      <c r="AA42" s="113" t="s">
        <v>214</v>
      </c>
      <c r="AB42" s="114" t="s">
        <v>214</v>
      </c>
      <c r="AC42" s="113" t="s">
        <v>214</v>
      </c>
      <c r="AD42" s="121" t="s">
        <v>214</v>
      </c>
      <c r="AE42" s="115" t="s">
        <v>214</v>
      </c>
      <c r="AF42" s="116"/>
      <c r="AG42" s="117"/>
      <c r="AH42" s="118"/>
      <c r="AI42" s="119"/>
      <c r="AJ42" s="119"/>
      <c r="AK42" s="117"/>
      <c r="AL42" s="11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x14ac:dyDescent="0.3">
      <c r="A43" s="216"/>
      <c r="B43" s="252"/>
      <c r="C43" s="252"/>
      <c r="D43" s="243"/>
      <c r="E43" s="151"/>
      <c r="F43" s="230"/>
      <c r="G43" s="152"/>
      <c r="H43" s="232"/>
      <c r="I43" s="235"/>
      <c r="J43" s="213"/>
      <c r="K43" s="246"/>
      <c r="L43" s="290"/>
      <c r="M43" s="246">
        <f ca="1">IF(NOT(ISERROR(MATCH(L43,_xlfn.ANCHORARRAY(F54),0))),K56&amp;"Por favor no seleccionar los criterios de impacto",L43)</f>
        <v>0</v>
      </c>
      <c r="N43" s="213"/>
      <c r="O43" s="246"/>
      <c r="P43" s="249"/>
      <c r="Q43" s="107">
        <v>4</v>
      </c>
      <c r="R43" s="108"/>
      <c r="S43" s="109" t="s">
        <v>214</v>
      </c>
      <c r="T43" s="110"/>
      <c r="U43" s="110"/>
      <c r="V43" s="111" t="s">
        <v>214</v>
      </c>
      <c r="W43" s="110"/>
      <c r="X43" s="110"/>
      <c r="Y43" s="110"/>
      <c r="Z43" s="112" t="s">
        <v>214</v>
      </c>
      <c r="AA43" s="113" t="s">
        <v>214</v>
      </c>
      <c r="AB43" s="114" t="s">
        <v>214</v>
      </c>
      <c r="AC43" s="113" t="s">
        <v>214</v>
      </c>
      <c r="AD43" s="121" t="s">
        <v>214</v>
      </c>
      <c r="AE43" s="115" t="s">
        <v>214</v>
      </c>
      <c r="AF43" s="116"/>
      <c r="AG43" s="117"/>
      <c r="AH43" s="118"/>
      <c r="AI43" s="119"/>
      <c r="AJ43" s="119"/>
      <c r="AK43" s="117"/>
      <c r="AL43" s="11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x14ac:dyDescent="0.3">
      <c r="A44" s="216"/>
      <c r="B44" s="252"/>
      <c r="C44" s="252"/>
      <c r="D44" s="243"/>
      <c r="E44" s="151"/>
      <c r="F44" s="230"/>
      <c r="G44" s="152"/>
      <c r="H44" s="232"/>
      <c r="I44" s="235"/>
      <c r="J44" s="213"/>
      <c r="K44" s="246"/>
      <c r="L44" s="290"/>
      <c r="M44" s="246">
        <f ca="1">IF(NOT(ISERROR(MATCH(L44,_xlfn.ANCHORARRAY(F55),0))),K57&amp;"Por favor no seleccionar los criterios de impacto",L44)</f>
        <v>0</v>
      </c>
      <c r="N44" s="213"/>
      <c r="O44" s="246"/>
      <c r="P44" s="249"/>
      <c r="Q44" s="107">
        <v>5</v>
      </c>
      <c r="R44" s="108"/>
      <c r="S44" s="109" t="s">
        <v>214</v>
      </c>
      <c r="T44" s="110"/>
      <c r="U44" s="110"/>
      <c r="V44" s="111" t="s">
        <v>214</v>
      </c>
      <c r="W44" s="110"/>
      <c r="X44" s="110"/>
      <c r="Y44" s="110"/>
      <c r="Z44" s="112" t="s">
        <v>214</v>
      </c>
      <c r="AA44" s="113" t="s">
        <v>214</v>
      </c>
      <c r="AB44" s="114" t="s">
        <v>214</v>
      </c>
      <c r="AC44" s="113" t="s">
        <v>214</v>
      </c>
      <c r="AD44" s="121" t="s">
        <v>214</v>
      </c>
      <c r="AE44" s="115" t="s">
        <v>214</v>
      </c>
      <c r="AF44" s="116"/>
      <c r="AG44" s="117"/>
      <c r="AH44" s="118"/>
      <c r="AI44" s="119"/>
      <c r="AJ44" s="119"/>
      <c r="AK44" s="117"/>
      <c r="AL44" s="11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x14ac:dyDescent="0.3">
      <c r="A45" s="217"/>
      <c r="B45" s="253"/>
      <c r="C45" s="253"/>
      <c r="D45" s="244"/>
      <c r="E45" s="151"/>
      <c r="F45" s="230"/>
      <c r="G45" s="152"/>
      <c r="H45" s="233"/>
      <c r="I45" s="236"/>
      <c r="J45" s="214"/>
      <c r="K45" s="247"/>
      <c r="L45" s="291"/>
      <c r="M45" s="247">
        <f ca="1">IF(NOT(ISERROR(MATCH(L45,_xlfn.ANCHORARRAY(F56),0))),K58&amp;"Por favor no seleccionar los criterios de impacto",L45)</f>
        <v>0</v>
      </c>
      <c r="N45" s="214"/>
      <c r="O45" s="247"/>
      <c r="P45" s="250"/>
      <c r="Q45" s="107">
        <v>6</v>
      </c>
      <c r="R45" s="108"/>
      <c r="S45" s="109" t="s">
        <v>214</v>
      </c>
      <c r="T45" s="110"/>
      <c r="U45" s="110"/>
      <c r="V45" s="111" t="s">
        <v>214</v>
      </c>
      <c r="W45" s="110"/>
      <c r="X45" s="110"/>
      <c r="Y45" s="110"/>
      <c r="Z45" s="112" t="s">
        <v>214</v>
      </c>
      <c r="AA45" s="113" t="s">
        <v>214</v>
      </c>
      <c r="AB45" s="114" t="s">
        <v>214</v>
      </c>
      <c r="AC45" s="113" t="s">
        <v>214</v>
      </c>
      <c r="AD45" s="121" t="s">
        <v>214</v>
      </c>
      <c r="AE45" s="115" t="s">
        <v>214</v>
      </c>
      <c r="AF45" s="116"/>
      <c r="AG45" s="117"/>
      <c r="AH45" s="118"/>
      <c r="AI45" s="119"/>
      <c r="AJ45" s="119"/>
      <c r="AK45" s="117"/>
      <c r="AL45" s="11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x14ac:dyDescent="0.3">
      <c r="A46" s="215">
        <v>7</v>
      </c>
      <c r="B46" s="251"/>
      <c r="C46" s="251"/>
      <c r="D46" s="251"/>
      <c r="E46" s="135"/>
      <c r="F46" s="296"/>
      <c r="G46" s="137"/>
      <c r="H46" s="251"/>
      <c r="I46" s="234"/>
      <c r="J46" s="212" t="str">
        <f t="shared" ref="J46" si="53">IF(I46&lt;=0,"",IF(I46&lt;=2,"Muy Baja",IF(I46&lt;=24,"Baja",IF(I46&lt;=500,"Media",IF(I46&lt;=5000,"Alta","Muy Alta")))))</f>
        <v/>
      </c>
      <c r="K46" s="245" t="str">
        <f t="shared" ref="K46" si="54">IF(J46="","",IF(J46="Muy Baja",0.2,IF(J46="Baja",0.4,IF(J46="Media",0.6,IF(J46="Alta",0.8,IF(J46="Muy Alta",1,))))))</f>
        <v/>
      </c>
      <c r="L46" s="289"/>
      <c r="M46" s="245">
        <f ca="1">IF(NOT(ISERROR(MATCH(L46,'Tabla Impacto'!$B$221:$B$223,0))),'Tabla Impacto'!$F$223&amp;"Por favor no seleccionar los criterios de impacto(Afectación Económica o presupuestal y Pérdida Reputacional)",L46)</f>
        <v>0</v>
      </c>
      <c r="N46" s="212" t="str">
        <f ca="1">IF(OR(M46='Tabla Impacto'!$C$11,M46='Tabla Impacto'!$D$11),"Leve",IF(OR(M46='Tabla Impacto'!$C$12,M46='Tabla Impacto'!$D$12),"Menor",IF(OR(M46='Tabla Impacto'!$C$13,M46='Tabla Impacto'!$D$13),"Moderado",IF(OR(M46='Tabla Impacto'!$C$14,M46='Tabla Impacto'!$D$14),"Mayor",IF(OR(M46='Tabla Impacto'!$C$15,M46='Tabla Impacto'!$D$15),"Catastrófico","")))))</f>
        <v/>
      </c>
      <c r="O46" s="245" t="str">
        <f t="shared" ref="O46" ca="1" si="55">IF(N46="","",IF(N46="Leve",0.2,IF(N46="Menor",0.4,IF(N46="Moderado",0.6,IF(N46="Mayor",0.8,IF(N46="Catastrófico",1,))))))</f>
        <v/>
      </c>
      <c r="P46" s="248" t="str">
        <f t="shared" ref="P46" ca="1" si="56">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7">
        <v>1</v>
      </c>
      <c r="R46" s="108"/>
      <c r="S46" s="109" t="s">
        <v>214</v>
      </c>
      <c r="T46" s="110"/>
      <c r="U46" s="110"/>
      <c r="V46" s="111" t="s">
        <v>214</v>
      </c>
      <c r="W46" s="110"/>
      <c r="X46" s="110"/>
      <c r="Y46" s="110"/>
      <c r="Z46" s="112" t="s">
        <v>214</v>
      </c>
      <c r="AA46" s="113" t="s">
        <v>214</v>
      </c>
      <c r="AB46" s="114" t="s">
        <v>214</v>
      </c>
      <c r="AC46" s="113" t="s">
        <v>214</v>
      </c>
      <c r="AD46" s="121" t="s">
        <v>214</v>
      </c>
      <c r="AE46" s="115" t="s">
        <v>214</v>
      </c>
      <c r="AF46" s="116"/>
      <c r="AG46" s="117"/>
      <c r="AH46" s="118"/>
      <c r="AI46" s="119"/>
      <c r="AJ46" s="119"/>
      <c r="AK46" s="117"/>
      <c r="AL46" s="11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x14ac:dyDescent="0.3">
      <c r="A47" s="216"/>
      <c r="B47" s="252"/>
      <c r="C47" s="252"/>
      <c r="D47" s="252"/>
      <c r="E47" s="133"/>
      <c r="F47" s="296"/>
      <c r="G47" s="137"/>
      <c r="H47" s="252"/>
      <c r="I47" s="235"/>
      <c r="J47" s="213"/>
      <c r="K47" s="246"/>
      <c r="L47" s="290"/>
      <c r="M47" s="246">
        <f ca="1">IF(NOT(ISERROR(MATCH(L47,_xlfn.ANCHORARRAY(F58),0))),K60&amp;"Por favor no seleccionar los criterios de impacto",L47)</f>
        <v>0</v>
      </c>
      <c r="N47" s="213"/>
      <c r="O47" s="246"/>
      <c r="P47" s="249"/>
      <c r="Q47" s="107">
        <v>2</v>
      </c>
      <c r="R47" s="108"/>
      <c r="S47" s="109" t="s">
        <v>214</v>
      </c>
      <c r="T47" s="110"/>
      <c r="U47" s="110"/>
      <c r="V47" s="111" t="s">
        <v>214</v>
      </c>
      <c r="W47" s="110"/>
      <c r="X47" s="110"/>
      <c r="Y47" s="110"/>
      <c r="Z47" s="112" t="s">
        <v>214</v>
      </c>
      <c r="AA47" s="113" t="s">
        <v>214</v>
      </c>
      <c r="AB47" s="114" t="s">
        <v>214</v>
      </c>
      <c r="AC47" s="113" t="s">
        <v>214</v>
      </c>
      <c r="AD47" s="121" t="s">
        <v>214</v>
      </c>
      <c r="AE47" s="115" t="s">
        <v>214</v>
      </c>
      <c r="AF47" s="116"/>
      <c r="AG47" s="117"/>
      <c r="AH47" s="118"/>
      <c r="AI47" s="119"/>
      <c r="AJ47" s="119"/>
      <c r="AK47" s="117"/>
      <c r="AL47" s="11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x14ac:dyDescent="0.3">
      <c r="A48" s="216"/>
      <c r="B48" s="252"/>
      <c r="C48" s="252"/>
      <c r="D48" s="252"/>
      <c r="E48" s="133"/>
      <c r="F48" s="296"/>
      <c r="G48" s="137"/>
      <c r="H48" s="252"/>
      <c r="I48" s="235"/>
      <c r="J48" s="213"/>
      <c r="K48" s="246"/>
      <c r="L48" s="290"/>
      <c r="M48" s="246">
        <f ca="1">IF(NOT(ISERROR(MATCH(L48,_xlfn.ANCHORARRAY(F59),0))),K61&amp;"Por favor no seleccionar los criterios de impacto",L48)</f>
        <v>0</v>
      </c>
      <c r="N48" s="213"/>
      <c r="O48" s="246"/>
      <c r="P48" s="249"/>
      <c r="Q48" s="107">
        <v>3</v>
      </c>
      <c r="R48" s="120"/>
      <c r="S48" s="109" t="s">
        <v>214</v>
      </c>
      <c r="T48" s="110"/>
      <c r="U48" s="110"/>
      <c r="V48" s="111" t="s">
        <v>214</v>
      </c>
      <c r="W48" s="110"/>
      <c r="X48" s="110"/>
      <c r="Y48" s="110"/>
      <c r="Z48" s="112" t="s">
        <v>214</v>
      </c>
      <c r="AA48" s="113" t="s">
        <v>214</v>
      </c>
      <c r="AB48" s="114" t="s">
        <v>214</v>
      </c>
      <c r="AC48" s="113" t="s">
        <v>214</v>
      </c>
      <c r="AD48" s="121" t="s">
        <v>214</v>
      </c>
      <c r="AE48" s="115" t="s">
        <v>214</v>
      </c>
      <c r="AF48" s="116"/>
      <c r="AG48" s="117"/>
      <c r="AH48" s="118"/>
      <c r="AI48" s="119"/>
      <c r="AJ48" s="119"/>
      <c r="AK48" s="117"/>
      <c r="AL48" s="11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x14ac:dyDescent="0.3">
      <c r="A49" s="216"/>
      <c r="B49" s="252"/>
      <c r="C49" s="252"/>
      <c r="D49" s="252"/>
      <c r="E49" s="133"/>
      <c r="F49" s="296"/>
      <c r="G49" s="137"/>
      <c r="H49" s="252"/>
      <c r="I49" s="235"/>
      <c r="J49" s="213"/>
      <c r="K49" s="246"/>
      <c r="L49" s="290"/>
      <c r="M49" s="246">
        <f ca="1">IF(NOT(ISERROR(MATCH(L49,_xlfn.ANCHORARRAY(F60),0))),K62&amp;"Por favor no seleccionar los criterios de impacto",L49)</f>
        <v>0</v>
      </c>
      <c r="N49" s="213"/>
      <c r="O49" s="246"/>
      <c r="P49" s="249"/>
      <c r="Q49" s="107">
        <v>4</v>
      </c>
      <c r="R49" s="108"/>
      <c r="S49" s="109" t="s">
        <v>214</v>
      </c>
      <c r="T49" s="110"/>
      <c r="U49" s="110"/>
      <c r="V49" s="111" t="s">
        <v>214</v>
      </c>
      <c r="W49" s="110"/>
      <c r="X49" s="110"/>
      <c r="Y49" s="110"/>
      <c r="Z49" s="112" t="s">
        <v>214</v>
      </c>
      <c r="AA49" s="113" t="s">
        <v>214</v>
      </c>
      <c r="AB49" s="114" t="s">
        <v>214</v>
      </c>
      <c r="AC49" s="113" t="s">
        <v>214</v>
      </c>
      <c r="AD49" s="121" t="s">
        <v>214</v>
      </c>
      <c r="AE49" s="115" t="s">
        <v>214</v>
      </c>
      <c r="AF49" s="116"/>
      <c r="AG49" s="117"/>
      <c r="AH49" s="118"/>
      <c r="AI49" s="119"/>
      <c r="AJ49" s="119"/>
      <c r="AK49" s="117"/>
      <c r="AL49" s="11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x14ac:dyDescent="0.3">
      <c r="A50" s="216"/>
      <c r="B50" s="252"/>
      <c r="C50" s="252"/>
      <c r="D50" s="252"/>
      <c r="E50" s="133"/>
      <c r="F50" s="296"/>
      <c r="G50" s="137"/>
      <c r="H50" s="252"/>
      <c r="I50" s="235"/>
      <c r="J50" s="213"/>
      <c r="K50" s="246"/>
      <c r="L50" s="290"/>
      <c r="M50" s="246">
        <f ca="1">IF(NOT(ISERROR(MATCH(L50,_xlfn.ANCHORARRAY(F61),0))),K63&amp;"Por favor no seleccionar los criterios de impacto",L50)</f>
        <v>0</v>
      </c>
      <c r="N50" s="213"/>
      <c r="O50" s="246"/>
      <c r="P50" s="249"/>
      <c r="Q50" s="107">
        <v>5</v>
      </c>
      <c r="R50" s="108"/>
      <c r="S50" s="109" t="s">
        <v>214</v>
      </c>
      <c r="T50" s="110"/>
      <c r="U50" s="110"/>
      <c r="V50" s="111" t="s">
        <v>214</v>
      </c>
      <c r="W50" s="110"/>
      <c r="X50" s="110"/>
      <c r="Y50" s="110"/>
      <c r="Z50" s="112" t="s">
        <v>214</v>
      </c>
      <c r="AA50" s="113" t="s">
        <v>214</v>
      </c>
      <c r="AB50" s="114" t="s">
        <v>214</v>
      </c>
      <c r="AC50" s="113" t="s">
        <v>214</v>
      </c>
      <c r="AD50" s="121" t="s">
        <v>214</v>
      </c>
      <c r="AE50" s="115" t="s">
        <v>214</v>
      </c>
      <c r="AF50" s="116"/>
      <c r="AG50" s="117"/>
      <c r="AH50" s="118"/>
      <c r="AI50" s="119"/>
      <c r="AJ50" s="119"/>
      <c r="AK50" s="117"/>
      <c r="AL50" s="11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x14ac:dyDescent="0.3">
      <c r="A51" s="217"/>
      <c r="B51" s="253"/>
      <c r="C51" s="253"/>
      <c r="D51" s="253"/>
      <c r="E51" s="134"/>
      <c r="F51" s="297"/>
      <c r="G51" s="138"/>
      <c r="H51" s="253"/>
      <c r="I51" s="236"/>
      <c r="J51" s="214"/>
      <c r="K51" s="247"/>
      <c r="L51" s="291"/>
      <c r="M51" s="247">
        <f ca="1">IF(NOT(ISERROR(MATCH(L51,_xlfn.ANCHORARRAY(F62),0))),K64&amp;"Por favor no seleccionar los criterios de impacto",L51)</f>
        <v>0</v>
      </c>
      <c r="N51" s="214"/>
      <c r="O51" s="247"/>
      <c r="P51" s="250"/>
      <c r="Q51" s="107">
        <v>6</v>
      </c>
      <c r="R51" s="108"/>
      <c r="S51" s="109" t="s">
        <v>214</v>
      </c>
      <c r="T51" s="110"/>
      <c r="U51" s="110"/>
      <c r="V51" s="111" t="s">
        <v>214</v>
      </c>
      <c r="W51" s="110"/>
      <c r="X51" s="110"/>
      <c r="Y51" s="110"/>
      <c r="Z51" s="112" t="s">
        <v>214</v>
      </c>
      <c r="AA51" s="113" t="s">
        <v>214</v>
      </c>
      <c r="AB51" s="114" t="s">
        <v>214</v>
      </c>
      <c r="AC51" s="113" t="s">
        <v>214</v>
      </c>
      <c r="AD51" s="121" t="s">
        <v>214</v>
      </c>
      <c r="AE51" s="115" t="s">
        <v>214</v>
      </c>
      <c r="AF51" s="116"/>
      <c r="AG51" s="117"/>
      <c r="AH51" s="118"/>
      <c r="AI51" s="119"/>
      <c r="AJ51" s="119"/>
      <c r="AK51" s="117"/>
      <c r="AL51" s="11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x14ac:dyDescent="0.3">
      <c r="A52" s="215">
        <v>8</v>
      </c>
      <c r="B52" s="251"/>
      <c r="C52" s="251"/>
      <c r="D52" s="251"/>
      <c r="E52" s="132"/>
      <c r="F52" s="295"/>
      <c r="G52" s="136"/>
      <c r="H52" s="251"/>
      <c r="I52" s="234"/>
      <c r="J52" s="212" t="str">
        <f t="shared" ref="J52" si="57">IF(I52&lt;=0,"",IF(I52&lt;=2,"Muy Baja",IF(I52&lt;=24,"Baja",IF(I52&lt;=500,"Media",IF(I52&lt;=5000,"Alta","Muy Alta")))))</f>
        <v/>
      </c>
      <c r="K52" s="245" t="str">
        <f t="shared" ref="K52" si="58">IF(J52="","",IF(J52="Muy Baja",0.2,IF(J52="Baja",0.4,IF(J52="Media",0.6,IF(J52="Alta",0.8,IF(J52="Muy Alta",1,))))))</f>
        <v/>
      </c>
      <c r="L52" s="289"/>
      <c r="M52" s="245">
        <f ca="1">IF(NOT(ISERROR(MATCH(L52,'Tabla Impacto'!$B$221:$B$223,0))),'Tabla Impacto'!$F$223&amp;"Por favor no seleccionar los criterios de impacto(Afectación Económica o presupuestal y Pérdida Reputacional)",L52)</f>
        <v>0</v>
      </c>
      <c r="N52" s="212" t="str">
        <f ca="1">IF(OR(M52='Tabla Impacto'!$C$11,M52='Tabla Impacto'!$D$11),"Leve",IF(OR(M52='Tabla Impacto'!$C$12,M52='Tabla Impacto'!$D$12),"Menor",IF(OR(M52='Tabla Impacto'!$C$13,M52='Tabla Impacto'!$D$13),"Moderado",IF(OR(M52='Tabla Impacto'!$C$14,M52='Tabla Impacto'!$D$14),"Mayor",IF(OR(M52='Tabla Impacto'!$C$15,M52='Tabla Impacto'!$D$15),"Catastrófico","")))))</f>
        <v/>
      </c>
      <c r="O52" s="245" t="str">
        <f t="shared" ref="O52" ca="1" si="59">IF(N52="","",IF(N52="Leve",0.2,IF(N52="Menor",0.4,IF(N52="Moderado",0.6,IF(N52="Mayor",0.8,IF(N52="Catastrófico",1,))))))</f>
        <v/>
      </c>
      <c r="P52" s="248" t="str">
        <f t="shared" ref="P52" ca="1" si="60">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7">
        <v>1</v>
      </c>
      <c r="R52" s="108"/>
      <c r="S52" s="109" t="str">
        <f>IF(OR(T52="Preventivo",T52="Detectivo"),"Probabilidad",IF(T52="Correctivo","Impacto",""))</f>
        <v/>
      </c>
      <c r="T52" s="110"/>
      <c r="U52" s="110"/>
      <c r="V52" s="111" t="str">
        <f>IF(AND(T52="Preventivo",U52="Automático"),"50%",IF(AND(T52="Preventivo",U52="Manual"),"40%",IF(AND(T52="Detectivo",U52="Automático"),"40%",IF(AND(T52="Detectivo",U52="Manual"),"30%",IF(AND(T52="Correctivo",U52="Automático"),"35%",IF(AND(T52="Correctivo",U52="Manual"),"25%",""))))))</f>
        <v/>
      </c>
      <c r="W52" s="110"/>
      <c r="X52" s="110"/>
      <c r="Y52" s="110"/>
      <c r="Z52" s="112" t="str">
        <f>IFERROR(IF(S52="Probabilidad",(K52-(+K52*V52)),IF(S52="Impacto",K52,"")),"")</f>
        <v/>
      </c>
      <c r="AA52" s="113" t="str">
        <f>IFERROR(IF(Z52="","",IF(Z52&lt;=0.2,"Muy Baja",IF(Z52&lt;=0.4,"Baja",IF(Z52&lt;=0.6,"Media",IF(Z52&lt;=0.8,"Alta","Muy Alta"))))),"")</f>
        <v/>
      </c>
      <c r="AB52" s="114" t="str">
        <f>+Z52</f>
        <v/>
      </c>
      <c r="AC52" s="113" t="str">
        <f>IFERROR(IF(AD52="","",IF(AD52&lt;=0.2,"Leve",IF(AD52&lt;=0.4,"Menor",IF(AD52&lt;=0.6,"Moderado",IF(AD52&lt;=0.8,"Mayor","Catastrófico"))))),"")</f>
        <v/>
      </c>
      <c r="AD52" s="121" t="str">
        <f>IFERROR(IF(S52="Impacto",(O52-(+O52*V52)),IF(S52="Probabilidad",O52,"")),"")</f>
        <v/>
      </c>
      <c r="AE52" s="115"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6"/>
      <c r="AG52" s="117"/>
      <c r="AH52" s="118"/>
      <c r="AI52" s="119"/>
      <c r="AJ52" s="119"/>
      <c r="AK52" s="117"/>
      <c r="AL52" s="11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x14ac:dyDescent="0.3">
      <c r="A53" s="216"/>
      <c r="B53" s="252"/>
      <c r="C53" s="252"/>
      <c r="D53" s="252"/>
      <c r="E53" s="133"/>
      <c r="F53" s="296"/>
      <c r="G53" s="137"/>
      <c r="H53" s="252"/>
      <c r="I53" s="235"/>
      <c r="J53" s="213"/>
      <c r="K53" s="246"/>
      <c r="L53" s="290"/>
      <c r="M53" s="246">
        <f ca="1">IF(NOT(ISERROR(MATCH(L53,_xlfn.ANCHORARRAY(F64),0))),K66&amp;"Por favor no seleccionar los criterios de impacto",L53)</f>
        <v>0</v>
      </c>
      <c r="N53" s="213"/>
      <c r="O53" s="246"/>
      <c r="P53" s="249"/>
      <c r="Q53" s="107">
        <v>2</v>
      </c>
      <c r="R53" s="108"/>
      <c r="S53" s="109" t="str">
        <f>IF(OR(T53="Preventivo",T53="Detectivo"),"Probabilidad",IF(T53="Correctivo","Impacto",""))</f>
        <v/>
      </c>
      <c r="T53" s="110"/>
      <c r="U53" s="110"/>
      <c r="V53" s="111" t="str">
        <f t="shared" ref="V53:V57" si="61">IF(AND(T53="Preventivo",U53="Automático"),"50%",IF(AND(T53="Preventivo",U53="Manual"),"40%",IF(AND(T53="Detectivo",U53="Automático"),"40%",IF(AND(T53="Detectivo",U53="Manual"),"30%",IF(AND(T53="Correctivo",U53="Automático"),"35%",IF(AND(T53="Correctivo",U53="Manual"),"25%",""))))))</f>
        <v/>
      </c>
      <c r="W53" s="110"/>
      <c r="X53" s="110"/>
      <c r="Y53" s="110"/>
      <c r="Z53" s="112" t="str">
        <f>IFERROR(IF(AND(S52="Probabilidad",S53="Probabilidad"),(AB52-(+AB52*V53)),IF(S53="Probabilidad",(K52-(+K52*V53)),IF(S53="Impacto",AB52,""))),"")</f>
        <v/>
      </c>
      <c r="AA53" s="113" t="str">
        <f t="shared" ref="AA53:AA69" si="62">IFERROR(IF(Z53="","",IF(Z53&lt;=0.2,"Muy Baja",IF(Z53&lt;=0.4,"Baja",IF(Z53&lt;=0.6,"Media",IF(Z53&lt;=0.8,"Alta","Muy Alta"))))),"")</f>
        <v/>
      </c>
      <c r="AB53" s="114" t="str">
        <f t="shared" ref="AB53:AB57" si="63">+Z53</f>
        <v/>
      </c>
      <c r="AC53" s="113" t="str">
        <f t="shared" ref="AC53:AC69" si="64">IFERROR(IF(AD53="","",IF(AD53&lt;=0.2,"Leve",IF(AD53&lt;=0.4,"Menor",IF(AD53&lt;=0.6,"Moderado",IF(AD53&lt;=0.8,"Mayor","Catastrófico"))))),"")</f>
        <v/>
      </c>
      <c r="AD53" s="121" t="str">
        <f>IFERROR(IF(AND(S52="Impacto",S53="Impacto"),(AD52-(+AD52*V53)),IF(S53="Impacto",(O52-(+O52*V53)),IF(S53="Probabilidad",AD52,""))),"")</f>
        <v/>
      </c>
      <c r="AE53" s="115" t="str">
        <f t="shared" ref="AE53:AE54" si="65">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16"/>
      <c r="AG53" s="117"/>
      <c r="AH53" s="118"/>
      <c r="AI53" s="119"/>
      <c r="AJ53" s="119"/>
      <c r="AK53" s="117"/>
      <c r="AL53" s="11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x14ac:dyDescent="0.3">
      <c r="A54" s="216"/>
      <c r="B54" s="252"/>
      <c r="C54" s="252"/>
      <c r="D54" s="252"/>
      <c r="E54" s="133"/>
      <c r="F54" s="296"/>
      <c r="G54" s="137"/>
      <c r="H54" s="252"/>
      <c r="I54" s="235"/>
      <c r="J54" s="213"/>
      <c r="K54" s="246"/>
      <c r="L54" s="290"/>
      <c r="M54" s="246">
        <f ca="1">IF(NOT(ISERROR(MATCH(L54,_xlfn.ANCHORARRAY(F65),0))),K67&amp;"Por favor no seleccionar los criterios de impacto",L54)</f>
        <v>0</v>
      </c>
      <c r="N54" s="213"/>
      <c r="O54" s="246"/>
      <c r="P54" s="249"/>
      <c r="Q54" s="107">
        <v>3</v>
      </c>
      <c r="R54" s="120"/>
      <c r="S54" s="109" t="str">
        <f>IF(OR(T54="Preventivo",T54="Detectivo"),"Probabilidad",IF(T54="Correctivo","Impacto",""))</f>
        <v/>
      </c>
      <c r="T54" s="110"/>
      <c r="U54" s="110"/>
      <c r="V54" s="111" t="str">
        <f t="shared" si="61"/>
        <v/>
      </c>
      <c r="W54" s="110"/>
      <c r="X54" s="110"/>
      <c r="Y54" s="110"/>
      <c r="Z54" s="112" t="str">
        <f>IFERROR(IF(AND(S53="Probabilidad",S54="Probabilidad"),(AB53-(+AB53*V54)),IF(AND(S53="Impacto",S54="Probabilidad"),(AB52-(+AB52*V54)),IF(S54="Impacto",AB53,""))),"")</f>
        <v/>
      </c>
      <c r="AA54" s="113" t="str">
        <f t="shared" si="62"/>
        <v/>
      </c>
      <c r="AB54" s="114" t="str">
        <f t="shared" si="63"/>
        <v/>
      </c>
      <c r="AC54" s="113" t="str">
        <f t="shared" si="64"/>
        <v/>
      </c>
      <c r="AD54" s="121" t="str">
        <f>IFERROR(IF(AND(S53="Impacto",S54="Impacto"),(AD53-(+AD53*V54)),IF(AND(S53="Probabilidad",S54="Impacto"),(AD52-(+AD52*V54)),IF(S54="Probabilidad",AD53,""))),"")</f>
        <v/>
      </c>
      <c r="AE54" s="115" t="str">
        <f t="shared" si="65"/>
        <v/>
      </c>
      <c r="AF54" s="116"/>
      <c r="AG54" s="117"/>
      <c r="AH54" s="118"/>
      <c r="AI54" s="119"/>
      <c r="AJ54" s="119"/>
      <c r="AK54" s="117"/>
      <c r="AL54" s="11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x14ac:dyDescent="0.3">
      <c r="A55" s="216"/>
      <c r="B55" s="252"/>
      <c r="C55" s="252"/>
      <c r="D55" s="252"/>
      <c r="E55" s="133"/>
      <c r="F55" s="296"/>
      <c r="G55" s="137"/>
      <c r="H55" s="252"/>
      <c r="I55" s="235"/>
      <c r="J55" s="213"/>
      <c r="K55" s="246"/>
      <c r="L55" s="290"/>
      <c r="M55" s="246">
        <f ca="1">IF(NOT(ISERROR(MATCH(L55,_xlfn.ANCHORARRAY(F66),0))),K68&amp;"Por favor no seleccionar los criterios de impacto",L55)</f>
        <v>0</v>
      </c>
      <c r="N55" s="213"/>
      <c r="O55" s="246"/>
      <c r="P55" s="249"/>
      <c r="Q55" s="107">
        <v>4</v>
      </c>
      <c r="R55" s="108"/>
      <c r="S55" s="109" t="str">
        <f t="shared" ref="S55:S57" si="66">IF(OR(T55="Preventivo",T55="Detectivo"),"Probabilidad",IF(T55="Correctivo","Impacto",""))</f>
        <v/>
      </c>
      <c r="T55" s="110"/>
      <c r="U55" s="110"/>
      <c r="V55" s="111" t="str">
        <f t="shared" si="61"/>
        <v/>
      </c>
      <c r="W55" s="110"/>
      <c r="X55" s="110"/>
      <c r="Y55" s="110"/>
      <c r="Z55" s="112" t="str">
        <f t="shared" ref="Z55:Z57" si="67">IFERROR(IF(AND(S54="Probabilidad",S55="Probabilidad"),(AB54-(+AB54*V55)),IF(AND(S54="Impacto",S55="Probabilidad"),(AB53-(+AB53*V55)),IF(S55="Impacto",AB54,""))),"")</f>
        <v/>
      </c>
      <c r="AA55" s="113" t="str">
        <f t="shared" si="62"/>
        <v/>
      </c>
      <c r="AB55" s="114" t="str">
        <f t="shared" si="63"/>
        <v/>
      </c>
      <c r="AC55" s="113" t="str">
        <f t="shared" si="64"/>
        <v/>
      </c>
      <c r="AD55" s="121" t="str">
        <f t="shared" ref="AD55:AD57" si="68">IFERROR(IF(AND(S54="Impacto",S55="Impacto"),(AD54-(+AD54*V55)),IF(AND(S54="Probabilidad",S55="Impacto"),(AD53-(+AD53*V55)),IF(S55="Probabilidad",AD54,""))),"")</f>
        <v/>
      </c>
      <c r="AE55" s="115"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6"/>
      <c r="AG55" s="117"/>
      <c r="AH55" s="118"/>
      <c r="AI55" s="119"/>
      <c r="AJ55" s="119"/>
      <c r="AK55" s="117"/>
      <c r="AL55" s="11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x14ac:dyDescent="0.3">
      <c r="A56" s="216"/>
      <c r="B56" s="252"/>
      <c r="C56" s="252"/>
      <c r="D56" s="252"/>
      <c r="E56" s="133"/>
      <c r="F56" s="296"/>
      <c r="G56" s="137"/>
      <c r="H56" s="252"/>
      <c r="I56" s="235"/>
      <c r="J56" s="213"/>
      <c r="K56" s="246"/>
      <c r="L56" s="290"/>
      <c r="M56" s="246">
        <f ca="1">IF(NOT(ISERROR(MATCH(L56,_xlfn.ANCHORARRAY(F67),0))),K69&amp;"Por favor no seleccionar los criterios de impacto",L56)</f>
        <v>0</v>
      </c>
      <c r="N56" s="213"/>
      <c r="O56" s="246"/>
      <c r="P56" s="249"/>
      <c r="Q56" s="107">
        <v>5</v>
      </c>
      <c r="R56" s="108"/>
      <c r="S56" s="109" t="str">
        <f t="shared" si="66"/>
        <v/>
      </c>
      <c r="T56" s="110"/>
      <c r="U56" s="110"/>
      <c r="V56" s="111" t="str">
        <f t="shared" si="61"/>
        <v/>
      </c>
      <c r="W56" s="110"/>
      <c r="X56" s="110"/>
      <c r="Y56" s="110"/>
      <c r="Z56" s="112" t="str">
        <f t="shared" si="67"/>
        <v/>
      </c>
      <c r="AA56" s="113" t="str">
        <f t="shared" si="62"/>
        <v/>
      </c>
      <c r="AB56" s="114" t="str">
        <f t="shared" si="63"/>
        <v/>
      </c>
      <c r="AC56" s="113" t="str">
        <f t="shared" si="64"/>
        <v/>
      </c>
      <c r="AD56" s="121" t="str">
        <f t="shared" si="68"/>
        <v/>
      </c>
      <c r="AE56" s="115" t="str">
        <f t="shared" ref="AE56:AE57" si="69">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16"/>
      <c r="AG56" s="117"/>
      <c r="AH56" s="118"/>
      <c r="AI56" s="119"/>
      <c r="AJ56" s="119"/>
      <c r="AK56" s="117"/>
      <c r="AL56" s="11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x14ac:dyDescent="0.3">
      <c r="A57" s="217"/>
      <c r="B57" s="253"/>
      <c r="C57" s="253"/>
      <c r="D57" s="253"/>
      <c r="E57" s="134"/>
      <c r="F57" s="297"/>
      <c r="G57" s="138"/>
      <c r="H57" s="253"/>
      <c r="I57" s="236"/>
      <c r="J57" s="214"/>
      <c r="K57" s="247"/>
      <c r="L57" s="291"/>
      <c r="M57" s="247">
        <f ca="1">IF(NOT(ISERROR(MATCH(L57,_xlfn.ANCHORARRAY(F68),0))),K70&amp;"Por favor no seleccionar los criterios de impacto",L57)</f>
        <v>0</v>
      </c>
      <c r="N57" s="214"/>
      <c r="O57" s="247"/>
      <c r="P57" s="250"/>
      <c r="Q57" s="107">
        <v>6</v>
      </c>
      <c r="R57" s="108"/>
      <c r="S57" s="109" t="str">
        <f t="shared" si="66"/>
        <v/>
      </c>
      <c r="T57" s="110"/>
      <c r="U57" s="110"/>
      <c r="V57" s="111" t="str">
        <f t="shared" si="61"/>
        <v/>
      </c>
      <c r="W57" s="110"/>
      <c r="X57" s="110"/>
      <c r="Y57" s="110"/>
      <c r="Z57" s="112" t="str">
        <f t="shared" si="67"/>
        <v/>
      </c>
      <c r="AA57" s="113" t="str">
        <f t="shared" si="62"/>
        <v/>
      </c>
      <c r="AB57" s="114" t="str">
        <f t="shared" si="63"/>
        <v/>
      </c>
      <c r="AC57" s="113" t="str">
        <f t="shared" si="64"/>
        <v/>
      </c>
      <c r="AD57" s="121" t="str">
        <f t="shared" si="68"/>
        <v/>
      </c>
      <c r="AE57" s="115" t="str">
        <f t="shared" si="69"/>
        <v/>
      </c>
      <c r="AF57" s="116"/>
      <c r="AG57" s="117"/>
      <c r="AH57" s="118"/>
      <c r="AI57" s="119"/>
      <c r="AJ57" s="119"/>
      <c r="AK57" s="117"/>
      <c r="AL57" s="11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x14ac:dyDescent="0.3">
      <c r="A58" s="215">
        <v>9</v>
      </c>
      <c r="B58" s="251"/>
      <c r="C58" s="251"/>
      <c r="D58" s="251"/>
      <c r="E58" s="132"/>
      <c r="F58" s="295"/>
      <c r="G58" s="136"/>
      <c r="H58" s="251"/>
      <c r="I58" s="234"/>
      <c r="J58" s="212" t="str">
        <f t="shared" ref="J58" si="70">IF(I58&lt;=0,"",IF(I58&lt;=2,"Muy Baja",IF(I58&lt;=24,"Baja",IF(I58&lt;=500,"Media",IF(I58&lt;=5000,"Alta","Muy Alta")))))</f>
        <v/>
      </c>
      <c r="K58" s="245" t="str">
        <f t="shared" ref="K58" si="71">IF(J58="","",IF(J58="Muy Baja",0.2,IF(J58="Baja",0.4,IF(J58="Media",0.6,IF(J58="Alta",0.8,IF(J58="Muy Alta",1,))))))</f>
        <v/>
      </c>
      <c r="L58" s="289"/>
      <c r="M58" s="245">
        <f ca="1">IF(NOT(ISERROR(MATCH(L58,'Tabla Impacto'!$B$221:$B$223,0))),'Tabla Impacto'!$F$223&amp;"Por favor no seleccionar los criterios de impacto(Afectación Económica o presupuestal y Pérdida Reputacional)",L58)</f>
        <v>0</v>
      </c>
      <c r="N58" s="212" t="str">
        <f ca="1">IF(OR(M58='Tabla Impacto'!$C$11,M58='Tabla Impacto'!$D$11),"Leve",IF(OR(M58='Tabla Impacto'!$C$12,M58='Tabla Impacto'!$D$12),"Menor",IF(OR(M58='Tabla Impacto'!$C$13,M58='Tabla Impacto'!$D$13),"Moderado",IF(OR(M58='Tabla Impacto'!$C$14,M58='Tabla Impacto'!$D$14),"Mayor",IF(OR(M58='Tabla Impacto'!$C$15,M58='Tabla Impacto'!$D$15),"Catastrófico","")))))</f>
        <v/>
      </c>
      <c r="O58" s="245" t="str">
        <f t="shared" ref="O58" ca="1" si="72">IF(N58="","",IF(N58="Leve",0.2,IF(N58="Menor",0.4,IF(N58="Moderado",0.6,IF(N58="Mayor",0.8,IF(N58="Catastrófico",1,))))))</f>
        <v/>
      </c>
      <c r="P58" s="248" t="str">
        <f t="shared" ref="P58" ca="1" si="73">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7">
        <v>1</v>
      </c>
      <c r="R58" s="108"/>
      <c r="S58" s="109" t="str">
        <f>IF(OR(T58="Preventivo",T58="Detectivo"),"Probabilidad",IF(T58="Correctivo","Impacto",""))</f>
        <v/>
      </c>
      <c r="T58" s="110"/>
      <c r="U58" s="110"/>
      <c r="V58" s="111" t="str">
        <f>IF(AND(T58="Preventivo",U58="Automático"),"50%",IF(AND(T58="Preventivo",U58="Manual"),"40%",IF(AND(T58="Detectivo",U58="Automático"),"40%",IF(AND(T58="Detectivo",U58="Manual"),"30%",IF(AND(T58="Correctivo",U58="Automático"),"35%",IF(AND(T58="Correctivo",U58="Manual"),"25%",""))))))</f>
        <v/>
      </c>
      <c r="W58" s="110"/>
      <c r="X58" s="110"/>
      <c r="Y58" s="110"/>
      <c r="Z58" s="112" t="str">
        <f>IFERROR(IF(S58="Probabilidad",(K58-(+K58*V58)),IF(S58="Impacto",K58,"")),"")</f>
        <v/>
      </c>
      <c r="AA58" s="113" t="str">
        <f>IFERROR(IF(Z58="","",IF(Z58&lt;=0.2,"Muy Baja",IF(Z58&lt;=0.4,"Baja",IF(Z58&lt;=0.6,"Media",IF(Z58&lt;=0.8,"Alta","Muy Alta"))))),"")</f>
        <v/>
      </c>
      <c r="AB58" s="114" t="str">
        <f>+Z58</f>
        <v/>
      </c>
      <c r="AC58" s="113" t="str">
        <f>IFERROR(IF(AD58="","",IF(AD58&lt;=0.2,"Leve",IF(AD58&lt;=0.4,"Menor",IF(AD58&lt;=0.6,"Moderado",IF(AD58&lt;=0.8,"Mayor","Catastrófico"))))),"")</f>
        <v/>
      </c>
      <c r="AD58" s="121" t="str">
        <f>IFERROR(IF(S58="Impacto",(O58-(+O58*V58)),IF(S58="Probabilidad",O58,"")),"")</f>
        <v/>
      </c>
      <c r="AE58" s="115"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6"/>
      <c r="AG58" s="117"/>
      <c r="AH58" s="118"/>
      <c r="AI58" s="119"/>
      <c r="AJ58" s="119"/>
      <c r="AK58" s="117"/>
      <c r="AL58" s="11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x14ac:dyDescent="0.3">
      <c r="A59" s="216"/>
      <c r="B59" s="252"/>
      <c r="C59" s="252"/>
      <c r="D59" s="252"/>
      <c r="E59" s="133"/>
      <c r="F59" s="296"/>
      <c r="G59" s="137"/>
      <c r="H59" s="252"/>
      <c r="I59" s="235"/>
      <c r="J59" s="213"/>
      <c r="K59" s="246"/>
      <c r="L59" s="290"/>
      <c r="M59" s="246">
        <f ca="1">IF(NOT(ISERROR(MATCH(L59,_xlfn.ANCHORARRAY(F70),0))),K72&amp;"Por favor no seleccionar los criterios de impacto",L59)</f>
        <v>0</v>
      </c>
      <c r="N59" s="213"/>
      <c r="O59" s="246"/>
      <c r="P59" s="249"/>
      <c r="Q59" s="107">
        <v>2</v>
      </c>
      <c r="R59" s="108"/>
      <c r="S59" s="109" t="str">
        <f>IF(OR(T59="Preventivo",T59="Detectivo"),"Probabilidad",IF(T59="Correctivo","Impacto",""))</f>
        <v/>
      </c>
      <c r="T59" s="110"/>
      <c r="U59" s="110"/>
      <c r="V59" s="111" t="str">
        <f t="shared" ref="V59:V63" si="74">IF(AND(T59="Preventivo",U59="Automático"),"50%",IF(AND(T59="Preventivo",U59="Manual"),"40%",IF(AND(T59="Detectivo",U59="Automático"),"40%",IF(AND(T59="Detectivo",U59="Manual"),"30%",IF(AND(T59="Correctivo",U59="Automático"),"35%",IF(AND(T59="Correctivo",U59="Manual"),"25%",""))))))</f>
        <v/>
      </c>
      <c r="W59" s="110"/>
      <c r="X59" s="110"/>
      <c r="Y59" s="110"/>
      <c r="Z59" s="112" t="str">
        <f>IFERROR(IF(AND(S58="Probabilidad",S59="Probabilidad"),(AB58-(+AB58*V59)),IF(S59="Probabilidad",(K58-(+K58*V59)),IF(S59="Impacto",AB58,""))),"")</f>
        <v/>
      </c>
      <c r="AA59" s="113" t="str">
        <f t="shared" si="62"/>
        <v/>
      </c>
      <c r="AB59" s="114" t="str">
        <f t="shared" ref="AB59:AB63" si="75">+Z59</f>
        <v/>
      </c>
      <c r="AC59" s="113" t="str">
        <f t="shared" si="64"/>
        <v/>
      </c>
      <c r="AD59" s="121" t="str">
        <f>IFERROR(IF(AND(S58="Impacto",S59="Impacto"),(AD58-(+AD58*V59)),IF(S59="Impacto",(O58-(+O58*V59)),IF(S59="Probabilidad",AD58,""))),"")</f>
        <v/>
      </c>
      <c r="AE59" s="115" t="str">
        <f t="shared" ref="AE59:AE60" si="76">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16"/>
      <c r="AG59" s="117"/>
      <c r="AH59" s="118"/>
      <c r="AI59" s="119"/>
      <c r="AJ59" s="119"/>
      <c r="AK59" s="117"/>
      <c r="AL59" s="11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x14ac:dyDescent="0.3">
      <c r="A60" s="216"/>
      <c r="B60" s="252"/>
      <c r="C60" s="252"/>
      <c r="D60" s="252"/>
      <c r="E60" s="133"/>
      <c r="F60" s="296"/>
      <c r="G60" s="137"/>
      <c r="H60" s="252"/>
      <c r="I60" s="235"/>
      <c r="J60" s="213"/>
      <c r="K60" s="246"/>
      <c r="L60" s="290"/>
      <c r="M60" s="246">
        <f ca="1">IF(NOT(ISERROR(MATCH(L60,_xlfn.ANCHORARRAY(F71),0))),K73&amp;"Por favor no seleccionar los criterios de impacto",L60)</f>
        <v>0</v>
      </c>
      <c r="N60" s="213"/>
      <c r="O60" s="246"/>
      <c r="P60" s="249"/>
      <c r="Q60" s="107">
        <v>3</v>
      </c>
      <c r="R60" s="120"/>
      <c r="S60" s="109" t="str">
        <f>IF(OR(T60="Preventivo",T60="Detectivo"),"Probabilidad",IF(T60="Correctivo","Impacto",""))</f>
        <v/>
      </c>
      <c r="T60" s="110"/>
      <c r="U60" s="110"/>
      <c r="V60" s="111" t="str">
        <f t="shared" si="74"/>
        <v/>
      </c>
      <c r="W60" s="110"/>
      <c r="X60" s="110"/>
      <c r="Y60" s="110"/>
      <c r="Z60" s="112" t="str">
        <f>IFERROR(IF(AND(S59="Probabilidad",S60="Probabilidad"),(AB59-(+AB59*V60)),IF(AND(S59="Impacto",S60="Probabilidad"),(AB58-(+AB58*V60)),IF(S60="Impacto",AB59,""))),"")</f>
        <v/>
      </c>
      <c r="AA60" s="113" t="str">
        <f t="shared" si="62"/>
        <v/>
      </c>
      <c r="AB60" s="114" t="str">
        <f t="shared" si="75"/>
        <v/>
      </c>
      <c r="AC60" s="113" t="str">
        <f t="shared" si="64"/>
        <v/>
      </c>
      <c r="AD60" s="121" t="str">
        <f>IFERROR(IF(AND(S59="Impacto",S60="Impacto"),(AD59-(+AD59*V60)),IF(AND(S59="Probabilidad",S60="Impacto"),(AD58-(+AD58*V60)),IF(S60="Probabilidad",AD59,""))),"")</f>
        <v/>
      </c>
      <c r="AE60" s="115" t="str">
        <f t="shared" si="76"/>
        <v/>
      </c>
      <c r="AF60" s="116"/>
      <c r="AG60" s="117"/>
      <c r="AH60" s="118"/>
      <c r="AI60" s="119"/>
      <c r="AJ60" s="119"/>
      <c r="AK60" s="117"/>
      <c r="AL60" s="11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x14ac:dyDescent="0.3">
      <c r="A61" s="216"/>
      <c r="B61" s="252"/>
      <c r="C61" s="252"/>
      <c r="D61" s="252"/>
      <c r="E61" s="133"/>
      <c r="F61" s="296"/>
      <c r="G61" s="137"/>
      <c r="H61" s="252"/>
      <c r="I61" s="235"/>
      <c r="J61" s="213"/>
      <c r="K61" s="246"/>
      <c r="L61" s="290"/>
      <c r="M61" s="246">
        <f ca="1">IF(NOT(ISERROR(MATCH(L61,_xlfn.ANCHORARRAY(F72),0))),K74&amp;"Por favor no seleccionar los criterios de impacto",L61)</f>
        <v>0</v>
      </c>
      <c r="N61" s="213"/>
      <c r="O61" s="246"/>
      <c r="P61" s="249"/>
      <c r="Q61" s="107">
        <v>4</v>
      </c>
      <c r="R61" s="108"/>
      <c r="S61" s="109" t="str">
        <f t="shared" ref="S61:S63" si="77">IF(OR(T61="Preventivo",T61="Detectivo"),"Probabilidad",IF(T61="Correctivo","Impacto",""))</f>
        <v/>
      </c>
      <c r="T61" s="110"/>
      <c r="U61" s="110"/>
      <c r="V61" s="111" t="str">
        <f t="shared" si="74"/>
        <v/>
      </c>
      <c r="W61" s="110"/>
      <c r="X61" s="110"/>
      <c r="Y61" s="110"/>
      <c r="Z61" s="112" t="str">
        <f t="shared" ref="Z61:Z63" si="78">IFERROR(IF(AND(S60="Probabilidad",S61="Probabilidad"),(AB60-(+AB60*V61)),IF(AND(S60="Impacto",S61="Probabilidad"),(AB59-(+AB59*V61)),IF(S61="Impacto",AB60,""))),"")</f>
        <v/>
      </c>
      <c r="AA61" s="113" t="str">
        <f t="shared" si="62"/>
        <v/>
      </c>
      <c r="AB61" s="114" t="str">
        <f t="shared" si="75"/>
        <v/>
      </c>
      <c r="AC61" s="113" t="str">
        <f t="shared" si="64"/>
        <v/>
      </c>
      <c r="AD61" s="121" t="str">
        <f t="shared" ref="AD61:AD63" si="79">IFERROR(IF(AND(S60="Impacto",S61="Impacto"),(AD60-(+AD60*V61)),IF(AND(S60="Probabilidad",S61="Impacto"),(AD59-(+AD59*V61)),IF(S61="Probabilidad",AD60,""))),"")</f>
        <v/>
      </c>
      <c r="AE61" s="115"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6"/>
      <c r="AG61" s="117"/>
      <c r="AH61" s="118"/>
      <c r="AI61" s="119"/>
      <c r="AJ61" s="119"/>
      <c r="AK61" s="117"/>
      <c r="AL61" s="11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x14ac:dyDescent="0.3">
      <c r="A62" s="216"/>
      <c r="B62" s="252"/>
      <c r="C62" s="252"/>
      <c r="D62" s="252"/>
      <c r="E62" s="133"/>
      <c r="F62" s="296"/>
      <c r="G62" s="137"/>
      <c r="H62" s="252"/>
      <c r="I62" s="235"/>
      <c r="J62" s="213"/>
      <c r="K62" s="246"/>
      <c r="L62" s="290"/>
      <c r="M62" s="246">
        <f ca="1">IF(NOT(ISERROR(MATCH(L62,_xlfn.ANCHORARRAY(F73),0))),K75&amp;"Por favor no seleccionar los criterios de impacto",L62)</f>
        <v>0</v>
      </c>
      <c r="N62" s="213"/>
      <c r="O62" s="246"/>
      <c r="P62" s="249"/>
      <c r="Q62" s="107">
        <v>5</v>
      </c>
      <c r="R62" s="108"/>
      <c r="S62" s="109" t="str">
        <f t="shared" si="77"/>
        <v/>
      </c>
      <c r="T62" s="110"/>
      <c r="U62" s="110"/>
      <c r="V62" s="111" t="str">
        <f t="shared" si="74"/>
        <v/>
      </c>
      <c r="W62" s="110"/>
      <c r="X62" s="110"/>
      <c r="Y62" s="110"/>
      <c r="Z62" s="112" t="str">
        <f t="shared" si="78"/>
        <v/>
      </c>
      <c r="AA62" s="113" t="str">
        <f t="shared" si="62"/>
        <v/>
      </c>
      <c r="AB62" s="114" t="str">
        <f t="shared" si="75"/>
        <v/>
      </c>
      <c r="AC62" s="113" t="str">
        <f t="shared" si="64"/>
        <v/>
      </c>
      <c r="AD62" s="121" t="str">
        <f t="shared" si="79"/>
        <v/>
      </c>
      <c r="AE62" s="115" t="str">
        <f t="shared" ref="AE62:AE63" si="80">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16"/>
      <c r="AG62" s="117"/>
      <c r="AH62" s="118"/>
      <c r="AI62" s="119"/>
      <c r="AJ62" s="119"/>
      <c r="AK62" s="117"/>
      <c r="AL62" s="11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x14ac:dyDescent="0.3">
      <c r="A63" s="217"/>
      <c r="B63" s="253"/>
      <c r="C63" s="253"/>
      <c r="D63" s="253"/>
      <c r="E63" s="134"/>
      <c r="F63" s="297"/>
      <c r="G63" s="138"/>
      <c r="H63" s="253"/>
      <c r="I63" s="236"/>
      <c r="J63" s="214"/>
      <c r="K63" s="247"/>
      <c r="L63" s="291"/>
      <c r="M63" s="247">
        <f ca="1">IF(NOT(ISERROR(MATCH(L63,_xlfn.ANCHORARRAY(F74),0))),K76&amp;"Por favor no seleccionar los criterios de impacto",L63)</f>
        <v>0</v>
      </c>
      <c r="N63" s="214"/>
      <c r="O63" s="247"/>
      <c r="P63" s="250"/>
      <c r="Q63" s="107">
        <v>6</v>
      </c>
      <c r="R63" s="108"/>
      <c r="S63" s="109" t="str">
        <f t="shared" si="77"/>
        <v/>
      </c>
      <c r="T63" s="110"/>
      <c r="U63" s="110"/>
      <c r="V63" s="111" t="str">
        <f t="shared" si="74"/>
        <v/>
      </c>
      <c r="W63" s="110"/>
      <c r="X63" s="110"/>
      <c r="Y63" s="110"/>
      <c r="Z63" s="112" t="str">
        <f t="shared" si="78"/>
        <v/>
      </c>
      <c r="AA63" s="113" t="str">
        <f t="shared" si="62"/>
        <v/>
      </c>
      <c r="AB63" s="114" t="str">
        <f t="shared" si="75"/>
        <v/>
      </c>
      <c r="AC63" s="113" t="str">
        <f t="shared" si="64"/>
        <v/>
      </c>
      <c r="AD63" s="121" t="str">
        <f t="shared" si="79"/>
        <v/>
      </c>
      <c r="AE63" s="115" t="str">
        <f t="shared" si="80"/>
        <v/>
      </c>
      <c r="AF63" s="116"/>
      <c r="AG63" s="117"/>
      <c r="AH63" s="118"/>
      <c r="AI63" s="119"/>
      <c r="AJ63" s="119"/>
      <c r="AK63" s="117"/>
      <c r="AL63" s="11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x14ac:dyDescent="0.3">
      <c r="A64" s="215">
        <v>10</v>
      </c>
      <c r="B64" s="251"/>
      <c r="C64" s="251"/>
      <c r="D64" s="251"/>
      <c r="E64" s="132"/>
      <c r="F64" s="295"/>
      <c r="G64" s="136"/>
      <c r="H64" s="251"/>
      <c r="I64" s="234"/>
      <c r="J64" s="212" t="str">
        <f t="shared" ref="J64" si="81">IF(I64&lt;=0,"",IF(I64&lt;=2,"Muy Baja",IF(I64&lt;=24,"Baja",IF(I64&lt;=500,"Media",IF(I64&lt;=5000,"Alta","Muy Alta")))))</f>
        <v/>
      </c>
      <c r="K64" s="245" t="str">
        <f t="shared" ref="K64" si="82">IF(J64="","",IF(J64="Muy Baja",0.2,IF(J64="Baja",0.4,IF(J64="Media",0.6,IF(J64="Alta",0.8,IF(J64="Muy Alta",1,))))))</f>
        <v/>
      </c>
      <c r="L64" s="289"/>
      <c r="M64" s="245">
        <f ca="1">IF(NOT(ISERROR(MATCH(L64,'Tabla Impacto'!$B$221:$B$223,0))),'Tabla Impacto'!$F$223&amp;"Por favor no seleccionar los criterios de impacto(Afectación Económica o presupuestal y Pérdida Reputacional)",L64)</f>
        <v>0</v>
      </c>
      <c r="N64" s="212" t="str">
        <f ca="1">IF(OR(M64='Tabla Impacto'!$C$11,M64='Tabla Impacto'!$D$11),"Leve",IF(OR(M64='Tabla Impacto'!$C$12,M64='Tabla Impacto'!$D$12),"Menor",IF(OR(M64='Tabla Impacto'!$C$13,M64='Tabla Impacto'!$D$13),"Moderado",IF(OR(M64='Tabla Impacto'!$C$14,M64='Tabla Impacto'!$D$14),"Mayor",IF(OR(M64='Tabla Impacto'!$C$15,M64='Tabla Impacto'!$D$15),"Catastrófico","")))))</f>
        <v/>
      </c>
      <c r="O64" s="245" t="str">
        <f t="shared" ref="O64" ca="1" si="83">IF(N64="","",IF(N64="Leve",0.2,IF(N64="Menor",0.4,IF(N64="Moderado",0.6,IF(N64="Mayor",0.8,IF(N64="Catastrófico",1,))))))</f>
        <v/>
      </c>
      <c r="P64" s="248" t="str">
        <f t="shared" ref="P64" ca="1" si="84">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7">
        <v>1</v>
      </c>
      <c r="R64" s="108"/>
      <c r="S64" s="109" t="str">
        <f>IF(OR(T64="Preventivo",T64="Detectivo"),"Probabilidad",IF(T64="Correctivo","Impacto",""))</f>
        <v/>
      </c>
      <c r="T64" s="110"/>
      <c r="U64" s="110"/>
      <c r="V64" s="111" t="str">
        <f>IF(AND(T64="Preventivo",U64="Automático"),"50%",IF(AND(T64="Preventivo",U64="Manual"),"40%",IF(AND(T64="Detectivo",U64="Automático"),"40%",IF(AND(T64="Detectivo",U64="Manual"),"30%",IF(AND(T64="Correctivo",U64="Automático"),"35%",IF(AND(T64="Correctivo",U64="Manual"),"25%",""))))))</f>
        <v/>
      </c>
      <c r="W64" s="110"/>
      <c r="X64" s="110"/>
      <c r="Y64" s="110"/>
      <c r="Z64" s="112" t="str">
        <f>IFERROR(IF(S64="Probabilidad",(K64-(+K64*V64)),IF(S64="Impacto",K64,"")),"")</f>
        <v/>
      </c>
      <c r="AA64" s="113" t="str">
        <f>IFERROR(IF(Z64="","",IF(Z64&lt;=0.2,"Muy Baja",IF(Z64&lt;=0.4,"Baja",IF(Z64&lt;=0.6,"Media",IF(Z64&lt;=0.8,"Alta","Muy Alta"))))),"")</f>
        <v/>
      </c>
      <c r="AB64" s="114" t="str">
        <f>+Z64</f>
        <v/>
      </c>
      <c r="AC64" s="113" t="str">
        <f>IFERROR(IF(AD64="","",IF(AD64&lt;=0.2,"Leve",IF(AD64&lt;=0.4,"Menor",IF(AD64&lt;=0.6,"Moderado",IF(AD64&lt;=0.8,"Mayor","Catastrófico"))))),"")</f>
        <v/>
      </c>
      <c r="AD64" s="121" t="str">
        <f>IFERROR(IF(S64="Impacto",(O64-(+O64*V64)),IF(S64="Probabilidad",O64,"")),"")</f>
        <v/>
      </c>
      <c r="AE64" s="115"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6"/>
      <c r="AG64" s="117"/>
      <c r="AH64" s="118"/>
      <c r="AI64" s="119"/>
      <c r="AJ64" s="119"/>
      <c r="AK64" s="117"/>
      <c r="AL64" s="11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x14ac:dyDescent="0.3">
      <c r="A65" s="216"/>
      <c r="B65" s="252"/>
      <c r="C65" s="252"/>
      <c r="D65" s="252"/>
      <c r="E65" s="133"/>
      <c r="F65" s="296"/>
      <c r="G65" s="137"/>
      <c r="H65" s="252"/>
      <c r="I65" s="235"/>
      <c r="J65" s="213"/>
      <c r="K65" s="246"/>
      <c r="L65" s="290"/>
      <c r="M65" s="246">
        <f ca="1">IF(NOT(ISERROR(MATCH(L65,_xlfn.ANCHORARRAY(F76),0))),K78&amp;"Por favor no seleccionar los criterios de impacto",L65)</f>
        <v>0</v>
      </c>
      <c r="N65" s="213"/>
      <c r="O65" s="246"/>
      <c r="P65" s="249"/>
      <c r="Q65" s="107">
        <v>2</v>
      </c>
      <c r="R65" s="108"/>
      <c r="S65" s="109" t="str">
        <f>IF(OR(T65="Preventivo",T65="Detectivo"),"Probabilidad",IF(T65="Correctivo","Impacto",""))</f>
        <v/>
      </c>
      <c r="T65" s="110"/>
      <c r="U65" s="110"/>
      <c r="V65" s="111" t="str">
        <f t="shared" ref="V65:V69" si="85">IF(AND(T65="Preventivo",U65="Automático"),"50%",IF(AND(T65="Preventivo",U65="Manual"),"40%",IF(AND(T65="Detectivo",U65="Automático"),"40%",IF(AND(T65="Detectivo",U65="Manual"),"30%",IF(AND(T65="Correctivo",U65="Automático"),"35%",IF(AND(T65="Correctivo",U65="Manual"),"25%",""))))))</f>
        <v/>
      </c>
      <c r="W65" s="110"/>
      <c r="X65" s="110"/>
      <c r="Y65" s="110"/>
      <c r="Z65" s="112" t="str">
        <f>IFERROR(IF(AND(S64="Probabilidad",S65="Probabilidad"),(AB64-(+AB64*V65)),IF(S65="Probabilidad",(K64-(+K64*V65)),IF(S65="Impacto",AB64,""))),"")</f>
        <v/>
      </c>
      <c r="AA65" s="113" t="str">
        <f t="shared" si="62"/>
        <v/>
      </c>
      <c r="AB65" s="114" t="str">
        <f t="shared" ref="AB65:AB69" si="86">+Z65</f>
        <v/>
      </c>
      <c r="AC65" s="113" t="str">
        <f t="shared" si="64"/>
        <v/>
      </c>
      <c r="AD65" s="121" t="str">
        <f>IFERROR(IF(AND(S64="Impacto",S65="Impacto"),(AD64-(+AD64*V65)),IF(S65="Impacto",(O64-(+O64*V65)),IF(S65="Probabilidad",AD64,""))),"")</f>
        <v/>
      </c>
      <c r="AE65" s="115" t="str">
        <f t="shared" ref="AE65:AE66" si="87">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16"/>
      <c r="AG65" s="117"/>
      <c r="AH65" s="118"/>
      <c r="AI65" s="119"/>
      <c r="AJ65" s="119"/>
      <c r="AK65" s="117"/>
      <c r="AL65" s="118"/>
    </row>
    <row r="66" spans="1:38" x14ac:dyDescent="0.3">
      <c r="A66" s="216"/>
      <c r="B66" s="252"/>
      <c r="C66" s="252"/>
      <c r="D66" s="252"/>
      <c r="E66" s="133"/>
      <c r="F66" s="296"/>
      <c r="G66" s="137"/>
      <c r="H66" s="252"/>
      <c r="I66" s="235"/>
      <c r="J66" s="213"/>
      <c r="K66" s="246"/>
      <c r="L66" s="290"/>
      <c r="M66" s="246">
        <f ca="1">IF(NOT(ISERROR(MATCH(L66,_xlfn.ANCHORARRAY(F77),0))),K79&amp;"Por favor no seleccionar los criterios de impacto",L66)</f>
        <v>0</v>
      </c>
      <c r="N66" s="213"/>
      <c r="O66" s="246"/>
      <c r="P66" s="249"/>
      <c r="Q66" s="107">
        <v>3</v>
      </c>
      <c r="R66" s="120"/>
      <c r="S66" s="109" t="str">
        <f>IF(OR(T66="Preventivo",T66="Detectivo"),"Probabilidad",IF(T66="Correctivo","Impacto",""))</f>
        <v/>
      </c>
      <c r="T66" s="110"/>
      <c r="U66" s="110"/>
      <c r="V66" s="111" t="str">
        <f t="shared" si="85"/>
        <v/>
      </c>
      <c r="W66" s="110"/>
      <c r="X66" s="110"/>
      <c r="Y66" s="110"/>
      <c r="Z66" s="112" t="str">
        <f>IFERROR(IF(AND(S65="Probabilidad",S66="Probabilidad"),(AB65-(+AB65*V66)),IF(AND(S65="Impacto",S66="Probabilidad"),(AB64-(+AB64*V66)),IF(S66="Impacto",AB65,""))),"")</f>
        <v/>
      </c>
      <c r="AA66" s="113" t="str">
        <f t="shared" si="62"/>
        <v/>
      </c>
      <c r="AB66" s="114" t="str">
        <f t="shared" si="86"/>
        <v/>
      </c>
      <c r="AC66" s="113" t="str">
        <f t="shared" si="64"/>
        <v/>
      </c>
      <c r="AD66" s="121" t="str">
        <f>IFERROR(IF(AND(S65="Impacto",S66="Impacto"),(AD65-(+AD65*V66)),IF(AND(S65="Probabilidad",S66="Impacto"),(AD64-(+AD64*V66)),IF(S66="Probabilidad",AD65,""))),"")</f>
        <v/>
      </c>
      <c r="AE66" s="115" t="str">
        <f t="shared" si="87"/>
        <v/>
      </c>
      <c r="AF66" s="116"/>
      <c r="AG66" s="117"/>
      <c r="AH66" s="118"/>
      <c r="AI66" s="119"/>
      <c r="AJ66" s="119"/>
      <c r="AK66" s="117"/>
      <c r="AL66" s="118"/>
    </row>
    <row r="67" spans="1:38" x14ac:dyDescent="0.3">
      <c r="A67" s="216"/>
      <c r="B67" s="252"/>
      <c r="C67" s="252"/>
      <c r="D67" s="252"/>
      <c r="E67" s="133"/>
      <c r="F67" s="296"/>
      <c r="G67" s="137"/>
      <c r="H67" s="252"/>
      <c r="I67" s="235"/>
      <c r="J67" s="213"/>
      <c r="K67" s="246"/>
      <c r="L67" s="290"/>
      <c r="M67" s="246">
        <f ca="1">IF(NOT(ISERROR(MATCH(L67,_xlfn.ANCHORARRAY(F78),0))),K80&amp;"Por favor no seleccionar los criterios de impacto",L67)</f>
        <v>0</v>
      </c>
      <c r="N67" s="213"/>
      <c r="O67" s="246"/>
      <c r="P67" s="249"/>
      <c r="Q67" s="107">
        <v>4</v>
      </c>
      <c r="R67" s="108"/>
      <c r="S67" s="109" t="str">
        <f t="shared" ref="S67:S69" si="88">IF(OR(T67="Preventivo",T67="Detectivo"),"Probabilidad",IF(T67="Correctivo","Impacto",""))</f>
        <v/>
      </c>
      <c r="T67" s="110"/>
      <c r="U67" s="110"/>
      <c r="V67" s="111" t="str">
        <f t="shared" si="85"/>
        <v/>
      </c>
      <c r="W67" s="110"/>
      <c r="X67" s="110"/>
      <c r="Y67" s="110"/>
      <c r="Z67" s="112" t="str">
        <f t="shared" ref="Z67:Z69" si="89">IFERROR(IF(AND(S66="Probabilidad",S67="Probabilidad"),(AB66-(+AB66*V67)),IF(AND(S66="Impacto",S67="Probabilidad"),(AB65-(+AB65*V67)),IF(S67="Impacto",AB66,""))),"")</f>
        <v/>
      </c>
      <c r="AA67" s="113" t="str">
        <f t="shared" si="62"/>
        <v/>
      </c>
      <c r="AB67" s="114" t="str">
        <f t="shared" si="86"/>
        <v/>
      </c>
      <c r="AC67" s="113" t="str">
        <f t="shared" si="64"/>
        <v/>
      </c>
      <c r="AD67" s="121" t="str">
        <f t="shared" ref="AD67:AD69" si="90">IFERROR(IF(AND(S66="Impacto",S67="Impacto"),(AD66-(+AD66*V67)),IF(AND(S66="Probabilidad",S67="Impacto"),(AD65-(+AD65*V67)),IF(S67="Probabilidad",AD66,""))),"")</f>
        <v/>
      </c>
      <c r="AE67" s="115" t="str">
        <f>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16"/>
      <c r="AG67" s="117"/>
      <c r="AH67" s="118"/>
      <c r="AI67" s="119"/>
      <c r="AJ67" s="119"/>
      <c r="AK67" s="117"/>
      <c r="AL67" s="118"/>
    </row>
    <row r="68" spans="1:38" x14ac:dyDescent="0.3">
      <c r="A68" s="216"/>
      <c r="B68" s="252"/>
      <c r="C68" s="252"/>
      <c r="D68" s="252"/>
      <c r="E68" s="133"/>
      <c r="F68" s="296"/>
      <c r="G68" s="137"/>
      <c r="H68" s="252"/>
      <c r="I68" s="235"/>
      <c r="J68" s="213"/>
      <c r="K68" s="246"/>
      <c r="L68" s="290"/>
      <c r="M68" s="246">
        <f ca="1">IF(NOT(ISERROR(MATCH(L68,_xlfn.ANCHORARRAY(F79),0))),K81&amp;"Por favor no seleccionar los criterios de impacto",L68)</f>
        <v>0</v>
      </c>
      <c r="N68" s="213"/>
      <c r="O68" s="246"/>
      <c r="P68" s="249"/>
      <c r="Q68" s="107">
        <v>5</v>
      </c>
      <c r="R68" s="108"/>
      <c r="S68" s="109" t="str">
        <f t="shared" si="88"/>
        <v/>
      </c>
      <c r="T68" s="110"/>
      <c r="U68" s="110"/>
      <c r="V68" s="111" t="str">
        <f t="shared" si="85"/>
        <v/>
      </c>
      <c r="W68" s="110"/>
      <c r="X68" s="110"/>
      <c r="Y68" s="110"/>
      <c r="Z68" s="112" t="str">
        <f t="shared" si="89"/>
        <v/>
      </c>
      <c r="AA68" s="113" t="str">
        <f t="shared" si="62"/>
        <v/>
      </c>
      <c r="AB68" s="114" t="str">
        <f t="shared" si="86"/>
        <v/>
      </c>
      <c r="AC68" s="113" t="str">
        <f t="shared" si="64"/>
        <v/>
      </c>
      <c r="AD68" s="121" t="str">
        <f t="shared" si="90"/>
        <v/>
      </c>
      <c r="AE68" s="115" t="str">
        <f t="shared" ref="AE68:AE69" si="91">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116"/>
      <c r="AG68" s="117"/>
      <c r="AH68" s="118"/>
      <c r="AI68" s="119"/>
      <c r="AJ68" s="119"/>
      <c r="AK68" s="117"/>
      <c r="AL68" s="118"/>
    </row>
    <row r="69" spans="1:38" x14ac:dyDescent="0.3">
      <c r="A69" s="217"/>
      <c r="B69" s="253"/>
      <c r="C69" s="253"/>
      <c r="D69" s="253"/>
      <c r="E69" s="134"/>
      <c r="F69" s="297"/>
      <c r="G69" s="138"/>
      <c r="H69" s="253"/>
      <c r="I69" s="236"/>
      <c r="J69" s="214"/>
      <c r="K69" s="247"/>
      <c r="L69" s="291"/>
      <c r="M69" s="247">
        <f ca="1">IF(NOT(ISERROR(MATCH(L69,_xlfn.ANCHORARRAY(F80),0))),K82&amp;"Por favor no seleccionar los criterios de impacto",L69)</f>
        <v>0</v>
      </c>
      <c r="N69" s="214"/>
      <c r="O69" s="247"/>
      <c r="P69" s="250"/>
      <c r="Q69" s="107">
        <v>6</v>
      </c>
      <c r="R69" s="108"/>
      <c r="S69" s="109" t="str">
        <f t="shared" si="88"/>
        <v/>
      </c>
      <c r="T69" s="110"/>
      <c r="U69" s="110"/>
      <c r="V69" s="111" t="str">
        <f t="shared" si="85"/>
        <v/>
      </c>
      <c r="W69" s="110"/>
      <c r="X69" s="110"/>
      <c r="Y69" s="110"/>
      <c r="Z69" s="112" t="str">
        <f t="shared" si="89"/>
        <v/>
      </c>
      <c r="AA69" s="113" t="str">
        <f t="shared" si="62"/>
        <v/>
      </c>
      <c r="AB69" s="114" t="str">
        <f t="shared" si="86"/>
        <v/>
      </c>
      <c r="AC69" s="113" t="str">
        <f t="shared" si="64"/>
        <v/>
      </c>
      <c r="AD69" s="121" t="str">
        <f t="shared" si="90"/>
        <v/>
      </c>
      <c r="AE69" s="115" t="str">
        <f t="shared" si="91"/>
        <v/>
      </c>
      <c r="AF69" s="116"/>
      <c r="AG69" s="117"/>
      <c r="AH69" s="118"/>
      <c r="AI69" s="119"/>
      <c r="AJ69" s="119"/>
      <c r="AK69" s="117"/>
      <c r="AL69" s="118"/>
    </row>
    <row r="70" spans="1:38" x14ac:dyDescent="0.3">
      <c r="A70" s="6"/>
      <c r="B70" s="309" t="s">
        <v>125</v>
      </c>
      <c r="C70" s="310"/>
      <c r="D70" s="310"/>
      <c r="E70" s="310"/>
      <c r="F70" s="310"/>
      <c r="G70" s="310"/>
      <c r="H70" s="310"/>
      <c r="I70" s="310"/>
      <c r="J70" s="310"/>
      <c r="K70" s="310"/>
      <c r="L70" s="310"/>
      <c r="M70" s="310"/>
      <c r="N70" s="310"/>
      <c r="O70" s="310"/>
      <c r="P70" s="310"/>
      <c r="Q70" s="310"/>
      <c r="R70" s="310"/>
      <c r="S70" s="310"/>
      <c r="T70" s="310"/>
      <c r="U70" s="310"/>
      <c r="V70" s="310"/>
      <c r="W70" s="310"/>
      <c r="X70" s="310"/>
      <c r="Y70" s="310"/>
      <c r="Z70" s="310"/>
      <c r="AA70" s="310"/>
      <c r="AB70" s="310"/>
      <c r="AC70" s="310"/>
      <c r="AD70" s="310"/>
      <c r="AE70" s="310"/>
      <c r="AF70" s="310"/>
      <c r="AG70" s="310"/>
      <c r="AH70" s="310"/>
      <c r="AI70" s="310"/>
      <c r="AJ70" s="310"/>
      <c r="AK70" s="310"/>
      <c r="AL70" s="311"/>
    </row>
    <row r="72" spans="1:38" x14ac:dyDescent="0.3">
      <c r="A72" s="1"/>
      <c r="B72" s="24" t="s">
        <v>137</v>
      </c>
      <c r="C72" s="1"/>
      <c r="D72" s="1"/>
      <c r="E72" s="1"/>
      <c r="H72" s="1"/>
    </row>
  </sheetData>
  <dataConsolidate/>
  <mergeCells count="188">
    <mergeCell ref="C6:AL6"/>
    <mergeCell ref="A1:AL2"/>
    <mergeCell ref="A7:I7"/>
    <mergeCell ref="J7:P7"/>
    <mergeCell ref="Q7:Y7"/>
    <mergeCell ref="Z7:AF7"/>
    <mergeCell ref="AG7:AL7"/>
    <mergeCell ref="B70:AL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F58:F63"/>
    <mergeCell ref="H58:H63"/>
    <mergeCell ref="I58:I63"/>
    <mergeCell ref="J58:J63"/>
    <mergeCell ref="K58:K63"/>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O22:O27"/>
    <mergeCell ref="P22:P27"/>
    <mergeCell ref="A28:A33"/>
    <mergeCell ref="B28:B33"/>
    <mergeCell ref="C28:C33"/>
    <mergeCell ref="D28:D33"/>
    <mergeCell ref="F28:F33"/>
    <mergeCell ref="H28:H33"/>
    <mergeCell ref="I28:I33"/>
    <mergeCell ref="J28:J33"/>
    <mergeCell ref="K28:K33"/>
    <mergeCell ref="L28:L33"/>
    <mergeCell ref="M28:M33"/>
    <mergeCell ref="N28:N33"/>
    <mergeCell ref="O28:O33"/>
    <mergeCell ref="P28:P33"/>
    <mergeCell ref="C22:C27"/>
    <mergeCell ref="K22:K27"/>
    <mergeCell ref="L22:L27"/>
    <mergeCell ref="M22:M27"/>
    <mergeCell ref="N22:N27"/>
    <mergeCell ref="G22:G27"/>
    <mergeCell ref="H22:H27"/>
    <mergeCell ref="I22:I27"/>
    <mergeCell ref="K16:K21"/>
    <mergeCell ref="L16:L21"/>
    <mergeCell ref="AG8:AG9"/>
    <mergeCell ref="AL8:AL9"/>
    <mergeCell ref="AK8:AK9"/>
    <mergeCell ref="AJ8:AJ9"/>
    <mergeCell ref="AI8:AI9"/>
    <mergeCell ref="AH8:AH9"/>
    <mergeCell ref="AB8:AB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C4:AL4"/>
    <mergeCell ref="C5:AL5"/>
    <mergeCell ref="B8:B9"/>
    <mergeCell ref="P8:P9"/>
    <mergeCell ref="L8:L9"/>
    <mergeCell ref="M8:M9"/>
    <mergeCell ref="S8:S9"/>
    <mergeCell ref="T8:Y8"/>
    <mergeCell ref="E8:E9"/>
    <mergeCell ref="D16:D21"/>
    <mergeCell ref="F16:F21"/>
    <mergeCell ref="M16:M21"/>
    <mergeCell ref="N16:N21"/>
    <mergeCell ref="O16:O21"/>
    <mergeCell ref="P16:P21"/>
    <mergeCell ref="B16:B21"/>
    <mergeCell ref="C16:C21"/>
    <mergeCell ref="P10:P15"/>
    <mergeCell ref="K10:K15"/>
    <mergeCell ref="L10:L15"/>
    <mergeCell ref="M10:M15"/>
    <mergeCell ref="N10:N15"/>
    <mergeCell ref="O10:O15"/>
    <mergeCell ref="G10:G15"/>
    <mergeCell ref="I8:I9"/>
    <mergeCell ref="J8:J9"/>
    <mergeCell ref="K8:K9"/>
    <mergeCell ref="N8:N9"/>
    <mergeCell ref="O8:O9"/>
    <mergeCell ref="G16:G21"/>
    <mergeCell ref="H10:H15"/>
    <mergeCell ref="I10:I15"/>
    <mergeCell ref="J22:J27"/>
    <mergeCell ref="A16:A21"/>
    <mergeCell ref="A10:A15"/>
    <mergeCell ref="B10:B15"/>
    <mergeCell ref="C10:C15"/>
    <mergeCell ref="D10:D15"/>
    <mergeCell ref="F10:F15"/>
    <mergeCell ref="A22:A27"/>
    <mergeCell ref="B22:B27"/>
    <mergeCell ref="D22:D27"/>
    <mergeCell ref="F22:F27"/>
    <mergeCell ref="H16:H21"/>
    <mergeCell ref="I16:I21"/>
    <mergeCell ref="J16:J21"/>
    <mergeCell ref="J10:J15"/>
  </mergeCells>
  <conditionalFormatting sqref="J10 J16 J22 J28 J34 J40 J46 J52 J58 J64">
    <cfRule type="cellIs" dxfId="202" priority="361" operator="equal">
      <formula>"Muy Alta"</formula>
    </cfRule>
    <cfRule type="cellIs" dxfId="201" priority="362" operator="equal">
      <formula>"Alta"</formula>
    </cfRule>
    <cfRule type="cellIs" dxfId="200" priority="363" operator="equal">
      <formula>"Media"</formula>
    </cfRule>
    <cfRule type="cellIs" dxfId="199" priority="364" operator="equal">
      <formula>"Baja"</formula>
    </cfRule>
    <cfRule type="cellIs" dxfId="198" priority="365" operator="equal">
      <formula>"Muy Baja"</formula>
    </cfRule>
  </conditionalFormatting>
  <conditionalFormatting sqref="N10 N16 N22 N28 N34 N40 N46 N52 N58 N64">
    <cfRule type="cellIs" dxfId="197" priority="356" operator="equal">
      <formula>"Catastrófico"</formula>
    </cfRule>
    <cfRule type="cellIs" dxfId="196" priority="357" operator="equal">
      <formula>"Mayor"</formula>
    </cfRule>
    <cfRule type="cellIs" dxfId="195" priority="358" operator="equal">
      <formula>"Moderado"</formula>
    </cfRule>
    <cfRule type="cellIs" dxfId="194" priority="359" operator="equal">
      <formula>"Menor"</formula>
    </cfRule>
    <cfRule type="cellIs" dxfId="193" priority="360" operator="equal">
      <formula>"Leve"</formula>
    </cfRule>
  </conditionalFormatting>
  <conditionalFormatting sqref="P10">
    <cfRule type="cellIs" dxfId="192" priority="352" operator="equal">
      <formula>"Extremo"</formula>
    </cfRule>
    <cfRule type="cellIs" dxfId="191" priority="353" operator="equal">
      <formula>"Alto"</formula>
    </cfRule>
    <cfRule type="cellIs" dxfId="190" priority="354" operator="equal">
      <formula>"Moderado"</formula>
    </cfRule>
    <cfRule type="cellIs" dxfId="189" priority="355" operator="equal">
      <formula>"Bajo"</formula>
    </cfRule>
  </conditionalFormatting>
  <conditionalFormatting sqref="AA10">
    <cfRule type="cellIs" dxfId="188" priority="347" operator="equal">
      <formula>"Muy Alta"</formula>
    </cfRule>
    <cfRule type="cellIs" dxfId="187" priority="348" operator="equal">
      <formula>"Alta"</formula>
    </cfRule>
    <cfRule type="cellIs" dxfId="186" priority="349" operator="equal">
      <formula>"Media"</formula>
    </cfRule>
    <cfRule type="cellIs" dxfId="185" priority="350" operator="equal">
      <formula>"Baja"</formula>
    </cfRule>
    <cfRule type="cellIs" dxfId="184" priority="351" operator="equal">
      <formula>"Muy Baja"</formula>
    </cfRule>
  </conditionalFormatting>
  <conditionalFormatting sqref="AC10">
    <cfRule type="cellIs" dxfId="183" priority="342" operator="equal">
      <formula>"Catastrófico"</formula>
    </cfRule>
    <cfRule type="cellIs" dxfId="182" priority="343" operator="equal">
      <formula>"Mayor"</formula>
    </cfRule>
    <cfRule type="cellIs" dxfId="181" priority="344" operator="equal">
      <formula>"Moderado"</formula>
    </cfRule>
    <cfRule type="cellIs" dxfId="180" priority="345" operator="equal">
      <formula>"Menor"</formula>
    </cfRule>
    <cfRule type="cellIs" dxfId="179" priority="346" operator="equal">
      <formula>"Leve"</formula>
    </cfRule>
  </conditionalFormatting>
  <conditionalFormatting sqref="AE10">
    <cfRule type="cellIs" dxfId="178" priority="338" operator="equal">
      <formula>"Extremo"</formula>
    </cfRule>
    <cfRule type="cellIs" dxfId="177" priority="339" operator="equal">
      <formula>"Alto"</formula>
    </cfRule>
    <cfRule type="cellIs" dxfId="176" priority="340" operator="equal">
      <formula>"Moderado"</formula>
    </cfRule>
    <cfRule type="cellIs" dxfId="175" priority="341" operator="equal">
      <formula>"Bajo"</formula>
    </cfRule>
  </conditionalFormatting>
  <conditionalFormatting sqref="P16 P22 P28 P34 P40 P46 P52 P58 P64">
    <cfRule type="cellIs" dxfId="174" priority="282" operator="equal">
      <formula>"Extremo"</formula>
    </cfRule>
    <cfRule type="cellIs" dxfId="173" priority="283" operator="equal">
      <formula>"Alto"</formula>
    </cfRule>
    <cfRule type="cellIs" dxfId="172" priority="284" operator="equal">
      <formula>"Moderado"</formula>
    </cfRule>
    <cfRule type="cellIs" dxfId="171" priority="285" operator="equal">
      <formula>"Bajo"</formula>
    </cfRule>
  </conditionalFormatting>
  <conditionalFormatting sqref="AA22:AA27">
    <cfRule type="cellIs" dxfId="170" priority="249" operator="equal">
      <formula>"Muy Alta"</formula>
    </cfRule>
    <cfRule type="cellIs" dxfId="169" priority="250" operator="equal">
      <formula>"Alta"</formula>
    </cfRule>
    <cfRule type="cellIs" dxfId="168" priority="251" operator="equal">
      <formula>"Media"</formula>
    </cfRule>
    <cfRule type="cellIs" dxfId="167" priority="252" operator="equal">
      <formula>"Baja"</formula>
    </cfRule>
    <cfRule type="cellIs" dxfId="166" priority="253" operator="equal">
      <formula>"Muy Baja"</formula>
    </cfRule>
  </conditionalFormatting>
  <conditionalFormatting sqref="AC22:AC27">
    <cfRule type="cellIs" dxfId="165" priority="244" operator="equal">
      <formula>"Catastrófico"</formula>
    </cfRule>
    <cfRule type="cellIs" dxfId="164" priority="245" operator="equal">
      <formula>"Mayor"</formula>
    </cfRule>
    <cfRule type="cellIs" dxfId="163" priority="246" operator="equal">
      <formula>"Moderado"</formula>
    </cfRule>
    <cfRule type="cellIs" dxfId="162" priority="247" operator="equal">
      <formula>"Menor"</formula>
    </cfRule>
    <cfRule type="cellIs" dxfId="161" priority="248" operator="equal">
      <formula>"Leve"</formula>
    </cfRule>
  </conditionalFormatting>
  <conditionalFormatting sqref="AE22:AE27">
    <cfRule type="cellIs" dxfId="160" priority="240" operator="equal">
      <formula>"Extremo"</formula>
    </cfRule>
    <cfRule type="cellIs" dxfId="159" priority="241" operator="equal">
      <formula>"Alto"</formula>
    </cfRule>
    <cfRule type="cellIs" dxfId="158" priority="242" operator="equal">
      <formula>"Moderado"</formula>
    </cfRule>
    <cfRule type="cellIs" dxfId="157" priority="243" operator="equal">
      <formula>"Bajo"</formula>
    </cfRule>
  </conditionalFormatting>
  <conditionalFormatting sqref="AA28:AA33">
    <cfRule type="cellIs" dxfId="156" priority="221" operator="equal">
      <formula>"Muy Alta"</formula>
    </cfRule>
    <cfRule type="cellIs" dxfId="155" priority="222" operator="equal">
      <formula>"Alta"</formula>
    </cfRule>
    <cfRule type="cellIs" dxfId="154" priority="223" operator="equal">
      <formula>"Media"</formula>
    </cfRule>
    <cfRule type="cellIs" dxfId="153" priority="224" operator="equal">
      <formula>"Baja"</formula>
    </cfRule>
    <cfRule type="cellIs" dxfId="152" priority="225" operator="equal">
      <formula>"Muy Baja"</formula>
    </cfRule>
  </conditionalFormatting>
  <conditionalFormatting sqref="AC28:AC33">
    <cfRule type="cellIs" dxfId="151" priority="216" operator="equal">
      <formula>"Catastrófico"</formula>
    </cfRule>
    <cfRule type="cellIs" dxfId="150" priority="217" operator="equal">
      <formula>"Mayor"</formula>
    </cfRule>
    <cfRule type="cellIs" dxfId="149" priority="218" operator="equal">
      <formula>"Moderado"</formula>
    </cfRule>
    <cfRule type="cellIs" dxfId="148" priority="219" operator="equal">
      <formula>"Menor"</formula>
    </cfRule>
    <cfRule type="cellIs" dxfId="147" priority="220" operator="equal">
      <formula>"Leve"</formula>
    </cfRule>
  </conditionalFormatting>
  <conditionalFormatting sqref="AE28:AE33">
    <cfRule type="cellIs" dxfId="146" priority="212" operator="equal">
      <formula>"Extremo"</formula>
    </cfRule>
    <cfRule type="cellIs" dxfId="145" priority="213" operator="equal">
      <formula>"Alto"</formula>
    </cfRule>
    <cfRule type="cellIs" dxfId="144" priority="214" operator="equal">
      <formula>"Moderado"</formula>
    </cfRule>
    <cfRule type="cellIs" dxfId="143" priority="215" operator="equal">
      <formula>"Bajo"</formula>
    </cfRule>
  </conditionalFormatting>
  <conditionalFormatting sqref="AA34:AA39">
    <cfRule type="cellIs" dxfId="142" priority="193" operator="equal">
      <formula>"Muy Alta"</formula>
    </cfRule>
    <cfRule type="cellIs" dxfId="141" priority="194" operator="equal">
      <formula>"Alta"</formula>
    </cfRule>
    <cfRule type="cellIs" dxfId="140" priority="195" operator="equal">
      <formula>"Media"</formula>
    </cfRule>
    <cfRule type="cellIs" dxfId="139" priority="196" operator="equal">
      <formula>"Baja"</formula>
    </cfRule>
    <cfRule type="cellIs" dxfId="138" priority="197" operator="equal">
      <formula>"Muy Baja"</formula>
    </cfRule>
  </conditionalFormatting>
  <conditionalFormatting sqref="AC34:AC39">
    <cfRule type="cellIs" dxfId="137" priority="188" operator="equal">
      <formula>"Catastrófico"</formula>
    </cfRule>
    <cfRule type="cellIs" dxfId="136" priority="189" operator="equal">
      <formula>"Mayor"</formula>
    </cfRule>
    <cfRule type="cellIs" dxfId="135" priority="190" operator="equal">
      <formula>"Moderado"</formula>
    </cfRule>
    <cfRule type="cellIs" dxfId="134" priority="191" operator="equal">
      <formula>"Menor"</formula>
    </cfRule>
    <cfRule type="cellIs" dxfId="133" priority="192" operator="equal">
      <formula>"Leve"</formula>
    </cfRule>
  </conditionalFormatting>
  <conditionalFormatting sqref="AE34:AE39">
    <cfRule type="cellIs" dxfId="132" priority="184" operator="equal">
      <formula>"Extremo"</formula>
    </cfRule>
    <cfRule type="cellIs" dxfId="131" priority="185" operator="equal">
      <formula>"Alto"</formula>
    </cfRule>
    <cfRule type="cellIs" dxfId="130" priority="186" operator="equal">
      <formula>"Moderado"</formula>
    </cfRule>
    <cfRule type="cellIs" dxfId="129" priority="187" operator="equal">
      <formula>"Bajo"</formula>
    </cfRule>
  </conditionalFormatting>
  <conditionalFormatting sqref="AA40:AA45">
    <cfRule type="cellIs" dxfId="128" priority="165" operator="equal">
      <formula>"Muy Alta"</formula>
    </cfRule>
    <cfRule type="cellIs" dxfId="127" priority="166" operator="equal">
      <formula>"Alta"</formula>
    </cfRule>
    <cfRule type="cellIs" dxfId="126" priority="167" operator="equal">
      <formula>"Media"</formula>
    </cfRule>
    <cfRule type="cellIs" dxfId="125" priority="168" operator="equal">
      <formula>"Baja"</formula>
    </cfRule>
    <cfRule type="cellIs" dxfId="124" priority="169" operator="equal">
      <formula>"Muy Baja"</formula>
    </cfRule>
  </conditionalFormatting>
  <conditionalFormatting sqref="AC40:AC45">
    <cfRule type="cellIs" dxfId="123" priority="160" operator="equal">
      <formula>"Catastrófico"</formula>
    </cfRule>
    <cfRule type="cellIs" dxfId="122" priority="161" operator="equal">
      <formula>"Mayor"</formula>
    </cfRule>
    <cfRule type="cellIs" dxfId="121" priority="162" operator="equal">
      <formula>"Moderado"</formula>
    </cfRule>
    <cfRule type="cellIs" dxfId="120" priority="163" operator="equal">
      <formula>"Menor"</formula>
    </cfRule>
    <cfRule type="cellIs" dxfId="119" priority="164" operator="equal">
      <formula>"Leve"</formula>
    </cfRule>
  </conditionalFormatting>
  <conditionalFormatting sqref="AE40:AE45">
    <cfRule type="cellIs" dxfId="118" priority="156" operator="equal">
      <formula>"Extremo"</formula>
    </cfRule>
    <cfRule type="cellIs" dxfId="117" priority="157" operator="equal">
      <formula>"Alto"</formula>
    </cfRule>
    <cfRule type="cellIs" dxfId="116" priority="158" operator="equal">
      <formula>"Moderado"</formula>
    </cfRule>
    <cfRule type="cellIs" dxfId="115" priority="159" operator="equal">
      <formula>"Bajo"</formula>
    </cfRule>
  </conditionalFormatting>
  <conditionalFormatting sqref="AA46:AA51">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AC46:AC51">
    <cfRule type="cellIs" dxfId="109" priority="132" operator="equal">
      <formula>"Catastrófico"</formula>
    </cfRule>
    <cfRule type="cellIs" dxfId="108" priority="133" operator="equal">
      <formula>"Mayor"</formula>
    </cfRule>
    <cfRule type="cellIs" dxfId="107" priority="134" operator="equal">
      <formula>"Moderado"</formula>
    </cfRule>
    <cfRule type="cellIs" dxfId="106" priority="135" operator="equal">
      <formula>"Menor"</formula>
    </cfRule>
    <cfRule type="cellIs" dxfId="105" priority="136" operator="equal">
      <formula>"Leve"</formula>
    </cfRule>
  </conditionalFormatting>
  <conditionalFormatting sqref="AE46:AE51">
    <cfRule type="cellIs" dxfId="104" priority="128" operator="equal">
      <formula>"Extremo"</formula>
    </cfRule>
    <cfRule type="cellIs" dxfId="103" priority="129" operator="equal">
      <formula>"Alto"</formula>
    </cfRule>
    <cfRule type="cellIs" dxfId="102" priority="130" operator="equal">
      <formula>"Moderado"</formula>
    </cfRule>
    <cfRule type="cellIs" dxfId="101" priority="131" operator="equal">
      <formula>"Bajo"</formula>
    </cfRule>
  </conditionalFormatting>
  <conditionalFormatting sqref="AA52:AA57">
    <cfRule type="cellIs" dxfId="100" priority="109" operator="equal">
      <formula>"Muy Alta"</formula>
    </cfRule>
    <cfRule type="cellIs" dxfId="99" priority="110" operator="equal">
      <formula>"Alta"</formula>
    </cfRule>
    <cfRule type="cellIs" dxfId="98" priority="111" operator="equal">
      <formula>"Media"</formula>
    </cfRule>
    <cfRule type="cellIs" dxfId="97" priority="112" operator="equal">
      <formula>"Baja"</formula>
    </cfRule>
    <cfRule type="cellIs" dxfId="96" priority="113" operator="equal">
      <formula>"Muy Baja"</formula>
    </cfRule>
  </conditionalFormatting>
  <conditionalFormatting sqref="AC52:AC57">
    <cfRule type="cellIs" dxfId="95" priority="104" operator="equal">
      <formula>"Catastrófico"</formula>
    </cfRule>
    <cfRule type="cellIs" dxfId="94" priority="105" operator="equal">
      <formula>"Mayor"</formula>
    </cfRule>
    <cfRule type="cellIs" dxfId="93" priority="106" operator="equal">
      <formula>"Moderado"</formula>
    </cfRule>
    <cfRule type="cellIs" dxfId="92" priority="107" operator="equal">
      <formula>"Menor"</formula>
    </cfRule>
    <cfRule type="cellIs" dxfId="91" priority="108" operator="equal">
      <formula>"Leve"</formula>
    </cfRule>
  </conditionalFormatting>
  <conditionalFormatting sqref="AE52:AE57">
    <cfRule type="cellIs" dxfId="90" priority="100" operator="equal">
      <formula>"Extremo"</formula>
    </cfRule>
    <cfRule type="cellIs" dxfId="89" priority="101" operator="equal">
      <formula>"Alto"</formula>
    </cfRule>
    <cfRule type="cellIs" dxfId="88" priority="102" operator="equal">
      <formula>"Moderado"</formula>
    </cfRule>
    <cfRule type="cellIs" dxfId="87" priority="103" operator="equal">
      <formula>"Bajo"</formula>
    </cfRule>
  </conditionalFormatting>
  <conditionalFormatting sqref="AA58:AA63">
    <cfRule type="cellIs" dxfId="86" priority="81" operator="equal">
      <formula>"Muy Alta"</formula>
    </cfRule>
    <cfRule type="cellIs" dxfId="85" priority="82" operator="equal">
      <formula>"Alta"</formula>
    </cfRule>
    <cfRule type="cellIs" dxfId="84" priority="83" operator="equal">
      <formula>"Media"</formula>
    </cfRule>
    <cfRule type="cellIs" dxfId="83" priority="84" operator="equal">
      <formula>"Baja"</formula>
    </cfRule>
    <cfRule type="cellIs" dxfId="82" priority="85" operator="equal">
      <formula>"Muy Baja"</formula>
    </cfRule>
  </conditionalFormatting>
  <conditionalFormatting sqref="AC58:AC63">
    <cfRule type="cellIs" dxfId="81" priority="76" operator="equal">
      <formula>"Catastrófico"</formula>
    </cfRule>
    <cfRule type="cellIs" dxfId="80" priority="77" operator="equal">
      <formula>"Mayor"</formula>
    </cfRule>
    <cfRule type="cellIs" dxfId="79" priority="78" operator="equal">
      <formula>"Moderado"</formula>
    </cfRule>
    <cfRule type="cellIs" dxfId="78" priority="79" operator="equal">
      <formula>"Menor"</formula>
    </cfRule>
    <cfRule type="cellIs" dxfId="77" priority="80" operator="equal">
      <formula>"Leve"</formula>
    </cfRule>
  </conditionalFormatting>
  <conditionalFormatting sqref="AE58:AE63">
    <cfRule type="cellIs" dxfId="76" priority="72" operator="equal">
      <formula>"Extremo"</formula>
    </cfRule>
    <cfRule type="cellIs" dxfId="75" priority="73" operator="equal">
      <formula>"Alto"</formula>
    </cfRule>
    <cfRule type="cellIs" dxfId="74" priority="74" operator="equal">
      <formula>"Moderado"</formula>
    </cfRule>
    <cfRule type="cellIs" dxfId="73" priority="75" operator="equal">
      <formula>"Bajo"</formula>
    </cfRule>
  </conditionalFormatting>
  <conditionalFormatting sqref="AA64:AA69">
    <cfRule type="cellIs" dxfId="72" priority="53" operator="equal">
      <formula>"Muy Alta"</formula>
    </cfRule>
    <cfRule type="cellIs" dxfId="71" priority="54" operator="equal">
      <formula>"Alta"</formula>
    </cfRule>
    <cfRule type="cellIs" dxfId="70" priority="55" operator="equal">
      <formula>"Media"</formula>
    </cfRule>
    <cfRule type="cellIs" dxfId="69" priority="56" operator="equal">
      <formula>"Baja"</formula>
    </cfRule>
    <cfRule type="cellIs" dxfId="68" priority="57" operator="equal">
      <formula>"Muy Baja"</formula>
    </cfRule>
  </conditionalFormatting>
  <conditionalFormatting sqref="AC64:AC69">
    <cfRule type="cellIs" dxfId="67" priority="48" operator="equal">
      <formula>"Catastrófico"</formula>
    </cfRule>
    <cfRule type="cellIs" dxfId="66" priority="49" operator="equal">
      <formula>"Mayor"</formula>
    </cfRule>
    <cfRule type="cellIs" dxfId="65" priority="50" operator="equal">
      <formula>"Moderado"</formula>
    </cfRule>
    <cfRule type="cellIs" dxfId="64" priority="51" operator="equal">
      <formula>"Menor"</formula>
    </cfRule>
    <cfRule type="cellIs" dxfId="63" priority="52" operator="equal">
      <formula>"Leve"</formula>
    </cfRule>
  </conditionalFormatting>
  <conditionalFormatting sqref="AE64:AE69">
    <cfRule type="cellIs" dxfId="62" priority="44" operator="equal">
      <formula>"Extremo"</formula>
    </cfRule>
    <cfRule type="cellIs" dxfId="61" priority="45" operator="equal">
      <formula>"Alto"</formula>
    </cfRule>
    <cfRule type="cellIs" dxfId="60" priority="46" operator="equal">
      <formula>"Moderado"</formula>
    </cfRule>
    <cfRule type="cellIs" dxfId="59" priority="47" operator="equal">
      <formula>"Bajo"</formula>
    </cfRule>
  </conditionalFormatting>
  <conditionalFormatting sqref="M10:M69">
    <cfRule type="containsText" dxfId="58" priority="43" operator="containsText" text="❌">
      <formula>NOT(ISERROR(SEARCH("❌",M10)))</formula>
    </cfRule>
  </conditionalFormatting>
  <conditionalFormatting sqref="AA11:AA15">
    <cfRule type="cellIs" dxfId="57" priority="38" operator="equal">
      <formula>"Muy Alta"</formula>
    </cfRule>
    <cfRule type="cellIs" dxfId="56" priority="39" operator="equal">
      <formula>"Alta"</formula>
    </cfRule>
    <cfRule type="cellIs" dxfId="55" priority="40" operator="equal">
      <formula>"Media"</formula>
    </cfRule>
    <cfRule type="cellIs" dxfId="54" priority="41" operator="equal">
      <formula>"Baja"</formula>
    </cfRule>
    <cfRule type="cellIs" dxfId="53" priority="42" operator="equal">
      <formula>"Muy Baja"</formula>
    </cfRule>
  </conditionalFormatting>
  <conditionalFormatting sqref="AC11:AC15">
    <cfRule type="cellIs" dxfId="52" priority="33" operator="equal">
      <formula>"Catastrófico"</formula>
    </cfRule>
    <cfRule type="cellIs" dxfId="51" priority="34" operator="equal">
      <formula>"Mayor"</formula>
    </cfRule>
    <cfRule type="cellIs" dxfId="50" priority="35" operator="equal">
      <formula>"Moderado"</formula>
    </cfRule>
    <cfRule type="cellIs" dxfId="49" priority="36" operator="equal">
      <formula>"Menor"</formula>
    </cfRule>
    <cfRule type="cellIs" dxfId="48" priority="37" operator="equal">
      <formula>"Leve"</formula>
    </cfRule>
  </conditionalFormatting>
  <conditionalFormatting sqref="AE11:AE15">
    <cfRule type="cellIs" dxfId="47" priority="29" operator="equal">
      <formula>"Extremo"</formula>
    </cfRule>
    <cfRule type="cellIs" dxfId="46" priority="30" operator="equal">
      <formula>"Alto"</formula>
    </cfRule>
    <cfRule type="cellIs" dxfId="45" priority="31" operator="equal">
      <formula>"Moderado"</formula>
    </cfRule>
    <cfRule type="cellIs" dxfId="44" priority="32" operator="equal">
      <formula>"Bajo"</formula>
    </cfRule>
  </conditionalFormatting>
  <conditionalFormatting sqref="AA16">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16">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16">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17:AA21">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17:AC21">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17:AE21">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T10:T13 T22:T69 T16:T19</xm:sqref>
        </x14:dataValidation>
        <x14:dataValidation type="list" allowBlank="1" showInputMessage="1" showErrorMessage="1">
          <x14:formula1>
            <xm:f>'Tabla Valoración controles'!$D$7:$D$8</xm:f>
          </x14:formula1>
          <xm:sqref>U10:U13 U22:U69 U16:U19</xm:sqref>
        </x14:dataValidation>
        <x14:dataValidation type="list" allowBlank="1" showInputMessage="1" showErrorMessage="1">
          <x14:formula1>
            <xm:f>'Tabla Valoración controles'!$D$9:$D$10</xm:f>
          </x14:formula1>
          <xm:sqref>W10:W12 W22:W69 W16:W19</xm:sqref>
        </x14:dataValidation>
        <x14:dataValidation type="list" allowBlank="1" showInputMessage="1" showErrorMessage="1">
          <x14:formula1>
            <xm:f>'Tabla Valoración controles'!$D$11:$D$12</xm:f>
          </x14:formula1>
          <xm:sqref>X10:X12 X22:X69 X16:X19</xm:sqref>
        </x14:dataValidation>
        <x14:dataValidation type="list" allowBlank="1" showInputMessage="1" showErrorMessage="1">
          <x14:formula1>
            <xm:f>'Opciones Tratamiento'!$B$9:$B$10</xm:f>
          </x14:formula1>
          <xm:sqref>AL10:AL14 AL16:AL20 AL22:AL23 AL25:AL26 AL28:AL29 AL31:AL32 AL34:AL35 AL37:AL38 AL40:AL41 AL43:AL44 AL46:AL47 AL49:AL50 AL52:AL53 AL55:AL56 AL58:AL59 AL61:AL62 AL64:AL65 AL67:AL68</xm:sqref>
        </x14:dataValidation>
        <x14:dataValidation type="list" allowBlank="1" showInputMessage="1" showErrorMessage="1">
          <x14:formula1>
            <xm:f>'Tabla Valoración controles'!$D$13:$D$14</xm:f>
          </x14:formula1>
          <xm:sqref>Y10:Y12 Y22:Y69 Y16:Y19</xm:sqref>
        </x14:dataValidation>
        <x14:dataValidation type="list" allowBlank="1" showInputMessage="1" showErrorMessage="1">
          <x14:formula1>
            <xm:f>'Opciones Tratamiento'!$B$13:$B$19</xm:f>
          </x14:formula1>
          <xm:sqref>H10:H69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AF10:AF69</xm:sqref>
        </x14:dataValidation>
        <x14:dataValidation type="list" allowBlank="1" showInputMessage="1" showErrorMessage="1">
          <x14:formula1>
            <xm:f>'Tabla Impacto'!$F$210:$F$221</xm:f>
          </x14:formula1>
          <xm:sqref>L10:L69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AG10:AG69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AI10:AI69 AJ10:AJ11 AK10 AJ16:AK17 AJ22:AK23</xm:sqref>
        </x14:dataValidation>
        <x14:dataValidation type="custom" allowBlank="1" showInputMessage="1" showErrorMessage="1" error="Recuerde que las acciones se generan bajo la medida de mitigar el riesgo">
          <x14:formula1>
            <xm:f>IF(OR(AF12='Opciones Tratamiento'!$B$2,AF12='Opciones Tratamiento'!$B$3,AF12='Opciones Tratamiento'!$B$4),ISBLANK(AF12),ISTEXT(AF12))</xm:f>
          </x14:formula1>
          <xm:sqref>AJ12:AJ15 AJ18:AJ21 AJ24:AJ69</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AK11:AK15 AK18:AK21 AK24:AK69</xm:sqref>
        </x14:dataValidation>
        <x14:dataValidation type="list" allowBlank="1" showInputMessage="1" showErrorMessage="1">
          <x14:formula1>
            <xm:f>'[1]Tabla Valoración controles'!#REF!</xm:f>
          </x14:formula1>
          <xm:sqref>T20:U21 W13:Y15 W20:Y21 T14:U15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10" zoomScale="70" zoomScaleNormal="70" workbookViewId="0">
      <selection activeCell="AJ6" sqref="AJ6:AK7"/>
    </sheetView>
  </sheetViews>
  <sheetFormatPr baseColWidth="10" defaultRowHeight="15" x14ac:dyDescent="0.25"/>
  <cols>
    <col min="2" max="39" width="5.7109375" customWidth="1"/>
    <col min="41" max="46" width="5.7109375" customWidth="1"/>
  </cols>
  <sheetData>
    <row r="1" spans="1:99"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row>
    <row r="2" spans="1:99" ht="18" customHeight="1" x14ac:dyDescent="0.25">
      <c r="A2" s="68"/>
      <c r="B2" s="312" t="s">
        <v>149</v>
      </c>
      <c r="C2" s="312"/>
      <c r="D2" s="312"/>
      <c r="E2" s="312"/>
      <c r="F2" s="312"/>
      <c r="G2" s="312"/>
      <c r="H2" s="312"/>
      <c r="I2" s="312"/>
      <c r="J2" s="350" t="s">
        <v>2</v>
      </c>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row>
    <row r="3" spans="1:99" ht="18.75" customHeight="1" x14ac:dyDescent="0.25">
      <c r="A3" s="68"/>
      <c r="B3" s="312"/>
      <c r="C3" s="312"/>
      <c r="D3" s="312"/>
      <c r="E3" s="312"/>
      <c r="F3" s="312"/>
      <c r="G3" s="312"/>
      <c r="H3" s="312"/>
      <c r="I3" s="312"/>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row>
    <row r="4" spans="1:99" ht="15" customHeight="1" x14ac:dyDescent="0.25">
      <c r="A4" s="68"/>
      <c r="B4" s="312"/>
      <c r="C4" s="312"/>
      <c r="D4" s="312"/>
      <c r="E4" s="312"/>
      <c r="F4" s="312"/>
      <c r="G4" s="312"/>
      <c r="H4" s="312"/>
      <c r="I4" s="312"/>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row>
    <row r="5" spans="1:99"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row>
    <row r="6" spans="1:99" ht="15" customHeight="1" x14ac:dyDescent="0.25">
      <c r="A6" s="68"/>
      <c r="B6" s="362" t="s">
        <v>4</v>
      </c>
      <c r="C6" s="362"/>
      <c r="D6" s="363"/>
      <c r="E6" s="351" t="s">
        <v>110</v>
      </c>
      <c r="F6" s="352"/>
      <c r="G6" s="352"/>
      <c r="H6" s="352"/>
      <c r="I6" s="353"/>
      <c r="J6" s="347" t="str">
        <f ca="1">IF(AND('Mapa final'!$J$10="Muy Alta",'Mapa final'!$N$10="Leve"),CONCATENATE("R",'Mapa final'!$A$10),"")</f>
        <v/>
      </c>
      <c r="K6" s="348"/>
      <c r="L6" s="348" t="str">
        <f ca="1">IF(AND('Mapa final'!$J$16="Muy Alta",'Mapa final'!$N$16="Leve"),CONCATENATE("R",'Mapa final'!$A$16),"")</f>
        <v/>
      </c>
      <c r="M6" s="348"/>
      <c r="N6" s="348" t="str">
        <f ca="1">IF(AND('Mapa final'!$J$22="Muy Alta",'Mapa final'!$N$22="Leve"),CONCATENATE("R",'Mapa final'!$A$22),"")</f>
        <v/>
      </c>
      <c r="O6" s="349"/>
      <c r="P6" s="347" t="str">
        <f ca="1">IF(AND('Mapa final'!$J$10="Muy Alta",'Mapa final'!$N$10="Menor"),CONCATENATE("R",'Mapa final'!$A$10),"")</f>
        <v/>
      </c>
      <c r="Q6" s="348"/>
      <c r="R6" s="348" t="str">
        <f ca="1">IF(AND('Mapa final'!$J$16="Muy Alta",'Mapa final'!$N$16="Menor"),CONCATENATE("R",'Mapa final'!$A$16),"")</f>
        <v/>
      </c>
      <c r="S6" s="348"/>
      <c r="T6" s="348" t="str">
        <f ca="1">IF(AND('Mapa final'!$J$22="Muy Alta",'Mapa final'!$N$22="Menor"),CONCATENATE("R",'Mapa final'!$A$22),"")</f>
        <v/>
      </c>
      <c r="U6" s="349"/>
      <c r="V6" s="347" t="str">
        <f ca="1">IF(AND('Mapa final'!$J$10="Muy Alta",'Mapa final'!$N$10="Moderado"),CONCATENATE("R",'Mapa final'!$A$10),"")</f>
        <v/>
      </c>
      <c r="W6" s="348"/>
      <c r="X6" s="348" t="str">
        <f ca="1">IF(AND('Mapa final'!$J$16="Muy Alta",'Mapa final'!$N$16="Moderado"),CONCATENATE("R",'Mapa final'!$A$16),"")</f>
        <v/>
      </c>
      <c r="Y6" s="348"/>
      <c r="Z6" s="348" t="str">
        <f ca="1">IF(AND('Mapa final'!$J$22="Muy Alta",'Mapa final'!$N$22="Moderado"),CONCATENATE("R",'Mapa final'!$A$22),"")</f>
        <v/>
      </c>
      <c r="AA6" s="349"/>
      <c r="AB6" s="347" t="str">
        <f ca="1">IF(AND('Mapa final'!$J$10="Muy Alta",'Mapa final'!$N$10="Mayor"),CONCATENATE("R",'Mapa final'!$A$10),"")</f>
        <v/>
      </c>
      <c r="AC6" s="348"/>
      <c r="AD6" s="348" t="str">
        <f ca="1">IF(AND('Mapa final'!$J$16="Muy Alta",'Mapa final'!$N$16="Mayor"),CONCATENATE("R",'Mapa final'!$A$16),"")</f>
        <v/>
      </c>
      <c r="AE6" s="348"/>
      <c r="AF6" s="348" t="str">
        <f ca="1">IF(AND('Mapa final'!$J$22="Muy Alta",'Mapa final'!$N$22="Mayor"),CONCATENATE("R",'Mapa final'!$A$22),"")</f>
        <v/>
      </c>
      <c r="AG6" s="349"/>
      <c r="AH6" s="337" t="str">
        <f ca="1">IF(AND('Mapa final'!$J$10="Muy Alta",'Mapa final'!$N$10="Catastrófico"),CONCATENATE("R",'Mapa final'!$A$10),"")</f>
        <v/>
      </c>
      <c r="AI6" s="338"/>
      <c r="AJ6" s="338" t="str">
        <f ca="1">IF(AND('Mapa final'!$J$16="Muy Alta",'Mapa final'!$N$16="Catastrófico"),CONCATENATE("R",'Mapa final'!$A$16),"")</f>
        <v>R2</v>
      </c>
      <c r="AK6" s="338"/>
      <c r="AL6" s="338" t="str">
        <f ca="1">IF(AND('Mapa final'!$J$22="Muy Alta",'Mapa final'!$N$22="Catastrófico"),CONCATENATE("R",'Mapa final'!$A$22),"")</f>
        <v>R3</v>
      </c>
      <c r="AM6" s="339"/>
      <c r="AO6" s="364" t="s">
        <v>77</v>
      </c>
      <c r="AP6" s="365"/>
      <c r="AQ6" s="365"/>
      <c r="AR6" s="365"/>
      <c r="AS6" s="365"/>
      <c r="AT6" s="366"/>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row>
    <row r="7" spans="1:99" ht="15" customHeight="1" x14ac:dyDescent="0.25">
      <c r="A7" s="68"/>
      <c r="B7" s="362"/>
      <c r="C7" s="362"/>
      <c r="D7" s="363"/>
      <c r="E7" s="354"/>
      <c r="F7" s="355"/>
      <c r="G7" s="355"/>
      <c r="H7" s="355"/>
      <c r="I7" s="356"/>
      <c r="J7" s="340"/>
      <c r="K7" s="341"/>
      <c r="L7" s="341"/>
      <c r="M7" s="341"/>
      <c r="N7" s="341"/>
      <c r="O7" s="343"/>
      <c r="P7" s="340"/>
      <c r="Q7" s="341"/>
      <c r="R7" s="341"/>
      <c r="S7" s="341"/>
      <c r="T7" s="341"/>
      <c r="U7" s="343"/>
      <c r="V7" s="340"/>
      <c r="W7" s="341"/>
      <c r="X7" s="341"/>
      <c r="Y7" s="341"/>
      <c r="Z7" s="341"/>
      <c r="AA7" s="343"/>
      <c r="AB7" s="340"/>
      <c r="AC7" s="341"/>
      <c r="AD7" s="341"/>
      <c r="AE7" s="341"/>
      <c r="AF7" s="341"/>
      <c r="AG7" s="343"/>
      <c r="AH7" s="331"/>
      <c r="AI7" s="332"/>
      <c r="AJ7" s="332"/>
      <c r="AK7" s="332"/>
      <c r="AL7" s="332"/>
      <c r="AM7" s="333"/>
      <c r="AN7" s="68"/>
      <c r="AO7" s="367"/>
      <c r="AP7" s="368"/>
      <c r="AQ7" s="368"/>
      <c r="AR7" s="368"/>
      <c r="AS7" s="368"/>
      <c r="AT7" s="369"/>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row>
    <row r="8" spans="1:99" ht="15" customHeight="1" x14ac:dyDescent="0.25">
      <c r="A8" s="68"/>
      <c r="B8" s="362"/>
      <c r="C8" s="362"/>
      <c r="D8" s="363"/>
      <c r="E8" s="354"/>
      <c r="F8" s="355"/>
      <c r="G8" s="355"/>
      <c r="H8" s="355"/>
      <c r="I8" s="356"/>
      <c r="J8" s="340" t="str">
        <f ca="1">IF(AND('Mapa final'!$J$28="Muy Alta",'Mapa final'!$N$28="Leve"),CONCATENATE("R",'Mapa final'!$A$28),"")</f>
        <v/>
      </c>
      <c r="K8" s="341"/>
      <c r="L8" s="342" t="str">
        <f ca="1">IF(AND('Mapa final'!$J$34="Muy Alta",'Mapa final'!$N$34="Leve"),CONCATENATE("R",'Mapa final'!$A$34),"")</f>
        <v/>
      </c>
      <c r="M8" s="342"/>
      <c r="N8" s="342" t="str">
        <f ca="1">IF(AND('Mapa final'!$J$40="Muy Alta",'Mapa final'!$N$40="Leve"),CONCATENATE("R",'Mapa final'!$A$40),"")</f>
        <v/>
      </c>
      <c r="O8" s="343"/>
      <c r="P8" s="340" t="str">
        <f ca="1">IF(AND('Mapa final'!$J$28="Muy Alta",'Mapa final'!$N$28="Menor"),CONCATENATE("R",'Mapa final'!$A$28),"")</f>
        <v/>
      </c>
      <c r="Q8" s="341"/>
      <c r="R8" s="342" t="str">
        <f ca="1">IF(AND('Mapa final'!$J$34="Muy Alta",'Mapa final'!$N$34="Menor"),CONCATENATE("R",'Mapa final'!$A$34),"")</f>
        <v/>
      </c>
      <c r="S8" s="342"/>
      <c r="T8" s="342" t="str">
        <f ca="1">IF(AND('Mapa final'!$J$40="Muy Alta",'Mapa final'!$N$40="Menor"),CONCATENATE("R",'Mapa final'!$A$40),"")</f>
        <v/>
      </c>
      <c r="U8" s="343"/>
      <c r="V8" s="340" t="str">
        <f ca="1">IF(AND('Mapa final'!$J$28="Muy Alta",'Mapa final'!$N$28="Moderado"),CONCATENATE("R",'Mapa final'!$A$28),"")</f>
        <v/>
      </c>
      <c r="W8" s="341"/>
      <c r="X8" s="342" t="str">
        <f ca="1">IF(AND('Mapa final'!$J$34="Muy Alta",'Mapa final'!$N$34="Moderado"),CONCATENATE("R",'Mapa final'!$A$34),"")</f>
        <v/>
      </c>
      <c r="Y8" s="342"/>
      <c r="Z8" s="342" t="str">
        <f ca="1">IF(AND('Mapa final'!$J$40="Muy Alta",'Mapa final'!$N$40="Moderado"),CONCATENATE("R",'Mapa final'!$A$40),"")</f>
        <v/>
      </c>
      <c r="AA8" s="343"/>
      <c r="AB8" s="340" t="str">
        <f ca="1">IF(AND('Mapa final'!$J$28="Muy Alta",'Mapa final'!$N$28="Mayor"),CONCATENATE("R",'Mapa final'!$A$28),"")</f>
        <v/>
      </c>
      <c r="AC8" s="341"/>
      <c r="AD8" s="342" t="str">
        <f ca="1">IF(AND('Mapa final'!$J$34="Muy Alta",'Mapa final'!$N$34="Mayor"),CONCATENATE("R",'Mapa final'!$A$34),"")</f>
        <v/>
      </c>
      <c r="AE8" s="342"/>
      <c r="AF8" s="342" t="str">
        <f ca="1">IF(AND('Mapa final'!$J$40="Muy Alta",'Mapa final'!$N$40="Mayor"),CONCATENATE("R",'Mapa final'!$A$40),"")</f>
        <v/>
      </c>
      <c r="AG8" s="343"/>
      <c r="AH8" s="331" t="str">
        <f ca="1">IF(AND('Mapa final'!$J$28="Muy Alta",'Mapa final'!$N$28="Catastrófico"),CONCATENATE("R",'Mapa final'!$A$28),"")</f>
        <v/>
      </c>
      <c r="AI8" s="332"/>
      <c r="AJ8" s="332" t="str">
        <f ca="1">IF(AND('Mapa final'!$J$34="Muy Alta",'Mapa final'!$N$34="Catastrófico"),CONCATENATE("R",'Mapa final'!$A$34),"")</f>
        <v/>
      </c>
      <c r="AK8" s="332"/>
      <c r="AL8" s="332" t="str">
        <f ca="1">IF(AND('Mapa final'!$J$40="Muy Alta",'Mapa final'!$N$40="Catastrófico"),CONCATENATE("R",'Mapa final'!$A$40),"")</f>
        <v/>
      </c>
      <c r="AM8" s="333"/>
      <c r="AN8" s="68"/>
      <c r="AO8" s="367"/>
      <c r="AP8" s="368"/>
      <c r="AQ8" s="368"/>
      <c r="AR8" s="368"/>
      <c r="AS8" s="368"/>
      <c r="AT8" s="369"/>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row>
    <row r="9" spans="1:99" ht="15" customHeight="1" x14ac:dyDescent="0.25">
      <c r="A9" s="68"/>
      <c r="B9" s="362"/>
      <c r="C9" s="362"/>
      <c r="D9" s="363"/>
      <c r="E9" s="354"/>
      <c r="F9" s="355"/>
      <c r="G9" s="355"/>
      <c r="H9" s="355"/>
      <c r="I9" s="356"/>
      <c r="J9" s="340"/>
      <c r="K9" s="341"/>
      <c r="L9" s="342"/>
      <c r="M9" s="342"/>
      <c r="N9" s="342"/>
      <c r="O9" s="343"/>
      <c r="P9" s="340"/>
      <c r="Q9" s="341"/>
      <c r="R9" s="342"/>
      <c r="S9" s="342"/>
      <c r="T9" s="342"/>
      <c r="U9" s="343"/>
      <c r="V9" s="340"/>
      <c r="W9" s="341"/>
      <c r="X9" s="342"/>
      <c r="Y9" s="342"/>
      <c r="Z9" s="342"/>
      <c r="AA9" s="343"/>
      <c r="AB9" s="340"/>
      <c r="AC9" s="341"/>
      <c r="AD9" s="342"/>
      <c r="AE9" s="342"/>
      <c r="AF9" s="342"/>
      <c r="AG9" s="343"/>
      <c r="AH9" s="331"/>
      <c r="AI9" s="332"/>
      <c r="AJ9" s="332"/>
      <c r="AK9" s="332"/>
      <c r="AL9" s="332"/>
      <c r="AM9" s="333"/>
      <c r="AN9" s="68"/>
      <c r="AO9" s="367"/>
      <c r="AP9" s="368"/>
      <c r="AQ9" s="368"/>
      <c r="AR9" s="368"/>
      <c r="AS9" s="368"/>
      <c r="AT9" s="369"/>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row>
    <row r="10" spans="1:99" ht="15" customHeight="1" x14ac:dyDescent="0.25">
      <c r="A10" s="68"/>
      <c r="B10" s="362"/>
      <c r="C10" s="362"/>
      <c r="D10" s="363"/>
      <c r="E10" s="354"/>
      <c r="F10" s="355"/>
      <c r="G10" s="355"/>
      <c r="H10" s="355"/>
      <c r="I10" s="356"/>
      <c r="J10" s="340" t="str">
        <f ca="1">IF(AND('Mapa final'!$J$46="Muy Alta",'Mapa final'!$N$46="Leve"),CONCATENATE("R",'Mapa final'!$A$46),"")</f>
        <v/>
      </c>
      <c r="K10" s="341"/>
      <c r="L10" s="342" t="str">
        <f ca="1">IF(AND('Mapa final'!$J$52="Muy Alta",'Mapa final'!$N$52="Leve"),CONCATENATE("R",'Mapa final'!$A$52),"")</f>
        <v/>
      </c>
      <c r="M10" s="342"/>
      <c r="N10" s="342" t="str">
        <f ca="1">IF(AND('Mapa final'!$J$58="Muy Alta",'Mapa final'!$N$58="Leve"),CONCATENATE("R",'Mapa final'!$A$58),"")</f>
        <v/>
      </c>
      <c r="O10" s="343"/>
      <c r="P10" s="340" t="str">
        <f ca="1">IF(AND('Mapa final'!$J$46="Muy Alta",'Mapa final'!$N$46="Menor"),CONCATENATE("R",'Mapa final'!$A$46),"")</f>
        <v/>
      </c>
      <c r="Q10" s="341"/>
      <c r="R10" s="342" t="str">
        <f ca="1">IF(AND('Mapa final'!$J$52="Muy Alta",'Mapa final'!$N$52="Menor"),CONCATENATE("R",'Mapa final'!$A$52),"")</f>
        <v/>
      </c>
      <c r="S10" s="342"/>
      <c r="T10" s="342" t="str">
        <f ca="1">IF(AND('Mapa final'!$J$58="Muy Alta",'Mapa final'!$N$58="Menor"),CONCATENATE("R",'Mapa final'!$A$58),"")</f>
        <v/>
      </c>
      <c r="U10" s="343"/>
      <c r="V10" s="340" t="str">
        <f ca="1">IF(AND('Mapa final'!$J$46="Muy Alta",'Mapa final'!$N$46="Moderado"),CONCATENATE("R",'Mapa final'!$A$46),"")</f>
        <v/>
      </c>
      <c r="W10" s="341"/>
      <c r="X10" s="342" t="str">
        <f ca="1">IF(AND('Mapa final'!$J$52="Muy Alta",'Mapa final'!$N$52="Moderado"),CONCATENATE("R",'Mapa final'!$A$52),"")</f>
        <v/>
      </c>
      <c r="Y10" s="342"/>
      <c r="Z10" s="342" t="str">
        <f ca="1">IF(AND('Mapa final'!$J$58="Muy Alta",'Mapa final'!$N$58="Moderado"),CONCATENATE("R",'Mapa final'!$A$58),"")</f>
        <v/>
      </c>
      <c r="AA10" s="343"/>
      <c r="AB10" s="340" t="str">
        <f ca="1">IF(AND('Mapa final'!$J$46="Muy Alta",'Mapa final'!$N$46="Mayor"),CONCATENATE("R",'Mapa final'!$A$46),"")</f>
        <v/>
      </c>
      <c r="AC10" s="341"/>
      <c r="AD10" s="342" t="str">
        <f ca="1">IF(AND('Mapa final'!$J$52="Muy Alta",'Mapa final'!$N$52="Mayor"),CONCATENATE("R",'Mapa final'!$A$52),"")</f>
        <v/>
      </c>
      <c r="AE10" s="342"/>
      <c r="AF10" s="342" t="str">
        <f ca="1">IF(AND('Mapa final'!$J$58="Muy Alta",'Mapa final'!$N$58="Mayor"),CONCATENATE("R",'Mapa final'!$A$58),"")</f>
        <v/>
      </c>
      <c r="AG10" s="343"/>
      <c r="AH10" s="331" t="str">
        <f ca="1">IF(AND('Mapa final'!$J$46="Muy Alta",'Mapa final'!$N$46="Catastrófico"),CONCATENATE("R",'Mapa final'!$A$46),"")</f>
        <v/>
      </c>
      <c r="AI10" s="332"/>
      <c r="AJ10" s="332" t="str">
        <f ca="1">IF(AND('Mapa final'!$J$52="Muy Alta",'Mapa final'!$N$52="Catastrófico"),CONCATENATE("R",'Mapa final'!$A$52),"")</f>
        <v/>
      </c>
      <c r="AK10" s="332"/>
      <c r="AL10" s="332" t="str">
        <f ca="1">IF(AND('Mapa final'!$J$58="Muy Alta",'Mapa final'!$N$58="Catastrófico"),CONCATENATE("R",'Mapa final'!$A$58),"")</f>
        <v/>
      </c>
      <c r="AM10" s="333"/>
      <c r="AN10" s="68"/>
      <c r="AO10" s="367"/>
      <c r="AP10" s="368"/>
      <c r="AQ10" s="368"/>
      <c r="AR10" s="368"/>
      <c r="AS10" s="368"/>
      <c r="AT10" s="369"/>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row>
    <row r="11" spans="1:99" ht="15" customHeight="1" x14ac:dyDescent="0.25">
      <c r="A11" s="68"/>
      <c r="B11" s="362"/>
      <c r="C11" s="362"/>
      <c r="D11" s="363"/>
      <c r="E11" s="354"/>
      <c r="F11" s="355"/>
      <c r="G11" s="355"/>
      <c r="H11" s="355"/>
      <c r="I11" s="356"/>
      <c r="J11" s="340"/>
      <c r="K11" s="341"/>
      <c r="L11" s="342"/>
      <c r="M11" s="342"/>
      <c r="N11" s="342"/>
      <c r="O11" s="343"/>
      <c r="P11" s="340"/>
      <c r="Q11" s="341"/>
      <c r="R11" s="342"/>
      <c r="S11" s="342"/>
      <c r="T11" s="342"/>
      <c r="U11" s="343"/>
      <c r="V11" s="340"/>
      <c r="W11" s="341"/>
      <c r="X11" s="342"/>
      <c r="Y11" s="342"/>
      <c r="Z11" s="342"/>
      <c r="AA11" s="343"/>
      <c r="AB11" s="340"/>
      <c r="AC11" s="341"/>
      <c r="AD11" s="342"/>
      <c r="AE11" s="342"/>
      <c r="AF11" s="342"/>
      <c r="AG11" s="343"/>
      <c r="AH11" s="331"/>
      <c r="AI11" s="332"/>
      <c r="AJ11" s="332"/>
      <c r="AK11" s="332"/>
      <c r="AL11" s="332"/>
      <c r="AM11" s="333"/>
      <c r="AN11" s="68"/>
      <c r="AO11" s="367"/>
      <c r="AP11" s="368"/>
      <c r="AQ11" s="368"/>
      <c r="AR11" s="368"/>
      <c r="AS11" s="368"/>
      <c r="AT11" s="369"/>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row>
    <row r="12" spans="1:99" ht="15" customHeight="1" x14ac:dyDescent="0.25">
      <c r="A12" s="68"/>
      <c r="B12" s="362"/>
      <c r="C12" s="362"/>
      <c r="D12" s="363"/>
      <c r="E12" s="354"/>
      <c r="F12" s="355"/>
      <c r="G12" s="355"/>
      <c r="H12" s="355"/>
      <c r="I12" s="356"/>
      <c r="J12" s="340" t="str">
        <f ca="1">IF(AND('Mapa final'!$J$64="Muy Alta",'Mapa final'!$N$64="Leve"),CONCATENATE("R",'Mapa final'!$A$64),"")</f>
        <v/>
      </c>
      <c r="K12" s="341"/>
      <c r="L12" s="342" t="str">
        <f>IF(AND('Mapa final'!$J$70="Muy Alta",'Mapa final'!$N$70="Leve"),CONCATENATE("R",'Mapa final'!$A$70),"")</f>
        <v/>
      </c>
      <c r="M12" s="342"/>
      <c r="N12" s="342" t="str">
        <f>IF(AND('Mapa final'!$J$76="Muy Alta",'Mapa final'!$N$76="Leve"),CONCATENATE("R",'Mapa final'!$A$76),"")</f>
        <v/>
      </c>
      <c r="O12" s="343"/>
      <c r="P12" s="340" t="str">
        <f ca="1">IF(AND('Mapa final'!$J$64="Muy Alta",'Mapa final'!$N$64="Menor"),CONCATENATE("R",'Mapa final'!$A$64),"")</f>
        <v/>
      </c>
      <c r="Q12" s="341"/>
      <c r="R12" s="342" t="str">
        <f>IF(AND('Mapa final'!$J$70="Muy Alta",'Mapa final'!$N$70="Menor"),CONCATENATE("R",'Mapa final'!$A$70),"")</f>
        <v/>
      </c>
      <c r="S12" s="342"/>
      <c r="T12" s="342" t="str">
        <f>IF(AND('Mapa final'!$J$76="Muy Alta",'Mapa final'!$N$76="Menor"),CONCATENATE("R",'Mapa final'!$A$76),"")</f>
        <v/>
      </c>
      <c r="U12" s="343"/>
      <c r="V12" s="340" t="str">
        <f ca="1">IF(AND('Mapa final'!$J$64="Muy Alta",'Mapa final'!$N$64="Moderado"),CONCATENATE("R",'Mapa final'!$A$64),"")</f>
        <v/>
      </c>
      <c r="W12" s="341"/>
      <c r="X12" s="342" t="str">
        <f>IF(AND('Mapa final'!$J$70="Muy Alta",'Mapa final'!$N$70="Moderado"),CONCATENATE("R",'Mapa final'!$A$70),"")</f>
        <v/>
      </c>
      <c r="Y12" s="342"/>
      <c r="Z12" s="342" t="str">
        <f>IF(AND('Mapa final'!$J$76="Muy Alta",'Mapa final'!$N$76="Moderado"),CONCATENATE("R",'Mapa final'!$A$76),"")</f>
        <v/>
      </c>
      <c r="AA12" s="343"/>
      <c r="AB12" s="340" t="str">
        <f ca="1">IF(AND('Mapa final'!$J$64="Muy Alta",'Mapa final'!$N$64="Mayor"),CONCATENATE("R",'Mapa final'!$A$64),"")</f>
        <v/>
      </c>
      <c r="AC12" s="341"/>
      <c r="AD12" s="342" t="str">
        <f>IF(AND('Mapa final'!$J$70="Muy Alta",'Mapa final'!$N$70="Mayor"),CONCATENATE("R",'Mapa final'!$A$70),"")</f>
        <v/>
      </c>
      <c r="AE12" s="342"/>
      <c r="AF12" s="342" t="str">
        <f>IF(AND('Mapa final'!$J$76="Muy Alta",'Mapa final'!$N$76="Mayor"),CONCATENATE("R",'Mapa final'!$A$76),"")</f>
        <v/>
      </c>
      <c r="AG12" s="343"/>
      <c r="AH12" s="331" t="str">
        <f ca="1">IF(AND('Mapa final'!$J$64="Muy Alta",'Mapa final'!$N$64="Catastrófico"),CONCATENATE("R",'Mapa final'!$A$64),"")</f>
        <v/>
      </c>
      <c r="AI12" s="332"/>
      <c r="AJ12" s="332" t="str">
        <f>IF(AND('Mapa final'!$J$70="Muy Alta",'Mapa final'!$N$70="Catastrófico"),CONCATENATE("R",'Mapa final'!$A$70),"")</f>
        <v/>
      </c>
      <c r="AK12" s="332"/>
      <c r="AL12" s="332" t="str">
        <f>IF(AND('Mapa final'!$J$76="Muy Alta",'Mapa final'!$N$76="Catastrófico"),CONCATENATE("R",'Mapa final'!$A$76),"")</f>
        <v/>
      </c>
      <c r="AM12" s="333"/>
      <c r="AN12" s="68"/>
      <c r="AO12" s="367"/>
      <c r="AP12" s="368"/>
      <c r="AQ12" s="368"/>
      <c r="AR12" s="368"/>
      <c r="AS12" s="368"/>
      <c r="AT12" s="369"/>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row>
    <row r="13" spans="1:99" ht="15.75" customHeight="1" thickBot="1" x14ac:dyDescent="0.3">
      <c r="A13" s="68"/>
      <c r="B13" s="362"/>
      <c r="C13" s="362"/>
      <c r="D13" s="363"/>
      <c r="E13" s="357"/>
      <c r="F13" s="358"/>
      <c r="G13" s="358"/>
      <c r="H13" s="358"/>
      <c r="I13" s="359"/>
      <c r="J13" s="340"/>
      <c r="K13" s="341"/>
      <c r="L13" s="341"/>
      <c r="M13" s="341"/>
      <c r="N13" s="341"/>
      <c r="O13" s="343"/>
      <c r="P13" s="340"/>
      <c r="Q13" s="341"/>
      <c r="R13" s="341"/>
      <c r="S13" s="341"/>
      <c r="T13" s="341"/>
      <c r="U13" s="343"/>
      <c r="V13" s="340"/>
      <c r="W13" s="341"/>
      <c r="X13" s="341"/>
      <c r="Y13" s="341"/>
      <c r="Z13" s="341"/>
      <c r="AA13" s="343"/>
      <c r="AB13" s="340"/>
      <c r="AC13" s="341"/>
      <c r="AD13" s="341"/>
      <c r="AE13" s="341"/>
      <c r="AF13" s="341"/>
      <c r="AG13" s="343"/>
      <c r="AH13" s="334"/>
      <c r="AI13" s="335"/>
      <c r="AJ13" s="335"/>
      <c r="AK13" s="335"/>
      <c r="AL13" s="335"/>
      <c r="AM13" s="336"/>
      <c r="AN13" s="68"/>
      <c r="AO13" s="370"/>
      <c r="AP13" s="371"/>
      <c r="AQ13" s="371"/>
      <c r="AR13" s="371"/>
      <c r="AS13" s="371"/>
      <c r="AT13" s="372"/>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row>
    <row r="14" spans="1:99" ht="15" customHeight="1" x14ac:dyDescent="0.25">
      <c r="A14" s="68"/>
      <c r="B14" s="362"/>
      <c r="C14" s="362"/>
      <c r="D14" s="363"/>
      <c r="E14" s="351" t="s">
        <v>109</v>
      </c>
      <c r="F14" s="352"/>
      <c r="G14" s="352"/>
      <c r="H14" s="352"/>
      <c r="I14" s="352"/>
      <c r="J14" s="328" t="str">
        <f ca="1">IF(AND('Mapa final'!$J$10="Alta",'Mapa final'!$N$10="Leve"),CONCATENATE("R",'Mapa final'!$A$10),"")</f>
        <v/>
      </c>
      <c r="K14" s="329"/>
      <c r="L14" s="329" t="str">
        <f ca="1">IF(AND('Mapa final'!$J$16="Alta",'Mapa final'!$N$16="Leve"),CONCATENATE("R",'Mapa final'!$A$16),"")</f>
        <v/>
      </c>
      <c r="M14" s="329"/>
      <c r="N14" s="329" t="str">
        <f ca="1">IF(AND('Mapa final'!$J$22="Alta",'Mapa final'!$N$22="Leve"),CONCATENATE("R",'Mapa final'!$A$22),"")</f>
        <v/>
      </c>
      <c r="O14" s="330"/>
      <c r="P14" s="328" t="str">
        <f ca="1">IF(AND('Mapa final'!$J$10="Alta",'Mapa final'!$N$10="Menor"),CONCATENATE("R",'Mapa final'!$A$10),"")</f>
        <v/>
      </c>
      <c r="Q14" s="329"/>
      <c r="R14" s="329" t="str">
        <f ca="1">IF(AND('Mapa final'!$J$16="Alta",'Mapa final'!$N$16="Menor"),CONCATENATE("R",'Mapa final'!$A$16),"")</f>
        <v/>
      </c>
      <c r="S14" s="329"/>
      <c r="T14" s="329" t="str">
        <f ca="1">IF(AND('Mapa final'!$J$22="Alta",'Mapa final'!$N$22="Menor"),CONCATENATE("R",'Mapa final'!$A$22),"")</f>
        <v/>
      </c>
      <c r="U14" s="330"/>
      <c r="V14" s="347" t="str">
        <f ca="1">IF(AND('Mapa final'!$J$10="Alta",'Mapa final'!$N$10="Moderado"),CONCATENATE("R",'Mapa final'!$A$10),"")</f>
        <v/>
      </c>
      <c r="W14" s="348"/>
      <c r="X14" s="348" t="str">
        <f ca="1">IF(AND('Mapa final'!$J$16="Alta",'Mapa final'!$N$16="Moderado"),CONCATENATE("R",'Mapa final'!$A$16),"")</f>
        <v/>
      </c>
      <c r="Y14" s="348"/>
      <c r="Z14" s="348" t="str">
        <f ca="1">IF(AND('Mapa final'!$J$22="Alta",'Mapa final'!$N$22="Moderado"),CONCATENATE("R",'Mapa final'!$A$22),"")</f>
        <v/>
      </c>
      <c r="AA14" s="349"/>
      <c r="AB14" s="347" t="str">
        <f ca="1">IF(AND('Mapa final'!$J$10="Alta",'Mapa final'!$N$10="Mayor"),CONCATENATE("R",'Mapa final'!$A$10),"")</f>
        <v/>
      </c>
      <c r="AC14" s="348"/>
      <c r="AD14" s="348" t="str">
        <f ca="1">IF(AND('Mapa final'!$J$16="Alta",'Mapa final'!$N$16="Mayor"),CONCATENATE("R",'Mapa final'!$A$16),"")</f>
        <v/>
      </c>
      <c r="AE14" s="348"/>
      <c r="AF14" s="348" t="str">
        <f ca="1">IF(AND('Mapa final'!$J$22="Alta",'Mapa final'!$N$22="Mayor"),CONCATENATE("R",'Mapa final'!$A$22),"")</f>
        <v/>
      </c>
      <c r="AG14" s="349"/>
      <c r="AH14" s="337" t="str">
        <f ca="1">IF(AND('Mapa final'!$J$10="Alta",'Mapa final'!$N$10="Catastrófico"),CONCATENATE("R",'Mapa final'!$A$10),"")</f>
        <v/>
      </c>
      <c r="AI14" s="338"/>
      <c r="AJ14" s="338" t="str">
        <f ca="1">IF(AND('Mapa final'!$J$16="Alta",'Mapa final'!$N$16="Catastrófico"),CONCATENATE("R",'Mapa final'!$A$16),"")</f>
        <v/>
      </c>
      <c r="AK14" s="338"/>
      <c r="AL14" s="338" t="str">
        <f ca="1">IF(AND('Mapa final'!$J$22="Alta",'Mapa final'!$N$22="Catastrófico"),CONCATENATE("R",'Mapa final'!$A$22),"")</f>
        <v/>
      </c>
      <c r="AM14" s="339"/>
      <c r="AN14" s="68"/>
      <c r="AO14" s="373" t="s">
        <v>78</v>
      </c>
      <c r="AP14" s="374"/>
      <c r="AQ14" s="374"/>
      <c r="AR14" s="374"/>
      <c r="AS14" s="374"/>
      <c r="AT14" s="375"/>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row>
    <row r="15" spans="1:99" ht="15" customHeight="1" x14ac:dyDescent="0.25">
      <c r="A15" s="68"/>
      <c r="B15" s="362"/>
      <c r="C15" s="362"/>
      <c r="D15" s="363"/>
      <c r="E15" s="354"/>
      <c r="F15" s="355"/>
      <c r="G15" s="355"/>
      <c r="H15" s="355"/>
      <c r="I15" s="360"/>
      <c r="J15" s="322"/>
      <c r="K15" s="323"/>
      <c r="L15" s="323"/>
      <c r="M15" s="323"/>
      <c r="N15" s="323"/>
      <c r="O15" s="324"/>
      <c r="P15" s="322"/>
      <c r="Q15" s="323"/>
      <c r="R15" s="323"/>
      <c r="S15" s="323"/>
      <c r="T15" s="323"/>
      <c r="U15" s="324"/>
      <c r="V15" s="340"/>
      <c r="W15" s="341"/>
      <c r="X15" s="341"/>
      <c r="Y15" s="341"/>
      <c r="Z15" s="341"/>
      <c r="AA15" s="343"/>
      <c r="AB15" s="340"/>
      <c r="AC15" s="341"/>
      <c r="AD15" s="341"/>
      <c r="AE15" s="341"/>
      <c r="AF15" s="341"/>
      <c r="AG15" s="343"/>
      <c r="AH15" s="331"/>
      <c r="AI15" s="332"/>
      <c r="AJ15" s="332"/>
      <c r="AK15" s="332"/>
      <c r="AL15" s="332"/>
      <c r="AM15" s="333"/>
      <c r="AN15" s="68"/>
      <c r="AO15" s="376"/>
      <c r="AP15" s="377"/>
      <c r="AQ15" s="377"/>
      <c r="AR15" s="377"/>
      <c r="AS15" s="377"/>
      <c r="AT15" s="37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row>
    <row r="16" spans="1:99" ht="15" customHeight="1" x14ac:dyDescent="0.25">
      <c r="A16" s="68"/>
      <c r="B16" s="362"/>
      <c r="C16" s="362"/>
      <c r="D16" s="363"/>
      <c r="E16" s="354"/>
      <c r="F16" s="355"/>
      <c r="G16" s="355"/>
      <c r="H16" s="355"/>
      <c r="I16" s="360"/>
      <c r="J16" s="322" t="str">
        <f ca="1">IF(AND('Mapa final'!$J$28="Alta",'Mapa final'!$N$28="Leve"),CONCATENATE("R",'Mapa final'!$A$28),"")</f>
        <v/>
      </c>
      <c r="K16" s="323"/>
      <c r="L16" s="323" t="str">
        <f ca="1">IF(AND('Mapa final'!$J$34="Alta",'Mapa final'!$N$34="Leve"),CONCATENATE("R",'Mapa final'!$A$34),"")</f>
        <v/>
      </c>
      <c r="M16" s="323"/>
      <c r="N16" s="323" t="str">
        <f ca="1">IF(AND('Mapa final'!$J$40="Alta",'Mapa final'!$N$40="Leve"),CONCATENATE("R",'Mapa final'!$A$40),"")</f>
        <v/>
      </c>
      <c r="O16" s="324"/>
      <c r="P16" s="322" t="str">
        <f ca="1">IF(AND('Mapa final'!$J$28="Alta",'Mapa final'!$N$28="Menor"),CONCATENATE("R",'Mapa final'!$A$28),"")</f>
        <v/>
      </c>
      <c r="Q16" s="323"/>
      <c r="R16" s="323" t="str">
        <f ca="1">IF(AND('Mapa final'!$J$34="Alta",'Mapa final'!$N$34="Menor"),CONCATENATE("R",'Mapa final'!$A$34),"")</f>
        <v/>
      </c>
      <c r="S16" s="323"/>
      <c r="T16" s="323" t="str">
        <f ca="1">IF(AND('Mapa final'!$J$40="Alta",'Mapa final'!$N$40="Menor"),CONCATENATE("R",'Mapa final'!$A$40),"")</f>
        <v/>
      </c>
      <c r="U16" s="324"/>
      <c r="V16" s="340" t="str">
        <f ca="1">IF(AND('Mapa final'!$J$28="Alta",'Mapa final'!$N$28="Moderado"),CONCATENATE("R",'Mapa final'!$A$28),"")</f>
        <v/>
      </c>
      <c r="W16" s="341"/>
      <c r="X16" s="342" t="str">
        <f ca="1">IF(AND('Mapa final'!$J$34="Alta",'Mapa final'!$N$34="Moderado"),CONCATENATE("R",'Mapa final'!$A$34),"")</f>
        <v/>
      </c>
      <c r="Y16" s="342"/>
      <c r="Z16" s="342" t="str">
        <f ca="1">IF(AND('Mapa final'!$J$40="Alta",'Mapa final'!$N$40="Moderado"),CONCATENATE("R",'Mapa final'!$A$40),"")</f>
        <v/>
      </c>
      <c r="AA16" s="343"/>
      <c r="AB16" s="340" t="str">
        <f ca="1">IF(AND('Mapa final'!$J$28="Alta",'Mapa final'!$N$28="Mayor"),CONCATENATE("R",'Mapa final'!$A$28),"")</f>
        <v/>
      </c>
      <c r="AC16" s="341"/>
      <c r="AD16" s="342" t="str">
        <f ca="1">IF(AND('Mapa final'!$J$34="Alta",'Mapa final'!$N$34="Mayor"),CONCATENATE("R",'Mapa final'!$A$34),"")</f>
        <v/>
      </c>
      <c r="AE16" s="342"/>
      <c r="AF16" s="342" t="str">
        <f ca="1">IF(AND('Mapa final'!$J$40="Alta",'Mapa final'!$N$40="Mayor"),CONCATENATE("R",'Mapa final'!$A$40),"")</f>
        <v/>
      </c>
      <c r="AG16" s="343"/>
      <c r="AH16" s="331" t="str">
        <f ca="1">IF(AND('Mapa final'!$J$28="Alta",'Mapa final'!$N$28="Catastrófico"),CONCATENATE("R",'Mapa final'!$A$28),"")</f>
        <v/>
      </c>
      <c r="AI16" s="332"/>
      <c r="AJ16" s="332" t="str">
        <f ca="1">IF(AND('Mapa final'!$J$34="Alta",'Mapa final'!$N$34="Catastrófico"),CONCATENATE("R",'Mapa final'!$A$34),"")</f>
        <v/>
      </c>
      <c r="AK16" s="332"/>
      <c r="AL16" s="332" t="str">
        <f ca="1">IF(AND('Mapa final'!$J$40="Alta",'Mapa final'!$N$40="Catastrófico"),CONCATENATE("R",'Mapa final'!$A$40),"")</f>
        <v/>
      </c>
      <c r="AM16" s="333"/>
      <c r="AN16" s="68"/>
      <c r="AO16" s="376"/>
      <c r="AP16" s="377"/>
      <c r="AQ16" s="377"/>
      <c r="AR16" s="377"/>
      <c r="AS16" s="377"/>
      <c r="AT16" s="37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row>
    <row r="17" spans="1:80" ht="15" customHeight="1" x14ac:dyDescent="0.25">
      <c r="A17" s="68"/>
      <c r="B17" s="362"/>
      <c r="C17" s="362"/>
      <c r="D17" s="363"/>
      <c r="E17" s="354"/>
      <c r="F17" s="355"/>
      <c r="G17" s="355"/>
      <c r="H17" s="355"/>
      <c r="I17" s="360"/>
      <c r="J17" s="322"/>
      <c r="K17" s="323"/>
      <c r="L17" s="323"/>
      <c r="M17" s="323"/>
      <c r="N17" s="323"/>
      <c r="O17" s="324"/>
      <c r="P17" s="322"/>
      <c r="Q17" s="323"/>
      <c r="R17" s="323"/>
      <c r="S17" s="323"/>
      <c r="T17" s="323"/>
      <c r="U17" s="324"/>
      <c r="V17" s="340"/>
      <c r="W17" s="341"/>
      <c r="X17" s="342"/>
      <c r="Y17" s="342"/>
      <c r="Z17" s="342"/>
      <c r="AA17" s="343"/>
      <c r="AB17" s="340"/>
      <c r="AC17" s="341"/>
      <c r="AD17" s="342"/>
      <c r="AE17" s="342"/>
      <c r="AF17" s="342"/>
      <c r="AG17" s="343"/>
      <c r="AH17" s="331"/>
      <c r="AI17" s="332"/>
      <c r="AJ17" s="332"/>
      <c r="AK17" s="332"/>
      <c r="AL17" s="332"/>
      <c r="AM17" s="333"/>
      <c r="AN17" s="68"/>
      <c r="AO17" s="376"/>
      <c r="AP17" s="377"/>
      <c r="AQ17" s="377"/>
      <c r="AR17" s="377"/>
      <c r="AS17" s="377"/>
      <c r="AT17" s="37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row>
    <row r="18" spans="1:80" ht="15" customHeight="1" x14ac:dyDescent="0.25">
      <c r="A18" s="68"/>
      <c r="B18" s="362"/>
      <c r="C18" s="362"/>
      <c r="D18" s="363"/>
      <c r="E18" s="354"/>
      <c r="F18" s="355"/>
      <c r="G18" s="355"/>
      <c r="H18" s="355"/>
      <c r="I18" s="360"/>
      <c r="J18" s="322" t="str">
        <f ca="1">IF(AND('Mapa final'!$J$46="Alta",'Mapa final'!$N$46="Leve"),CONCATENATE("R",'Mapa final'!$A$46),"")</f>
        <v/>
      </c>
      <c r="K18" s="323"/>
      <c r="L18" s="323" t="str">
        <f ca="1">IF(AND('Mapa final'!$J$52="Alta",'Mapa final'!$N$52="Leve"),CONCATENATE("R",'Mapa final'!$A$52),"")</f>
        <v/>
      </c>
      <c r="M18" s="323"/>
      <c r="N18" s="323" t="str">
        <f ca="1">IF(AND('Mapa final'!$J$58="Alta",'Mapa final'!$N$58="Leve"),CONCATENATE("R",'Mapa final'!$A$58),"")</f>
        <v/>
      </c>
      <c r="O18" s="324"/>
      <c r="P18" s="322" t="str">
        <f ca="1">IF(AND('Mapa final'!$J$46="Alta",'Mapa final'!$N$46="Menor"),CONCATENATE("R",'Mapa final'!$A$46),"")</f>
        <v/>
      </c>
      <c r="Q18" s="323"/>
      <c r="R18" s="323" t="str">
        <f ca="1">IF(AND('Mapa final'!$J$52="Alta",'Mapa final'!$N$52="Menor"),CONCATENATE("R",'Mapa final'!$A$52),"")</f>
        <v/>
      </c>
      <c r="S18" s="323"/>
      <c r="T18" s="323" t="str">
        <f ca="1">IF(AND('Mapa final'!$J$58="Alta",'Mapa final'!$N$58="Menor"),CONCATENATE("R",'Mapa final'!$A$58),"")</f>
        <v/>
      </c>
      <c r="U18" s="324"/>
      <c r="V18" s="340" t="str">
        <f ca="1">IF(AND('Mapa final'!$J$46="Alta",'Mapa final'!$N$46="Moderado"),CONCATENATE("R",'Mapa final'!$A$46),"")</f>
        <v/>
      </c>
      <c r="W18" s="341"/>
      <c r="X18" s="342" t="str">
        <f ca="1">IF(AND('Mapa final'!$J$52="Alta",'Mapa final'!$N$52="Moderado"),CONCATENATE("R",'Mapa final'!$A$52),"")</f>
        <v/>
      </c>
      <c r="Y18" s="342"/>
      <c r="Z18" s="342" t="str">
        <f ca="1">IF(AND('Mapa final'!$J$58="Alta",'Mapa final'!$N$58="Moderado"),CONCATENATE("R",'Mapa final'!$A$58),"")</f>
        <v/>
      </c>
      <c r="AA18" s="343"/>
      <c r="AB18" s="340" t="str">
        <f ca="1">IF(AND('Mapa final'!$J$46="Alta",'Mapa final'!$N$46="Mayor"),CONCATENATE("R",'Mapa final'!$A$46),"")</f>
        <v/>
      </c>
      <c r="AC18" s="341"/>
      <c r="AD18" s="342" t="str">
        <f ca="1">IF(AND('Mapa final'!$J$52="Alta",'Mapa final'!$N$52="Mayor"),CONCATENATE("R",'Mapa final'!$A$52),"")</f>
        <v/>
      </c>
      <c r="AE18" s="342"/>
      <c r="AF18" s="342" t="str">
        <f ca="1">IF(AND('Mapa final'!$J$58="Alta",'Mapa final'!$N$58="Mayor"),CONCATENATE("R",'Mapa final'!$A$58),"")</f>
        <v/>
      </c>
      <c r="AG18" s="343"/>
      <c r="AH18" s="331" t="str">
        <f ca="1">IF(AND('Mapa final'!$J$46="Alta",'Mapa final'!$N$46="Catastrófico"),CONCATENATE("R",'Mapa final'!$A$46),"")</f>
        <v/>
      </c>
      <c r="AI18" s="332"/>
      <c r="AJ18" s="332" t="str">
        <f ca="1">IF(AND('Mapa final'!$J$52="Alta",'Mapa final'!$N$52="Catastrófico"),CONCATENATE("R",'Mapa final'!$A$52),"")</f>
        <v/>
      </c>
      <c r="AK18" s="332"/>
      <c r="AL18" s="332" t="str">
        <f ca="1">IF(AND('Mapa final'!$J$58="Alta",'Mapa final'!$N$58="Catastrófico"),CONCATENATE("R",'Mapa final'!$A$58),"")</f>
        <v/>
      </c>
      <c r="AM18" s="333"/>
      <c r="AN18" s="68"/>
      <c r="AO18" s="376"/>
      <c r="AP18" s="377"/>
      <c r="AQ18" s="377"/>
      <c r="AR18" s="377"/>
      <c r="AS18" s="377"/>
      <c r="AT18" s="37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row>
    <row r="19" spans="1:80" ht="15" customHeight="1" x14ac:dyDescent="0.25">
      <c r="A19" s="68"/>
      <c r="B19" s="362"/>
      <c r="C19" s="362"/>
      <c r="D19" s="363"/>
      <c r="E19" s="354"/>
      <c r="F19" s="355"/>
      <c r="G19" s="355"/>
      <c r="H19" s="355"/>
      <c r="I19" s="360"/>
      <c r="J19" s="322"/>
      <c r="K19" s="323"/>
      <c r="L19" s="323"/>
      <c r="M19" s="323"/>
      <c r="N19" s="323"/>
      <c r="O19" s="324"/>
      <c r="P19" s="322"/>
      <c r="Q19" s="323"/>
      <c r="R19" s="323"/>
      <c r="S19" s="323"/>
      <c r="T19" s="323"/>
      <c r="U19" s="324"/>
      <c r="V19" s="340"/>
      <c r="W19" s="341"/>
      <c r="X19" s="342"/>
      <c r="Y19" s="342"/>
      <c r="Z19" s="342"/>
      <c r="AA19" s="343"/>
      <c r="AB19" s="340"/>
      <c r="AC19" s="341"/>
      <c r="AD19" s="342"/>
      <c r="AE19" s="342"/>
      <c r="AF19" s="342"/>
      <c r="AG19" s="343"/>
      <c r="AH19" s="331"/>
      <c r="AI19" s="332"/>
      <c r="AJ19" s="332"/>
      <c r="AK19" s="332"/>
      <c r="AL19" s="332"/>
      <c r="AM19" s="333"/>
      <c r="AN19" s="68"/>
      <c r="AO19" s="376"/>
      <c r="AP19" s="377"/>
      <c r="AQ19" s="377"/>
      <c r="AR19" s="377"/>
      <c r="AS19" s="377"/>
      <c r="AT19" s="37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row>
    <row r="20" spans="1:80" ht="15" customHeight="1" x14ac:dyDescent="0.25">
      <c r="A20" s="68"/>
      <c r="B20" s="362"/>
      <c r="C20" s="362"/>
      <c r="D20" s="363"/>
      <c r="E20" s="354"/>
      <c r="F20" s="355"/>
      <c r="G20" s="355"/>
      <c r="H20" s="355"/>
      <c r="I20" s="360"/>
      <c r="J20" s="322" t="str">
        <f ca="1">IF(AND('Mapa final'!$J$64="Alta",'Mapa final'!$N$64="Leve"),CONCATENATE("R",'Mapa final'!$A$64),"")</f>
        <v/>
      </c>
      <c r="K20" s="323"/>
      <c r="L20" s="323" t="str">
        <f>IF(AND('Mapa final'!$J$70="Alta",'Mapa final'!$N$70="Leve"),CONCATENATE("R",'Mapa final'!$A$70),"")</f>
        <v/>
      </c>
      <c r="M20" s="323"/>
      <c r="N20" s="323" t="str">
        <f>IF(AND('Mapa final'!$J$76="Alta",'Mapa final'!$N$76="Leve"),CONCATENATE("R",'Mapa final'!$A$76),"")</f>
        <v/>
      </c>
      <c r="O20" s="324"/>
      <c r="P20" s="322" t="str">
        <f ca="1">IF(AND('Mapa final'!$J$64="Alta",'Mapa final'!$N$64="Menor"),CONCATENATE("R",'Mapa final'!$A$64),"")</f>
        <v/>
      </c>
      <c r="Q20" s="323"/>
      <c r="R20" s="323" t="str">
        <f>IF(AND('Mapa final'!$J$70="Alta",'Mapa final'!$N$70="Menor"),CONCATENATE("R",'Mapa final'!$A$70),"")</f>
        <v/>
      </c>
      <c r="S20" s="323"/>
      <c r="T20" s="323" t="str">
        <f>IF(AND('Mapa final'!$J$76="Alta",'Mapa final'!$N$76="Menor"),CONCATENATE("R",'Mapa final'!$A$76),"")</f>
        <v/>
      </c>
      <c r="U20" s="324"/>
      <c r="V20" s="340" t="str">
        <f ca="1">IF(AND('Mapa final'!$J$64="Alta",'Mapa final'!$N$64="Moderado"),CONCATENATE("R",'Mapa final'!$A$64),"")</f>
        <v/>
      </c>
      <c r="W20" s="341"/>
      <c r="X20" s="342" t="str">
        <f>IF(AND('Mapa final'!$J$70="Alta",'Mapa final'!$N$70="Moderado"),CONCATENATE("R",'Mapa final'!$A$70),"")</f>
        <v/>
      </c>
      <c r="Y20" s="342"/>
      <c r="Z20" s="342" t="str">
        <f>IF(AND('Mapa final'!$J$76="Alta",'Mapa final'!$N$76="Moderado"),CONCATENATE("R",'Mapa final'!$A$76),"")</f>
        <v/>
      </c>
      <c r="AA20" s="343"/>
      <c r="AB20" s="340" t="str">
        <f ca="1">IF(AND('Mapa final'!$J$64="Alta",'Mapa final'!$N$64="Mayor"),CONCATENATE("R",'Mapa final'!$A$64),"")</f>
        <v/>
      </c>
      <c r="AC20" s="341"/>
      <c r="AD20" s="342" t="str">
        <f>IF(AND('Mapa final'!$J$70="Alta",'Mapa final'!$N$70="Mayor"),CONCATENATE("R",'Mapa final'!$A$70),"")</f>
        <v/>
      </c>
      <c r="AE20" s="342"/>
      <c r="AF20" s="342" t="str">
        <f>IF(AND('Mapa final'!$J$76="Alta",'Mapa final'!$N$76="Mayor"),CONCATENATE("R",'Mapa final'!$A$76),"")</f>
        <v/>
      </c>
      <c r="AG20" s="343"/>
      <c r="AH20" s="331" t="str">
        <f ca="1">IF(AND('Mapa final'!$J$64="Alta",'Mapa final'!$N$64="Catastrófico"),CONCATENATE("R",'Mapa final'!$A$64),"")</f>
        <v/>
      </c>
      <c r="AI20" s="332"/>
      <c r="AJ20" s="332" t="str">
        <f>IF(AND('Mapa final'!$J$70="Alta",'Mapa final'!$N$70="Catastrófico"),CONCATENATE("R",'Mapa final'!$A$70),"")</f>
        <v/>
      </c>
      <c r="AK20" s="332"/>
      <c r="AL20" s="332" t="str">
        <f>IF(AND('Mapa final'!$J$76="Alta",'Mapa final'!$N$76="Catastrófico"),CONCATENATE("R",'Mapa final'!$A$76),"")</f>
        <v/>
      </c>
      <c r="AM20" s="333"/>
      <c r="AN20" s="68"/>
      <c r="AO20" s="376"/>
      <c r="AP20" s="377"/>
      <c r="AQ20" s="377"/>
      <c r="AR20" s="377"/>
      <c r="AS20" s="377"/>
      <c r="AT20" s="37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row>
    <row r="21" spans="1:80" ht="15.75" customHeight="1" thickBot="1" x14ac:dyDescent="0.3">
      <c r="A21" s="68"/>
      <c r="B21" s="362"/>
      <c r="C21" s="362"/>
      <c r="D21" s="363"/>
      <c r="E21" s="357"/>
      <c r="F21" s="358"/>
      <c r="G21" s="358"/>
      <c r="H21" s="358"/>
      <c r="I21" s="358"/>
      <c r="J21" s="325"/>
      <c r="K21" s="326"/>
      <c r="L21" s="326"/>
      <c r="M21" s="326"/>
      <c r="N21" s="326"/>
      <c r="O21" s="327"/>
      <c r="P21" s="325"/>
      <c r="Q21" s="326"/>
      <c r="R21" s="326"/>
      <c r="S21" s="326"/>
      <c r="T21" s="326"/>
      <c r="U21" s="327"/>
      <c r="V21" s="344"/>
      <c r="W21" s="345"/>
      <c r="X21" s="345"/>
      <c r="Y21" s="345"/>
      <c r="Z21" s="345"/>
      <c r="AA21" s="346"/>
      <c r="AB21" s="344"/>
      <c r="AC21" s="345"/>
      <c r="AD21" s="345"/>
      <c r="AE21" s="345"/>
      <c r="AF21" s="345"/>
      <c r="AG21" s="346"/>
      <c r="AH21" s="334"/>
      <c r="AI21" s="335"/>
      <c r="AJ21" s="335"/>
      <c r="AK21" s="335"/>
      <c r="AL21" s="335"/>
      <c r="AM21" s="336"/>
      <c r="AN21" s="68"/>
      <c r="AO21" s="379"/>
      <c r="AP21" s="380"/>
      <c r="AQ21" s="380"/>
      <c r="AR21" s="380"/>
      <c r="AS21" s="380"/>
      <c r="AT21" s="381"/>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row>
    <row r="22" spans="1:80" x14ac:dyDescent="0.25">
      <c r="A22" s="68"/>
      <c r="B22" s="362"/>
      <c r="C22" s="362"/>
      <c r="D22" s="363"/>
      <c r="E22" s="351" t="s">
        <v>111</v>
      </c>
      <c r="F22" s="352"/>
      <c r="G22" s="352"/>
      <c r="H22" s="352"/>
      <c r="I22" s="353"/>
      <c r="J22" s="328" t="str">
        <f ca="1">IF(AND('Mapa final'!$J$10="Media",'Mapa final'!$N$10="Leve"),CONCATENATE("R",'Mapa final'!$A$10),"")</f>
        <v/>
      </c>
      <c r="K22" s="329"/>
      <c r="L22" s="329" t="str">
        <f ca="1">IF(AND('Mapa final'!$J$16="Media",'Mapa final'!$N$16="Leve"),CONCATENATE("R",'Mapa final'!$A$16),"")</f>
        <v/>
      </c>
      <c r="M22" s="329"/>
      <c r="N22" s="329" t="str">
        <f ca="1">IF(AND('Mapa final'!$J$22="Media",'Mapa final'!$N$22="Leve"),CONCATENATE("R",'Mapa final'!$A$22),"")</f>
        <v/>
      </c>
      <c r="O22" s="330"/>
      <c r="P22" s="328" t="str">
        <f ca="1">IF(AND('Mapa final'!$J$10="Media",'Mapa final'!$N$10="Menor"),CONCATENATE("R",'Mapa final'!$A$10),"")</f>
        <v/>
      </c>
      <c r="Q22" s="329"/>
      <c r="R22" s="329" t="str">
        <f ca="1">IF(AND('Mapa final'!$J$16="Media",'Mapa final'!$N$16="Menor"),CONCATENATE("R",'Mapa final'!$A$16),"")</f>
        <v/>
      </c>
      <c r="S22" s="329"/>
      <c r="T22" s="329" t="str">
        <f ca="1">IF(AND('Mapa final'!$J$22="Media",'Mapa final'!$N$22="Menor"),CONCATENATE("R",'Mapa final'!$A$22),"")</f>
        <v/>
      </c>
      <c r="U22" s="330"/>
      <c r="V22" s="328" t="str">
        <f ca="1">IF(AND('Mapa final'!$J$10="Media",'Mapa final'!$N$10="Moderado"),CONCATENATE("R",'Mapa final'!$A$10),"")</f>
        <v/>
      </c>
      <c r="W22" s="329"/>
      <c r="X22" s="329" t="str">
        <f ca="1">IF(AND('Mapa final'!$J$16="Media",'Mapa final'!$N$16="Moderado"),CONCATENATE("R",'Mapa final'!$A$16),"")</f>
        <v/>
      </c>
      <c r="Y22" s="329"/>
      <c r="Z22" s="329" t="str">
        <f ca="1">IF(AND('Mapa final'!$J$22="Media",'Mapa final'!$N$22="Moderado"),CONCATENATE("R",'Mapa final'!$A$22),"")</f>
        <v/>
      </c>
      <c r="AA22" s="330"/>
      <c r="AB22" s="347" t="str">
        <f ca="1">IF(AND('Mapa final'!$J$10="Media",'Mapa final'!$N$10="Mayor"),CONCATENATE("R",'Mapa final'!$A$10),"")</f>
        <v>R1</v>
      </c>
      <c r="AC22" s="348"/>
      <c r="AD22" s="348" t="str">
        <f ca="1">IF(AND('Mapa final'!$J$16="Media",'Mapa final'!$N$16="Mayor"),CONCATENATE("R",'Mapa final'!$A$16),"")</f>
        <v/>
      </c>
      <c r="AE22" s="348"/>
      <c r="AF22" s="348" t="str">
        <f ca="1">IF(AND('Mapa final'!$J$22="Media",'Mapa final'!$N$22="Mayor"),CONCATENATE("R",'Mapa final'!$A$22),"")</f>
        <v/>
      </c>
      <c r="AG22" s="349"/>
      <c r="AH22" s="337" t="str">
        <f ca="1">IF(AND('Mapa final'!$J$10="Media",'Mapa final'!$N$10="Catastrófico"),CONCATENATE("R",'Mapa final'!$A$10),"")</f>
        <v/>
      </c>
      <c r="AI22" s="338"/>
      <c r="AJ22" s="338" t="str">
        <f ca="1">IF(AND('Mapa final'!$J$16="Media",'Mapa final'!$N$16="Catastrófico"),CONCATENATE("R",'Mapa final'!$A$16),"")</f>
        <v/>
      </c>
      <c r="AK22" s="338"/>
      <c r="AL22" s="338" t="str">
        <f ca="1">IF(AND('Mapa final'!$J$22="Media",'Mapa final'!$N$22="Catastrófico"),CONCATENATE("R",'Mapa final'!$A$22),"")</f>
        <v/>
      </c>
      <c r="AM22" s="339"/>
      <c r="AN22" s="68"/>
      <c r="AO22" s="382" t="s">
        <v>79</v>
      </c>
      <c r="AP22" s="383"/>
      <c r="AQ22" s="383"/>
      <c r="AR22" s="383"/>
      <c r="AS22" s="383"/>
      <c r="AT22" s="384"/>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row>
    <row r="23" spans="1:80" x14ac:dyDescent="0.25">
      <c r="A23" s="68"/>
      <c r="B23" s="362"/>
      <c r="C23" s="362"/>
      <c r="D23" s="363"/>
      <c r="E23" s="354"/>
      <c r="F23" s="355"/>
      <c r="G23" s="355"/>
      <c r="H23" s="355"/>
      <c r="I23" s="356"/>
      <c r="J23" s="322"/>
      <c r="K23" s="323"/>
      <c r="L23" s="323"/>
      <c r="M23" s="323"/>
      <c r="N23" s="323"/>
      <c r="O23" s="324"/>
      <c r="P23" s="322"/>
      <c r="Q23" s="323"/>
      <c r="R23" s="323"/>
      <c r="S23" s="323"/>
      <c r="T23" s="323"/>
      <c r="U23" s="324"/>
      <c r="V23" s="322"/>
      <c r="W23" s="323"/>
      <c r="X23" s="323"/>
      <c r="Y23" s="323"/>
      <c r="Z23" s="323"/>
      <c r="AA23" s="324"/>
      <c r="AB23" s="340"/>
      <c r="AC23" s="341"/>
      <c r="AD23" s="341"/>
      <c r="AE23" s="341"/>
      <c r="AF23" s="341"/>
      <c r="AG23" s="343"/>
      <c r="AH23" s="331"/>
      <c r="AI23" s="332"/>
      <c r="AJ23" s="332"/>
      <c r="AK23" s="332"/>
      <c r="AL23" s="332"/>
      <c r="AM23" s="333"/>
      <c r="AN23" s="68"/>
      <c r="AO23" s="385"/>
      <c r="AP23" s="386"/>
      <c r="AQ23" s="386"/>
      <c r="AR23" s="386"/>
      <c r="AS23" s="386"/>
      <c r="AT23" s="387"/>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row>
    <row r="24" spans="1:80" x14ac:dyDescent="0.25">
      <c r="A24" s="68"/>
      <c r="B24" s="362"/>
      <c r="C24" s="362"/>
      <c r="D24" s="363"/>
      <c r="E24" s="354"/>
      <c r="F24" s="355"/>
      <c r="G24" s="355"/>
      <c r="H24" s="355"/>
      <c r="I24" s="356"/>
      <c r="J24" s="322" t="str">
        <f ca="1">IF(AND('Mapa final'!$J$28="Media",'Mapa final'!$N$28="Leve"),CONCATENATE("R",'Mapa final'!$A$28),"")</f>
        <v/>
      </c>
      <c r="K24" s="323"/>
      <c r="L24" s="323" t="str">
        <f ca="1">IF(AND('Mapa final'!$J$34="Media",'Mapa final'!$N$34="Leve"),CONCATENATE("R",'Mapa final'!$A$34),"")</f>
        <v/>
      </c>
      <c r="M24" s="323"/>
      <c r="N24" s="323" t="str">
        <f ca="1">IF(AND('Mapa final'!$J$40="Media",'Mapa final'!$N$40="Leve"),CONCATENATE("R",'Mapa final'!$A$40),"")</f>
        <v/>
      </c>
      <c r="O24" s="324"/>
      <c r="P24" s="322" t="str">
        <f ca="1">IF(AND('Mapa final'!$J$28="Media",'Mapa final'!$N$28="Menor"),CONCATENATE("R",'Mapa final'!$A$28),"")</f>
        <v/>
      </c>
      <c r="Q24" s="323"/>
      <c r="R24" s="323" t="str">
        <f ca="1">IF(AND('Mapa final'!$J$34="Media",'Mapa final'!$N$34="Menor"),CONCATENATE("R",'Mapa final'!$A$34),"")</f>
        <v/>
      </c>
      <c r="S24" s="323"/>
      <c r="T24" s="323" t="str">
        <f ca="1">IF(AND('Mapa final'!$J$40="Media",'Mapa final'!$N$40="Menor"),CONCATENATE("R",'Mapa final'!$A$40),"")</f>
        <v/>
      </c>
      <c r="U24" s="324"/>
      <c r="V24" s="322" t="str">
        <f ca="1">IF(AND('Mapa final'!$J$28="Media",'Mapa final'!$N$28="Moderado"),CONCATENATE("R",'Mapa final'!$A$28),"")</f>
        <v/>
      </c>
      <c r="W24" s="323"/>
      <c r="X24" s="323" t="str">
        <f ca="1">IF(AND('Mapa final'!$J$34="Media",'Mapa final'!$N$34="Moderado"),CONCATENATE("R",'Mapa final'!$A$34),"")</f>
        <v/>
      </c>
      <c r="Y24" s="323"/>
      <c r="Z24" s="323" t="str">
        <f ca="1">IF(AND('Mapa final'!$J$40="Media",'Mapa final'!$N$40="Moderado"),CONCATENATE("R",'Mapa final'!$A$40),"")</f>
        <v/>
      </c>
      <c r="AA24" s="324"/>
      <c r="AB24" s="340" t="str">
        <f ca="1">IF(AND('Mapa final'!$J$28="Media",'Mapa final'!$N$28="Mayor"),CONCATENATE("R",'Mapa final'!$A$28),"")</f>
        <v/>
      </c>
      <c r="AC24" s="341"/>
      <c r="AD24" s="342" t="str">
        <f ca="1">IF(AND('Mapa final'!$J$34="Media",'Mapa final'!$N$34="Mayor"),CONCATENATE("R",'Mapa final'!$A$34),"")</f>
        <v/>
      </c>
      <c r="AE24" s="342"/>
      <c r="AF24" s="342" t="str">
        <f ca="1">IF(AND('Mapa final'!$J$40="Media",'Mapa final'!$N$40="Mayor"),CONCATENATE("R",'Mapa final'!$A$40),"")</f>
        <v/>
      </c>
      <c r="AG24" s="343"/>
      <c r="AH24" s="331" t="str">
        <f ca="1">IF(AND('Mapa final'!$J$28="Media",'Mapa final'!$N$28="Catastrófico"),CONCATENATE("R",'Mapa final'!$A$28),"")</f>
        <v/>
      </c>
      <c r="AI24" s="332"/>
      <c r="AJ24" s="332" t="str">
        <f ca="1">IF(AND('Mapa final'!$J$34="Media",'Mapa final'!$N$34="Catastrófico"),CONCATENATE("R",'Mapa final'!$A$34),"")</f>
        <v/>
      </c>
      <c r="AK24" s="332"/>
      <c r="AL24" s="332" t="str">
        <f ca="1">IF(AND('Mapa final'!$J$40="Media",'Mapa final'!$N$40="Catastrófico"),CONCATENATE("R",'Mapa final'!$A$40),"")</f>
        <v/>
      </c>
      <c r="AM24" s="333"/>
      <c r="AN24" s="68"/>
      <c r="AO24" s="385"/>
      <c r="AP24" s="386"/>
      <c r="AQ24" s="386"/>
      <c r="AR24" s="386"/>
      <c r="AS24" s="386"/>
      <c r="AT24" s="387"/>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row>
    <row r="25" spans="1:80" x14ac:dyDescent="0.25">
      <c r="A25" s="68"/>
      <c r="B25" s="362"/>
      <c r="C25" s="362"/>
      <c r="D25" s="363"/>
      <c r="E25" s="354"/>
      <c r="F25" s="355"/>
      <c r="G25" s="355"/>
      <c r="H25" s="355"/>
      <c r="I25" s="356"/>
      <c r="J25" s="322"/>
      <c r="K25" s="323"/>
      <c r="L25" s="323"/>
      <c r="M25" s="323"/>
      <c r="N25" s="323"/>
      <c r="O25" s="324"/>
      <c r="P25" s="322"/>
      <c r="Q25" s="323"/>
      <c r="R25" s="323"/>
      <c r="S25" s="323"/>
      <c r="T25" s="323"/>
      <c r="U25" s="324"/>
      <c r="V25" s="322"/>
      <c r="W25" s="323"/>
      <c r="X25" s="323"/>
      <c r="Y25" s="323"/>
      <c r="Z25" s="323"/>
      <c r="AA25" s="324"/>
      <c r="AB25" s="340"/>
      <c r="AC25" s="341"/>
      <c r="AD25" s="342"/>
      <c r="AE25" s="342"/>
      <c r="AF25" s="342"/>
      <c r="AG25" s="343"/>
      <c r="AH25" s="331"/>
      <c r="AI25" s="332"/>
      <c r="AJ25" s="332"/>
      <c r="AK25" s="332"/>
      <c r="AL25" s="332"/>
      <c r="AM25" s="333"/>
      <c r="AN25" s="68"/>
      <c r="AO25" s="385"/>
      <c r="AP25" s="386"/>
      <c r="AQ25" s="386"/>
      <c r="AR25" s="386"/>
      <c r="AS25" s="386"/>
      <c r="AT25" s="387"/>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row>
    <row r="26" spans="1:80" x14ac:dyDescent="0.25">
      <c r="A26" s="68"/>
      <c r="B26" s="362"/>
      <c r="C26" s="362"/>
      <c r="D26" s="363"/>
      <c r="E26" s="354"/>
      <c r="F26" s="355"/>
      <c r="G26" s="355"/>
      <c r="H26" s="355"/>
      <c r="I26" s="356"/>
      <c r="J26" s="322" t="str">
        <f ca="1">IF(AND('Mapa final'!$J$46="Media",'Mapa final'!$N$46="Leve"),CONCATENATE("R",'Mapa final'!$A$46),"")</f>
        <v/>
      </c>
      <c r="K26" s="323"/>
      <c r="L26" s="323" t="str">
        <f ca="1">IF(AND('Mapa final'!$J$52="Media",'Mapa final'!$N$52="Leve"),CONCATENATE("R",'Mapa final'!$A$52),"")</f>
        <v/>
      </c>
      <c r="M26" s="323"/>
      <c r="N26" s="323" t="str">
        <f ca="1">IF(AND('Mapa final'!$J$58="Media",'Mapa final'!$N$58="Leve"),CONCATENATE("R",'Mapa final'!$A$58),"")</f>
        <v/>
      </c>
      <c r="O26" s="324"/>
      <c r="P26" s="322" t="str">
        <f ca="1">IF(AND('Mapa final'!$J$46="Media",'Mapa final'!$N$46="Menor"),CONCATENATE("R",'Mapa final'!$A$46),"")</f>
        <v/>
      </c>
      <c r="Q26" s="323"/>
      <c r="R26" s="323" t="str">
        <f ca="1">IF(AND('Mapa final'!$J$52="Media",'Mapa final'!$N$52="Menor"),CONCATENATE("R",'Mapa final'!$A$52),"")</f>
        <v/>
      </c>
      <c r="S26" s="323"/>
      <c r="T26" s="323" t="str">
        <f ca="1">IF(AND('Mapa final'!$J$58="Media",'Mapa final'!$N$58="Menor"),CONCATENATE("R",'Mapa final'!$A$58),"")</f>
        <v/>
      </c>
      <c r="U26" s="324"/>
      <c r="V26" s="322" t="str">
        <f ca="1">IF(AND('Mapa final'!$J$46="Media",'Mapa final'!$N$46="Moderado"),CONCATENATE("R",'Mapa final'!$A$46),"")</f>
        <v/>
      </c>
      <c r="W26" s="323"/>
      <c r="X26" s="323" t="str">
        <f ca="1">IF(AND('Mapa final'!$J$52="Media",'Mapa final'!$N$52="Moderado"),CONCATENATE("R",'Mapa final'!$A$52),"")</f>
        <v/>
      </c>
      <c r="Y26" s="323"/>
      <c r="Z26" s="323" t="str">
        <f ca="1">IF(AND('Mapa final'!$J$58="Media",'Mapa final'!$N$58="Moderado"),CONCATENATE("R",'Mapa final'!$A$58),"")</f>
        <v/>
      </c>
      <c r="AA26" s="324"/>
      <c r="AB26" s="340" t="str">
        <f ca="1">IF(AND('Mapa final'!$J$46="Media",'Mapa final'!$N$46="Mayor"),CONCATENATE("R",'Mapa final'!$A$46),"")</f>
        <v/>
      </c>
      <c r="AC26" s="341"/>
      <c r="AD26" s="342" t="str">
        <f ca="1">IF(AND('Mapa final'!$J$52="Media",'Mapa final'!$N$52="Mayor"),CONCATENATE("R",'Mapa final'!$A$52),"")</f>
        <v/>
      </c>
      <c r="AE26" s="342"/>
      <c r="AF26" s="342" t="str">
        <f ca="1">IF(AND('Mapa final'!$J$58="Media",'Mapa final'!$N$58="Mayor"),CONCATENATE("R",'Mapa final'!$A$58),"")</f>
        <v/>
      </c>
      <c r="AG26" s="343"/>
      <c r="AH26" s="331" t="str">
        <f ca="1">IF(AND('Mapa final'!$J$46="Media",'Mapa final'!$N$46="Catastrófico"),CONCATENATE("R",'Mapa final'!$A$46),"")</f>
        <v/>
      </c>
      <c r="AI26" s="332"/>
      <c r="AJ26" s="332" t="str">
        <f ca="1">IF(AND('Mapa final'!$J$52="Media",'Mapa final'!$N$52="Catastrófico"),CONCATENATE("R",'Mapa final'!$A$52),"")</f>
        <v/>
      </c>
      <c r="AK26" s="332"/>
      <c r="AL26" s="332" t="str">
        <f ca="1">IF(AND('Mapa final'!$J$58="Media",'Mapa final'!$N$58="Catastrófico"),CONCATENATE("R",'Mapa final'!$A$58),"")</f>
        <v/>
      </c>
      <c r="AM26" s="333"/>
      <c r="AN26" s="68"/>
      <c r="AO26" s="385"/>
      <c r="AP26" s="386"/>
      <c r="AQ26" s="386"/>
      <c r="AR26" s="386"/>
      <c r="AS26" s="386"/>
      <c r="AT26" s="387"/>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row>
    <row r="27" spans="1:80" x14ac:dyDescent="0.25">
      <c r="A27" s="68"/>
      <c r="B27" s="362"/>
      <c r="C27" s="362"/>
      <c r="D27" s="363"/>
      <c r="E27" s="354"/>
      <c r="F27" s="355"/>
      <c r="G27" s="355"/>
      <c r="H27" s="355"/>
      <c r="I27" s="356"/>
      <c r="J27" s="322"/>
      <c r="K27" s="323"/>
      <c r="L27" s="323"/>
      <c r="M27" s="323"/>
      <c r="N27" s="323"/>
      <c r="O27" s="324"/>
      <c r="P27" s="322"/>
      <c r="Q27" s="323"/>
      <c r="R27" s="323"/>
      <c r="S27" s="323"/>
      <c r="T27" s="323"/>
      <c r="U27" s="324"/>
      <c r="V27" s="322"/>
      <c r="W27" s="323"/>
      <c r="X27" s="323"/>
      <c r="Y27" s="323"/>
      <c r="Z27" s="323"/>
      <c r="AA27" s="324"/>
      <c r="AB27" s="340"/>
      <c r="AC27" s="341"/>
      <c r="AD27" s="342"/>
      <c r="AE27" s="342"/>
      <c r="AF27" s="342"/>
      <c r="AG27" s="343"/>
      <c r="AH27" s="331"/>
      <c r="AI27" s="332"/>
      <c r="AJ27" s="332"/>
      <c r="AK27" s="332"/>
      <c r="AL27" s="332"/>
      <c r="AM27" s="333"/>
      <c r="AN27" s="68"/>
      <c r="AO27" s="385"/>
      <c r="AP27" s="386"/>
      <c r="AQ27" s="386"/>
      <c r="AR27" s="386"/>
      <c r="AS27" s="386"/>
      <c r="AT27" s="387"/>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row>
    <row r="28" spans="1:80" x14ac:dyDescent="0.25">
      <c r="A28" s="68"/>
      <c r="B28" s="362"/>
      <c r="C28" s="362"/>
      <c r="D28" s="363"/>
      <c r="E28" s="354"/>
      <c r="F28" s="355"/>
      <c r="G28" s="355"/>
      <c r="H28" s="355"/>
      <c r="I28" s="356"/>
      <c r="J28" s="322" t="str">
        <f ca="1">IF(AND('Mapa final'!$J$64="Media",'Mapa final'!$N$64="Leve"),CONCATENATE("R",'Mapa final'!$A$64),"")</f>
        <v/>
      </c>
      <c r="K28" s="323"/>
      <c r="L28" s="323" t="str">
        <f>IF(AND('Mapa final'!$J$70="Media",'Mapa final'!$N$70="Leve"),CONCATENATE("R",'Mapa final'!$A$70),"")</f>
        <v/>
      </c>
      <c r="M28" s="323"/>
      <c r="N28" s="323" t="str">
        <f>IF(AND('Mapa final'!$J$76="Media",'Mapa final'!$N$76="Leve"),CONCATENATE("R",'Mapa final'!$A$76),"")</f>
        <v/>
      </c>
      <c r="O28" s="324"/>
      <c r="P28" s="322" t="str">
        <f ca="1">IF(AND('Mapa final'!$J$64="Media",'Mapa final'!$N$64="Menor"),CONCATENATE("R",'Mapa final'!$A$64),"")</f>
        <v/>
      </c>
      <c r="Q28" s="323"/>
      <c r="R28" s="323" t="str">
        <f>IF(AND('Mapa final'!$J$70="Media",'Mapa final'!$N$70="Menor"),CONCATENATE("R",'Mapa final'!$A$70),"")</f>
        <v/>
      </c>
      <c r="S28" s="323"/>
      <c r="T28" s="323" t="str">
        <f>IF(AND('Mapa final'!$J$76="Media",'Mapa final'!$N$76="Menor"),CONCATENATE("R",'Mapa final'!$A$76),"")</f>
        <v/>
      </c>
      <c r="U28" s="324"/>
      <c r="V28" s="322" t="str">
        <f ca="1">IF(AND('Mapa final'!$J$64="Media",'Mapa final'!$N$64="Moderado"),CONCATENATE("R",'Mapa final'!$A$64),"")</f>
        <v/>
      </c>
      <c r="W28" s="323"/>
      <c r="X28" s="323" t="str">
        <f>IF(AND('Mapa final'!$J$70="Media",'Mapa final'!$N$70="Moderado"),CONCATENATE("R",'Mapa final'!$A$70),"")</f>
        <v/>
      </c>
      <c r="Y28" s="323"/>
      <c r="Z28" s="323" t="str">
        <f>IF(AND('Mapa final'!$J$76="Media",'Mapa final'!$N$76="Moderado"),CONCATENATE("R",'Mapa final'!$A$76),"")</f>
        <v/>
      </c>
      <c r="AA28" s="324"/>
      <c r="AB28" s="340" t="str">
        <f ca="1">IF(AND('Mapa final'!$J$64="Media",'Mapa final'!$N$64="Mayor"),CONCATENATE("R",'Mapa final'!$A$64),"")</f>
        <v/>
      </c>
      <c r="AC28" s="341"/>
      <c r="AD28" s="342" t="str">
        <f>IF(AND('Mapa final'!$J$70="Media",'Mapa final'!$N$70="Mayor"),CONCATENATE("R",'Mapa final'!$A$70),"")</f>
        <v/>
      </c>
      <c r="AE28" s="342"/>
      <c r="AF28" s="342" t="str">
        <f>IF(AND('Mapa final'!$J$76="Media",'Mapa final'!$N$76="Mayor"),CONCATENATE("R",'Mapa final'!$A$76),"")</f>
        <v/>
      </c>
      <c r="AG28" s="343"/>
      <c r="AH28" s="331" t="str">
        <f ca="1">IF(AND('Mapa final'!$J$64="Media",'Mapa final'!$N$64="Catastrófico"),CONCATENATE("R",'Mapa final'!$A$64),"")</f>
        <v/>
      </c>
      <c r="AI28" s="332"/>
      <c r="AJ28" s="332" t="str">
        <f>IF(AND('Mapa final'!$J$70="Media",'Mapa final'!$N$70="Catastrófico"),CONCATENATE("R",'Mapa final'!$A$70),"")</f>
        <v/>
      </c>
      <c r="AK28" s="332"/>
      <c r="AL28" s="332" t="str">
        <f>IF(AND('Mapa final'!$J$76="Media",'Mapa final'!$N$76="Catastrófico"),CONCATENATE("R",'Mapa final'!$A$76),"")</f>
        <v/>
      </c>
      <c r="AM28" s="333"/>
      <c r="AN28" s="68"/>
      <c r="AO28" s="385"/>
      <c r="AP28" s="386"/>
      <c r="AQ28" s="386"/>
      <c r="AR28" s="386"/>
      <c r="AS28" s="386"/>
      <c r="AT28" s="387"/>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row>
    <row r="29" spans="1:80" ht="15.75" thickBot="1" x14ac:dyDescent="0.3">
      <c r="A29" s="68"/>
      <c r="B29" s="362"/>
      <c r="C29" s="362"/>
      <c r="D29" s="363"/>
      <c r="E29" s="357"/>
      <c r="F29" s="358"/>
      <c r="G29" s="358"/>
      <c r="H29" s="358"/>
      <c r="I29" s="359"/>
      <c r="J29" s="322"/>
      <c r="K29" s="323"/>
      <c r="L29" s="323"/>
      <c r="M29" s="323"/>
      <c r="N29" s="323"/>
      <c r="O29" s="324"/>
      <c r="P29" s="325"/>
      <c r="Q29" s="326"/>
      <c r="R29" s="326"/>
      <c r="S29" s="326"/>
      <c r="T29" s="326"/>
      <c r="U29" s="327"/>
      <c r="V29" s="325"/>
      <c r="W29" s="326"/>
      <c r="X29" s="326"/>
      <c r="Y29" s="326"/>
      <c r="Z29" s="326"/>
      <c r="AA29" s="327"/>
      <c r="AB29" s="344"/>
      <c r="AC29" s="345"/>
      <c r="AD29" s="345"/>
      <c r="AE29" s="345"/>
      <c r="AF29" s="345"/>
      <c r="AG29" s="346"/>
      <c r="AH29" s="334"/>
      <c r="AI29" s="335"/>
      <c r="AJ29" s="335"/>
      <c r="AK29" s="335"/>
      <c r="AL29" s="335"/>
      <c r="AM29" s="336"/>
      <c r="AN29" s="68"/>
      <c r="AO29" s="388"/>
      <c r="AP29" s="389"/>
      <c r="AQ29" s="389"/>
      <c r="AR29" s="389"/>
      <c r="AS29" s="389"/>
      <c r="AT29" s="390"/>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row>
    <row r="30" spans="1:80" x14ac:dyDescent="0.25">
      <c r="A30" s="68"/>
      <c r="B30" s="362"/>
      <c r="C30" s="362"/>
      <c r="D30" s="363"/>
      <c r="E30" s="351" t="s">
        <v>108</v>
      </c>
      <c r="F30" s="352"/>
      <c r="G30" s="352"/>
      <c r="H30" s="352"/>
      <c r="I30" s="352"/>
      <c r="J30" s="319" t="str">
        <f ca="1">IF(AND('Mapa final'!$J$10="Baja",'Mapa final'!$N$10="Leve"),CONCATENATE("R",'Mapa final'!$A$10),"")</f>
        <v/>
      </c>
      <c r="K30" s="320"/>
      <c r="L30" s="320" t="str">
        <f ca="1">IF(AND('Mapa final'!$J$16="Baja",'Mapa final'!$N$16="Leve"),CONCATENATE("R",'Mapa final'!$A$16),"")</f>
        <v/>
      </c>
      <c r="M30" s="320"/>
      <c r="N30" s="320" t="str">
        <f ca="1">IF(AND('Mapa final'!$J$22="Baja",'Mapa final'!$N$22="Leve"),CONCATENATE("R",'Mapa final'!$A$22),"")</f>
        <v/>
      </c>
      <c r="O30" s="321"/>
      <c r="P30" s="329" t="str">
        <f ca="1">IF(AND('Mapa final'!$J$10="Baja",'Mapa final'!$N$10="Menor"),CONCATENATE("R",'Mapa final'!$A$10),"")</f>
        <v/>
      </c>
      <c r="Q30" s="329"/>
      <c r="R30" s="329" t="str">
        <f ca="1">IF(AND('Mapa final'!$J$16="Baja",'Mapa final'!$N$16="Menor"),CONCATENATE("R",'Mapa final'!$A$16),"")</f>
        <v/>
      </c>
      <c r="S30" s="329"/>
      <c r="T30" s="329" t="str">
        <f ca="1">IF(AND('Mapa final'!$J$22="Baja",'Mapa final'!$N$22="Menor"),CONCATENATE("R",'Mapa final'!$A$22),"")</f>
        <v/>
      </c>
      <c r="U30" s="330"/>
      <c r="V30" s="328" t="str">
        <f ca="1">IF(AND('Mapa final'!$J$10="Baja",'Mapa final'!$N$10="Moderado"),CONCATENATE("R",'Mapa final'!$A$10),"")</f>
        <v/>
      </c>
      <c r="W30" s="329"/>
      <c r="X30" s="329" t="str">
        <f ca="1">IF(AND('Mapa final'!$J$16="Baja",'Mapa final'!$N$16="Moderado"),CONCATENATE("R",'Mapa final'!$A$16),"")</f>
        <v/>
      </c>
      <c r="Y30" s="329"/>
      <c r="Z30" s="329" t="str">
        <f ca="1">IF(AND('Mapa final'!$J$22="Baja",'Mapa final'!$N$22="Moderado"),CONCATENATE("R",'Mapa final'!$A$22),"")</f>
        <v/>
      </c>
      <c r="AA30" s="330"/>
      <c r="AB30" s="347" t="str">
        <f ca="1">IF(AND('Mapa final'!$J$10="Baja",'Mapa final'!$N$10="Mayor"),CONCATENATE("R",'Mapa final'!$A$10),"")</f>
        <v/>
      </c>
      <c r="AC30" s="348"/>
      <c r="AD30" s="348" t="str">
        <f ca="1">IF(AND('Mapa final'!$J$16="Baja",'Mapa final'!$N$16="Mayor"),CONCATENATE("R",'Mapa final'!$A$16),"")</f>
        <v/>
      </c>
      <c r="AE30" s="348"/>
      <c r="AF30" s="348" t="str">
        <f ca="1">IF(AND('Mapa final'!$J$22="Baja",'Mapa final'!$N$22="Mayor"),CONCATENATE("R",'Mapa final'!$A$22),"")</f>
        <v/>
      </c>
      <c r="AG30" s="349"/>
      <c r="AH30" s="337" t="str">
        <f ca="1">IF(AND('Mapa final'!$J$10="Baja",'Mapa final'!$N$10="Catastrófico"),CONCATENATE("R",'Mapa final'!$A$10),"")</f>
        <v/>
      </c>
      <c r="AI30" s="338"/>
      <c r="AJ30" s="338" t="str">
        <f ca="1">IF(AND('Mapa final'!$J$16="Baja",'Mapa final'!$N$16="Catastrófico"),CONCATENATE("R",'Mapa final'!$A$16),"")</f>
        <v/>
      </c>
      <c r="AK30" s="338"/>
      <c r="AL30" s="338" t="str">
        <f ca="1">IF(AND('Mapa final'!$J$22="Baja",'Mapa final'!$N$22="Catastrófico"),CONCATENATE("R",'Mapa final'!$A$22),"")</f>
        <v/>
      </c>
      <c r="AM30" s="339"/>
      <c r="AN30" s="68"/>
      <c r="AO30" s="391" t="s">
        <v>80</v>
      </c>
      <c r="AP30" s="392"/>
      <c r="AQ30" s="392"/>
      <c r="AR30" s="392"/>
      <c r="AS30" s="392"/>
      <c r="AT30" s="393"/>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row>
    <row r="31" spans="1:80" x14ac:dyDescent="0.25">
      <c r="A31" s="68"/>
      <c r="B31" s="362"/>
      <c r="C31" s="362"/>
      <c r="D31" s="363"/>
      <c r="E31" s="354"/>
      <c r="F31" s="355"/>
      <c r="G31" s="355"/>
      <c r="H31" s="355"/>
      <c r="I31" s="360"/>
      <c r="J31" s="313"/>
      <c r="K31" s="314"/>
      <c r="L31" s="314"/>
      <c r="M31" s="314"/>
      <c r="N31" s="314"/>
      <c r="O31" s="315"/>
      <c r="P31" s="323"/>
      <c r="Q31" s="323"/>
      <c r="R31" s="323"/>
      <c r="S31" s="323"/>
      <c r="T31" s="323"/>
      <c r="U31" s="324"/>
      <c r="V31" s="322"/>
      <c r="W31" s="323"/>
      <c r="X31" s="323"/>
      <c r="Y31" s="323"/>
      <c r="Z31" s="323"/>
      <c r="AA31" s="324"/>
      <c r="AB31" s="340"/>
      <c r="AC31" s="341"/>
      <c r="AD31" s="341"/>
      <c r="AE31" s="341"/>
      <c r="AF31" s="341"/>
      <c r="AG31" s="343"/>
      <c r="AH31" s="331"/>
      <c r="AI31" s="332"/>
      <c r="AJ31" s="332"/>
      <c r="AK31" s="332"/>
      <c r="AL31" s="332"/>
      <c r="AM31" s="333"/>
      <c r="AN31" s="68"/>
      <c r="AO31" s="394"/>
      <c r="AP31" s="395"/>
      <c r="AQ31" s="395"/>
      <c r="AR31" s="395"/>
      <c r="AS31" s="395"/>
      <c r="AT31" s="396"/>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row>
    <row r="32" spans="1:80" x14ac:dyDescent="0.25">
      <c r="A32" s="68"/>
      <c r="B32" s="362"/>
      <c r="C32" s="362"/>
      <c r="D32" s="363"/>
      <c r="E32" s="354"/>
      <c r="F32" s="355"/>
      <c r="G32" s="355"/>
      <c r="H32" s="355"/>
      <c r="I32" s="360"/>
      <c r="J32" s="313" t="str">
        <f ca="1">IF(AND('Mapa final'!$J$28="Baja",'Mapa final'!$N$28="Leve"),CONCATENATE("R",'Mapa final'!$A$28),"")</f>
        <v/>
      </c>
      <c r="K32" s="314"/>
      <c r="L32" s="314" t="str">
        <f ca="1">IF(AND('Mapa final'!$J$34="Baja",'Mapa final'!$N$34="Leve"),CONCATENATE("R",'Mapa final'!$A$34),"")</f>
        <v/>
      </c>
      <c r="M32" s="314"/>
      <c r="N32" s="314" t="str">
        <f ca="1">IF(AND('Mapa final'!$J$40="Baja",'Mapa final'!$N$40="Leve"),CONCATENATE("R",'Mapa final'!$A$40),"")</f>
        <v/>
      </c>
      <c r="O32" s="315"/>
      <c r="P32" s="323" t="str">
        <f ca="1">IF(AND('Mapa final'!$J$28="Baja",'Mapa final'!$N$28="Menor"),CONCATENATE("R",'Mapa final'!$A$28),"")</f>
        <v/>
      </c>
      <c r="Q32" s="323"/>
      <c r="R32" s="323" t="str">
        <f ca="1">IF(AND('Mapa final'!$J$34="Baja",'Mapa final'!$N$34="Menor"),CONCATENATE("R",'Mapa final'!$A$34),"")</f>
        <v/>
      </c>
      <c r="S32" s="323"/>
      <c r="T32" s="323" t="str">
        <f ca="1">IF(AND('Mapa final'!$J$40="Baja",'Mapa final'!$N$40="Menor"),CONCATENATE("R",'Mapa final'!$A$40),"")</f>
        <v/>
      </c>
      <c r="U32" s="324"/>
      <c r="V32" s="322" t="str">
        <f ca="1">IF(AND('Mapa final'!$J$28="Baja",'Mapa final'!$N$28="Moderado"),CONCATENATE("R",'Mapa final'!$A$28),"")</f>
        <v/>
      </c>
      <c r="W32" s="323"/>
      <c r="X32" s="323" t="str">
        <f ca="1">IF(AND('Mapa final'!$J$34="Baja",'Mapa final'!$N$34="Moderado"),CONCATENATE("R",'Mapa final'!$A$34),"")</f>
        <v/>
      </c>
      <c r="Y32" s="323"/>
      <c r="Z32" s="323" t="str">
        <f ca="1">IF(AND('Mapa final'!$J$40="Baja",'Mapa final'!$N$40="Moderado"),CONCATENATE("R",'Mapa final'!$A$40),"")</f>
        <v/>
      </c>
      <c r="AA32" s="324"/>
      <c r="AB32" s="340" t="str">
        <f ca="1">IF(AND('Mapa final'!$J$28="Baja",'Mapa final'!$N$28="Mayor"),CONCATENATE("R",'Mapa final'!$A$28),"")</f>
        <v/>
      </c>
      <c r="AC32" s="341"/>
      <c r="AD32" s="342" t="str">
        <f ca="1">IF(AND('Mapa final'!$J$34="Baja",'Mapa final'!$N$34="Mayor"),CONCATENATE("R",'Mapa final'!$A$34),"")</f>
        <v/>
      </c>
      <c r="AE32" s="342"/>
      <c r="AF32" s="342" t="str">
        <f ca="1">IF(AND('Mapa final'!$J$40="Baja",'Mapa final'!$N$40="Mayor"),CONCATENATE("R",'Mapa final'!$A$40),"")</f>
        <v/>
      </c>
      <c r="AG32" s="343"/>
      <c r="AH32" s="331" t="str">
        <f ca="1">IF(AND('Mapa final'!$J$28="Baja",'Mapa final'!$N$28="Catastrófico"),CONCATENATE("R",'Mapa final'!$A$28),"")</f>
        <v/>
      </c>
      <c r="AI32" s="332"/>
      <c r="AJ32" s="332" t="str">
        <f ca="1">IF(AND('Mapa final'!$J$34="Baja",'Mapa final'!$N$34="Catastrófico"),CONCATENATE("R",'Mapa final'!$A$34),"")</f>
        <v/>
      </c>
      <c r="AK32" s="332"/>
      <c r="AL32" s="332" t="str">
        <f ca="1">IF(AND('Mapa final'!$J$40="Baja",'Mapa final'!$N$40="Catastrófico"),CONCATENATE("R",'Mapa final'!$A$40),"")</f>
        <v/>
      </c>
      <c r="AM32" s="333"/>
      <c r="AN32" s="68"/>
      <c r="AO32" s="394"/>
      <c r="AP32" s="395"/>
      <c r="AQ32" s="395"/>
      <c r="AR32" s="395"/>
      <c r="AS32" s="395"/>
      <c r="AT32" s="396"/>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row>
    <row r="33" spans="1:80" x14ac:dyDescent="0.25">
      <c r="A33" s="68"/>
      <c r="B33" s="362"/>
      <c r="C33" s="362"/>
      <c r="D33" s="363"/>
      <c r="E33" s="354"/>
      <c r="F33" s="355"/>
      <c r="G33" s="355"/>
      <c r="H33" s="355"/>
      <c r="I33" s="360"/>
      <c r="J33" s="313"/>
      <c r="K33" s="314"/>
      <c r="L33" s="314"/>
      <c r="M33" s="314"/>
      <c r="N33" s="314"/>
      <c r="O33" s="315"/>
      <c r="P33" s="323"/>
      <c r="Q33" s="323"/>
      <c r="R33" s="323"/>
      <c r="S33" s="323"/>
      <c r="T33" s="323"/>
      <c r="U33" s="324"/>
      <c r="V33" s="322"/>
      <c r="W33" s="323"/>
      <c r="X33" s="323"/>
      <c r="Y33" s="323"/>
      <c r="Z33" s="323"/>
      <c r="AA33" s="324"/>
      <c r="AB33" s="340"/>
      <c r="AC33" s="341"/>
      <c r="AD33" s="342"/>
      <c r="AE33" s="342"/>
      <c r="AF33" s="342"/>
      <c r="AG33" s="343"/>
      <c r="AH33" s="331"/>
      <c r="AI33" s="332"/>
      <c r="AJ33" s="332"/>
      <c r="AK33" s="332"/>
      <c r="AL33" s="332"/>
      <c r="AM33" s="333"/>
      <c r="AN33" s="68"/>
      <c r="AO33" s="394"/>
      <c r="AP33" s="395"/>
      <c r="AQ33" s="395"/>
      <c r="AR33" s="395"/>
      <c r="AS33" s="395"/>
      <c r="AT33" s="396"/>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row>
    <row r="34" spans="1:80" x14ac:dyDescent="0.25">
      <c r="A34" s="68"/>
      <c r="B34" s="362"/>
      <c r="C34" s="362"/>
      <c r="D34" s="363"/>
      <c r="E34" s="354"/>
      <c r="F34" s="355"/>
      <c r="G34" s="355"/>
      <c r="H34" s="355"/>
      <c r="I34" s="360"/>
      <c r="J34" s="313" t="str">
        <f ca="1">IF(AND('Mapa final'!$J$46="Baja",'Mapa final'!$N$46="Leve"),CONCATENATE("R",'Mapa final'!$A$46),"")</f>
        <v/>
      </c>
      <c r="K34" s="314"/>
      <c r="L34" s="314" t="str">
        <f ca="1">IF(AND('Mapa final'!$J$52="Baja",'Mapa final'!$N$52="Leve"),CONCATENATE("R",'Mapa final'!$A$52),"")</f>
        <v/>
      </c>
      <c r="M34" s="314"/>
      <c r="N34" s="314" t="str">
        <f ca="1">IF(AND('Mapa final'!$J$58="Baja",'Mapa final'!$N$58="Leve"),CONCATENATE("R",'Mapa final'!$A$58),"")</f>
        <v/>
      </c>
      <c r="O34" s="315"/>
      <c r="P34" s="323" t="str">
        <f ca="1">IF(AND('Mapa final'!$J$46="Baja",'Mapa final'!$N$46="Menor"),CONCATENATE("R",'Mapa final'!$A$46),"")</f>
        <v/>
      </c>
      <c r="Q34" s="323"/>
      <c r="R34" s="323" t="str">
        <f ca="1">IF(AND('Mapa final'!$J$52="Baja",'Mapa final'!$N$52="Menor"),CONCATENATE("R",'Mapa final'!$A$52),"")</f>
        <v/>
      </c>
      <c r="S34" s="323"/>
      <c r="T34" s="323" t="str">
        <f ca="1">IF(AND('Mapa final'!$J$58="Baja",'Mapa final'!$N$58="Menor"),CONCATENATE("R",'Mapa final'!$A$58),"")</f>
        <v/>
      </c>
      <c r="U34" s="324"/>
      <c r="V34" s="322" t="str">
        <f ca="1">IF(AND('Mapa final'!$J$46="Baja",'Mapa final'!$N$46="Moderado"),CONCATENATE("R",'Mapa final'!$A$46),"")</f>
        <v/>
      </c>
      <c r="W34" s="323"/>
      <c r="X34" s="323" t="str">
        <f ca="1">IF(AND('Mapa final'!$J$52="Baja",'Mapa final'!$N$52="Moderado"),CONCATENATE("R",'Mapa final'!$A$52),"")</f>
        <v/>
      </c>
      <c r="Y34" s="323"/>
      <c r="Z34" s="323" t="str">
        <f ca="1">IF(AND('Mapa final'!$J$58="Baja",'Mapa final'!$N$58="Moderado"),CONCATENATE("R",'Mapa final'!$A$58),"")</f>
        <v/>
      </c>
      <c r="AA34" s="324"/>
      <c r="AB34" s="340" t="str">
        <f ca="1">IF(AND('Mapa final'!$J$46="Baja",'Mapa final'!$N$46="Mayor"),CONCATENATE("R",'Mapa final'!$A$46),"")</f>
        <v/>
      </c>
      <c r="AC34" s="341"/>
      <c r="AD34" s="342" t="str">
        <f ca="1">IF(AND('Mapa final'!$J$52="Baja",'Mapa final'!$N$52="Mayor"),CONCATENATE("R",'Mapa final'!$A$52),"")</f>
        <v/>
      </c>
      <c r="AE34" s="342"/>
      <c r="AF34" s="342" t="str">
        <f ca="1">IF(AND('Mapa final'!$J$58="Baja",'Mapa final'!$N$58="Mayor"),CONCATENATE("R",'Mapa final'!$A$58),"")</f>
        <v/>
      </c>
      <c r="AG34" s="343"/>
      <c r="AH34" s="331" t="str">
        <f ca="1">IF(AND('Mapa final'!$J$46="Baja",'Mapa final'!$N$46="Catastrófico"),CONCATENATE("R",'Mapa final'!$A$46),"")</f>
        <v/>
      </c>
      <c r="AI34" s="332"/>
      <c r="AJ34" s="332" t="str">
        <f ca="1">IF(AND('Mapa final'!$J$52="Baja",'Mapa final'!$N$52="Catastrófico"),CONCATENATE("R",'Mapa final'!$A$52),"")</f>
        <v/>
      </c>
      <c r="AK34" s="332"/>
      <c r="AL34" s="332" t="str">
        <f ca="1">IF(AND('Mapa final'!$J$58="Baja",'Mapa final'!$N$58="Catastrófico"),CONCATENATE("R",'Mapa final'!$A$58),"")</f>
        <v/>
      </c>
      <c r="AM34" s="333"/>
      <c r="AN34" s="68"/>
      <c r="AO34" s="394"/>
      <c r="AP34" s="395"/>
      <c r="AQ34" s="395"/>
      <c r="AR34" s="395"/>
      <c r="AS34" s="395"/>
      <c r="AT34" s="396"/>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row>
    <row r="35" spans="1:80" x14ac:dyDescent="0.25">
      <c r="A35" s="68"/>
      <c r="B35" s="362"/>
      <c r="C35" s="362"/>
      <c r="D35" s="363"/>
      <c r="E35" s="354"/>
      <c r="F35" s="355"/>
      <c r="G35" s="355"/>
      <c r="H35" s="355"/>
      <c r="I35" s="360"/>
      <c r="J35" s="313"/>
      <c r="K35" s="314"/>
      <c r="L35" s="314"/>
      <c r="M35" s="314"/>
      <c r="N35" s="314"/>
      <c r="O35" s="315"/>
      <c r="P35" s="323"/>
      <c r="Q35" s="323"/>
      <c r="R35" s="323"/>
      <c r="S35" s="323"/>
      <c r="T35" s="323"/>
      <c r="U35" s="324"/>
      <c r="V35" s="322"/>
      <c r="W35" s="323"/>
      <c r="X35" s="323"/>
      <c r="Y35" s="323"/>
      <c r="Z35" s="323"/>
      <c r="AA35" s="324"/>
      <c r="AB35" s="340"/>
      <c r="AC35" s="341"/>
      <c r="AD35" s="342"/>
      <c r="AE35" s="342"/>
      <c r="AF35" s="342"/>
      <c r="AG35" s="343"/>
      <c r="AH35" s="331"/>
      <c r="AI35" s="332"/>
      <c r="AJ35" s="332"/>
      <c r="AK35" s="332"/>
      <c r="AL35" s="332"/>
      <c r="AM35" s="333"/>
      <c r="AN35" s="68"/>
      <c r="AO35" s="394"/>
      <c r="AP35" s="395"/>
      <c r="AQ35" s="395"/>
      <c r="AR35" s="395"/>
      <c r="AS35" s="395"/>
      <c r="AT35" s="396"/>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row>
    <row r="36" spans="1:80" x14ac:dyDescent="0.25">
      <c r="A36" s="68"/>
      <c r="B36" s="362"/>
      <c r="C36" s="362"/>
      <c r="D36" s="363"/>
      <c r="E36" s="354"/>
      <c r="F36" s="355"/>
      <c r="G36" s="355"/>
      <c r="H36" s="355"/>
      <c r="I36" s="360"/>
      <c r="J36" s="313" t="str">
        <f ca="1">IF(AND('Mapa final'!$J$64="Baja",'Mapa final'!$N$64="Leve"),CONCATENATE("R",'Mapa final'!$A$64),"")</f>
        <v/>
      </c>
      <c r="K36" s="314"/>
      <c r="L36" s="314" t="str">
        <f>IF(AND('Mapa final'!$J$70="Baja",'Mapa final'!$N$70="Leve"),CONCATENATE("R",'Mapa final'!$A$70),"")</f>
        <v/>
      </c>
      <c r="M36" s="314"/>
      <c r="N36" s="314" t="str">
        <f>IF(AND('Mapa final'!$J$76="Baja",'Mapa final'!$N$76="Leve"),CONCATENATE("R",'Mapa final'!$A$76),"")</f>
        <v/>
      </c>
      <c r="O36" s="315"/>
      <c r="P36" s="323" t="str">
        <f ca="1">IF(AND('Mapa final'!$J$64="Baja",'Mapa final'!$N$64="Menor"),CONCATENATE("R",'Mapa final'!$A$64),"")</f>
        <v/>
      </c>
      <c r="Q36" s="323"/>
      <c r="R36" s="323" t="str">
        <f>IF(AND('Mapa final'!$J$70="Baja",'Mapa final'!$N$70="Menor"),CONCATENATE("R",'Mapa final'!$A$70),"")</f>
        <v/>
      </c>
      <c r="S36" s="323"/>
      <c r="T36" s="323" t="str">
        <f>IF(AND('Mapa final'!$J$76="Baja",'Mapa final'!$N$76="Menor"),CONCATENATE("R",'Mapa final'!$A$76),"")</f>
        <v/>
      </c>
      <c r="U36" s="324"/>
      <c r="V36" s="322" t="str">
        <f ca="1">IF(AND('Mapa final'!$J$64="Baja",'Mapa final'!$N$64="Moderado"),CONCATENATE("R",'Mapa final'!$A$64),"")</f>
        <v/>
      </c>
      <c r="W36" s="323"/>
      <c r="X36" s="323" t="str">
        <f>IF(AND('Mapa final'!$J$70="Baja",'Mapa final'!$N$70="Moderado"),CONCATENATE("R",'Mapa final'!$A$70),"")</f>
        <v/>
      </c>
      <c r="Y36" s="323"/>
      <c r="Z36" s="323" t="str">
        <f>IF(AND('Mapa final'!$J$76="Baja",'Mapa final'!$N$76="Moderado"),CONCATENATE("R",'Mapa final'!$A$76),"")</f>
        <v/>
      </c>
      <c r="AA36" s="324"/>
      <c r="AB36" s="340" t="str">
        <f ca="1">IF(AND('Mapa final'!$J$64="Baja",'Mapa final'!$N$64="Mayor"),CONCATENATE("R",'Mapa final'!$A$64),"")</f>
        <v/>
      </c>
      <c r="AC36" s="341"/>
      <c r="AD36" s="342" t="str">
        <f>IF(AND('Mapa final'!$J$70="Baja",'Mapa final'!$N$70="Mayor"),CONCATENATE("R",'Mapa final'!$A$70),"")</f>
        <v/>
      </c>
      <c r="AE36" s="342"/>
      <c r="AF36" s="342" t="str">
        <f>IF(AND('Mapa final'!$J$76="Baja",'Mapa final'!$N$76="Mayor"),CONCATENATE("R",'Mapa final'!$A$76),"")</f>
        <v/>
      </c>
      <c r="AG36" s="343"/>
      <c r="AH36" s="331" t="str">
        <f ca="1">IF(AND('Mapa final'!$J$64="Baja",'Mapa final'!$N$64="Catastrófico"),CONCATENATE("R",'Mapa final'!$A$64),"")</f>
        <v/>
      </c>
      <c r="AI36" s="332"/>
      <c r="AJ36" s="332" t="str">
        <f>IF(AND('Mapa final'!$J$70="Baja",'Mapa final'!$N$70="Catastrófico"),CONCATENATE("R",'Mapa final'!$A$70),"")</f>
        <v/>
      </c>
      <c r="AK36" s="332"/>
      <c r="AL36" s="332" t="str">
        <f>IF(AND('Mapa final'!$J$76="Baja",'Mapa final'!$N$76="Catastrófico"),CONCATENATE("R",'Mapa final'!$A$76),"")</f>
        <v/>
      </c>
      <c r="AM36" s="333"/>
      <c r="AN36" s="68"/>
      <c r="AO36" s="394"/>
      <c r="AP36" s="395"/>
      <c r="AQ36" s="395"/>
      <c r="AR36" s="395"/>
      <c r="AS36" s="395"/>
      <c r="AT36" s="396"/>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row>
    <row r="37" spans="1:80" ht="15.75" thickBot="1" x14ac:dyDescent="0.3">
      <c r="A37" s="68"/>
      <c r="B37" s="362"/>
      <c r="C37" s="362"/>
      <c r="D37" s="363"/>
      <c r="E37" s="357"/>
      <c r="F37" s="358"/>
      <c r="G37" s="358"/>
      <c r="H37" s="358"/>
      <c r="I37" s="358"/>
      <c r="J37" s="316"/>
      <c r="K37" s="317"/>
      <c r="L37" s="317"/>
      <c r="M37" s="317"/>
      <c r="N37" s="317"/>
      <c r="O37" s="318"/>
      <c r="P37" s="326"/>
      <c r="Q37" s="326"/>
      <c r="R37" s="326"/>
      <c r="S37" s="326"/>
      <c r="T37" s="326"/>
      <c r="U37" s="327"/>
      <c r="V37" s="325"/>
      <c r="W37" s="326"/>
      <c r="X37" s="326"/>
      <c r="Y37" s="326"/>
      <c r="Z37" s="326"/>
      <c r="AA37" s="327"/>
      <c r="AB37" s="344"/>
      <c r="AC37" s="345"/>
      <c r="AD37" s="345"/>
      <c r="AE37" s="345"/>
      <c r="AF37" s="345"/>
      <c r="AG37" s="346"/>
      <c r="AH37" s="334"/>
      <c r="AI37" s="335"/>
      <c r="AJ37" s="335"/>
      <c r="AK37" s="335"/>
      <c r="AL37" s="335"/>
      <c r="AM37" s="336"/>
      <c r="AN37" s="68"/>
      <c r="AO37" s="397"/>
      <c r="AP37" s="398"/>
      <c r="AQ37" s="398"/>
      <c r="AR37" s="398"/>
      <c r="AS37" s="398"/>
      <c r="AT37" s="399"/>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row>
    <row r="38" spans="1:80" x14ac:dyDescent="0.25">
      <c r="A38" s="68"/>
      <c r="B38" s="362"/>
      <c r="C38" s="362"/>
      <c r="D38" s="363"/>
      <c r="E38" s="351" t="s">
        <v>107</v>
      </c>
      <c r="F38" s="352"/>
      <c r="G38" s="352"/>
      <c r="H38" s="352"/>
      <c r="I38" s="353"/>
      <c r="J38" s="319" t="str">
        <f ca="1">IF(AND('Mapa final'!$J$10="Muy Baja",'Mapa final'!$N$10="Leve"),CONCATENATE("R",'Mapa final'!$A$10),"")</f>
        <v/>
      </c>
      <c r="K38" s="320"/>
      <c r="L38" s="320" t="str">
        <f ca="1">IF(AND('Mapa final'!$J$16="Muy Baja",'Mapa final'!$N$16="Leve"),CONCATENATE("R",'Mapa final'!$A$16),"")</f>
        <v/>
      </c>
      <c r="M38" s="320"/>
      <c r="N38" s="320" t="str">
        <f ca="1">IF(AND('Mapa final'!$J$22="Muy Baja",'Mapa final'!$N$22="Leve"),CONCATENATE("R",'Mapa final'!$A$22),"")</f>
        <v/>
      </c>
      <c r="O38" s="321"/>
      <c r="P38" s="319" t="str">
        <f ca="1">IF(AND('Mapa final'!$J$10="Muy Baja",'Mapa final'!$N$10="Menor"),CONCATENATE("R",'Mapa final'!$A$10),"")</f>
        <v/>
      </c>
      <c r="Q38" s="320"/>
      <c r="R38" s="320" t="str">
        <f ca="1">IF(AND('Mapa final'!$J$16="Muy Baja",'Mapa final'!$N$16="Menor"),CONCATENATE("R",'Mapa final'!$A$16),"")</f>
        <v/>
      </c>
      <c r="S38" s="320"/>
      <c r="T38" s="320" t="str">
        <f ca="1">IF(AND('Mapa final'!$J$22="Muy Baja",'Mapa final'!$N$22="Menor"),CONCATENATE("R",'Mapa final'!$A$22),"")</f>
        <v/>
      </c>
      <c r="U38" s="321"/>
      <c r="V38" s="328" t="str">
        <f ca="1">IF(AND('Mapa final'!$J$10="Muy Baja",'Mapa final'!$N$10="Moderado"),CONCATENATE("R",'Mapa final'!$A$10),"")</f>
        <v/>
      </c>
      <c r="W38" s="329"/>
      <c r="X38" s="329" t="str">
        <f ca="1">IF(AND('Mapa final'!$J$16="Muy Baja",'Mapa final'!$N$16="Moderado"),CONCATENATE("R",'Mapa final'!$A$16),"")</f>
        <v/>
      </c>
      <c r="Y38" s="329"/>
      <c r="Z38" s="329" t="str">
        <f ca="1">IF(AND('Mapa final'!$J$22="Muy Baja",'Mapa final'!$N$22="Moderado"),CONCATENATE("R",'Mapa final'!$A$22),"")</f>
        <v/>
      </c>
      <c r="AA38" s="330"/>
      <c r="AB38" s="347" t="str">
        <f ca="1">IF(AND('Mapa final'!$J$10="Muy Baja",'Mapa final'!$N$10="Mayor"),CONCATENATE("R",'Mapa final'!$A$10),"")</f>
        <v/>
      </c>
      <c r="AC38" s="348"/>
      <c r="AD38" s="348" t="str">
        <f ca="1">IF(AND('Mapa final'!$J$16="Muy Baja",'Mapa final'!$N$16="Mayor"),CONCATENATE("R",'Mapa final'!$A$16),"")</f>
        <v/>
      </c>
      <c r="AE38" s="348"/>
      <c r="AF38" s="348" t="str">
        <f ca="1">IF(AND('Mapa final'!$J$22="Muy Baja",'Mapa final'!$N$22="Mayor"),CONCATENATE("R",'Mapa final'!$A$22),"")</f>
        <v/>
      </c>
      <c r="AG38" s="349"/>
      <c r="AH38" s="337" t="str">
        <f ca="1">IF(AND('Mapa final'!$J$10="Muy Baja",'Mapa final'!$N$10="Catastrófico"),CONCATENATE("R",'Mapa final'!$A$10),"")</f>
        <v/>
      </c>
      <c r="AI38" s="338"/>
      <c r="AJ38" s="338" t="str">
        <f ca="1">IF(AND('Mapa final'!$J$16="Muy Baja",'Mapa final'!$N$16="Catastrófico"),CONCATENATE("R",'Mapa final'!$A$16),"")</f>
        <v/>
      </c>
      <c r="AK38" s="338"/>
      <c r="AL38" s="338" t="str">
        <f ca="1">IF(AND('Mapa final'!$J$22="Muy Baja",'Mapa final'!$N$22="Catastrófico"),CONCATENATE("R",'Mapa final'!$A$22),"")</f>
        <v/>
      </c>
      <c r="AM38" s="339"/>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row>
    <row r="39" spans="1:80" x14ac:dyDescent="0.25">
      <c r="A39" s="68"/>
      <c r="B39" s="362"/>
      <c r="C39" s="362"/>
      <c r="D39" s="363"/>
      <c r="E39" s="354"/>
      <c r="F39" s="355"/>
      <c r="G39" s="355"/>
      <c r="H39" s="355"/>
      <c r="I39" s="356"/>
      <c r="J39" s="313"/>
      <c r="K39" s="314"/>
      <c r="L39" s="314"/>
      <c r="M39" s="314"/>
      <c r="N39" s="314"/>
      <c r="O39" s="315"/>
      <c r="P39" s="313"/>
      <c r="Q39" s="314"/>
      <c r="R39" s="314"/>
      <c r="S39" s="314"/>
      <c r="T39" s="314"/>
      <c r="U39" s="315"/>
      <c r="V39" s="322"/>
      <c r="W39" s="323"/>
      <c r="X39" s="323"/>
      <c r="Y39" s="323"/>
      <c r="Z39" s="323"/>
      <c r="AA39" s="324"/>
      <c r="AB39" s="340"/>
      <c r="AC39" s="341"/>
      <c r="AD39" s="341"/>
      <c r="AE39" s="341"/>
      <c r="AF39" s="341"/>
      <c r="AG39" s="343"/>
      <c r="AH39" s="331"/>
      <c r="AI39" s="332"/>
      <c r="AJ39" s="332"/>
      <c r="AK39" s="332"/>
      <c r="AL39" s="332"/>
      <c r="AM39" s="333"/>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row>
    <row r="40" spans="1:80" x14ac:dyDescent="0.25">
      <c r="A40" s="68"/>
      <c r="B40" s="362"/>
      <c r="C40" s="362"/>
      <c r="D40" s="363"/>
      <c r="E40" s="354"/>
      <c r="F40" s="355"/>
      <c r="G40" s="355"/>
      <c r="H40" s="355"/>
      <c r="I40" s="356"/>
      <c r="J40" s="313" t="str">
        <f ca="1">IF(AND('Mapa final'!$J$28="Muy Baja",'Mapa final'!$N$28="Leve"),CONCATENATE("R",'Mapa final'!$A$28),"")</f>
        <v/>
      </c>
      <c r="K40" s="314"/>
      <c r="L40" s="314" t="str">
        <f ca="1">IF(AND('Mapa final'!$J$34="Muy Baja",'Mapa final'!$N$34="Leve"),CONCATENATE("R",'Mapa final'!$A$34),"")</f>
        <v/>
      </c>
      <c r="M40" s="314"/>
      <c r="N40" s="314" t="str">
        <f ca="1">IF(AND('Mapa final'!$J$40="Muy Baja",'Mapa final'!$N$40="Leve"),CONCATENATE("R",'Mapa final'!$A$40),"")</f>
        <v/>
      </c>
      <c r="O40" s="315"/>
      <c r="P40" s="313" t="str">
        <f ca="1">IF(AND('Mapa final'!$J$28="Muy Baja",'Mapa final'!$N$28="Menor"),CONCATENATE("R",'Mapa final'!$A$28),"")</f>
        <v/>
      </c>
      <c r="Q40" s="314"/>
      <c r="R40" s="314" t="str">
        <f ca="1">IF(AND('Mapa final'!$J$34="Muy Baja",'Mapa final'!$N$34="Menor"),CONCATENATE("R",'Mapa final'!$A$34),"")</f>
        <v/>
      </c>
      <c r="S40" s="314"/>
      <c r="T40" s="314" t="str">
        <f ca="1">IF(AND('Mapa final'!$J$40="Muy Baja",'Mapa final'!$N$40="Menor"),CONCATENATE("R",'Mapa final'!$A$40),"")</f>
        <v/>
      </c>
      <c r="U40" s="315"/>
      <c r="V40" s="322" t="str">
        <f ca="1">IF(AND('Mapa final'!$J$28="Muy Baja",'Mapa final'!$N$28="Moderado"),CONCATENATE("R",'Mapa final'!$A$28),"")</f>
        <v/>
      </c>
      <c r="W40" s="323"/>
      <c r="X40" s="323" t="str">
        <f ca="1">IF(AND('Mapa final'!$J$34="Muy Baja",'Mapa final'!$N$34="Moderado"),CONCATENATE("R",'Mapa final'!$A$34),"")</f>
        <v/>
      </c>
      <c r="Y40" s="323"/>
      <c r="Z40" s="323" t="str">
        <f ca="1">IF(AND('Mapa final'!$J$40="Muy Baja",'Mapa final'!$N$40="Moderado"),CONCATENATE("R",'Mapa final'!$A$40),"")</f>
        <v/>
      </c>
      <c r="AA40" s="324"/>
      <c r="AB40" s="340" t="str">
        <f ca="1">IF(AND('Mapa final'!$J$28="Muy Baja",'Mapa final'!$N$28="Mayor"),CONCATENATE("R",'Mapa final'!$A$28),"")</f>
        <v/>
      </c>
      <c r="AC40" s="341"/>
      <c r="AD40" s="342" t="str">
        <f ca="1">IF(AND('Mapa final'!$J$34="Muy Baja",'Mapa final'!$N$34="Mayor"),CONCATENATE("R",'Mapa final'!$A$34),"")</f>
        <v/>
      </c>
      <c r="AE40" s="342"/>
      <c r="AF40" s="342" t="str">
        <f ca="1">IF(AND('Mapa final'!$J$40="Muy Baja",'Mapa final'!$N$40="Mayor"),CONCATENATE("R",'Mapa final'!$A$40),"")</f>
        <v/>
      </c>
      <c r="AG40" s="343"/>
      <c r="AH40" s="331" t="str">
        <f ca="1">IF(AND('Mapa final'!$J$28="Muy Baja",'Mapa final'!$N$28="Catastrófico"),CONCATENATE("R",'Mapa final'!$A$28),"")</f>
        <v/>
      </c>
      <c r="AI40" s="332"/>
      <c r="AJ40" s="332" t="str">
        <f ca="1">IF(AND('Mapa final'!$J$34="Muy Baja",'Mapa final'!$N$34="Catastrófico"),CONCATENATE("R",'Mapa final'!$A$34),"")</f>
        <v/>
      </c>
      <c r="AK40" s="332"/>
      <c r="AL40" s="332" t="str">
        <f ca="1">IF(AND('Mapa final'!$J$40="Muy Baja",'Mapa final'!$N$40="Catastrófico"),CONCATENATE("R",'Mapa final'!$A$40),"")</f>
        <v/>
      </c>
      <c r="AM40" s="333"/>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row>
    <row r="41" spans="1:80" x14ac:dyDescent="0.25">
      <c r="A41" s="68"/>
      <c r="B41" s="362"/>
      <c r="C41" s="362"/>
      <c r="D41" s="363"/>
      <c r="E41" s="354"/>
      <c r="F41" s="355"/>
      <c r="G41" s="355"/>
      <c r="H41" s="355"/>
      <c r="I41" s="356"/>
      <c r="J41" s="313"/>
      <c r="K41" s="314"/>
      <c r="L41" s="314"/>
      <c r="M41" s="314"/>
      <c r="N41" s="314"/>
      <c r="O41" s="315"/>
      <c r="P41" s="313"/>
      <c r="Q41" s="314"/>
      <c r="R41" s="314"/>
      <c r="S41" s="314"/>
      <c r="T41" s="314"/>
      <c r="U41" s="315"/>
      <c r="V41" s="322"/>
      <c r="W41" s="323"/>
      <c r="X41" s="323"/>
      <c r="Y41" s="323"/>
      <c r="Z41" s="323"/>
      <c r="AA41" s="324"/>
      <c r="AB41" s="340"/>
      <c r="AC41" s="341"/>
      <c r="AD41" s="342"/>
      <c r="AE41" s="342"/>
      <c r="AF41" s="342"/>
      <c r="AG41" s="343"/>
      <c r="AH41" s="331"/>
      <c r="AI41" s="332"/>
      <c r="AJ41" s="332"/>
      <c r="AK41" s="332"/>
      <c r="AL41" s="332"/>
      <c r="AM41" s="333"/>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row>
    <row r="42" spans="1:80" x14ac:dyDescent="0.25">
      <c r="A42" s="68"/>
      <c r="B42" s="362"/>
      <c r="C42" s="362"/>
      <c r="D42" s="363"/>
      <c r="E42" s="354"/>
      <c r="F42" s="355"/>
      <c r="G42" s="355"/>
      <c r="H42" s="355"/>
      <c r="I42" s="356"/>
      <c r="J42" s="313" t="str">
        <f ca="1">IF(AND('Mapa final'!$J$46="Muy Baja",'Mapa final'!$N$46="Leve"),CONCATENATE("R",'Mapa final'!$A$46),"")</f>
        <v/>
      </c>
      <c r="K42" s="314"/>
      <c r="L42" s="314" t="str">
        <f ca="1">IF(AND('Mapa final'!$J$52="Muy Baja",'Mapa final'!$N$52="Leve"),CONCATENATE("R",'Mapa final'!$A$52),"")</f>
        <v/>
      </c>
      <c r="M42" s="314"/>
      <c r="N42" s="314" t="str">
        <f ca="1">IF(AND('Mapa final'!$J$58="Muy Baja",'Mapa final'!$N$58="Leve"),CONCATENATE("R",'Mapa final'!$A$58),"")</f>
        <v/>
      </c>
      <c r="O42" s="315"/>
      <c r="P42" s="313" t="str">
        <f ca="1">IF(AND('Mapa final'!$J$46="Muy Baja",'Mapa final'!$N$46="Menor"),CONCATENATE("R",'Mapa final'!$A$46),"")</f>
        <v/>
      </c>
      <c r="Q42" s="314"/>
      <c r="R42" s="314" t="str">
        <f ca="1">IF(AND('Mapa final'!$J$52="Muy Baja",'Mapa final'!$N$52="Menor"),CONCATENATE("R",'Mapa final'!$A$52),"")</f>
        <v/>
      </c>
      <c r="S42" s="314"/>
      <c r="T42" s="314" t="str">
        <f ca="1">IF(AND('Mapa final'!$J$58="Muy Baja",'Mapa final'!$N$58="Menor"),CONCATENATE("R",'Mapa final'!$A$58),"")</f>
        <v/>
      </c>
      <c r="U42" s="315"/>
      <c r="V42" s="322" t="str">
        <f ca="1">IF(AND('Mapa final'!$J$46="Muy Baja",'Mapa final'!$N$46="Moderado"),CONCATENATE("R",'Mapa final'!$A$46),"")</f>
        <v/>
      </c>
      <c r="W42" s="323"/>
      <c r="X42" s="323" t="str">
        <f ca="1">IF(AND('Mapa final'!$J$52="Muy Baja",'Mapa final'!$N$52="Moderado"),CONCATENATE("R",'Mapa final'!$A$52),"")</f>
        <v/>
      </c>
      <c r="Y42" s="323"/>
      <c r="Z42" s="323" t="str">
        <f ca="1">IF(AND('Mapa final'!$J$58="Muy Baja",'Mapa final'!$N$58="Moderado"),CONCATENATE("R",'Mapa final'!$A$58),"")</f>
        <v/>
      </c>
      <c r="AA42" s="324"/>
      <c r="AB42" s="340" t="str">
        <f ca="1">IF(AND('Mapa final'!$J$46="Muy Baja",'Mapa final'!$N$46="Mayor"),CONCATENATE("R",'Mapa final'!$A$46),"")</f>
        <v/>
      </c>
      <c r="AC42" s="341"/>
      <c r="AD42" s="342" t="str">
        <f ca="1">IF(AND('Mapa final'!$J$52="Muy Baja",'Mapa final'!$N$52="Mayor"),CONCATENATE("R",'Mapa final'!$A$52),"")</f>
        <v/>
      </c>
      <c r="AE42" s="342"/>
      <c r="AF42" s="342" t="str">
        <f ca="1">IF(AND('Mapa final'!$J$58="Muy Baja",'Mapa final'!$N$58="Mayor"),CONCATENATE("R",'Mapa final'!$A$58),"")</f>
        <v/>
      </c>
      <c r="AG42" s="343"/>
      <c r="AH42" s="331" t="str">
        <f ca="1">IF(AND('Mapa final'!$J$46="Muy Baja",'Mapa final'!$N$46="Catastrófico"),CONCATENATE("R",'Mapa final'!$A$46),"")</f>
        <v/>
      </c>
      <c r="AI42" s="332"/>
      <c r="AJ42" s="332" t="str">
        <f ca="1">IF(AND('Mapa final'!$J$52="Muy Baja",'Mapa final'!$N$52="Catastrófico"),CONCATENATE("R",'Mapa final'!$A$52),"")</f>
        <v/>
      </c>
      <c r="AK42" s="332"/>
      <c r="AL42" s="332" t="str">
        <f ca="1">IF(AND('Mapa final'!$J$58="Muy Baja",'Mapa final'!$N$58="Catastrófico"),CONCATENATE("R",'Mapa final'!$A$58),"")</f>
        <v/>
      </c>
      <c r="AM42" s="333"/>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row>
    <row r="43" spans="1:80" x14ac:dyDescent="0.25">
      <c r="A43" s="68"/>
      <c r="B43" s="362"/>
      <c r="C43" s="362"/>
      <c r="D43" s="363"/>
      <c r="E43" s="354"/>
      <c r="F43" s="355"/>
      <c r="G43" s="355"/>
      <c r="H43" s="355"/>
      <c r="I43" s="356"/>
      <c r="J43" s="313"/>
      <c r="K43" s="314"/>
      <c r="L43" s="314"/>
      <c r="M43" s="314"/>
      <c r="N43" s="314"/>
      <c r="O43" s="315"/>
      <c r="P43" s="313"/>
      <c r="Q43" s="314"/>
      <c r="R43" s="314"/>
      <c r="S43" s="314"/>
      <c r="T43" s="314"/>
      <c r="U43" s="315"/>
      <c r="V43" s="322"/>
      <c r="W43" s="323"/>
      <c r="X43" s="323"/>
      <c r="Y43" s="323"/>
      <c r="Z43" s="323"/>
      <c r="AA43" s="324"/>
      <c r="AB43" s="340"/>
      <c r="AC43" s="341"/>
      <c r="AD43" s="342"/>
      <c r="AE43" s="342"/>
      <c r="AF43" s="342"/>
      <c r="AG43" s="343"/>
      <c r="AH43" s="331"/>
      <c r="AI43" s="332"/>
      <c r="AJ43" s="332"/>
      <c r="AK43" s="332"/>
      <c r="AL43" s="332"/>
      <c r="AM43" s="333"/>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row>
    <row r="44" spans="1:80" x14ac:dyDescent="0.25">
      <c r="A44" s="68"/>
      <c r="B44" s="362"/>
      <c r="C44" s="362"/>
      <c r="D44" s="363"/>
      <c r="E44" s="354"/>
      <c r="F44" s="355"/>
      <c r="G44" s="355"/>
      <c r="H44" s="355"/>
      <c r="I44" s="356"/>
      <c r="J44" s="313" t="str">
        <f ca="1">IF(AND('Mapa final'!$J$64="Muy Baja",'Mapa final'!$N$64="Leve"),CONCATENATE("R",'Mapa final'!$A$64),"")</f>
        <v/>
      </c>
      <c r="K44" s="314"/>
      <c r="L44" s="314" t="str">
        <f>IF(AND('Mapa final'!$J$70="Muy Baja",'Mapa final'!$N$70="Leve"),CONCATENATE("R",'Mapa final'!$A$70),"")</f>
        <v/>
      </c>
      <c r="M44" s="314"/>
      <c r="N44" s="314" t="str">
        <f>IF(AND('Mapa final'!$J$76="Muy Baja",'Mapa final'!$N$76="Leve"),CONCATENATE("R",'Mapa final'!$A$76),"")</f>
        <v/>
      </c>
      <c r="O44" s="315"/>
      <c r="P44" s="313" t="str">
        <f ca="1">IF(AND('Mapa final'!$J$64="Muy Baja",'Mapa final'!$N$64="Menor"),CONCATENATE("R",'Mapa final'!$A$64),"")</f>
        <v/>
      </c>
      <c r="Q44" s="314"/>
      <c r="R44" s="314" t="str">
        <f>IF(AND('Mapa final'!$J$70="Muy Baja",'Mapa final'!$N$70="Menor"),CONCATENATE("R",'Mapa final'!$A$70),"")</f>
        <v/>
      </c>
      <c r="S44" s="314"/>
      <c r="T44" s="314" t="str">
        <f>IF(AND('Mapa final'!$J$76="Muy Baja",'Mapa final'!$N$76="Menor"),CONCATENATE("R",'Mapa final'!$A$76),"")</f>
        <v/>
      </c>
      <c r="U44" s="315"/>
      <c r="V44" s="322" t="str">
        <f ca="1">IF(AND('Mapa final'!$J$64="Muy Baja",'Mapa final'!$N$64="Moderado"),CONCATENATE("R",'Mapa final'!$A$64),"")</f>
        <v/>
      </c>
      <c r="W44" s="323"/>
      <c r="X44" s="323" t="str">
        <f>IF(AND('Mapa final'!$J$70="Muy Baja",'Mapa final'!$N$70="Moderado"),CONCATENATE("R",'Mapa final'!$A$70),"")</f>
        <v/>
      </c>
      <c r="Y44" s="323"/>
      <c r="Z44" s="323" t="str">
        <f>IF(AND('Mapa final'!$J$76="Muy Baja",'Mapa final'!$N$76="Moderado"),CONCATENATE("R",'Mapa final'!$A$76),"")</f>
        <v/>
      </c>
      <c r="AA44" s="324"/>
      <c r="AB44" s="340" t="str">
        <f ca="1">IF(AND('Mapa final'!$J$64="Muy Baja",'Mapa final'!$N$64="Mayor"),CONCATENATE("R",'Mapa final'!$A$64),"")</f>
        <v/>
      </c>
      <c r="AC44" s="341"/>
      <c r="AD44" s="342" t="str">
        <f>IF(AND('Mapa final'!$J$70="Muy Baja",'Mapa final'!$N$70="Mayor"),CONCATENATE("R",'Mapa final'!$A$70),"")</f>
        <v/>
      </c>
      <c r="AE44" s="342"/>
      <c r="AF44" s="342" t="str">
        <f>IF(AND('Mapa final'!$J$76="Muy Baja",'Mapa final'!$N$76="Mayor"),CONCATENATE("R",'Mapa final'!$A$76),"")</f>
        <v/>
      </c>
      <c r="AG44" s="343"/>
      <c r="AH44" s="331" t="str">
        <f ca="1">IF(AND('Mapa final'!$J$64="Muy Baja",'Mapa final'!$N$64="Catastrófico"),CONCATENATE("R",'Mapa final'!$A$64),"")</f>
        <v/>
      </c>
      <c r="AI44" s="332"/>
      <c r="AJ44" s="332" t="str">
        <f>IF(AND('Mapa final'!$J$70="Muy Baja",'Mapa final'!$N$70="Catastrófico"),CONCATENATE("R",'Mapa final'!$A$70),"")</f>
        <v/>
      </c>
      <c r="AK44" s="332"/>
      <c r="AL44" s="332" t="str">
        <f>IF(AND('Mapa final'!$J$76="Muy Baja",'Mapa final'!$N$76="Catastrófico"),CONCATENATE("R",'Mapa final'!$A$76),"")</f>
        <v/>
      </c>
      <c r="AM44" s="333"/>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row>
    <row r="45" spans="1:80" ht="15.75" thickBot="1" x14ac:dyDescent="0.3">
      <c r="A45" s="68"/>
      <c r="B45" s="362"/>
      <c r="C45" s="362"/>
      <c r="D45" s="363"/>
      <c r="E45" s="357"/>
      <c r="F45" s="358"/>
      <c r="G45" s="358"/>
      <c r="H45" s="358"/>
      <c r="I45" s="359"/>
      <c r="J45" s="316"/>
      <c r="K45" s="317"/>
      <c r="L45" s="317"/>
      <c r="M45" s="317"/>
      <c r="N45" s="317"/>
      <c r="O45" s="318"/>
      <c r="P45" s="316"/>
      <c r="Q45" s="317"/>
      <c r="R45" s="317"/>
      <c r="S45" s="317"/>
      <c r="T45" s="317"/>
      <c r="U45" s="318"/>
      <c r="V45" s="325"/>
      <c r="W45" s="326"/>
      <c r="X45" s="326"/>
      <c r="Y45" s="326"/>
      <c r="Z45" s="326"/>
      <c r="AA45" s="327"/>
      <c r="AB45" s="344"/>
      <c r="AC45" s="345"/>
      <c r="AD45" s="345"/>
      <c r="AE45" s="345"/>
      <c r="AF45" s="345"/>
      <c r="AG45" s="346"/>
      <c r="AH45" s="334"/>
      <c r="AI45" s="335"/>
      <c r="AJ45" s="335"/>
      <c r="AK45" s="335"/>
      <c r="AL45" s="335"/>
      <c r="AM45" s="336"/>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row>
    <row r="46" spans="1:80" x14ac:dyDescent="0.25">
      <c r="A46" s="68"/>
      <c r="B46" s="68"/>
      <c r="C46" s="68"/>
      <c r="D46" s="68"/>
      <c r="E46" s="68"/>
      <c r="F46" s="68"/>
      <c r="G46" s="68"/>
      <c r="H46" s="68"/>
      <c r="I46" s="68"/>
      <c r="J46" s="351" t="s">
        <v>106</v>
      </c>
      <c r="K46" s="352"/>
      <c r="L46" s="352"/>
      <c r="M46" s="352"/>
      <c r="N46" s="352"/>
      <c r="O46" s="353"/>
      <c r="P46" s="351" t="s">
        <v>105</v>
      </c>
      <c r="Q46" s="352"/>
      <c r="R46" s="352"/>
      <c r="S46" s="352"/>
      <c r="T46" s="352"/>
      <c r="U46" s="353"/>
      <c r="V46" s="351" t="s">
        <v>104</v>
      </c>
      <c r="W46" s="352"/>
      <c r="X46" s="352"/>
      <c r="Y46" s="352"/>
      <c r="Z46" s="352"/>
      <c r="AA46" s="353"/>
      <c r="AB46" s="351" t="s">
        <v>103</v>
      </c>
      <c r="AC46" s="361"/>
      <c r="AD46" s="352"/>
      <c r="AE46" s="352"/>
      <c r="AF46" s="352"/>
      <c r="AG46" s="353"/>
      <c r="AH46" s="351" t="s">
        <v>102</v>
      </c>
      <c r="AI46" s="352"/>
      <c r="AJ46" s="352"/>
      <c r="AK46" s="352"/>
      <c r="AL46" s="352"/>
      <c r="AM46" s="353"/>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x14ac:dyDescent="0.25">
      <c r="A47" s="68"/>
      <c r="B47" s="68"/>
      <c r="C47" s="68"/>
      <c r="D47" s="68"/>
      <c r="E47" s="68"/>
      <c r="F47" s="68"/>
      <c r="G47" s="68"/>
      <c r="H47" s="68"/>
      <c r="I47" s="68"/>
      <c r="J47" s="354"/>
      <c r="K47" s="355"/>
      <c r="L47" s="355"/>
      <c r="M47" s="355"/>
      <c r="N47" s="355"/>
      <c r="O47" s="356"/>
      <c r="P47" s="354"/>
      <c r="Q47" s="355"/>
      <c r="R47" s="355"/>
      <c r="S47" s="355"/>
      <c r="T47" s="355"/>
      <c r="U47" s="356"/>
      <c r="V47" s="354"/>
      <c r="W47" s="355"/>
      <c r="X47" s="355"/>
      <c r="Y47" s="355"/>
      <c r="Z47" s="355"/>
      <c r="AA47" s="356"/>
      <c r="AB47" s="354"/>
      <c r="AC47" s="355"/>
      <c r="AD47" s="355"/>
      <c r="AE47" s="355"/>
      <c r="AF47" s="355"/>
      <c r="AG47" s="356"/>
      <c r="AH47" s="354"/>
      <c r="AI47" s="355"/>
      <c r="AJ47" s="355"/>
      <c r="AK47" s="355"/>
      <c r="AL47" s="355"/>
      <c r="AM47" s="356"/>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x14ac:dyDescent="0.25">
      <c r="A48" s="68"/>
      <c r="B48" s="68"/>
      <c r="C48" s="68"/>
      <c r="D48" s="68"/>
      <c r="E48" s="68"/>
      <c r="F48" s="68"/>
      <c r="G48" s="68"/>
      <c r="H48" s="68"/>
      <c r="I48" s="68"/>
      <c r="J48" s="354"/>
      <c r="K48" s="355"/>
      <c r="L48" s="355"/>
      <c r="M48" s="355"/>
      <c r="N48" s="355"/>
      <c r="O48" s="356"/>
      <c r="P48" s="354"/>
      <c r="Q48" s="355"/>
      <c r="R48" s="355"/>
      <c r="S48" s="355"/>
      <c r="T48" s="355"/>
      <c r="U48" s="356"/>
      <c r="V48" s="354"/>
      <c r="W48" s="355"/>
      <c r="X48" s="355"/>
      <c r="Y48" s="355"/>
      <c r="Z48" s="355"/>
      <c r="AA48" s="356"/>
      <c r="AB48" s="354"/>
      <c r="AC48" s="355"/>
      <c r="AD48" s="355"/>
      <c r="AE48" s="355"/>
      <c r="AF48" s="355"/>
      <c r="AG48" s="356"/>
      <c r="AH48" s="354"/>
      <c r="AI48" s="355"/>
      <c r="AJ48" s="355"/>
      <c r="AK48" s="355"/>
      <c r="AL48" s="355"/>
      <c r="AM48" s="356"/>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x14ac:dyDescent="0.25">
      <c r="A49" s="68"/>
      <c r="B49" s="68"/>
      <c r="C49" s="68"/>
      <c r="D49" s="68"/>
      <c r="E49" s="68"/>
      <c r="F49" s="68"/>
      <c r="G49" s="68"/>
      <c r="H49" s="68"/>
      <c r="I49" s="68"/>
      <c r="J49" s="354"/>
      <c r="K49" s="355"/>
      <c r="L49" s="355"/>
      <c r="M49" s="355"/>
      <c r="N49" s="355"/>
      <c r="O49" s="356"/>
      <c r="P49" s="354"/>
      <c r="Q49" s="355"/>
      <c r="R49" s="355"/>
      <c r="S49" s="355"/>
      <c r="T49" s="355"/>
      <c r="U49" s="356"/>
      <c r="V49" s="354"/>
      <c r="W49" s="355"/>
      <c r="X49" s="355"/>
      <c r="Y49" s="355"/>
      <c r="Z49" s="355"/>
      <c r="AA49" s="356"/>
      <c r="AB49" s="354"/>
      <c r="AC49" s="355"/>
      <c r="AD49" s="355"/>
      <c r="AE49" s="355"/>
      <c r="AF49" s="355"/>
      <c r="AG49" s="356"/>
      <c r="AH49" s="354"/>
      <c r="AI49" s="355"/>
      <c r="AJ49" s="355"/>
      <c r="AK49" s="355"/>
      <c r="AL49" s="355"/>
      <c r="AM49" s="356"/>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x14ac:dyDescent="0.25">
      <c r="A50" s="68"/>
      <c r="B50" s="68"/>
      <c r="C50" s="68"/>
      <c r="D50" s="68"/>
      <c r="E50" s="68"/>
      <c r="F50" s="68"/>
      <c r="G50" s="68"/>
      <c r="H50" s="68"/>
      <c r="I50" s="68"/>
      <c r="J50" s="354"/>
      <c r="K50" s="355"/>
      <c r="L50" s="355"/>
      <c r="M50" s="355"/>
      <c r="N50" s="355"/>
      <c r="O50" s="356"/>
      <c r="P50" s="354"/>
      <c r="Q50" s="355"/>
      <c r="R50" s="355"/>
      <c r="S50" s="355"/>
      <c r="T50" s="355"/>
      <c r="U50" s="356"/>
      <c r="V50" s="354"/>
      <c r="W50" s="355"/>
      <c r="X50" s="355"/>
      <c r="Y50" s="355"/>
      <c r="Z50" s="355"/>
      <c r="AA50" s="356"/>
      <c r="AB50" s="354"/>
      <c r="AC50" s="355"/>
      <c r="AD50" s="355"/>
      <c r="AE50" s="355"/>
      <c r="AF50" s="355"/>
      <c r="AG50" s="356"/>
      <c r="AH50" s="354"/>
      <c r="AI50" s="355"/>
      <c r="AJ50" s="355"/>
      <c r="AK50" s="355"/>
      <c r="AL50" s="355"/>
      <c r="AM50" s="356"/>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75" thickBot="1" x14ac:dyDescent="0.3">
      <c r="A51" s="68"/>
      <c r="B51" s="68"/>
      <c r="C51" s="68"/>
      <c r="D51" s="68"/>
      <c r="E51" s="68"/>
      <c r="F51" s="68"/>
      <c r="G51" s="68"/>
      <c r="H51" s="68"/>
      <c r="I51" s="68"/>
      <c r="J51" s="357"/>
      <c r="K51" s="358"/>
      <c r="L51" s="358"/>
      <c r="M51" s="358"/>
      <c r="N51" s="358"/>
      <c r="O51" s="359"/>
      <c r="P51" s="357"/>
      <c r="Q51" s="358"/>
      <c r="R51" s="358"/>
      <c r="S51" s="358"/>
      <c r="T51" s="358"/>
      <c r="U51" s="359"/>
      <c r="V51" s="357"/>
      <c r="W51" s="358"/>
      <c r="X51" s="358"/>
      <c r="Y51" s="358"/>
      <c r="Z51" s="358"/>
      <c r="AA51" s="359"/>
      <c r="AB51" s="357"/>
      <c r="AC51" s="358"/>
      <c r="AD51" s="358"/>
      <c r="AE51" s="358"/>
      <c r="AF51" s="358"/>
      <c r="AG51" s="359"/>
      <c r="AH51" s="357"/>
      <c r="AI51" s="358"/>
      <c r="AJ51" s="358"/>
      <c r="AK51" s="358"/>
      <c r="AL51" s="358"/>
      <c r="AM51" s="359"/>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x14ac:dyDescent="0.2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x14ac:dyDescent="0.2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x14ac:dyDescent="0.2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row>
    <row r="63" spans="1:80" x14ac:dyDescent="0.2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row>
    <row r="64" spans="1:80" x14ac:dyDescent="0.2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row>
    <row r="65" spans="1:8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row>
    <row r="66" spans="1:8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row>
    <row r="67" spans="1:8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row>
    <row r="68" spans="1:8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row>
    <row r="69" spans="1:8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row>
    <row r="70" spans="1:8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row>
    <row r="71" spans="1:8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row>
    <row r="72" spans="1:8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row>
    <row r="73" spans="1:8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row>
    <row r="74" spans="1:8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row>
    <row r="75" spans="1:8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row>
    <row r="76" spans="1:8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row>
    <row r="77" spans="1:8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row>
    <row r="78" spans="1:8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row>
    <row r="79" spans="1:8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row>
    <row r="80" spans="1:8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row>
    <row r="81" spans="1:63"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row>
    <row r="82" spans="1:63"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row>
    <row r="83" spans="1:63"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row>
    <row r="84" spans="1:63"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row>
    <row r="85" spans="1:63"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row>
    <row r="86" spans="1:63"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row>
    <row r="87" spans="1:63"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row>
    <row r="88" spans="1:63"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row>
    <row r="89" spans="1:63"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row>
    <row r="90" spans="1:63"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row>
    <row r="91" spans="1:63"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row>
    <row r="92" spans="1:63"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row>
    <row r="93" spans="1:63"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row>
    <row r="94" spans="1:63"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row>
    <row r="95" spans="1:63"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row>
    <row r="96" spans="1:63"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row>
    <row r="97" spans="1:63"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row>
    <row r="98" spans="1:63"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row>
    <row r="99" spans="1:63"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row>
    <row r="100" spans="1:63"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row>
    <row r="101" spans="1:63"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row>
    <row r="102" spans="1:63"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row>
    <row r="103" spans="1:63"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row>
    <row r="104" spans="1:63"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row>
    <row r="105" spans="1:63"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row>
    <row r="106" spans="1:63"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row>
    <row r="107" spans="1:63"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row>
    <row r="108" spans="1:63"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row>
    <row r="109" spans="1:63"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row>
    <row r="110" spans="1:63"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row>
    <row r="111" spans="1:63"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row>
    <row r="112" spans="1:63"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row>
    <row r="113" spans="1:63"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row>
    <row r="114" spans="1:63"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row>
    <row r="115" spans="1:63"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row>
    <row r="116" spans="1:63"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row>
    <row r="117" spans="1:63"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row>
    <row r="118" spans="1:63"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row>
    <row r="119" spans="1:63"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row>
    <row r="120" spans="1:63"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row>
    <row r="121" spans="1:63"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row>
    <row r="122" spans="1:63" x14ac:dyDescent="0.25">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row>
    <row r="123" spans="1:63" x14ac:dyDescent="0.25">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row>
    <row r="124" spans="1:63" x14ac:dyDescent="0.25">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row>
    <row r="125" spans="1:63" x14ac:dyDescent="0.25">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row>
    <row r="126" spans="1:63" x14ac:dyDescent="0.25">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row>
    <row r="127" spans="1:63" x14ac:dyDescent="0.25">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row>
    <row r="128" spans="1:63" x14ac:dyDescent="0.25">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row>
    <row r="129" spans="2:63" x14ac:dyDescent="0.25">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row>
    <row r="130" spans="2:63" x14ac:dyDescent="0.25">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row>
    <row r="131" spans="2:63" x14ac:dyDescent="0.25">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row>
    <row r="132" spans="2:63" x14ac:dyDescent="0.25">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row>
    <row r="133" spans="2:63" x14ac:dyDescent="0.25">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row>
    <row r="134" spans="2:63" x14ac:dyDescent="0.25">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row>
    <row r="135" spans="2:63" x14ac:dyDescent="0.25">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row>
    <row r="136" spans="2:63" x14ac:dyDescent="0.25">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row>
    <row r="137" spans="2:63" x14ac:dyDescent="0.25">
      <c r="B137" s="68"/>
      <c r="C137" s="68"/>
      <c r="D137" s="68"/>
      <c r="E137" s="68"/>
      <c r="F137" s="68"/>
      <c r="G137" s="68"/>
      <c r="H137" s="68"/>
      <c r="I137" s="68"/>
    </row>
    <row r="138" spans="2:63" x14ac:dyDescent="0.25">
      <c r="B138" s="68"/>
      <c r="C138" s="68"/>
      <c r="D138" s="68"/>
      <c r="E138" s="68"/>
      <c r="F138" s="68"/>
      <c r="G138" s="68"/>
      <c r="H138" s="68"/>
      <c r="I138" s="68"/>
    </row>
    <row r="139" spans="2:63" x14ac:dyDescent="0.25">
      <c r="B139" s="68"/>
      <c r="C139" s="68"/>
      <c r="D139" s="68"/>
      <c r="E139" s="68"/>
      <c r="F139" s="68"/>
      <c r="G139" s="68"/>
      <c r="H139" s="68"/>
      <c r="I139" s="68"/>
    </row>
    <row r="140" spans="2:63" x14ac:dyDescent="0.25">
      <c r="B140" s="68"/>
      <c r="C140" s="68"/>
      <c r="D140" s="68"/>
      <c r="E140" s="68"/>
      <c r="F140" s="68"/>
      <c r="G140" s="68"/>
      <c r="H140" s="68"/>
      <c r="I140" s="68"/>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row>
    <row r="2" spans="1:91" ht="18" customHeight="1" x14ac:dyDescent="0.25">
      <c r="A2" s="68"/>
      <c r="B2" s="430" t="s">
        <v>148</v>
      </c>
      <c r="C2" s="431"/>
      <c r="D2" s="431"/>
      <c r="E2" s="431"/>
      <c r="F2" s="431"/>
      <c r="G2" s="431"/>
      <c r="H2" s="431"/>
      <c r="I2" s="431"/>
      <c r="J2" s="350" t="s">
        <v>2</v>
      </c>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row>
    <row r="3" spans="1:91" ht="18.75" customHeight="1" x14ac:dyDescent="0.25">
      <c r="A3" s="68"/>
      <c r="B3" s="431"/>
      <c r="C3" s="431"/>
      <c r="D3" s="431"/>
      <c r="E3" s="431"/>
      <c r="F3" s="431"/>
      <c r="G3" s="431"/>
      <c r="H3" s="431"/>
      <c r="I3" s="431"/>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row>
    <row r="4" spans="1:91" ht="15" customHeight="1" x14ac:dyDescent="0.25">
      <c r="A4" s="68"/>
      <c r="B4" s="431"/>
      <c r="C4" s="431"/>
      <c r="D4" s="431"/>
      <c r="E4" s="431"/>
      <c r="F4" s="431"/>
      <c r="G4" s="431"/>
      <c r="H4" s="431"/>
      <c r="I4" s="431"/>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row>
    <row r="5" spans="1:91"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91" ht="15" customHeight="1" x14ac:dyDescent="0.25">
      <c r="A6" s="68"/>
      <c r="B6" s="362" t="s">
        <v>4</v>
      </c>
      <c r="C6" s="362"/>
      <c r="D6" s="363"/>
      <c r="E6" s="400" t="s">
        <v>110</v>
      </c>
      <c r="F6" s="401"/>
      <c r="G6" s="401"/>
      <c r="H6" s="401"/>
      <c r="I6" s="402"/>
      <c r="J6" s="30" t="str">
        <f ca="1">IF(AND('Mapa final'!$AA$10="Muy Alta",'Mapa final'!$AC$10="Leve"),CONCATENATE("R1C",'Mapa final'!$Q$10),"")</f>
        <v/>
      </c>
      <c r="K6" s="31" t="str">
        <f ca="1">IF(AND('Mapa final'!$AA$11="Muy Alta",'Mapa final'!$AC$11="Leve"),CONCATENATE("R1C",'Mapa final'!$Q$11),"")</f>
        <v/>
      </c>
      <c r="L6" s="31" t="str">
        <f>IF(AND('Mapa final'!$AA$12="Muy Alta",'Mapa final'!$AC$12="Leve"),CONCATENATE("R1C",'Mapa final'!$Q$12),"")</f>
        <v/>
      </c>
      <c r="M6" s="31" t="str">
        <f>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 ca="1">IF(AND('Mapa final'!$AA$10="Muy Alta",'Mapa final'!$AC$10="Menor"),CONCATENATE("R1C",'Mapa final'!$Q$10),"")</f>
        <v/>
      </c>
      <c r="Q6" s="31" t="str">
        <f ca="1">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 ca="1">IF(AND('Mapa final'!$AA$10="Muy Alta",'Mapa final'!$AC$10="Moderado"),CONCATENATE("R1C",'Mapa final'!$Q$10),"")</f>
        <v/>
      </c>
      <c r="W6" s="31" t="str">
        <f ca="1">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 ca="1">IF(AND('Mapa final'!$AA$10="Muy Alta",'Mapa final'!$AC$10="Mayor"),CONCATENATE("R1C",'Mapa final'!$Q$10),"")</f>
        <v/>
      </c>
      <c r="AC6" s="31" t="str">
        <f ca="1">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 ca="1">IF(AND('Mapa final'!$AA$10="Muy Alta",'Mapa final'!$AC$10="Catastrófico"),CONCATENATE("R1C",'Mapa final'!$Q$10),"")</f>
        <v/>
      </c>
      <c r="AI6" s="34" t="str">
        <f ca="1">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8"/>
      <c r="AO6" s="421" t="s">
        <v>77</v>
      </c>
      <c r="AP6" s="422"/>
      <c r="AQ6" s="422"/>
      <c r="AR6" s="422"/>
      <c r="AS6" s="422"/>
      <c r="AT6" s="423"/>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row>
    <row r="7" spans="1:91" ht="15" customHeight="1" x14ac:dyDescent="0.25">
      <c r="A7" s="68"/>
      <c r="B7" s="362"/>
      <c r="C7" s="362"/>
      <c r="D7" s="363"/>
      <c r="E7" s="403"/>
      <c r="F7" s="404"/>
      <c r="G7" s="404"/>
      <c r="H7" s="404"/>
      <c r="I7" s="405"/>
      <c r="J7" s="36" t="str">
        <f ca="1">IF(AND('Mapa final'!$AA$16="Muy Alta",'Mapa final'!$AC$16="Leve"),CONCATENATE("R2C",'Mapa final'!$Q$16),"")</f>
        <v/>
      </c>
      <c r="K7" s="37" t="str">
        <f ca="1">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 ca="1">IF(AND('Mapa final'!$AA$16="Muy Alta",'Mapa final'!$AC$16="Menor"),CONCATENATE("R2C",'Mapa final'!$Q$16),"")</f>
        <v/>
      </c>
      <c r="Q7" s="37" t="str">
        <f ca="1">IF(AND('Mapa final'!$AA$17="Muy Alta",'Mapa final'!$AC$17="Menor"),CONCATENATE("R2C",'Mapa final'!$Q$17),"")</f>
        <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 ca="1">IF(AND('Mapa final'!$AA$16="Muy Alta",'Mapa final'!$AC$16="Moderado"),CONCATENATE("R2C",'Mapa final'!$Q$16),"")</f>
        <v/>
      </c>
      <c r="W7" s="37" t="str">
        <f ca="1">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 ca="1">IF(AND('Mapa final'!$AA$16="Muy Alta",'Mapa final'!$AC$16="Mayor"),CONCATENATE("R2C",'Mapa final'!$Q$16),"")</f>
        <v/>
      </c>
      <c r="AC7" s="37" t="str">
        <f ca="1">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 ca="1">IF(AND('Mapa final'!$AA$16="Muy Alta",'Mapa final'!$AC$16="Catastrófico"),CONCATENATE("R2C",'Mapa final'!$Q$16),"")</f>
        <v/>
      </c>
      <c r="AI7" s="40" t="str">
        <f ca="1">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8"/>
      <c r="AO7" s="424"/>
      <c r="AP7" s="425"/>
      <c r="AQ7" s="425"/>
      <c r="AR7" s="425"/>
      <c r="AS7" s="425"/>
      <c r="AT7" s="426"/>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row>
    <row r="8" spans="1:91" ht="15" customHeight="1" x14ac:dyDescent="0.25">
      <c r="A8" s="68"/>
      <c r="B8" s="362"/>
      <c r="C8" s="362"/>
      <c r="D8" s="363"/>
      <c r="E8" s="403"/>
      <c r="F8" s="404"/>
      <c r="G8" s="404"/>
      <c r="H8" s="404"/>
      <c r="I8" s="405"/>
      <c r="J8" s="36" t="str">
        <f ca="1">IF(AND('Mapa final'!$AA$22="Muy Alta",'Mapa final'!$AC$22="Leve"),CONCATENATE("R3C",'Mapa final'!$Q$22),"")</f>
        <v/>
      </c>
      <c r="K8" s="37" t="str">
        <f ca="1">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 ca="1">IF(AND('Mapa final'!$AA$22="Muy Alta",'Mapa final'!$AC$22="Menor"),CONCATENATE("R3C",'Mapa final'!$Q$22),"")</f>
        <v/>
      </c>
      <c r="Q8" s="37" t="str">
        <f ca="1">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 ca="1">IF(AND('Mapa final'!$AA$22="Muy Alta",'Mapa final'!$AC$22="Moderado"),CONCATENATE("R3C",'Mapa final'!$Q$22),"")</f>
        <v/>
      </c>
      <c r="W8" s="37" t="str">
        <f ca="1">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 ca="1">IF(AND('Mapa final'!$AA$22="Muy Alta",'Mapa final'!$AC$22="Mayor"),CONCATENATE("R3C",'Mapa final'!$Q$22),"")</f>
        <v/>
      </c>
      <c r="AC8" s="37" t="str">
        <f ca="1">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 ca="1">IF(AND('Mapa final'!$AA$22="Muy Alta",'Mapa final'!$AC$22="Catastrófico"),CONCATENATE("R3C",'Mapa final'!$Q$22),"")</f>
        <v/>
      </c>
      <c r="AI8" s="40" t="str">
        <f ca="1">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8"/>
      <c r="AO8" s="424"/>
      <c r="AP8" s="425"/>
      <c r="AQ8" s="425"/>
      <c r="AR8" s="425"/>
      <c r="AS8" s="425"/>
      <c r="AT8" s="426"/>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row>
    <row r="9" spans="1:91" ht="15" customHeight="1" x14ac:dyDescent="0.25">
      <c r="A9" s="68"/>
      <c r="B9" s="362"/>
      <c r="C9" s="362"/>
      <c r="D9" s="363"/>
      <c r="E9" s="403"/>
      <c r="F9" s="404"/>
      <c r="G9" s="404"/>
      <c r="H9" s="404"/>
      <c r="I9" s="405"/>
      <c r="J9" s="36" t="str">
        <f>IF(AND('Mapa final'!$AA$28="Muy Alta",'Mapa final'!$AC$28="Leve"),CONCATENATE("R4C",'Mapa final'!$Q$28),"")</f>
        <v/>
      </c>
      <c r="K9" s="37" t="str">
        <f>IF(AND('Mapa final'!$AA$29="Muy Alta",'Mapa final'!$AC$29="Leve"),CONCATENATE("R4C",'Mapa final'!$Q$29),"")</f>
        <v/>
      </c>
      <c r="L9" s="42" t="str">
        <f>IF(AND('Mapa final'!$AA$30="Muy Alta",'Mapa final'!$AC$30="Leve"),CONCATENATE("R4C",'Mapa final'!$Q$30),"")</f>
        <v/>
      </c>
      <c r="M9" s="42" t="str">
        <f>IF(AND('Mapa final'!$AA$31="Muy Alta",'Mapa final'!$AC$31="Leve"),CONCATENATE("R4C",'Mapa final'!$Q$31),"")</f>
        <v/>
      </c>
      <c r="N9" s="42"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42" t="str">
        <f>IF(AND('Mapa final'!$AA$30="Muy Alta",'Mapa final'!$AC$30="Menor"),CONCATENATE("R4C",'Mapa final'!$Q$30),"")</f>
        <v/>
      </c>
      <c r="S9" s="42" t="str">
        <f>IF(AND('Mapa final'!$AA$31="Muy Alta",'Mapa final'!$AC$31="Menor"),CONCATENATE("R4C",'Mapa final'!$Q$31),"")</f>
        <v/>
      </c>
      <c r="T9" s="42"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42" t="str">
        <f>IF(AND('Mapa final'!$AA$30="Muy Alta",'Mapa final'!$AC$30="Moderado"),CONCATENATE("R4C",'Mapa final'!$Q$30),"")</f>
        <v/>
      </c>
      <c r="Y9" s="42" t="str">
        <f>IF(AND('Mapa final'!$AA$31="Muy Alta",'Mapa final'!$AC$31="Moderado"),CONCATENATE("R4C",'Mapa final'!$Q$31),"")</f>
        <v/>
      </c>
      <c r="Z9" s="42"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42" t="str">
        <f>IF(AND('Mapa final'!$AA$30="Muy Alta",'Mapa final'!$AC$30="Mayor"),CONCATENATE("R4C",'Mapa final'!$Q$30),"")</f>
        <v/>
      </c>
      <c r="AE9" s="42" t="str">
        <f>IF(AND('Mapa final'!$AA$31="Muy Alta",'Mapa final'!$AC$31="Mayor"),CONCATENATE("R4C",'Mapa final'!$Q$31),"")</f>
        <v/>
      </c>
      <c r="AF9" s="42"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8"/>
      <c r="AO9" s="424"/>
      <c r="AP9" s="425"/>
      <c r="AQ9" s="425"/>
      <c r="AR9" s="425"/>
      <c r="AS9" s="425"/>
      <c r="AT9" s="426"/>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row>
    <row r="10" spans="1:91" ht="15" customHeight="1" x14ac:dyDescent="0.25">
      <c r="A10" s="68"/>
      <c r="B10" s="362"/>
      <c r="C10" s="362"/>
      <c r="D10" s="363"/>
      <c r="E10" s="403"/>
      <c r="F10" s="404"/>
      <c r="G10" s="404"/>
      <c r="H10" s="404"/>
      <c r="I10" s="405"/>
      <c r="J10" s="36" t="str">
        <f>IF(AND('Mapa final'!$AA$34="Muy Alta",'Mapa final'!$AC$34="Leve"),CONCATENATE("R5C",'Mapa final'!$Q$34),"")</f>
        <v/>
      </c>
      <c r="K10" s="37" t="str">
        <f>IF(AND('Mapa final'!$AA$35="Muy Alta",'Mapa final'!$AC$35="Leve"),CONCATENATE("R5C",'Mapa final'!$Q$35),"")</f>
        <v/>
      </c>
      <c r="L10" s="42" t="str">
        <f>IF(AND('Mapa final'!$AA$36="Muy Alta",'Mapa final'!$AC$36="Leve"),CONCATENATE("R5C",'Mapa final'!$Q$36),"")</f>
        <v/>
      </c>
      <c r="M10" s="42" t="str">
        <f>IF(AND('Mapa final'!$AA$37="Muy Alta",'Mapa final'!$AC$37="Leve"),CONCATENATE("R5C",'Mapa final'!$Q$37),"")</f>
        <v/>
      </c>
      <c r="N10" s="42"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42" t="str">
        <f>IF(AND('Mapa final'!$AA$36="Muy Alta",'Mapa final'!$AC$36="Menor"),CONCATENATE("R5C",'Mapa final'!$Q$36),"")</f>
        <v/>
      </c>
      <c r="S10" s="42" t="str">
        <f>IF(AND('Mapa final'!$AA$37="Muy Alta",'Mapa final'!$AC$37="Menor"),CONCATENATE("R5C",'Mapa final'!$Q$37),"")</f>
        <v/>
      </c>
      <c r="T10" s="42"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42" t="str">
        <f>IF(AND('Mapa final'!$AA$36="Muy Alta",'Mapa final'!$AC$36="Moderado"),CONCATENATE("R5C",'Mapa final'!$Q$36),"")</f>
        <v/>
      </c>
      <c r="Y10" s="42" t="str">
        <f>IF(AND('Mapa final'!$AA$37="Muy Alta",'Mapa final'!$AC$37="Moderado"),CONCATENATE("R5C",'Mapa final'!$Q$37),"")</f>
        <v/>
      </c>
      <c r="Z10" s="42"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42" t="str">
        <f>IF(AND('Mapa final'!$AA$36="Muy Alta",'Mapa final'!$AC$36="Mayor"),CONCATENATE("R5C",'Mapa final'!$Q$36),"")</f>
        <v/>
      </c>
      <c r="AE10" s="42" t="str">
        <f>IF(AND('Mapa final'!$AA$37="Muy Alta",'Mapa final'!$AC$37="Mayor"),CONCATENATE("R5C",'Mapa final'!$Q$37),"")</f>
        <v/>
      </c>
      <c r="AF10" s="42"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8"/>
      <c r="AO10" s="424"/>
      <c r="AP10" s="425"/>
      <c r="AQ10" s="425"/>
      <c r="AR10" s="425"/>
      <c r="AS10" s="425"/>
      <c r="AT10" s="426"/>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row>
    <row r="11" spans="1:91" ht="15" customHeight="1" x14ac:dyDescent="0.25">
      <c r="A11" s="68"/>
      <c r="B11" s="362"/>
      <c r="C11" s="362"/>
      <c r="D11" s="363"/>
      <c r="E11" s="403"/>
      <c r="F11" s="404"/>
      <c r="G11" s="404"/>
      <c r="H11" s="404"/>
      <c r="I11" s="405"/>
      <c r="J11" s="36" t="str">
        <f>IF(AND('Mapa final'!$AA$40="Muy Alta",'Mapa final'!$AC$40="Leve"),CONCATENATE("R6C",'Mapa final'!$Q$40),"")</f>
        <v/>
      </c>
      <c r="K11" s="37" t="str">
        <f>IF(AND('Mapa final'!$AA$41="Muy Alta",'Mapa final'!$AC$41="Leve"),CONCATENATE("R6C",'Mapa final'!$Q$41),"")</f>
        <v/>
      </c>
      <c r="L11" s="42" t="str">
        <f>IF(AND('Mapa final'!$AA$42="Muy Alta",'Mapa final'!$AC$42="Leve"),CONCATENATE("R6C",'Mapa final'!$Q$42),"")</f>
        <v/>
      </c>
      <c r="M11" s="42" t="str">
        <f>IF(AND('Mapa final'!$AA$43="Muy Alta",'Mapa final'!$AC$43="Leve"),CONCATENATE("R6C",'Mapa final'!$Q$43),"")</f>
        <v/>
      </c>
      <c r="N11" s="42"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42" t="str">
        <f>IF(AND('Mapa final'!$AA$42="Muy Alta",'Mapa final'!$AC$42="Menor"),CONCATENATE("R6C",'Mapa final'!$Q$42),"")</f>
        <v/>
      </c>
      <c r="S11" s="42" t="str">
        <f>IF(AND('Mapa final'!$AA$43="Muy Alta",'Mapa final'!$AC$43="Menor"),CONCATENATE("R6C",'Mapa final'!$Q$43),"")</f>
        <v/>
      </c>
      <c r="T11" s="42"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42" t="str">
        <f>IF(AND('Mapa final'!$AA$42="Muy Alta",'Mapa final'!$AC$42="Moderado"),CONCATENATE("R6C",'Mapa final'!$Q$42),"")</f>
        <v/>
      </c>
      <c r="Y11" s="42" t="str">
        <f>IF(AND('Mapa final'!$AA$43="Muy Alta",'Mapa final'!$AC$43="Moderado"),CONCATENATE("R6C",'Mapa final'!$Q$43),"")</f>
        <v/>
      </c>
      <c r="Z11" s="42"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42" t="str">
        <f>IF(AND('Mapa final'!$AA$42="Muy Alta",'Mapa final'!$AC$42="Mayor"),CONCATENATE("R6C",'Mapa final'!$Q$42),"")</f>
        <v/>
      </c>
      <c r="AE11" s="42" t="str">
        <f>IF(AND('Mapa final'!$AA$43="Muy Alta",'Mapa final'!$AC$43="Mayor"),CONCATENATE("R6C",'Mapa final'!$Q$43),"")</f>
        <v/>
      </c>
      <c r="AF11" s="42"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8"/>
      <c r="AO11" s="424"/>
      <c r="AP11" s="425"/>
      <c r="AQ11" s="425"/>
      <c r="AR11" s="425"/>
      <c r="AS11" s="425"/>
      <c r="AT11" s="426"/>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row>
    <row r="12" spans="1:91" ht="15" customHeight="1" x14ac:dyDescent="0.25">
      <c r="A12" s="68"/>
      <c r="B12" s="362"/>
      <c r="C12" s="362"/>
      <c r="D12" s="363"/>
      <c r="E12" s="403"/>
      <c r="F12" s="404"/>
      <c r="G12" s="404"/>
      <c r="H12" s="404"/>
      <c r="I12" s="405"/>
      <c r="J12" s="36" t="str">
        <f>IF(AND('Mapa final'!$AA$46="Muy Alta",'Mapa final'!$AC$46="Leve"),CONCATENATE("R7C",'Mapa final'!$Q$46),"")</f>
        <v/>
      </c>
      <c r="K12" s="37" t="str">
        <f>IF(AND('Mapa final'!$AA$47="Muy Alta",'Mapa final'!$AC$47="Leve"),CONCATENATE("R7C",'Mapa final'!$Q$47),"")</f>
        <v/>
      </c>
      <c r="L12" s="42" t="str">
        <f>IF(AND('Mapa final'!$AA$48="Muy Alta",'Mapa final'!$AC$48="Leve"),CONCATENATE("R7C",'Mapa final'!$Q$48),"")</f>
        <v/>
      </c>
      <c r="M12" s="42" t="str">
        <f>IF(AND('Mapa final'!$AA$49="Muy Alta",'Mapa final'!$AC$49="Leve"),CONCATENATE("R7C",'Mapa final'!$Q$49),"")</f>
        <v/>
      </c>
      <c r="N12" s="42"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42" t="str">
        <f>IF(AND('Mapa final'!$AA$48="Muy Alta",'Mapa final'!$AC$48="Menor"),CONCATENATE("R7C",'Mapa final'!$Q$48),"")</f>
        <v/>
      </c>
      <c r="S12" s="42" t="str">
        <f>IF(AND('Mapa final'!$AA$49="Muy Alta",'Mapa final'!$AC$49="Menor"),CONCATENATE("R7C",'Mapa final'!$Q$49),"")</f>
        <v/>
      </c>
      <c r="T12" s="42"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42" t="str">
        <f>IF(AND('Mapa final'!$AA$48="Muy Alta",'Mapa final'!$AC$48="Moderado"),CONCATENATE("R7C",'Mapa final'!$Q$48),"")</f>
        <v/>
      </c>
      <c r="Y12" s="42" t="str">
        <f>IF(AND('Mapa final'!$AA$49="Muy Alta",'Mapa final'!$AC$49="Moderado"),CONCATENATE("R7C",'Mapa final'!$Q$49),"")</f>
        <v/>
      </c>
      <c r="Z12" s="42"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42" t="str">
        <f>IF(AND('Mapa final'!$AA$48="Muy Alta",'Mapa final'!$AC$48="Mayor"),CONCATENATE("R7C",'Mapa final'!$Q$48),"")</f>
        <v/>
      </c>
      <c r="AE12" s="42" t="str">
        <f>IF(AND('Mapa final'!$AA$49="Muy Alta",'Mapa final'!$AC$49="Mayor"),CONCATENATE("R7C",'Mapa final'!$Q$49),"")</f>
        <v/>
      </c>
      <c r="AF12" s="42"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8"/>
      <c r="AO12" s="424"/>
      <c r="AP12" s="425"/>
      <c r="AQ12" s="425"/>
      <c r="AR12" s="425"/>
      <c r="AS12" s="425"/>
      <c r="AT12" s="426"/>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row>
    <row r="13" spans="1:91" ht="15" customHeight="1" x14ac:dyDescent="0.25">
      <c r="A13" s="68"/>
      <c r="B13" s="362"/>
      <c r="C13" s="362"/>
      <c r="D13" s="363"/>
      <c r="E13" s="403"/>
      <c r="F13" s="404"/>
      <c r="G13" s="404"/>
      <c r="H13" s="404"/>
      <c r="I13" s="405"/>
      <c r="J13" s="36" t="str">
        <f>IF(AND('Mapa final'!$AA$52="Muy Alta",'Mapa final'!$AC$52="Leve"),CONCATENATE("R8C",'Mapa final'!$Q$52),"")</f>
        <v/>
      </c>
      <c r="K13" s="37" t="str">
        <f>IF(AND('Mapa final'!$AA$53="Muy Alta",'Mapa final'!$AC$53="Leve"),CONCATENATE("R8C",'Mapa final'!$Q$53),"")</f>
        <v/>
      </c>
      <c r="L13" s="42" t="str">
        <f>IF(AND('Mapa final'!$AA$54="Muy Alta",'Mapa final'!$AC$54="Leve"),CONCATENATE("R8C",'Mapa final'!$Q$54),"")</f>
        <v/>
      </c>
      <c r="M13" s="42" t="str">
        <f>IF(AND('Mapa final'!$AA$55="Muy Alta",'Mapa final'!$AC$55="Leve"),CONCATENATE("R8C",'Mapa final'!$Q$55),"")</f>
        <v/>
      </c>
      <c r="N13" s="42"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42" t="str">
        <f>IF(AND('Mapa final'!$AA$54="Muy Alta",'Mapa final'!$AC$54="Menor"),CONCATENATE("R8C",'Mapa final'!$Q$54),"")</f>
        <v/>
      </c>
      <c r="S13" s="42" t="str">
        <f>IF(AND('Mapa final'!$AA$55="Muy Alta",'Mapa final'!$AC$55="Menor"),CONCATENATE("R8C",'Mapa final'!$Q$55),"")</f>
        <v/>
      </c>
      <c r="T13" s="42"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42" t="str">
        <f>IF(AND('Mapa final'!$AA$54="Muy Alta",'Mapa final'!$AC$54="Moderado"),CONCATENATE("R8C",'Mapa final'!$Q$54),"")</f>
        <v/>
      </c>
      <c r="Y13" s="42" t="str">
        <f>IF(AND('Mapa final'!$AA$55="Muy Alta",'Mapa final'!$AC$55="Moderado"),CONCATENATE("R8C",'Mapa final'!$Q$55),"")</f>
        <v/>
      </c>
      <c r="Z13" s="42"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42" t="str">
        <f>IF(AND('Mapa final'!$AA$54="Muy Alta",'Mapa final'!$AC$54="Mayor"),CONCATENATE("R8C",'Mapa final'!$Q$54),"")</f>
        <v/>
      </c>
      <c r="AE13" s="42" t="str">
        <f>IF(AND('Mapa final'!$AA$55="Muy Alta",'Mapa final'!$AC$55="Mayor"),CONCATENATE("R8C",'Mapa final'!$Q$55),"")</f>
        <v/>
      </c>
      <c r="AF13" s="42"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8"/>
      <c r="AO13" s="424"/>
      <c r="AP13" s="425"/>
      <c r="AQ13" s="425"/>
      <c r="AR13" s="425"/>
      <c r="AS13" s="425"/>
      <c r="AT13" s="426"/>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row>
    <row r="14" spans="1:91" ht="15" customHeight="1" x14ac:dyDescent="0.25">
      <c r="A14" s="68"/>
      <c r="B14" s="362"/>
      <c r="C14" s="362"/>
      <c r="D14" s="363"/>
      <c r="E14" s="403"/>
      <c r="F14" s="404"/>
      <c r="G14" s="404"/>
      <c r="H14" s="404"/>
      <c r="I14" s="405"/>
      <c r="J14" s="36" t="str">
        <f>IF(AND('Mapa final'!$AA$58="Muy Alta",'Mapa final'!$AC$58="Leve"),CONCATENATE("R9C",'Mapa final'!$Q$58),"")</f>
        <v/>
      </c>
      <c r="K14" s="37" t="str">
        <f>IF(AND('Mapa final'!$AA$59="Muy Alta",'Mapa final'!$AC$59="Leve"),CONCATENATE("R9C",'Mapa final'!$Q$59),"")</f>
        <v/>
      </c>
      <c r="L14" s="42" t="str">
        <f>IF(AND('Mapa final'!$AA$60="Muy Alta",'Mapa final'!$AC$60="Leve"),CONCATENATE("R9C",'Mapa final'!$Q$60),"")</f>
        <v/>
      </c>
      <c r="M14" s="42" t="str">
        <f>IF(AND('Mapa final'!$AA$61="Muy Alta",'Mapa final'!$AC$61="Leve"),CONCATENATE("R9C",'Mapa final'!$Q$61),"")</f>
        <v/>
      </c>
      <c r="N14" s="42"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42" t="str">
        <f>IF(AND('Mapa final'!$AA$60="Muy Alta",'Mapa final'!$AC$60="Menor"),CONCATENATE("R9C",'Mapa final'!$Q$60),"")</f>
        <v/>
      </c>
      <c r="S14" s="42" t="str">
        <f>IF(AND('Mapa final'!$AA$61="Muy Alta",'Mapa final'!$AC$61="Menor"),CONCATENATE("R9C",'Mapa final'!$Q$61),"")</f>
        <v/>
      </c>
      <c r="T14" s="42"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42" t="str">
        <f>IF(AND('Mapa final'!$AA$60="Muy Alta",'Mapa final'!$AC$60="Moderado"),CONCATENATE("R9C",'Mapa final'!$Q$60),"")</f>
        <v/>
      </c>
      <c r="Y14" s="42" t="str">
        <f>IF(AND('Mapa final'!$AA$61="Muy Alta",'Mapa final'!$AC$61="Moderado"),CONCATENATE("R9C",'Mapa final'!$Q$61),"")</f>
        <v/>
      </c>
      <c r="Z14" s="42"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42" t="str">
        <f>IF(AND('Mapa final'!$AA$60="Muy Alta",'Mapa final'!$AC$60="Mayor"),CONCATENATE("R9C",'Mapa final'!$Q$60),"")</f>
        <v/>
      </c>
      <c r="AE14" s="42" t="str">
        <f>IF(AND('Mapa final'!$AA$61="Muy Alta",'Mapa final'!$AC$61="Mayor"),CONCATENATE("R9C",'Mapa final'!$Q$61),"")</f>
        <v/>
      </c>
      <c r="AF14" s="42"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8"/>
      <c r="AO14" s="424"/>
      <c r="AP14" s="425"/>
      <c r="AQ14" s="425"/>
      <c r="AR14" s="425"/>
      <c r="AS14" s="425"/>
      <c r="AT14" s="426"/>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row>
    <row r="15" spans="1:91" ht="15.75" customHeight="1" thickBot="1" x14ac:dyDescent="0.3">
      <c r="A15" s="68"/>
      <c r="B15" s="362"/>
      <c r="C15" s="362"/>
      <c r="D15" s="363"/>
      <c r="E15" s="406"/>
      <c r="F15" s="407"/>
      <c r="G15" s="407"/>
      <c r="H15" s="407"/>
      <c r="I15" s="408"/>
      <c r="J15" s="43" t="str">
        <f>IF(AND('Mapa final'!$AA$64="Muy Alta",'Mapa final'!$AC$64="Leve"),CONCATENATE("R10C",'Mapa final'!$Q$64),"")</f>
        <v/>
      </c>
      <c r="K15" s="44" t="str">
        <f>IF(AND('Mapa final'!$AA$65="Muy Alta",'Mapa final'!$AC$65="Leve"),CONCATENATE("R10C",'Mapa final'!$Q$65),"")</f>
        <v/>
      </c>
      <c r="L15" s="44" t="str">
        <f>IF(AND('Mapa final'!$AA$66="Muy Alta",'Mapa final'!$AC$66="Leve"),CONCATENATE("R10C",'Mapa final'!$Q$66),"")</f>
        <v/>
      </c>
      <c r="M15" s="44" t="str">
        <f>IF(AND('Mapa final'!$AA$67="Muy Alta",'Mapa final'!$AC$67="Leve"),CONCATENATE("R10C",'Mapa final'!$Q$67),"")</f>
        <v/>
      </c>
      <c r="N15" s="44" t="str">
        <f>IF(AND('Mapa final'!$AA$68="Muy Alta",'Mapa final'!$AC$68="Leve"),CONCATENATE("R10C",'Mapa final'!$Q$68),"")</f>
        <v/>
      </c>
      <c r="O15" s="45"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3" t="str">
        <f>IF(AND('Mapa final'!$AA$64="Muy Alta",'Mapa final'!$AC$64="Moderado"),CONCATENATE("R10C",'Mapa final'!$Q$64),"")</f>
        <v/>
      </c>
      <c r="W15" s="44" t="str">
        <f>IF(AND('Mapa final'!$AA$65="Muy Alta",'Mapa final'!$AC$65="Moderado"),CONCATENATE("R10C",'Mapa final'!$Q$65),"")</f>
        <v/>
      </c>
      <c r="X15" s="44" t="str">
        <f>IF(AND('Mapa final'!$AA$66="Muy Alta",'Mapa final'!$AC$66="Moderado"),CONCATENATE("R10C",'Mapa final'!$Q$66),"")</f>
        <v/>
      </c>
      <c r="Y15" s="44" t="str">
        <f>IF(AND('Mapa final'!$AA$67="Muy Alta",'Mapa final'!$AC$67="Moderado"),CONCATENATE("R10C",'Mapa final'!$Q$67),"")</f>
        <v/>
      </c>
      <c r="Z15" s="44" t="str">
        <f>IF(AND('Mapa final'!$AA$68="Muy Alta",'Mapa final'!$AC$68="Moderado"),CONCATENATE("R10C",'Mapa final'!$Q$68),"")</f>
        <v/>
      </c>
      <c r="AA15" s="45"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6" t="str">
        <f>IF(AND('Mapa final'!$AA$64="Muy Alta",'Mapa final'!$AC$64="Catastrófico"),CONCATENATE("R10C",'Mapa final'!$Q$64),"")</f>
        <v/>
      </c>
      <c r="AI15" s="47" t="str">
        <f>IF(AND('Mapa final'!$AA$65="Muy Alta",'Mapa final'!$AC$65="Catastrófico"),CONCATENATE("R10C",'Mapa final'!$Q$65),"")</f>
        <v/>
      </c>
      <c r="AJ15" s="47" t="str">
        <f>IF(AND('Mapa final'!$AA$66="Muy Alta",'Mapa final'!$AC$66="Catastrófico"),CONCATENATE("R10C",'Mapa final'!$Q$66),"")</f>
        <v/>
      </c>
      <c r="AK15" s="47" t="str">
        <f>IF(AND('Mapa final'!$AA$67="Muy Alta",'Mapa final'!$AC$67="Catastrófico"),CONCATENATE("R10C",'Mapa final'!$Q$67),"")</f>
        <v/>
      </c>
      <c r="AL15" s="47" t="str">
        <f>IF(AND('Mapa final'!$AA$68="Muy Alta",'Mapa final'!$AC$68="Catastrófico"),CONCATENATE("R10C",'Mapa final'!$Q$68),"")</f>
        <v/>
      </c>
      <c r="AM15" s="48" t="str">
        <f>IF(AND('Mapa final'!$AA$69="Muy Alta",'Mapa final'!$AC$69="Catastrófico"),CONCATENATE("R10C",'Mapa final'!$Q$69),"")</f>
        <v/>
      </c>
      <c r="AN15" s="68"/>
      <c r="AO15" s="427"/>
      <c r="AP15" s="428"/>
      <c r="AQ15" s="428"/>
      <c r="AR15" s="428"/>
      <c r="AS15" s="428"/>
      <c r="AT15" s="429"/>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row>
    <row r="16" spans="1:91" ht="15" customHeight="1" x14ac:dyDescent="0.25">
      <c r="A16" s="68"/>
      <c r="B16" s="362"/>
      <c r="C16" s="362"/>
      <c r="D16" s="363"/>
      <c r="E16" s="400" t="s">
        <v>109</v>
      </c>
      <c r="F16" s="401"/>
      <c r="G16" s="401"/>
      <c r="H16" s="401"/>
      <c r="I16" s="401"/>
      <c r="J16" s="49" t="str">
        <f ca="1">IF(AND('Mapa final'!$AA$10="Alta",'Mapa final'!$AC$10="Leve"),CONCATENATE("R1C",'Mapa final'!$Q$10),"")</f>
        <v/>
      </c>
      <c r="K16" s="50" t="str">
        <f ca="1">IF(AND('Mapa final'!$AA$11="Alta",'Mapa final'!$AC$11="Leve"),CONCATENATE("R1C",'Mapa final'!$Q$11),"")</f>
        <v/>
      </c>
      <c r="L16" s="50" t="str">
        <f>IF(AND('Mapa final'!$AA$12="Alta",'Mapa final'!$AC$12="Leve"),CONCATENATE("R1C",'Mapa final'!$Q$12),"")</f>
        <v/>
      </c>
      <c r="M16" s="50" t="str">
        <f>IF(AND('Mapa final'!$AA$13="Alta",'Mapa final'!$AC$13="Leve"),CONCATENATE("R1C",'Mapa final'!$Q$13),"")</f>
        <v/>
      </c>
      <c r="N16" s="50" t="str">
        <f>IF(AND('Mapa final'!$AA$14="Alta",'Mapa final'!$AC$14="Leve"),CONCATENATE("R1C",'Mapa final'!$Q$14),"")</f>
        <v/>
      </c>
      <c r="O16" s="51" t="str">
        <f>IF(AND('Mapa final'!$AA$15="Alta",'Mapa final'!$AC$15="Leve"),CONCATENATE("R1C",'Mapa final'!$Q$15),"")</f>
        <v/>
      </c>
      <c r="P16" s="49" t="str">
        <f ca="1">IF(AND('Mapa final'!$AA$10="Alta",'Mapa final'!$AC$10="Menor"),CONCATENATE("R1C",'Mapa final'!$Q$10),"")</f>
        <v/>
      </c>
      <c r="Q16" s="50" t="str">
        <f ca="1">IF(AND('Mapa final'!$AA$11="Alta",'Mapa final'!$AC$11="Menor"),CONCATENATE("R1C",'Mapa final'!$Q$11),"")</f>
        <v/>
      </c>
      <c r="R16" s="50" t="str">
        <f>IF(AND('Mapa final'!$AA$12="Alta",'Mapa final'!$AC$12="Menor"),CONCATENATE("R1C",'Mapa final'!$Q$12),"")</f>
        <v/>
      </c>
      <c r="S16" s="50" t="str">
        <f>IF(AND('Mapa final'!$AA$13="Alta",'Mapa final'!$AC$13="Menor"),CONCATENATE("R1C",'Mapa final'!$Q$13),"")</f>
        <v/>
      </c>
      <c r="T16" s="50" t="str">
        <f>IF(AND('Mapa final'!$AA$14="Alta",'Mapa final'!$AC$14="Menor"),CONCATENATE("R1C",'Mapa final'!$Q$14),"")</f>
        <v/>
      </c>
      <c r="U16" s="51" t="str">
        <f>IF(AND('Mapa final'!$AA$15="Alta",'Mapa final'!$AC$15="Menor"),CONCATENATE("R1C",'Mapa final'!$Q$15),"")</f>
        <v/>
      </c>
      <c r="V16" s="30" t="str">
        <f ca="1">IF(AND('Mapa final'!$AA$10="Alta",'Mapa final'!$AC$10="Moderado"),CONCATENATE("R1C",'Mapa final'!$Q$10),"")</f>
        <v/>
      </c>
      <c r="W16" s="31" t="str">
        <f ca="1">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 ca="1">IF(AND('Mapa final'!$AA$10="Alta",'Mapa final'!$AC$10="Mayor"),CONCATENATE("R1C",'Mapa final'!$Q$10),"")</f>
        <v/>
      </c>
      <c r="AC16" s="31" t="str">
        <f ca="1">IF(AND('Mapa final'!$AA$11="Alta",'Mapa final'!$AC$11="Mayor"),CONCATENATE("R1C",'Mapa final'!$Q$11),"")</f>
        <v/>
      </c>
      <c r="AD16" s="31" t="str">
        <f>IF(AND('Mapa final'!$AA$12="Alta",'Mapa final'!$AC$12="Mayor"),CONCATENATE("R1C",'Mapa final'!$Q$12),"")</f>
        <v/>
      </c>
      <c r="AE16" s="31" t="str">
        <f>IF(AND('Mapa final'!$AA$13="Alta",'Mapa final'!$AC$13="Mayor"),CONCATENATE("R1C",'Mapa final'!$Q$13),"")</f>
        <v/>
      </c>
      <c r="AF16" s="31" t="str">
        <f>IF(AND('Mapa final'!$AA$14="Alta",'Mapa final'!$AC$14="Mayor"),CONCATENATE("R1C",'Mapa final'!$Q$14),"")</f>
        <v/>
      </c>
      <c r="AG16" s="32" t="str">
        <f>IF(AND('Mapa final'!$AA$15="Alta",'Mapa final'!$AC$15="Mayor"),CONCATENATE("R1C",'Mapa final'!$Q$15),"")</f>
        <v/>
      </c>
      <c r="AH16" s="33" t="str">
        <f ca="1">IF(AND('Mapa final'!$AA$10="Alta",'Mapa final'!$AC$10="Catastrófico"),CONCATENATE("R1C",'Mapa final'!$Q$10),"")</f>
        <v/>
      </c>
      <c r="AI16" s="34" t="str">
        <f ca="1">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8"/>
      <c r="AO16" s="410" t="s">
        <v>78</v>
      </c>
      <c r="AP16" s="411"/>
      <c r="AQ16" s="411"/>
      <c r="AR16" s="411"/>
      <c r="AS16" s="411"/>
      <c r="AT16" s="412"/>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row>
    <row r="17" spans="1:76" ht="15" customHeight="1" x14ac:dyDescent="0.25">
      <c r="A17" s="68"/>
      <c r="B17" s="362"/>
      <c r="C17" s="362"/>
      <c r="D17" s="363"/>
      <c r="E17" s="419"/>
      <c r="F17" s="420"/>
      <c r="G17" s="420"/>
      <c r="H17" s="420"/>
      <c r="I17" s="420"/>
      <c r="J17" s="52" t="str">
        <f ca="1">IF(AND('Mapa final'!$AA$16="Alta",'Mapa final'!$AC$16="Leve"),CONCATENATE("R2C",'Mapa final'!$Q$16),"")</f>
        <v/>
      </c>
      <c r="K17" s="53" t="str">
        <f ca="1">IF(AND('Mapa final'!$AA$17="Alta",'Mapa final'!$AC$17="Leve"),CONCATENATE("R2C",'Mapa final'!$Q$17),"")</f>
        <v/>
      </c>
      <c r="L17" s="53" t="str">
        <f>IF(AND('Mapa final'!$AA$18="Alta",'Mapa final'!$AC$18="Leve"),CONCATENATE("R2C",'Mapa final'!$Q$18),"")</f>
        <v/>
      </c>
      <c r="M17" s="53" t="str">
        <f>IF(AND('Mapa final'!$AA$19="Alta",'Mapa final'!$AC$19="Leve"),CONCATENATE("R2C",'Mapa final'!$Q$19),"")</f>
        <v/>
      </c>
      <c r="N17" s="53" t="str">
        <f>IF(AND('Mapa final'!$AA$20="Alta",'Mapa final'!$AC$20="Leve"),CONCATENATE("R2C",'Mapa final'!$Q$20),"")</f>
        <v/>
      </c>
      <c r="O17" s="54" t="str">
        <f>IF(AND('Mapa final'!$AA$21="Alta",'Mapa final'!$AC$21="Leve"),CONCATENATE("R2C",'Mapa final'!$Q$21),"")</f>
        <v/>
      </c>
      <c r="P17" s="52" t="str">
        <f ca="1">IF(AND('Mapa final'!$AA$16="Alta",'Mapa final'!$AC$16="Menor"),CONCATENATE("R2C",'Mapa final'!$Q$16),"")</f>
        <v/>
      </c>
      <c r="Q17" s="53" t="str">
        <f ca="1">IF(AND('Mapa final'!$AA$17="Alta",'Mapa final'!$AC$17="Menor"),CONCATENATE("R2C",'Mapa final'!$Q$17),"")</f>
        <v/>
      </c>
      <c r="R17" s="53" t="str">
        <f>IF(AND('Mapa final'!$AA$18="Alta",'Mapa final'!$AC$18="Menor"),CONCATENATE("R2C",'Mapa final'!$Q$18),"")</f>
        <v/>
      </c>
      <c r="S17" s="53" t="str">
        <f>IF(AND('Mapa final'!$AA$19="Alta",'Mapa final'!$AC$19="Menor"),CONCATENATE("R2C",'Mapa final'!$Q$19),"")</f>
        <v/>
      </c>
      <c r="T17" s="53" t="str">
        <f>IF(AND('Mapa final'!$AA$20="Alta",'Mapa final'!$AC$20="Menor"),CONCATENATE("R2C",'Mapa final'!$Q$20),"")</f>
        <v/>
      </c>
      <c r="U17" s="54" t="str">
        <f>IF(AND('Mapa final'!$AA$21="Alta",'Mapa final'!$AC$21="Menor"),CONCATENATE("R2C",'Mapa final'!$Q$21),"")</f>
        <v/>
      </c>
      <c r="V17" s="36" t="str">
        <f ca="1">IF(AND('Mapa final'!$AA$16="Alta",'Mapa final'!$AC$16="Moderado"),CONCATENATE("R2C",'Mapa final'!$Q$16),"")</f>
        <v/>
      </c>
      <c r="W17" s="37" t="str">
        <f ca="1">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 ca="1">IF(AND('Mapa final'!$AA$16="Alta",'Mapa final'!$AC$16="Mayor"),CONCATENATE("R2C",'Mapa final'!$Q$16),"")</f>
        <v/>
      </c>
      <c r="AC17" s="37" t="str">
        <f ca="1">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 ca="1">IF(AND('Mapa final'!$AA$16="Alta",'Mapa final'!$AC$16="Catastrófico"),CONCATENATE("R2C",'Mapa final'!$Q$16),"")</f>
        <v/>
      </c>
      <c r="AI17" s="40" t="str">
        <f ca="1">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8"/>
      <c r="AO17" s="413"/>
      <c r="AP17" s="414"/>
      <c r="AQ17" s="414"/>
      <c r="AR17" s="414"/>
      <c r="AS17" s="414"/>
      <c r="AT17" s="415"/>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row>
    <row r="18" spans="1:76" ht="15" customHeight="1" x14ac:dyDescent="0.25">
      <c r="A18" s="68"/>
      <c r="B18" s="362"/>
      <c r="C18" s="362"/>
      <c r="D18" s="363"/>
      <c r="E18" s="403"/>
      <c r="F18" s="404"/>
      <c r="G18" s="404"/>
      <c r="H18" s="404"/>
      <c r="I18" s="420"/>
      <c r="J18" s="52" t="str">
        <f ca="1">IF(AND('Mapa final'!$AA$22="Alta",'Mapa final'!$AC$22="Leve"),CONCATENATE("R3C",'Mapa final'!$Q$22),"")</f>
        <v/>
      </c>
      <c r="K18" s="53" t="str">
        <f ca="1">IF(AND('Mapa final'!$AA$23="Alta",'Mapa final'!$AC$23="Leve"),CONCATENATE("R3C",'Mapa final'!$Q$23),"")</f>
        <v/>
      </c>
      <c r="L18" s="53" t="str">
        <f>IF(AND('Mapa final'!$AA$24="Alta",'Mapa final'!$AC$24="Leve"),CONCATENATE("R3C",'Mapa final'!$Q$24),"")</f>
        <v/>
      </c>
      <c r="M18" s="53" t="str">
        <f>IF(AND('Mapa final'!$AA$25="Alta",'Mapa final'!$AC$25="Leve"),CONCATENATE("R3C",'Mapa final'!$Q$25),"")</f>
        <v/>
      </c>
      <c r="N18" s="53" t="str">
        <f>IF(AND('Mapa final'!$AA$26="Alta",'Mapa final'!$AC$26="Leve"),CONCATENATE("R3C",'Mapa final'!$Q$26),"")</f>
        <v/>
      </c>
      <c r="O18" s="54" t="str">
        <f>IF(AND('Mapa final'!$AA$27="Alta",'Mapa final'!$AC$27="Leve"),CONCATENATE("R3C",'Mapa final'!$Q$27),"")</f>
        <v/>
      </c>
      <c r="P18" s="52" t="str">
        <f ca="1">IF(AND('Mapa final'!$AA$22="Alta",'Mapa final'!$AC$22="Menor"),CONCATENATE("R3C",'Mapa final'!$Q$22),"")</f>
        <v/>
      </c>
      <c r="Q18" s="53" t="str">
        <f ca="1">IF(AND('Mapa final'!$AA$23="Alta",'Mapa final'!$AC$23="Menor"),CONCATENATE("R3C",'Mapa final'!$Q$23),"")</f>
        <v/>
      </c>
      <c r="R18" s="53" t="str">
        <f>IF(AND('Mapa final'!$AA$24="Alta",'Mapa final'!$AC$24="Menor"),CONCATENATE("R3C",'Mapa final'!$Q$24),"")</f>
        <v/>
      </c>
      <c r="S18" s="53" t="str">
        <f>IF(AND('Mapa final'!$AA$25="Alta",'Mapa final'!$AC$25="Menor"),CONCATENATE("R3C",'Mapa final'!$Q$25),"")</f>
        <v/>
      </c>
      <c r="T18" s="53" t="str">
        <f>IF(AND('Mapa final'!$AA$26="Alta",'Mapa final'!$AC$26="Menor"),CONCATENATE("R3C",'Mapa final'!$Q$26),"")</f>
        <v/>
      </c>
      <c r="U18" s="54" t="str">
        <f>IF(AND('Mapa final'!$AA$27="Alta",'Mapa final'!$AC$27="Menor"),CONCATENATE("R3C",'Mapa final'!$Q$27),"")</f>
        <v/>
      </c>
      <c r="V18" s="36" t="str">
        <f ca="1">IF(AND('Mapa final'!$AA$22="Alta",'Mapa final'!$AC$22="Moderado"),CONCATENATE("R3C",'Mapa final'!$Q$22),"")</f>
        <v/>
      </c>
      <c r="W18" s="37" t="str">
        <f ca="1">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 ca="1">IF(AND('Mapa final'!$AA$22="Alta",'Mapa final'!$AC$22="Mayor"),CONCATENATE("R3C",'Mapa final'!$Q$22),"")</f>
        <v/>
      </c>
      <c r="AC18" s="37" t="str">
        <f ca="1">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 ca="1">IF(AND('Mapa final'!$AA$22="Alta",'Mapa final'!$AC$22="Catastrófico"),CONCATENATE("R3C",'Mapa final'!$Q$22),"")</f>
        <v>R3C1</v>
      </c>
      <c r="AI18" s="40" t="str">
        <f ca="1">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8"/>
      <c r="AO18" s="413"/>
      <c r="AP18" s="414"/>
      <c r="AQ18" s="414"/>
      <c r="AR18" s="414"/>
      <c r="AS18" s="414"/>
      <c r="AT18" s="415"/>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1:76" ht="15" customHeight="1" x14ac:dyDescent="0.25">
      <c r="A19" s="68"/>
      <c r="B19" s="362"/>
      <c r="C19" s="362"/>
      <c r="D19" s="363"/>
      <c r="E19" s="403"/>
      <c r="F19" s="404"/>
      <c r="G19" s="404"/>
      <c r="H19" s="404"/>
      <c r="I19" s="420"/>
      <c r="J19" s="52" t="str">
        <f>IF(AND('Mapa final'!$AA$28="Alta",'Mapa final'!$AC$28="Leve"),CONCATENATE("R4C",'Mapa final'!$Q$28),"")</f>
        <v/>
      </c>
      <c r="K19" s="53" t="str">
        <f>IF(AND('Mapa final'!$AA$29="Alta",'Mapa final'!$AC$29="Leve"),CONCATENATE("R4C",'Mapa final'!$Q$29),"")</f>
        <v/>
      </c>
      <c r="L19" s="53" t="str">
        <f>IF(AND('Mapa final'!$AA$30="Alta",'Mapa final'!$AC$30="Leve"),CONCATENATE("R4C",'Mapa final'!$Q$30),"")</f>
        <v/>
      </c>
      <c r="M19" s="53" t="str">
        <f>IF(AND('Mapa final'!$AA$31="Alta",'Mapa final'!$AC$31="Leve"),CONCATENATE("R4C",'Mapa final'!$Q$31),"")</f>
        <v/>
      </c>
      <c r="N19" s="53" t="str">
        <f>IF(AND('Mapa final'!$AA$32="Alta",'Mapa final'!$AC$32="Leve"),CONCATENATE("R4C",'Mapa final'!$Q$32),"")</f>
        <v/>
      </c>
      <c r="O19" s="54" t="str">
        <f>IF(AND('Mapa final'!$AA$33="Alta",'Mapa final'!$AC$33="Leve"),CONCATENATE("R4C",'Mapa final'!$Q$33),"")</f>
        <v/>
      </c>
      <c r="P19" s="52" t="str">
        <f>IF(AND('Mapa final'!$AA$28="Alta",'Mapa final'!$AC$28="Menor"),CONCATENATE("R4C",'Mapa final'!$Q$28),"")</f>
        <v/>
      </c>
      <c r="Q19" s="53" t="str">
        <f>IF(AND('Mapa final'!$AA$29="Alta",'Mapa final'!$AC$29="Menor"),CONCATENATE("R4C",'Mapa final'!$Q$29),"")</f>
        <v/>
      </c>
      <c r="R19" s="53" t="str">
        <f>IF(AND('Mapa final'!$AA$30="Alta",'Mapa final'!$AC$30="Menor"),CONCATENATE("R4C",'Mapa final'!$Q$30),"")</f>
        <v/>
      </c>
      <c r="S19" s="53" t="str">
        <f>IF(AND('Mapa final'!$AA$31="Alta",'Mapa final'!$AC$31="Menor"),CONCATENATE("R4C",'Mapa final'!$Q$31),"")</f>
        <v/>
      </c>
      <c r="T19" s="53" t="str">
        <f>IF(AND('Mapa final'!$AA$32="Alta",'Mapa final'!$AC$32="Menor"),CONCATENATE("R4C",'Mapa final'!$Q$32),"")</f>
        <v/>
      </c>
      <c r="U19" s="54"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42" t="str">
        <f>IF(AND('Mapa final'!$AA$30="Alta",'Mapa final'!$AC$30="Moderado"),CONCATENATE("R4C",'Mapa final'!$Q$30),"")</f>
        <v/>
      </c>
      <c r="Y19" s="42" t="str">
        <f>IF(AND('Mapa final'!$AA$31="Alta",'Mapa final'!$AC$31="Moderado"),CONCATENATE("R4C",'Mapa final'!$Q$31),"")</f>
        <v/>
      </c>
      <c r="Z19" s="42"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42" t="str">
        <f>IF(AND('Mapa final'!$AA$30="Alta",'Mapa final'!$AC$30="Mayor"),CONCATENATE("R4C",'Mapa final'!$Q$30),"")</f>
        <v/>
      </c>
      <c r="AE19" s="42" t="str">
        <f>IF(AND('Mapa final'!$AA$31="Alta",'Mapa final'!$AC$31="Mayor"),CONCATENATE("R4C",'Mapa final'!$Q$31),"")</f>
        <v/>
      </c>
      <c r="AF19" s="42"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8"/>
      <c r="AO19" s="413"/>
      <c r="AP19" s="414"/>
      <c r="AQ19" s="414"/>
      <c r="AR19" s="414"/>
      <c r="AS19" s="414"/>
      <c r="AT19" s="415"/>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row>
    <row r="20" spans="1:76" ht="15" customHeight="1" x14ac:dyDescent="0.25">
      <c r="A20" s="68"/>
      <c r="B20" s="362"/>
      <c r="C20" s="362"/>
      <c r="D20" s="363"/>
      <c r="E20" s="403"/>
      <c r="F20" s="404"/>
      <c r="G20" s="404"/>
      <c r="H20" s="404"/>
      <c r="I20" s="420"/>
      <c r="J20" s="52" t="str">
        <f>IF(AND('Mapa final'!$AA$34="Alta",'Mapa final'!$AC$34="Leve"),CONCATENATE("R5C",'Mapa final'!$Q$34),"")</f>
        <v/>
      </c>
      <c r="K20" s="53" t="str">
        <f>IF(AND('Mapa final'!$AA$35="Alta",'Mapa final'!$AC$35="Leve"),CONCATENATE("R5C",'Mapa final'!$Q$35),"")</f>
        <v/>
      </c>
      <c r="L20" s="53" t="str">
        <f>IF(AND('Mapa final'!$AA$36="Alta",'Mapa final'!$AC$36="Leve"),CONCATENATE("R5C",'Mapa final'!$Q$36),"")</f>
        <v/>
      </c>
      <c r="M20" s="53" t="str">
        <f>IF(AND('Mapa final'!$AA$37="Alta",'Mapa final'!$AC$37="Leve"),CONCATENATE("R5C",'Mapa final'!$Q$37),"")</f>
        <v/>
      </c>
      <c r="N20" s="53" t="str">
        <f>IF(AND('Mapa final'!$AA$38="Alta",'Mapa final'!$AC$38="Leve"),CONCATENATE("R5C",'Mapa final'!$Q$38),"")</f>
        <v/>
      </c>
      <c r="O20" s="54" t="str">
        <f>IF(AND('Mapa final'!$AA$39="Alta",'Mapa final'!$AC$39="Leve"),CONCATENATE("R5C",'Mapa final'!$Q$39),"")</f>
        <v/>
      </c>
      <c r="P20" s="52" t="str">
        <f>IF(AND('Mapa final'!$AA$34="Alta",'Mapa final'!$AC$34="Menor"),CONCATENATE("R5C",'Mapa final'!$Q$34),"")</f>
        <v/>
      </c>
      <c r="Q20" s="53" t="str">
        <f>IF(AND('Mapa final'!$AA$35="Alta",'Mapa final'!$AC$35="Menor"),CONCATENATE("R5C",'Mapa final'!$Q$35),"")</f>
        <v/>
      </c>
      <c r="R20" s="53" t="str">
        <f>IF(AND('Mapa final'!$AA$36="Alta",'Mapa final'!$AC$36="Menor"),CONCATENATE("R5C",'Mapa final'!$Q$36),"")</f>
        <v/>
      </c>
      <c r="S20" s="53" t="str">
        <f>IF(AND('Mapa final'!$AA$37="Alta",'Mapa final'!$AC$37="Menor"),CONCATENATE("R5C",'Mapa final'!$Q$37),"")</f>
        <v/>
      </c>
      <c r="T20" s="53" t="str">
        <f>IF(AND('Mapa final'!$AA$38="Alta",'Mapa final'!$AC$38="Menor"),CONCATENATE("R5C",'Mapa final'!$Q$38),"")</f>
        <v/>
      </c>
      <c r="U20" s="54"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42" t="str">
        <f>IF(AND('Mapa final'!$AA$36="Alta",'Mapa final'!$AC$36="Moderado"),CONCATENATE("R5C",'Mapa final'!$Q$36),"")</f>
        <v/>
      </c>
      <c r="Y20" s="42" t="str">
        <f>IF(AND('Mapa final'!$AA$37="Alta",'Mapa final'!$AC$37="Moderado"),CONCATENATE("R5C",'Mapa final'!$Q$37),"")</f>
        <v/>
      </c>
      <c r="Z20" s="42"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42" t="str">
        <f>IF(AND('Mapa final'!$AA$36="Alta",'Mapa final'!$AC$36="Mayor"),CONCATENATE("R5C",'Mapa final'!$Q$36),"")</f>
        <v/>
      </c>
      <c r="AE20" s="42" t="str">
        <f>IF(AND('Mapa final'!$AA$37="Alta",'Mapa final'!$AC$37="Mayor"),CONCATENATE("R5C",'Mapa final'!$Q$37),"")</f>
        <v/>
      </c>
      <c r="AF20" s="42"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8"/>
      <c r="AO20" s="413"/>
      <c r="AP20" s="414"/>
      <c r="AQ20" s="414"/>
      <c r="AR20" s="414"/>
      <c r="AS20" s="414"/>
      <c r="AT20" s="415"/>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row>
    <row r="21" spans="1:76" ht="15" customHeight="1" x14ac:dyDescent="0.25">
      <c r="A21" s="68"/>
      <c r="B21" s="362"/>
      <c r="C21" s="362"/>
      <c r="D21" s="363"/>
      <c r="E21" s="403"/>
      <c r="F21" s="404"/>
      <c r="G21" s="404"/>
      <c r="H21" s="404"/>
      <c r="I21" s="420"/>
      <c r="J21" s="52" t="str">
        <f>IF(AND('Mapa final'!$AA$40="Alta",'Mapa final'!$AC$40="Leve"),CONCATENATE("R6C",'Mapa final'!$Q$40),"")</f>
        <v/>
      </c>
      <c r="K21" s="53" t="str">
        <f>IF(AND('Mapa final'!$AA$41="Alta",'Mapa final'!$AC$41="Leve"),CONCATENATE("R6C",'Mapa final'!$Q$41),"")</f>
        <v/>
      </c>
      <c r="L21" s="53" t="str">
        <f>IF(AND('Mapa final'!$AA$42="Alta",'Mapa final'!$AC$42="Leve"),CONCATENATE("R6C",'Mapa final'!$Q$42),"")</f>
        <v/>
      </c>
      <c r="M21" s="53" t="str">
        <f>IF(AND('Mapa final'!$AA$43="Alta",'Mapa final'!$AC$43="Leve"),CONCATENATE("R6C",'Mapa final'!$Q$43),"")</f>
        <v/>
      </c>
      <c r="N21" s="53" t="str">
        <f>IF(AND('Mapa final'!$AA$44="Alta",'Mapa final'!$AC$44="Leve"),CONCATENATE("R6C",'Mapa final'!$Q$44),"")</f>
        <v/>
      </c>
      <c r="O21" s="54" t="str">
        <f>IF(AND('Mapa final'!$AA$45="Alta",'Mapa final'!$AC$45="Leve"),CONCATENATE("R6C",'Mapa final'!$Q$45),"")</f>
        <v/>
      </c>
      <c r="P21" s="52" t="str">
        <f>IF(AND('Mapa final'!$AA$40="Alta",'Mapa final'!$AC$40="Menor"),CONCATENATE("R6C",'Mapa final'!$Q$40),"")</f>
        <v/>
      </c>
      <c r="Q21" s="53" t="str">
        <f>IF(AND('Mapa final'!$AA$41="Alta",'Mapa final'!$AC$41="Menor"),CONCATENATE("R6C",'Mapa final'!$Q$41),"")</f>
        <v/>
      </c>
      <c r="R21" s="53" t="str">
        <f>IF(AND('Mapa final'!$AA$42="Alta",'Mapa final'!$AC$42="Menor"),CONCATENATE("R6C",'Mapa final'!$Q$42),"")</f>
        <v/>
      </c>
      <c r="S21" s="53" t="str">
        <f>IF(AND('Mapa final'!$AA$43="Alta",'Mapa final'!$AC$43="Menor"),CONCATENATE("R6C",'Mapa final'!$Q$43),"")</f>
        <v/>
      </c>
      <c r="T21" s="53" t="str">
        <f>IF(AND('Mapa final'!$AA$44="Alta",'Mapa final'!$AC$44="Menor"),CONCATENATE("R6C",'Mapa final'!$Q$44),"")</f>
        <v/>
      </c>
      <c r="U21" s="54"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42" t="str">
        <f>IF(AND('Mapa final'!$AA$42="Alta",'Mapa final'!$AC$42="Moderado"),CONCATENATE("R6C",'Mapa final'!$Q$42),"")</f>
        <v/>
      </c>
      <c r="Y21" s="42" t="str">
        <f>IF(AND('Mapa final'!$AA$43="Alta",'Mapa final'!$AC$43="Moderado"),CONCATENATE("R6C",'Mapa final'!$Q$43),"")</f>
        <v/>
      </c>
      <c r="Z21" s="42"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42" t="str">
        <f>IF(AND('Mapa final'!$AA$42="Alta",'Mapa final'!$AC$42="Mayor"),CONCATENATE("R6C",'Mapa final'!$Q$42),"")</f>
        <v/>
      </c>
      <c r="AE21" s="42" t="str">
        <f>IF(AND('Mapa final'!$AA$43="Alta",'Mapa final'!$AC$43="Mayor"),CONCATENATE("R6C",'Mapa final'!$Q$43),"")</f>
        <v/>
      </c>
      <c r="AF21" s="42"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8"/>
      <c r="AO21" s="413"/>
      <c r="AP21" s="414"/>
      <c r="AQ21" s="414"/>
      <c r="AR21" s="414"/>
      <c r="AS21" s="414"/>
      <c r="AT21" s="415"/>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row>
    <row r="22" spans="1:76" ht="15" customHeight="1" x14ac:dyDescent="0.25">
      <c r="A22" s="68"/>
      <c r="B22" s="362"/>
      <c r="C22" s="362"/>
      <c r="D22" s="363"/>
      <c r="E22" s="403"/>
      <c r="F22" s="404"/>
      <c r="G22" s="404"/>
      <c r="H22" s="404"/>
      <c r="I22" s="420"/>
      <c r="J22" s="52" t="str">
        <f>IF(AND('Mapa final'!$AA$46="Alta",'Mapa final'!$AC$46="Leve"),CONCATENATE("R7C",'Mapa final'!$Q$46),"")</f>
        <v/>
      </c>
      <c r="K22" s="53" t="str">
        <f>IF(AND('Mapa final'!$AA$47="Alta",'Mapa final'!$AC$47="Leve"),CONCATENATE("R7C",'Mapa final'!$Q$47),"")</f>
        <v/>
      </c>
      <c r="L22" s="53" t="str">
        <f>IF(AND('Mapa final'!$AA$48="Alta",'Mapa final'!$AC$48="Leve"),CONCATENATE("R7C",'Mapa final'!$Q$48),"")</f>
        <v/>
      </c>
      <c r="M22" s="53" t="str">
        <f>IF(AND('Mapa final'!$AA$49="Alta",'Mapa final'!$AC$49="Leve"),CONCATENATE("R7C",'Mapa final'!$Q$49),"")</f>
        <v/>
      </c>
      <c r="N22" s="53" t="str">
        <f>IF(AND('Mapa final'!$AA$50="Alta",'Mapa final'!$AC$50="Leve"),CONCATENATE("R7C",'Mapa final'!$Q$50),"")</f>
        <v/>
      </c>
      <c r="O22" s="54" t="str">
        <f>IF(AND('Mapa final'!$AA$51="Alta",'Mapa final'!$AC$51="Leve"),CONCATENATE("R7C",'Mapa final'!$Q$51),"")</f>
        <v/>
      </c>
      <c r="P22" s="52" t="str">
        <f>IF(AND('Mapa final'!$AA$46="Alta",'Mapa final'!$AC$46="Menor"),CONCATENATE("R7C",'Mapa final'!$Q$46),"")</f>
        <v/>
      </c>
      <c r="Q22" s="53" t="str">
        <f>IF(AND('Mapa final'!$AA$47="Alta",'Mapa final'!$AC$47="Menor"),CONCATENATE("R7C",'Mapa final'!$Q$47),"")</f>
        <v/>
      </c>
      <c r="R22" s="53" t="str">
        <f>IF(AND('Mapa final'!$AA$48="Alta",'Mapa final'!$AC$48="Menor"),CONCATENATE("R7C",'Mapa final'!$Q$48),"")</f>
        <v/>
      </c>
      <c r="S22" s="53" t="str">
        <f>IF(AND('Mapa final'!$AA$49="Alta",'Mapa final'!$AC$49="Menor"),CONCATENATE("R7C",'Mapa final'!$Q$49),"")</f>
        <v/>
      </c>
      <c r="T22" s="53" t="str">
        <f>IF(AND('Mapa final'!$AA$50="Alta",'Mapa final'!$AC$50="Menor"),CONCATENATE("R7C",'Mapa final'!$Q$50),"")</f>
        <v/>
      </c>
      <c r="U22" s="54"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42" t="str">
        <f>IF(AND('Mapa final'!$AA$48="Alta",'Mapa final'!$AC$48="Moderado"),CONCATENATE("R7C",'Mapa final'!$Q$48),"")</f>
        <v/>
      </c>
      <c r="Y22" s="42" t="str">
        <f>IF(AND('Mapa final'!$AA$49="Alta",'Mapa final'!$AC$49="Moderado"),CONCATENATE("R7C",'Mapa final'!$Q$49),"")</f>
        <v/>
      </c>
      <c r="Z22" s="42"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42" t="str">
        <f>IF(AND('Mapa final'!$AA$48="Alta",'Mapa final'!$AC$48="Mayor"),CONCATENATE("R7C",'Mapa final'!$Q$48),"")</f>
        <v/>
      </c>
      <c r="AE22" s="42" t="str">
        <f>IF(AND('Mapa final'!$AA$49="Alta",'Mapa final'!$AC$49="Mayor"),CONCATENATE("R7C",'Mapa final'!$Q$49),"")</f>
        <v/>
      </c>
      <c r="AF22" s="42"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8"/>
      <c r="AO22" s="413"/>
      <c r="AP22" s="414"/>
      <c r="AQ22" s="414"/>
      <c r="AR22" s="414"/>
      <c r="AS22" s="414"/>
      <c r="AT22" s="415"/>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row>
    <row r="23" spans="1:76" ht="15" customHeight="1" x14ac:dyDescent="0.25">
      <c r="A23" s="68"/>
      <c r="B23" s="362"/>
      <c r="C23" s="362"/>
      <c r="D23" s="363"/>
      <c r="E23" s="403"/>
      <c r="F23" s="404"/>
      <c r="G23" s="404"/>
      <c r="H23" s="404"/>
      <c r="I23" s="420"/>
      <c r="J23" s="52" t="str">
        <f>IF(AND('Mapa final'!$AA$52="Alta",'Mapa final'!$AC$52="Leve"),CONCATENATE("R8C",'Mapa final'!$Q$52),"")</f>
        <v/>
      </c>
      <c r="K23" s="53" t="str">
        <f>IF(AND('Mapa final'!$AA$53="Alta",'Mapa final'!$AC$53="Leve"),CONCATENATE("R8C",'Mapa final'!$Q$53),"")</f>
        <v/>
      </c>
      <c r="L23" s="53" t="str">
        <f>IF(AND('Mapa final'!$AA$54="Alta",'Mapa final'!$AC$54="Leve"),CONCATENATE("R8C",'Mapa final'!$Q$54),"")</f>
        <v/>
      </c>
      <c r="M23" s="53" t="str">
        <f>IF(AND('Mapa final'!$AA$55="Alta",'Mapa final'!$AC$55="Leve"),CONCATENATE("R8C",'Mapa final'!$Q$55),"")</f>
        <v/>
      </c>
      <c r="N23" s="53" t="str">
        <f>IF(AND('Mapa final'!$AA$56="Alta",'Mapa final'!$AC$56="Leve"),CONCATENATE("R8C",'Mapa final'!$Q$56),"")</f>
        <v/>
      </c>
      <c r="O23" s="54" t="str">
        <f>IF(AND('Mapa final'!$AA$57="Alta",'Mapa final'!$AC$57="Leve"),CONCATENATE("R8C",'Mapa final'!$Q$57),"")</f>
        <v/>
      </c>
      <c r="P23" s="52" t="str">
        <f>IF(AND('Mapa final'!$AA$52="Alta",'Mapa final'!$AC$52="Menor"),CONCATENATE("R8C",'Mapa final'!$Q$52),"")</f>
        <v/>
      </c>
      <c r="Q23" s="53" t="str">
        <f>IF(AND('Mapa final'!$AA$53="Alta",'Mapa final'!$AC$53="Menor"),CONCATENATE("R8C",'Mapa final'!$Q$53),"")</f>
        <v/>
      </c>
      <c r="R23" s="53" t="str">
        <f>IF(AND('Mapa final'!$AA$54="Alta",'Mapa final'!$AC$54="Menor"),CONCATENATE("R8C",'Mapa final'!$Q$54),"")</f>
        <v/>
      </c>
      <c r="S23" s="53" t="str">
        <f>IF(AND('Mapa final'!$AA$55="Alta",'Mapa final'!$AC$55="Menor"),CONCATENATE("R8C",'Mapa final'!$Q$55),"")</f>
        <v/>
      </c>
      <c r="T23" s="53" t="str">
        <f>IF(AND('Mapa final'!$AA$56="Alta",'Mapa final'!$AC$56="Menor"),CONCATENATE("R8C",'Mapa final'!$Q$56),"")</f>
        <v/>
      </c>
      <c r="U23" s="54"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42" t="str">
        <f>IF(AND('Mapa final'!$AA$54="Alta",'Mapa final'!$AC$54="Moderado"),CONCATENATE("R8C",'Mapa final'!$Q$54),"")</f>
        <v/>
      </c>
      <c r="Y23" s="42" t="str">
        <f>IF(AND('Mapa final'!$AA$55="Alta",'Mapa final'!$AC$55="Moderado"),CONCATENATE("R8C",'Mapa final'!$Q$55),"")</f>
        <v/>
      </c>
      <c r="Z23" s="42"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42" t="str">
        <f>IF(AND('Mapa final'!$AA$54="Alta",'Mapa final'!$AC$54="Mayor"),CONCATENATE("R8C",'Mapa final'!$Q$54),"")</f>
        <v/>
      </c>
      <c r="AE23" s="42" t="str">
        <f>IF(AND('Mapa final'!$AA$55="Alta",'Mapa final'!$AC$55="Mayor"),CONCATENATE("R8C",'Mapa final'!$Q$55),"")</f>
        <v/>
      </c>
      <c r="AF23" s="42"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8"/>
      <c r="AO23" s="413"/>
      <c r="AP23" s="414"/>
      <c r="AQ23" s="414"/>
      <c r="AR23" s="414"/>
      <c r="AS23" s="414"/>
      <c r="AT23" s="415"/>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row>
    <row r="24" spans="1:76" ht="15" customHeight="1" x14ac:dyDescent="0.25">
      <c r="A24" s="68"/>
      <c r="B24" s="362"/>
      <c r="C24" s="362"/>
      <c r="D24" s="363"/>
      <c r="E24" s="403"/>
      <c r="F24" s="404"/>
      <c r="G24" s="404"/>
      <c r="H24" s="404"/>
      <c r="I24" s="420"/>
      <c r="J24" s="52" t="str">
        <f>IF(AND('Mapa final'!$AA$58="Alta",'Mapa final'!$AC$58="Leve"),CONCATENATE("R9C",'Mapa final'!$Q$58),"")</f>
        <v/>
      </c>
      <c r="K24" s="53" t="str">
        <f>IF(AND('Mapa final'!$AA$59="Alta",'Mapa final'!$AC$59="Leve"),CONCATENATE("R9C",'Mapa final'!$Q$59),"")</f>
        <v/>
      </c>
      <c r="L24" s="53" t="str">
        <f>IF(AND('Mapa final'!$AA$60="Alta",'Mapa final'!$AC$60="Leve"),CONCATENATE("R9C",'Mapa final'!$Q$60),"")</f>
        <v/>
      </c>
      <c r="M24" s="53" t="str">
        <f>IF(AND('Mapa final'!$AA$61="Alta",'Mapa final'!$AC$61="Leve"),CONCATENATE("R9C",'Mapa final'!$Q$61),"")</f>
        <v/>
      </c>
      <c r="N24" s="53" t="str">
        <f>IF(AND('Mapa final'!$AA$62="Alta",'Mapa final'!$AC$62="Leve"),CONCATENATE("R9C",'Mapa final'!$Q$62),"")</f>
        <v/>
      </c>
      <c r="O24" s="54" t="str">
        <f>IF(AND('Mapa final'!$AA$63="Alta",'Mapa final'!$AC$63="Leve"),CONCATENATE("R9C",'Mapa final'!$Q$63),"")</f>
        <v/>
      </c>
      <c r="P24" s="52" t="str">
        <f>IF(AND('Mapa final'!$AA$58="Alta",'Mapa final'!$AC$58="Menor"),CONCATENATE("R9C",'Mapa final'!$Q$58),"")</f>
        <v/>
      </c>
      <c r="Q24" s="53" t="str">
        <f>IF(AND('Mapa final'!$AA$59="Alta",'Mapa final'!$AC$59="Menor"),CONCATENATE("R9C",'Mapa final'!$Q$59),"")</f>
        <v/>
      </c>
      <c r="R24" s="53" t="str">
        <f>IF(AND('Mapa final'!$AA$60="Alta",'Mapa final'!$AC$60="Menor"),CONCATENATE("R9C",'Mapa final'!$Q$60),"")</f>
        <v/>
      </c>
      <c r="S24" s="53" t="str">
        <f>IF(AND('Mapa final'!$AA$61="Alta",'Mapa final'!$AC$61="Menor"),CONCATENATE("R9C",'Mapa final'!$Q$61),"")</f>
        <v/>
      </c>
      <c r="T24" s="53" t="str">
        <f>IF(AND('Mapa final'!$AA$62="Alta",'Mapa final'!$AC$62="Menor"),CONCATENATE("R9C",'Mapa final'!$Q$62),"")</f>
        <v/>
      </c>
      <c r="U24" s="54"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42" t="str">
        <f>IF(AND('Mapa final'!$AA$60="Alta",'Mapa final'!$AC$60="Moderado"),CONCATENATE("R9C",'Mapa final'!$Q$60),"")</f>
        <v/>
      </c>
      <c r="Y24" s="42" t="str">
        <f>IF(AND('Mapa final'!$AA$61="Alta",'Mapa final'!$AC$61="Moderado"),CONCATENATE("R9C",'Mapa final'!$Q$61),"")</f>
        <v/>
      </c>
      <c r="Z24" s="42"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42" t="str">
        <f>IF(AND('Mapa final'!$AA$60="Alta",'Mapa final'!$AC$60="Mayor"),CONCATENATE("R9C",'Mapa final'!$Q$60),"")</f>
        <v/>
      </c>
      <c r="AE24" s="42" t="str">
        <f>IF(AND('Mapa final'!$AA$61="Alta",'Mapa final'!$AC$61="Mayor"),CONCATENATE("R9C",'Mapa final'!$Q$61),"")</f>
        <v/>
      </c>
      <c r="AF24" s="42"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8"/>
      <c r="AO24" s="413"/>
      <c r="AP24" s="414"/>
      <c r="AQ24" s="414"/>
      <c r="AR24" s="414"/>
      <c r="AS24" s="414"/>
      <c r="AT24" s="415"/>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row>
    <row r="25" spans="1:76" ht="15.75" customHeight="1" thickBot="1" x14ac:dyDescent="0.3">
      <c r="A25" s="68"/>
      <c r="B25" s="362"/>
      <c r="C25" s="362"/>
      <c r="D25" s="363"/>
      <c r="E25" s="406"/>
      <c r="F25" s="407"/>
      <c r="G25" s="407"/>
      <c r="H25" s="407"/>
      <c r="I25" s="407"/>
      <c r="J25" s="55" t="str">
        <f>IF(AND('Mapa final'!$AA$64="Alta",'Mapa final'!$AC$64="Leve"),CONCATENATE("R10C",'Mapa final'!$Q$64),"")</f>
        <v/>
      </c>
      <c r="K25" s="56" t="str">
        <f>IF(AND('Mapa final'!$AA$65="Alta",'Mapa final'!$AC$65="Leve"),CONCATENATE("R10C",'Mapa final'!$Q$65),"")</f>
        <v/>
      </c>
      <c r="L25" s="56" t="str">
        <f>IF(AND('Mapa final'!$AA$66="Alta",'Mapa final'!$AC$66="Leve"),CONCATENATE("R10C",'Mapa final'!$Q$66),"")</f>
        <v/>
      </c>
      <c r="M25" s="56" t="str">
        <f>IF(AND('Mapa final'!$AA$67="Alta",'Mapa final'!$AC$67="Leve"),CONCATENATE("R10C",'Mapa final'!$Q$67),"")</f>
        <v/>
      </c>
      <c r="N25" s="56" t="str">
        <f>IF(AND('Mapa final'!$AA$68="Alta",'Mapa final'!$AC$68="Leve"),CONCATENATE("R10C",'Mapa final'!$Q$68),"")</f>
        <v/>
      </c>
      <c r="O25" s="57" t="str">
        <f>IF(AND('Mapa final'!$AA$69="Alta",'Mapa final'!$AC$69="Leve"),CONCATENATE("R10C",'Mapa final'!$Q$69),"")</f>
        <v/>
      </c>
      <c r="P25" s="55" t="str">
        <f>IF(AND('Mapa final'!$AA$64="Alta",'Mapa final'!$AC$64="Menor"),CONCATENATE("R10C",'Mapa final'!$Q$64),"")</f>
        <v/>
      </c>
      <c r="Q25" s="56" t="str">
        <f>IF(AND('Mapa final'!$AA$65="Alta",'Mapa final'!$AC$65="Menor"),CONCATENATE("R10C",'Mapa final'!$Q$65),"")</f>
        <v/>
      </c>
      <c r="R25" s="56" t="str">
        <f>IF(AND('Mapa final'!$AA$66="Alta",'Mapa final'!$AC$66="Menor"),CONCATENATE("R10C",'Mapa final'!$Q$66),"")</f>
        <v/>
      </c>
      <c r="S25" s="56" t="str">
        <f>IF(AND('Mapa final'!$AA$67="Alta",'Mapa final'!$AC$67="Menor"),CONCATENATE("R10C",'Mapa final'!$Q$67),"")</f>
        <v/>
      </c>
      <c r="T25" s="56" t="str">
        <f>IF(AND('Mapa final'!$AA$68="Alta",'Mapa final'!$AC$68="Menor"),CONCATENATE("R10C",'Mapa final'!$Q$68),"")</f>
        <v/>
      </c>
      <c r="U25" s="57" t="str">
        <f>IF(AND('Mapa final'!$AA$69="Alta",'Mapa final'!$AC$69="Menor"),CONCATENATE("R10C",'Mapa final'!$Q$69),"")</f>
        <v/>
      </c>
      <c r="V25" s="43" t="str">
        <f>IF(AND('Mapa final'!$AA$64="Alta",'Mapa final'!$AC$64="Moderado"),CONCATENATE("R10C",'Mapa final'!$Q$64),"")</f>
        <v/>
      </c>
      <c r="W25" s="44" t="str">
        <f>IF(AND('Mapa final'!$AA$65="Alta",'Mapa final'!$AC$65="Moderado"),CONCATENATE("R10C",'Mapa final'!$Q$65),"")</f>
        <v/>
      </c>
      <c r="X25" s="44" t="str">
        <f>IF(AND('Mapa final'!$AA$66="Alta",'Mapa final'!$AC$66="Moderado"),CONCATENATE("R10C",'Mapa final'!$Q$66),"")</f>
        <v/>
      </c>
      <c r="Y25" s="44" t="str">
        <f>IF(AND('Mapa final'!$AA$67="Alta",'Mapa final'!$AC$67="Moderado"),CONCATENATE("R10C",'Mapa final'!$Q$67),"")</f>
        <v/>
      </c>
      <c r="Z25" s="44" t="str">
        <f>IF(AND('Mapa final'!$AA$68="Alta",'Mapa final'!$AC$68="Moderado"),CONCATENATE("R10C",'Mapa final'!$Q$68),"")</f>
        <v/>
      </c>
      <c r="AA25" s="45" t="str">
        <f>IF(AND('Mapa final'!$AA$69="Alta",'Mapa final'!$AC$69="Moderado"),CONCATENATE("R10C",'Mapa final'!$Q$69),"")</f>
        <v/>
      </c>
      <c r="AB25" s="43" t="str">
        <f>IF(AND('Mapa final'!$AA$64="Alta",'Mapa final'!$AC$64="Mayor"),CONCATENATE("R10C",'Mapa final'!$Q$64),"")</f>
        <v/>
      </c>
      <c r="AC25" s="44" t="str">
        <f>IF(AND('Mapa final'!$AA$65="Alta",'Mapa final'!$AC$65="Mayor"),CONCATENATE("R10C",'Mapa final'!$Q$65),"")</f>
        <v/>
      </c>
      <c r="AD25" s="44" t="str">
        <f>IF(AND('Mapa final'!$AA$66="Alta",'Mapa final'!$AC$66="Mayor"),CONCATENATE("R10C",'Mapa final'!$Q$66),"")</f>
        <v/>
      </c>
      <c r="AE25" s="44" t="str">
        <f>IF(AND('Mapa final'!$AA$67="Alta",'Mapa final'!$AC$67="Mayor"),CONCATENATE("R10C",'Mapa final'!$Q$67),"")</f>
        <v/>
      </c>
      <c r="AF25" s="44" t="str">
        <f>IF(AND('Mapa final'!$AA$68="Alta",'Mapa final'!$AC$68="Mayor"),CONCATENATE("R10C",'Mapa final'!$Q$68),"")</f>
        <v/>
      </c>
      <c r="AG25" s="45" t="str">
        <f>IF(AND('Mapa final'!$AA$69="Alta",'Mapa final'!$AC$69="Mayor"),CONCATENATE("R10C",'Mapa final'!$Q$69),"")</f>
        <v/>
      </c>
      <c r="AH25" s="46" t="str">
        <f>IF(AND('Mapa final'!$AA$64="Alta",'Mapa final'!$AC$64="Catastrófico"),CONCATENATE("R10C",'Mapa final'!$Q$64),"")</f>
        <v/>
      </c>
      <c r="AI25" s="47" t="str">
        <f>IF(AND('Mapa final'!$AA$65="Alta",'Mapa final'!$AC$65="Catastrófico"),CONCATENATE("R10C",'Mapa final'!$Q$65),"")</f>
        <v/>
      </c>
      <c r="AJ25" s="47" t="str">
        <f>IF(AND('Mapa final'!$AA$66="Alta",'Mapa final'!$AC$66="Catastrófico"),CONCATENATE("R10C",'Mapa final'!$Q$66),"")</f>
        <v/>
      </c>
      <c r="AK25" s="47" t="str">
        <f>IF(AND('Mapa final'!$AA$67="Alta",'Mapa final'!$AC$67="Catastrófico"),CONCATENATE("R10C",'Mapa final'!$Q$67),"")</f>
        <v/>
      </c>
      <c r="AL25" s="47" t="str">
        <f>IF(AND('Mapa final'!$AA$68="Alta",'Mapa final'!$AC$68="Catastrófico"),CONCATENATE("R10C",'Mapa final'!$Q$68),"")</f>
        <v/>
      </c>
      <c r="AM25" s="48" t="str">
        <f>IF(AND('Mapa final'!$AA$69="Alta",'Mapa final'!$AC$69="Catastrófico"),CONCATENATE("R10C",'Mapa final'!$Q$69),"")</f>
        <v/>
      </c>
      <c r="AN25" s="68"/>
      <c r="AO25" s="416"/>
      <c r="AP25" s="417"/>
      <c r="AQ25" s="417"/>
      <c r="AR25" s="417"/>
      <c r="AS25" s="417"/>
      <c r="AT25" s="41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row>
    <row r="26" spans="1:76" ht="15" customHeight="1" x14ac:dyDescent="0.25">
      <c r="A26" s="68"/>
      <c r="B26" s="362"/>
      <c r="C26" s="362"/>
      <c r="D26" s="363"/>
      <c r="E26" s="400" t="s">
        <v>111</v>
      </c>
      <c r="F26" s="401"/>
      <c r="G26" s="401"/>
      <c r="H26" s="401"/>
      <c r="I26" s="402"/>
      <c r="J26" s="49" t="str">
        <f ca="1">IF(AND('Mapa final'!$AA$10="Media",'Mapa final'!$AC$10="Leve"),CONCATENATE("R1C",'Mapa final'!$Q$10),"")</f>
        <v/>
      </c>
      <c r="K26" s="50" t="str">
        <f ca="1">IF(AND('Mapa final'!$AA$11="Media",'Mapa final'!$AC$11="Leve"),CONCATENATE("R1C",'Mapa final'!$Q$11),"")</f>
        <v/>
      </c>
      <c r="L26" s="50" t="str">
        <f>IF(AND('Mapa final'!$AA$12="Media",'Mapa final'!$AC$12="Leve"),CONCATENATE("R1C",'Mapa final'!$Q$12),"")</f>
        <v/>
      </c>
      <c r="M26" s="50" t="str">
        <f>IF(AND('Mapa final'!$AA$13="Media",'Mapa final'!$AC$13="Leve"),CONCATENATE("R1C",'Mapa final'!$Q$13),"")</f>
        <v/>
      </c>
      <c r="N26" s="50" t="str">
        <f>IF(AND('Mapa final'!$AA$14="Media",'Mapa final'!$AC$14="Leve"),CONCATENATE("R1C",'Mapa final'!$Q$14),"")</f>
        <v/>
      </c>
      <c r="O26" s="51" t="str">
        <f>IF(AND('Mapa final'!$AA$15="Media",'Mapa final'!$AC$15="Leve"),CONCATENATE("R1C",'Mapa final'!$Q$15),"")</f>
        <v/>
      </c>
      <c r="P26" s="49" t="str">
        <f ca="1">IF(AND('Mapa final'!$AA$10="Media",'Mapa final'!$AC$10="Menor"),CONCATENATE("R1C",'Mapa final'!$Q$10),"")</f>
        <v/>
      </c>
      <c r="Q26" s="50" t="str">
        <f ca="1">IF(AND('Mapa final'!$AA$11="Media",'Mapa final'!$AC$11="Menor"),CONCATENATE("R1C",'Mapa final'!$Q$11),"")</f>
        <v/>
      </c>
      <c r="R26" s="50" t="str">
        <f>IF(AND('Mapa final'!$AA$12="Media",'Mapa final'!$AC$12="Menor"),CONCATENATE("R1C",'Mapa final'!$Q$12),"")</f>
        <v/>
      </c>
      <c r="S26" s="50" t="str">
        <f>IF(AND('Mapa final'!$AA$13="Media",'Mapa final'!$AC$13="Menor"),CONCATENATE("R1C",'Mapa final'!$Q$13),"")</f>
        <v/>
      </c>
      <c r="T26" s="50" t="str">
        <f>IF(AND('Mapa final'!$AA$14="Media",'Mapa final'!$AC$14="Menor"),CONCATENATE("R1C",'Mapa final'!$Q$14),"")</f>
        <v/>
      </c>
      <c r="U26" s="51" t="str">
        <f>IF(AND('Mapa final'!$AA$15="Media",'Mapa final'!$AC$15="Menor"),CONCATENATE("R1C",'Mapa final'!$Q$15),"")</f>
        <v/>
      </c>
      <c r="V26" s="49" t="str">
        <f ca="1">IF(AND('Mapa final'!$AA$10="Media",'Mapa final'!$AC$10="Moderado"),CONCATENATE("R1C",'Mapa final'!$Q$10),"")</f>
        <v/>
      </c>
      <c r="W26" s="50" t="str">
        <f ca="1">IF(AND('Mapa final'!$AA$11="Media",'Mapa final'!$AC$11="Moderado"),CONCATENATE("R1C",'Mapa final'!$Q$11),"")</f>
        <v/>
      </c>
      <c r="X26" s="50" t="str">
        <f>IF(AND('Mapa final'!$AA$12="Media",'Mapa final'!$AC$12="Moderado"),CONCATENATE("R1C",'Mapa final'!$Q$12),"")</f>
        <v/>
      </c>
      <c r="Y26" s="50" t="str">
        <f>IF(AND('Mapa final'!$AA$13="Media",'Mapa final'!$AC$13="Moderado"),CONCATENATE("R1C",'Mapa final'!$Q$13),"")</f>
        <v/>
      </c>
      <c r="Z26" s="50" t="str">
        <f>IF(AND('Mapa final'!$AA$14="Media",'Mapa final'!$AC$14="Moderado"),CONCATENATE("R1C",'Mapa final'!$Q$14),"")</f>
        <v/>
      </c>
      <c r="AA26" s="51" t="str">
        <f>IF(AND('Mapa final'!$AA$15="Media",'Mapa final'!$AC$15="Moderado"),CONCATENATE("R1C",'Mapa final'!$Q$15),"")</f>
        <v/>
      </c>
      <c r="AB26" s="30" t="str">
        <f ca="1">IF(AND('Mapa final'!$AA$10="Media",'Mapa final'!$AC$10="Mayor"),CONCATENATE("R1C",'Mapa final'!$Q$10),"")</f>
        <v/>
      </c>
      <c r="AC26" s="31" t="str">
        <f ca="1">IF(AND('Mapa final'!$AA$11="Media",'Mapa final'!$AC$11="Mayor"),CONCATENATE("R1C",'Mapa final'!$Q$11),"")</f>
        <v/>
      </c>
      <c r="AD26" s="31" t="str">
        <f>IF(AND('Mapa final'!$AA$12="Media",'Mapa final'!$AC$12="Mayor"),CONCATENATE("R1C",'Mapa final'!$Q$12),"")</f>
        <v/>
      </c>
      <c r="AE26" s="31" t="str">
        <f>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 ca="1">IF(AND('Mapa final'!$AA$10="Media",'Mapa final'!$AC$10="Catastrófico"),CONCATENATE("R1C",'Mapa final'!$Q$10),"")</f>
        <v/>
      </c>
      <c r="AI26" s="34" t="str">
        <f ca="1">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8"/>
      <c r="AO26" s="441" t="s">
        <v>79</v>
      </c>
      <c r="AP26" s="442"/>
      <c r="AQ26" s="442"/>
      <c r="AR26" s="442"/>
      <c r="AS26" s="442"/>
      <c r="AT26" s="443"/>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row>
    <row r="27" spans="1:76" ht="15" customHeight="1" x14ac:dyDescent="0.25">
      <c r="A27" s="68"/>
      <c r="B27" s="362"/>
      <c r="C27" s="362"/>
      <c r="D27" s="363"/>
      <c r="E27" s="419"/>
      <c r="F27" s="420"/>
      <c r="G27" s="420"/>
      <c r="H27" s="420"/>
      <c r="I27" s="405"/>
      <c r="J27" s="52" t="str">
        <f ca="1">IF(AND('Mapa final'!$AA$16="Media",'Mapa final'!$AC$16="Leve"),CONCATENATE("R2C",'Mapa final'!$Q$16),"")</f>
        <v/>
      </c>
      <c r="K27" s="53" t="str">
        <f ca="1">IF(AND('Mapa final'!$AA$17="Media",'Mapa final'!$AC$17="Leve"),CONCATENATE("R2C",'Mapa final'!$Q$17),"")</f>
        <v/>
      </c>
      <c r="L27" s="53" t="str">
        <f>IF(AND('Mapa final'!$AA$18="Media",'Mapa final'!$AC$18="Leve"),CONCATENATE("R2C",'Mapa final'!$Q$18),"")</f>
        <v/>
      </c>
      <c r="M27" s="53" t="str">
        <f>IF(AND('Mapa final'!$AA$19="Media",'Mapa final'!$AC$19="Leve"),CONCATENATE("R2C",'Mapa final'!$Q$19),"")</f>
        <v/>
      </c>
      <c r="N27" s="53" t="str">
        <f>IF(AND('Mapa final'!$AA$20="Media",'Mapa final'!$AC$20="Leve"),CONCATENATE("R2C",'Mapa final'!$Q$20),"")</f>
        <v/>
      </c>
      <c r="O27" s="54" t="str">
        <f>IF(AND('Mapa final'!$AA$21="Media",'Mapa final'!$AC$21="Leve"),CONCATENATE("R2C",'Mapa final'!$Q$21),"")</f>
        <v/>
      </c>
      <c r="P27" s="52" t="str">
        <f ca="1">IF(AND('Mapa final'!$AA$16="Media",'Mapa final'!$AC$16="Menor"),CONCATENATE("R2C",'Mapa final'!$Q$16),"")</f>
        <v/>
      </c>
      <c r="Q27" s="53" t="str">
        <f ca="1">IF(AND('Mapa final'!$AA$17="Media",'Mapa final'!$AC$17="Menor"),CONCATENATE("R2C",'Mapa final'!$Q$17),"")</f>
        <v/>
      </c>
      <c r="R27" s="53" t="str">
        <f>IF(AND('Mapa final'!$AA$18="Media",'Mapa final'!$AC$18="Menor"),CONCATENATE("R2C",'Mapa final'!$Q$18),"")</f>
        <v/>
      </c>
      <c r="S27" s="53" t="str">
        <f>IF(AND('Mapa final'!$AA$19="Media",'Mapa final'!$AC$19="Menor"),CONCATENATE("R2C",'Mapa final'!$Q$19),"")</f>
        <v/>
      </c>
      <c r="T27" s="53" t="str">
        <f>IF(AND('Mapa final'!$AA$20="Media",'Mapa final'!$AC$20="Menor"),CONCATENATE("R2C",'Mapa final'!$Q$20),"")</f>
        <v/>
      </c>
      <c r="U27" s="54" t="str">
        <f>IF(AND('Mapa final'!$AA$21="Media",'Mapa final'!$AC$21="Menor"),CONCATENATE("R2C",'Mapa final'!$Q$21),"")</f>
        <v/>
      </c>
      <c r="V27" s="52" t="str">
        <f ca="1">IF(AND('Mapa final'!$AA$16="Media",'Mapa final'!$AC$16="Moderado"),CONCATENATE("R2C",'Mapa final'!$Q$16),"")</f>
        <v/>
      </c>
      <c r="W27" s="53" t="str">
        <f ca="1">IF(AND('Mapa final'!$AA$17="Media",'Mapa final'!$AC$17="Moderado"),CONCATENATE("R2C",'Mapa final'!$Q$17),"")</f>
        <v/>
      </c>
      <c r="X27" s="53" t="str">
        <f>IF(AND('Mapa final'!$AA$18="Media",'Mapa final'!$AC$18="Moderado"),CONCATENATE("R2C",'Mapa final'!$Q$18),"")</f>
        <v/>
      </c>
      <c r="Y27" s="53" t="str">
        <f>IF(AND('Mapa final'!$AA$19="Media",'Mapa final'!$AC$19="Moderado"),CONCATENATE("R2C",'Mapa final'!$Q$19),"")</f>
        <v/>
      </c>
      <c r="Z27" s="53" t="str">
        <f>IF(AND('Mapa final'!$AA$20="Media",'Mapa final'!$AC$20="Moderado"),CONCATENATE("R2C",'Mapa final'!$Q$20),"")</f>
        <v/>
      </c>
      <c r="AA27" s="54" t="str">
        <f>IF(AND('Mapa final'!$AA$21="Media",'Mapa final'!$AC$21="Moderado"),CONCATENATE("R2C",'Mapa final'!$Q$21),"")</f>
        <v/>
      </c>
      <c r="AB27" s="36" t="str">
        <f ca="1">IF(AND('Mapa final'!$AA$16="Media",'Mapa final'!$AC$16="Mayor"),CONCATENATE("R2C",'Mapa final'!$Q$16),"")</f>
        <v/>
      </c>
      <c r="AC27" s="37" t="str">
        <f ca="1">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 ca="1">IF(AND('Mapa final'!$AA$16="Media",'Mapa final'!$AC$16="Catastrófico"),CONCATENATE("R2C",'Mapa final'!$Q$16),"")</f>
        <v>R2C1</v>
      </c>
      <c r="AI27" s="40" t="str">
        <f ca="1">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8"/>
      <c r="AO27" s="444"/>
      <c r="AP27" s="445"/>
      <c r="AQ27" s="445"/>
      <c r="AR27" s="445"/>
      <c r="AS27" s="445"/>
      <c r="AT27" s="446"/>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row>
    <row r="28" spans="1:76" ht="15" customHeight="1" x14ac:dyDescent="0.25">
      <c r="A28" s="68"/>
      <c r="B28" s="362"/>
      <c r="C28" s="362"/>
      <c r="D28" s="363"/>
      <c r="E28" s="403"/>
      <c r="F28" s="404"/>
      <c r="G28" s="404"/>
      <c r="H28" s="404"/>
      <c r="I28" s="405"/>
      <c r="J28" s="52" t="str">
        <f ca="1">IF(AND('Mapa final'!$AA$22="Media",'Mapa final'!$AC$22="Leve"),CONCATENATE("R3C",'Mapa final'!$Q$22),"")</f>
        <v/>
      </c>
      <c r="K28" s="53" t="str">
        <f ca="1">IF(AND('Mapa final'!$AA$23="Media",'Mapa final'!$AC$23="Leve"),CONCATENATE("R3C",'Mapa final'!$Q$23),"")</f>
        <v/>
      </c>
      <c r="L28" s="53" t="str">
        <f>IF(AND('Mapa final'!$AA$24="Media",'Mapa final'!$AC$24="Leve"),CONCATENATE("R3C",'Mapa final'!$Q$24),"")</f>
        <v/>
      </c>
      <c r="M28" s="53" t="str">
        <f>IF(AND('Mapa final'!$AA$25="Media",'Mapa final'!$AC$25="Leve"),CONCATENATE("R3C",'Mapa final'!$Q$25),"")</f>
        <v/>
      </c>
      <c r="N28" s="53" t="str">
        <f>IF(AND('Mapa final'!$AA$26="Media",'Mapa final'!$AC$26="Leve"),CONCATENATE("R3C",'Mapa final'!$Q$26),"")</f>
        <v/>
      </c>
      <c r="O28" s="54" t="str">
        <f>IF(AND('Mapa final'!$AA$27="Media",'Mapa final'!$AC$27="Leve"),CONCATENATE("R3C",'Mapa final'!$Q$27),"")</f>
        <v/>
      </c>
      <c r="P28" s="52" t="str">
        <f ca="1">IF(AND('Mapa final'!$AA$22="Media",'Mapa final'!$AC$22="Menor"),CONCATENATE("R3C",'Mapa final'!$Q$22),"")</f>
        <v/>
      </c>
      <c r="Q28" s="53" t="str">
        <f ca="1">IF(AND('Mapa final'!$AA$23="Media",'Mapa final'!$AC$23="Menor"),CONCATENATE("R3C",'Mapa final'!$Q$23),"")</f>
        <v/>
      </c>
      <c r="R28" s="53" t="str">
        <f>IF(AND('Mapa final'!$AA$24="Media",'Mapa final'!$AC$24="Menor"),CONCATENATE("R3C",'Mapa final'!$Q$24),"")</f>
        <v/>
      </c>
      <c r="S28" s="53" t="str">
        <f>IF(AND('Mapa final'!$AA$25="Media",'Mapa final'!$AC$25="Menor"),CONCATENATE("R3C",'Mapa final'!$Q$25),"")</f>
        <v/>
      </c>
      <c r="T28" s="53" t="str">
        <f>IF(AND('Mapa final'!$AA$26="Media",'Mapa final'!$AC$26="Menor"),CONCATENATE("R3C",'Mapa final'!$Q$26),"")</f>
        <v/>
      </c>
      <c r="U28" s="54" t="str">
        <f>IF(AND('Mapa final'!$AA$27="Media",'Mapa final'!$AC$27="Menor"),CONCATENATE("R3C",'Mapa final'!$Q$27),"")</f>
        <v/>
      </c>
      <c r="V28" s="52" t="str">
        <f ca="1">IF(AND('Mapa final'!$AA$22="Media",'Mapa final'!$AC$22="Moderado"),CONCATENATE("R3C",'Mapa final'!$Q$22),"")</f>
        <v/>
      </c>
      <c r="W28" s="53" t="str">
        <f ca="1">IF(AND('Mapa final'!$AA$23="Media",'Mapa final'!$AC$23="Moderado"),CONCATENATE("R3C",'Mapa final'!$Q$23),"")</f>
        <v/>
      </c>
      <c r="X28" s="53" t="str">
        <f>IF(AND('Mapa final'!$AA$24="Media",'Mapa final'!$AC$24="Moderado"),CONCATENATE("R3C",'Mapa final'!$Q$24),"")</f>
        <v/>
      </c>
      <c r="Y28" s="53" t="str">
        <f>IF(AND('Mapa final'!$AA$25="Media",'Mapa final'!$AC$25="Moderado"),CONCATENATE("R3C",'Mapa final'!$Q$25),"")</f>
        <v/>
      </c>
      <c r="Z28" s="53" t="str">
        <f>IF(AND('Mapa final'!$AA$26="Media",'Mapa final'!$AC$26="Moderado"),CONCATENATE("R3C",'Mapa final'!$Q$26),"")</f>
        <v/>
      </c>
      <c r="AA28" s="54" t="str">
        <f>IF(AND('Mapa final'!$AA$27="Media",'Mapa final'!$AC$27="Moderado"),CONCATENATE("R3C",'Mapa final'!$Q$27),"")</f>
        <v/>
      </c>
      <c r="AB28" s="36" t="str">
        <f ca="1">IF(AND('Mapa final'!$AA$22="Media",'Mapa final'!$AC$22="Mayor"),CONCATENATE("R3C",'Mapa final'!$Q$22),"")</f>
        <v/>
      </c>
      <c r="AC28" s="37" t="str">
        <f ca="1">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 ca="1">IF(AND('Mapa final'!$AA$22="Media",'Mapa final'!$AC$22="Catastrófico"),CONCATENATE("R3C",'Mapa final'!$Q$22),"")</f>
        <v/>
      </c>
      <c r="AI28" s="40" t="str">
        <f ca="1">IF(AND('Mapa final'!$AA$23="Media",'Mapa final'!$AC$23="Catastrófico"),CONCATENATE("R3C",'Mapa final'!$Q$23),"")</f>
        <v>R3C2</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8"/>
      <c r="AO28" s="444"/>
      <c r="AP28" s="445"/>
      <c r="AQ28" s="445"/>
      <c r="AR28" s="445"/>
      <c r="AS28" s="445"/>
      <c r="AT28" s="446"/>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row>
    <row r="29" spans="1:76" ht="15" customHeight="1" x14ac:dyDescent="0.25">
      <c r="A29" s="68"/>
      <c r="B29" s="362"/>
      <c r="C29" s="362"/>
      <c r="D29" s="363"/>
      <c r="E29" s="403"/>
      <c r="F29" s="404"/>
      <c r="G29" s="404"/>
      <c r="H29" s="404"/>
      <c r="I29" s="405"/>
      <c r="J29" s="52" t="str">
        <f>IF(AND('Mapa final'!$AA$28="Media",'Mapa final'!$AC$28="Leve"),CONCATENATE("R4C",'Mapa final'!$Q$28),"")</f>
        <v/>
      </c>
      <c r="K29" s="53" t="str">
        <f>IF(AND('Mapa final'!$AA$29="Media",'Mapa final'!$AC$29="Leve"),CONCATENATE("R4C",'Mapa final'!$Q$29),"")</f>
        <v/>
      </c>
      <c r="L29" s="53" t="str">
        <f>IF(AND('Mapa final'!$AA$30="Media",'Mapa final'!$AC$30="Leve"),CONCATENATE("R4C",'Mapa final'!$Q$30),"")</f>
        <v/>
      </c>
      <c r="M29" s="53" t="str">
        <f>IF(AND('Mapa final'!$AA$31="Media",'Mapa final'!$AC$31="Leve"),CONCATENATE("R4C",'Mapa final'!$Q$31),"")</f>
        <v/>
      </c>
      <c r="N29" s="53" t="str">
        <f>IF(AND('Mapa final'!$AA$32="Media",'Mapa final'!$AC$32="Leve"),CONCATENATE("R4C",'Mapa final'!$Q$32),"")</f>
        <v/>
      </c>
      <c r="O29" s="54" t="str">
        <f>IF(AND('Mapa final'!$AA$33="Media",'Mapa final'!$AC$33="Leve"),CONCATENATE("R4C",'Mapa final'!$Q$33),"")</f>
        <v/>
      </c>
      <c r="P29" s="52" t="str">
        <f>IF(AND('Mapa final'!$AA$28="Media",'Mapa final'!$AC$28="Menor"),CONCATENATE("R4C",'Mapa final'!$Q$28),"")</f>
        <v/>
      </c>
      <c r="Q29" s="53" t="str">
        <f>IF(AND('Mapa final'!$AA$29="Media",'Mapa final'!$AC$29="Menor"),CONCATENATE("R4C",'Mapa final'!$Q$29),"")</f>
        <v/>
      </c>
      <c r="R29" s="53" t="str">
        <f>IF(AND('Mapa final'!$AA$30="Media",'Mapa final'!$AC$30="Menor"),CONCATENATE("R4C",'Mapa final'!$Q$30),"")</f>
        <v/>
      </c>
      <c r="S29" s="53" t="str">
        <f>IF(AND('Mapa final'!$AA$31="Media",'Mapa final'!$AC$31="Menor"),CONCATENATE("R4C",'Mapa final'!$Q$31),"")</f>
        <v/>
      </c>
      <c r="T29" s="53" t="str">
        <f>IF(AND('Mapa final'!$AA$32="Media",'Mapa final'!$AC$32="Menor"),CONCATENATE("R4C",'Mapa final'!$Q$32),"")</f>
        <v/>
      </c>
      <c r="U29" s="54" t="str">
        <f>IF(AND('Mapa final'!$AA$33="Media",'Mapa final'!$AC$33="Menor"),CONCATENATE("R4C",'Mapa final'!$Q$33),"")</f>
        <v/>
      </c>
      <c r="V29" s="52" t="str">
        <f>IF(AND('Mapa final'!$AA$28="Media",'Mapa final'!$AC$28="Moderado"),CONCATENATE("R4C",'Mapa final'!$Q$28),"")</f>
        <v/>
      </c>
      <c r="W29" s="53" t="str">
        <f>IF(AND('Mapa final'!$AA$29="Media",'Mapa final'!$AC$29="Moderado"),CONCATENATE("R4C",'Mapa final'!$Q$29),"")</f>
        <v/>
      </c>
      <c r="X29" s="53" t="str">
        <f>IF(AND('Mapa final'!$AA$30="Media",'Mapa final'!$AC$30="Moderado"),CONCATENATE("R4C",'Mapa final'!$Q$30),"")</f>
        <v/>
      </c>
      <c r="Y29" s="53" t="str">
        <f>IF(AND('Mapa final'!$AA$31="Media",'Mapa final'!$AC$31="Moderado"),CONCATENATE("R4C",'Mapa final'!$Q$31),"")</f>
        <v/>
      </c>
      <c r="Z29" s="53" t="str">
        <f>IF(AND('Mapa final'!$AA$32="Media",'Mapa final'!$AC$32="Moderado"),CONCATENATE("R4C",'Mapa final'!$Q$32),"")</f>
        <v/>
      </c>
      <c r="AA29" s="54"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42" t="str">
        <f>IF(AND('Mapa final'!$AA$30="Media",'Mapa final'!$AC$30="Mayor"),CONCATENATE("R4C",'Mapa final'!$Q$30),"")</f>
        <v/>
      </c>
      <c r="AE29" s="42" t="str">
        <f>IF(AND('Mapa final'!$AA$31="Media",'Mapa final'!$AC$31="Mayor"),CONCATENATE("R4C",'Mapa final'!$Q$31),"")</f>
        <v/>
      </c>
      <c r="AF29" s="42"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8"/>
      <c r="AO29" s="444"/>
      <c r="AP29" s="445"/>
      <c r="AQ29" s="445"/>
      <c r="AR29" s="445"/>
      <c r="AS29" s="445"/>
      <c r="AT29" s="446"/>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row>
    <row r="30" spans="1:76" ht="15" customHeight="1" x14ac:dyDescent="0.25">
      <c r="A30" s="68"/>
      <c r="B30" s="362"/>
      <c r="C30" s="362"/>
      <c r="D30" s="363"/>
      <c r="E30" s="403"/>
      <c r="F30" s="404"/>
      <c r="G30" s="404"/>
      <c r="H30" s="404"/>
      <c r="I30" s="405"/>
      <c r="J30" s="52" t="str">
        <f>IF(AND('Mapa final'!$AA$34="Media",'Mapa final'!$AC$34="Leve"),CONCATENATE("R5C",'Mapa final'!$Q$34),"")</f>
        <v/>
      </c>
      <c r="K30" s="53" t="str">
        <f>IF(AND('Mapa final'!$AA$35="Media",'Mapa final'!$AC$35="Leve"),CONCATENATE("R5C",'Mapa final'!$Q$35),"")</f>
        <v/>
      </c>
      <c r="L30" s="53" t="str">
        <f>IF(AND('Mapa final'!$AA$36="Media",'Mapa final'!$AC$36="Leve"),CONCATENATE("R5C",'Mapa final'!$Q$36),"")</f>
        <v/>
      </c>
      <c r="M30" s="53" t="str">
        <f>IF(AND('Mapa final'!$AA$37="Media",'Mapa final'!$AC$37="Leve"),CONCATENATE("R5C",'Mapa final'!$Q$37),"")</f>
        <v/>
      </c>
      <c r="N30" s="53" t="str">
        <f>IF(AND('Mapa final'!$AA$38="Media",'Mapa final'!$AC$38="Leve"),CONCATENATE("R5C",'Mapa final'!$Q$38),"")</f>
        <v/>
      </c>
      <c r="O30" s="54" t="str">
        <f>IF(AND('Mapa final'!$AA$39="Media",'Mapa final'!$AC$39="Leve"),CONCATENATE("R5C",'Mapa final'!$Q$39),"")</f>
        <v/>
      </c>
      <c r="P30" s="52" t="str">
        <f>IF(AND('Mapa final'!$AA$34="Media",'Mapa final'!$AC$34="Menor"),CONCATENATE("R5C",'Mapa final'!$Q$34),"")</f>
        <v/>
      </c>
      <c r="Q30" s="53" t="str">
        <f>IF(AND('Mapa final'!$AA$35="Media",'Mapa final'!$AC$35="Menor"),CONCATENATE("R5C",'Mapa final'!$Q$35),"")</f>
        <v/>
      </c>
      <c r="R30" s="53" t="str">
        <f>IF(AND('Mapa final'!$AA$36="Media",'Mapa final'!$AC$36="Menor"),CONCATENATE("R5C",'Mapa final'!$Q$36),"")</f>
        <v/>
      </c>
      <c r="S30" s="53" t="str">
        <f>IF(AND('Mapa final'!$AA$37="Media",'Mapa final'!$AC$37="Menor"),CONCATENATE("R5C",'Mapa final'!$Q$37),"")</f>
        <v/>
      </c>
      <c r="T30" s="53" t="str">
        <f>IF(AND('Mapa final'!$AA$38="Media",'Mapa final'!$AC$38="Menor"),CONCATENATE("R5C",'Mapa final'!$Q$38),"")</f>
        <v/>
      </c>
      <c r="U30" s="54" t="str">
        <f>IF(AND('Mapa final'!$AA$39="Media",'Mapa final'!$AC$39="Menor"),CONCATENATE("R5C",'Mapa final'!$Q$39),"")</f>
        <v/>
      </c>
      <c r="V30" s="52" t="str">
        <f>IF(AND('Mapa final'!$AA$34="Media",'Mapa final'!$AC$34="Moderado"),CONCATENATE("R5C",'Mapa final'!$Q$34),"")</f>
        <v/>
      </c>
      <c r="W30" s="53" t="str">
        <f>IF(AND('Mapa final'!$AA$35="Media",'Mapa final'!$AC$35="Moderado"),CONCATENATE("R5C",'Mapa final'!$Q$35),"")</f>
        <v/>
      </c>
      <c r="X30" s="53" t="str">
        <f>IF(AND('Mapa final'!$AA$36="Media",'Mapa final'!$AC$36="Moderado"),CONCATENATE("R5C",'Mapa final'!$Q$36),"")</f>
        <v/>
      </c>
      <c r="Y30" s="53" t="str">
        <f>IF(AND('Mapa final'!$AA$37="Media",'Mapa final'!$AC$37="Moderado"),CONCATENATE("R5C",'Mapa final'!$Q$37),"")</f>
        <v/>
      </c>
      <c r="Z30" s="53" t="str">
        <f>IF(AND('Mapa final'!$AA$38="Media",'Mapa final'!$AC$38="Moderado"),CONCATENATE("R5C",'Mapa final'!$Q$38),"")</f>
        <v/>
      </c>
      <c r="AA30" s="54"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42" t="str">
        <f>IF(AND('Mapa final'!$AA$36="Media",'Mapa final'!$AC$36="Mayor"),CONCATENATE("R5C",'Mapa final'!$Q$36),"")</f>
        <v/>
      </c>
      <c r="AE30" s="42" t="str">
        <f>IF(AND('Mapa final'!$AA$37="Media",'Mapa final'!$AC$37="Mayor"),CONCATENATE("R5C",'Mapa final'!$Q$37),"")</f>
        <v/>
      </c>
      <c r="AF30" s="42"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8"/>
      <c r="AO30" s="444"/>
      <c r="AP30" s="445"/>
      <c r="AQ30" s="445"/>
      <c r="AR30" s="445"/>
      <c r="AS30" s="445"/>
      <c r="AT30" s="446"/>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row>
    <row r="31" spans="1:76" ht="15" customHeight="1" x14ac:dyDescent="0.25">
      <c r="A31" s="68"/>
      <c r="B31" s="362"/>
      <c r="C31" s="362"/>
      <c r="D31" s="363"/>
      <c r="E31" s="403"/>
      <c r="F31" s="404"/>
      <c r="G31" s="404"/>
      <c r="H31" s="404"/>
      <c r="I31" s="405"/>
      <c r="J31" s="52" t="str">
        <f>IF(AND('Mapa final'!$AA$40="Media",'Mapa final'!$AC$40="Leve"),CONCATENATE("R6C",'Mapa final'!$Q$40),"")</f>
        <v/>
      </c>
      <c r="K31" s="53" t="str">
        <f>IF(AND('Mapa final'!$AA$41="Media",'Mapa final'!$AC$41="Leve"),CONCATENATE("R6C",'Mapa final'!$Q$41),"")</f>
        <v/>
      </c>
      <c r="L31" s="53" t="str">
        <f>IF(AND('Mapa final'!$AA$42="Media",'Mapa final'!$AC$42="Leve"),CONCATENATE("R6C",'Mapa final'!$Q$42),"")</f>
        <v/>
      </c>
      <c r="M31" s="53" t="str">
        <f>IF(AND('Mapa final'!$AA$43="Media",'Mapa final'!$AC$43="Leve"),CONCATENATE("R6C",'Mapa final'!$Q$43),"")</f>
        <v/>
      </c>
      <c r="N31" s="53" t="str">
        <f>IF(AND('Mapa final'!$AA$44="Media",'Mapa final'!$AC$44="Leve"),CONCATENATE("R6C",'Mapa final'!$Q$44),"")</f>
        <v/>
      </c>
      <c r="O31" s="54" t="str">
        <f>IF(AND('Mapa final'!$AA$45="Media",'Mapa final'!$AC$45="Leve"),CONCATENATE("R6C",'Mapa final'!$Q$45),"")</f>
        <v/>
      </c>
      <c r="P31" s="52" t="str">
        <f>IF(AND('Mapa final'!$AA$40="Media",'Mapa final'!$AC$40="Menor"),CONCATENATE("R6C",'Mapa final'!$Q$40),"")</f>
        <v/>
      </c>
      <c r="Q31" s="53" t="str">
        <f>IF(AND('Mapa final'!$AA$41="Media",'Mapa final'!$AC$41="Menor"),CONCATENATE("R6C",'Mapa final'!$Q$41),"")</f>
        <v/>
      </c>
      <c r="R31" s="53" t="str">
        <f>IF(AND('Mapa final'!$AA$42="Media",'Mapa final'!$AC$42="Menor"),CONCATENATE("R6C",'Mapa final'!$Q$42),"")</f>
        <v/>
      </c>
      <c r="S31" s="53" t="str">
        <f>IF(AND('Mapa final'!$AA$43="Media",'Mapa final'!$AC$43="Menor"),CONCATENATE("R6C",'Mapa final'!$Q$43),"")</f>
        <v/>
      </c>
      <c r="T31" s="53" t="str">
        <f>IF(AND('Mapa final'!$AA$44="Media",'Mapa final'!$AC$44="Menor"),CONCATENATE("R6C",'Mapa final'!$Q$44),"")</f>
        <v/>
      </c>
      <c r="U31" s="54" t="str">
        <f>IF(AND('Mapa final'!$AA$45="Media",'Mapa final'!$AC$45="Menor"),CONCATENATE("R6C",'Mapa final'!$Q$45),"")</f>
        <v/>
      </c>
      <c r="V31" s="52" t="str">
        <f>IF(AND('Mapa final'!$AA$40="Media",'Mapa final'!$AC$40="Moderado"),CONCATENATE("R6C",'Mapa final'!$Q$40),"")</f>
        <v/>
      </c>
      <c r="W31" s="53" t="str">
        <f>IF(AND('Mapa final'!$AA$41="Media",'Mapa final'!$AC$41="Moderado"),CONCATENATE("R6C",'Mapa final'!$Q$41),"")</f>
        <v/>
      </c>
      <c r="X31" s="53" t="str">
        <f>IF(AND('Mapa final'!$AA$42="Media",'Mapa final'!$AC$42="Moderado"),CONCATENATE("R6C",'Mapa final'!$Q$42),"")</f>
        <v/>
      </c>
      <c r="Y31" s="53" t="str">
        <f>IF(AND('Mapa final'!$AA$43="Media",'Mapa final'!$AC$43="Moderado"),CONCATENATE("R6C",'Mapa final'!$Q$43),"")</f>
        <v/>
      </c>
      <c r="Z31" s="53" t="str">
        <f>IF(AND('Mapa final'!$AA$44="Media",'Mapa final'!$AC$44="Moderado"),CONCATENATE("R6C",'Mapa final'!$Q$44),"")</f>
        <v/>
      </c>
      <c r="AA31" s="54"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42" t="str">
        <f>IF(AND('Mapa final'!$AA$42="Media",'Mapa final'!$AC$42="Mayor"),CONCATENATE("R6C",'Mapa final'!$Q$42),"")</f>
        <v/>
      </c>
      <c r="AE31" s="42" t="str">
        <f>IF(AND('Mapa final'!$AA$43="Media",'Mapa final'!$AC$43="Mayor"),CONCATENATE("R6C",'Mapa final'!$Q$43),"")</f>
        <v/>
      </c>
      <c r="AF31" s="42"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8"/>
      <c r="AO31" s="444"/>
      <c r="AP31" s="445"/>
      <c r="AQ31" s="445"/>
      <c r="AR31" s="445"/>
      <c r="AS31" s="445"/>
      <c r="AT31" s="446"/>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row>
    <row r="32" spans="1:76" ht="15" customHeight="1" x14ac:dyDescent="0.25">
      <c r="A32" s="68"/>
      <c r="B32" s="362"/>
      <c r="C32" s="362"/>
      <c r="D32" s="363"/>
      <c r="E32" s="403"/>
      <c r="F32" s="404"/>
      <c r="G32" s="404"/>
      <c r="H32" s="404"/>
      <c r="I32" s="405"/>
      <c r="J32" s="52" t="str">
        <f>IF(AND('Mapa final'!$AA$46="Media",'Mapa final'!$AC$46="Leve"),CONCATENATE("R7C",'Mapa final'!$Q$46),"")</f>
        <v/>
      </c>
      <c r="K32" s="53" t="str">
        <f>IF(AND('Mapa final'!$AA$47="Media",'Mapa final'!$AC$47="Leve"),CONCATENATE("R7C",'Mapa final'!$Q$47),"")</f>
        <v/>
      </c>
      <c r="L32" s="53" t="str">
        <f>IF(AND('Mapa final'!$AA$48="Media",'Mapa final'!$AC$48="Leve"),CONCATENATE("R7C",'Mapa final'!$Q$48),"")</f>
        <v/>
      </c>
      <c r="M32" s="53" t="str">
        <f>IF(AND('Mapa final'!$AA$49="Media",'Mapa final'!$AC$49="Leve"),CONCATENATE("R7C",'Mapa final'!$Q$49),"")</f>
        <v/>
      </c>
      <c r="N32" s="53" t="str">
        <f>IF(AND('Mapa final'!$AA$50="Media",'Mapa final'!$AC$50="Leve"),CONCATENATE("R7C",'Mapa final'!$Q$50),"")</f>
        <v/>
      </c>
      <c r="O32" s="54" t="str">
        <f>IF(AND('Mapa final'!$AA$51="Media",'Mapa final'!$AC$51="Leve"),CONCATENATE("R7C",'Mapa final'!$Q$51),"")</f>
        <v/>
      </c>
      <c r="P32" s="52" t="str">
        <f>IF(AND('Mapa final'!$AA$46="Media",'Mapa final'!$AC$46="Menor"),CONCATENATE("R7C",'Mapa final'!$Q$46),"")</f>
        <v/>
      </c>
      <c r="Q32" s="53" t="str">
        <f>IF(AND('Mapa final'!$AA$47="Media",'Mapa final'!$AC$47="Menor"),CONCATENATE("R7C",'Mapa final'!$Q$47),"")</f>
        <v/>
      </c>
      <c r="R32" s="53" t="str">
        <f>IF(AND('Mapa final'!$AA$48="Media",'Mapa final'!$AC$48="Menor"),CONCATENATE("R7C",'Mapa final'!$Q$48),"")</f>
        <v/>
      </c>
      <c r="S32" s="53" t="str">
        <f>IF(AND('Mapa final'!$AA$49="Media",'Mapa final'!$AC$49="Menor"),CONCATENATE("R7C",'Mapa final'!$Q$49),"")</f>
        <v/>
      </c>
      <c r="T32" s="53" t="str">
        <f>IF(AND('Mapa final'!$AA$50="Media",'Mapa final'!$AC$50="Menor"),CONCATENATE("R7C",'Mapa final'!$Q$50),"")</f>
        <v/>
      </c>
      <c r="U32" s="54" t="str">
        <f>IF(AND('Mapa final'!$AA$51="Media",'Mapa final'!$AC$51="Menor"),CONCATENATE("R7C",'Mapa final'!$Q$51),"")</f>
        <v/>
      </c>
      <c r="V32" s="52" t="str">
        <f>IF(AND('Mapa final'!$AA$46="Media",'Mapa final'!$AC$46="Moderado"),CONCATENATE("R7C",'Mapa final'!$Q$46),"")</f>
        <v/>
      </c>
      <c r="W32" s="53" t="str">
        <f>IF(AND('Mapa final'!$AA$47="Media",'Mapa final'!$AC$47="Moderado"),CONCATENATE("R7C",'Mapa final'!$Q$47),"")</f>
        <v/>
      </c>
      <c r="X32" s="53" t="str">
        <f>IF(AND('Mapa final'!$AA$48="Media",'Mapa final'!$AC$48="Moderado"),CONCATENATE("R7C",'Mapa final'!$Q$48),"")</f>
        <v/>
      </c>
      <c r="Y32" s="53" t="str">
        <f>IF(AND('Mapa final'!$AA$49="Media",'Mapa final'!$AC$49="Moderado"),CONCATENATE("R7C",'Mapa final'!$Q$49),"")</f>
        <v/>
      </c>
      <c r="Z32" s="53" t="str">
        <f>IF(AND('Mapa final'!$AA$50="Media",'Mapa final'!$AC$50="Moderado"),CONCATENATE("R7C",'Mapa final'!$Q$50),"")</f>
        <v/>
      </c>
      <c r="AA32" s="54"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42" t="str">
        <f>IF(AND('Mapa final'!$AA$48="Media",'Mapa final'!$AC$48="Mayor"),CONCATENATE("R7C",'Mapa final'!$Q$48),"")</f>
        <v/>
      </c>
      <c r="AE32" s="42" t="str">
        <f>IF(AND('Mapa final'!$AA$49="Media",'Mapa final'!$AC$49="Mayor"),CONCATENATE("R7C",'Mapa final'!$Q$49),"")</f>
        <v/>
      </c>
      <c r="AF32" s="42"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8"/>
      <c r="AO32" s="444"/>
      <c r="AP32" s="445"/>
      <c r="AQ32" s="445"/>
      <c r="AR32" s="445"/>
      <c r="AS32" s="445"/>
      <c r="AT32" s="446"/>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row>
    <row r="33" spans="1:80" ht="15" customHeight="1" x14ac:dyDescent="0.25">
      <c r="A33" s="68"/>
      <c r="B33" s="362"/>
      <c r="C33" s="362"/>
      <c r="D33" s="363"/>
      <c r="E33" s="403"/>
      <c r="F33" s="404"/>
      <c r="G33" s="404"/>
      <c r="H33" s="404"/>
      <c r="I33" s="405"/>
      <c r="J33" s="52" t="str">
        <f>IF(AND('Mapa final'!$AA$52="Media",'Mapa final'!$AC$52="Leve"),CONCATENATE("R8C",'Mapa final'!$Q$52),"")</f>
        <v/>
      </c>
      <c r="K33" s="53" t="str">
        <f>IF(AND('Mapa final'!$AA$53="Media",'Mapa final'!$AC$53="Leve"),CONCATENATE("R8C",'Mapa final'!$Q$53),"")</f>
        <v/>
      </c>
      <c r="L33" s="53" t="str">
        <f>IF(AND('Mapa final'!$AA$54="Media",'Mapa final'!$AC$54="Leve"),CONCATENATE("R8C",'Mapa final'!$Q$54),"")</f>
        <v/>
      </c>
      <c r="M33" s="53" t="str">
        <f>IF(AND('Mapa final'!$AA$55="Media",'Mapa final'!$AC$55="Leve"),CONCATENATE("R8C",'Mapa final'!$Q$55),"")</f>
        <v/>
      </c>
      <c r="N33" s="53" t="str">
        <f>IF(AND('Mapa final'!$AA$56="Media",'Mapa final'!$AC$56="Leve"),CONCATENATE("R8C",'Mapa final'!$Q$56),"")</f>
        <v/>
      </c>
      <c r="O33" s="54" t="str">
        <f>IF(AND('Mapa final'!$AA$57="Media",'Mapa final'!$AC$57="Leve"),CONCATENATE("R8C",'Mapa final'!$Q$57),"")</f>
        <v/>
      </c>
      <c r="P33" s="52" t="str">
        <f>IF(AND('Mapa final'!$AA$52="Media",'Mapa final'!$AC$52="Menor"),CONCATENATE("R8C",'Mapa final'!$Q$52),"")</f>
        <v/>
      </c>
      <c r="Q33" s="53" t="str">
        <f>IF(AND('Mapa final'!$AA$53="Media",'Mapa final'!$AC$53="Menor"),CONCATENATE("R8C",'Mapa final'!$Q$53),"")</f>
        <v/>
      </c>
      <c r="R33" s="53" t="str">
        <f>IF(AND('Mapa final'!$AA$54="Media",'Mapa final'!$AC$54="Menor"),CONCATENATE("R8C",'Mapa final'!$Q$54),"")</f>
        <v/>
      </c>
      <c r="S33" s="53" t="str">
        <f>IF(AND('Mapa final'!$AA$55="Media",'Mapa final'!$AC$55="Menor"),CONCATENATE("R8C",'Mapa final'!$Q$55),"")</f>
        <v/>
      </c>
      <c r="T33" s="53" t="str">
        <f>IF(AND('Mapa final'!$AA$56="Media",'Mapa final'!$AC$56="Menor"),CONCATENATE("R8C",'Mapa final'!$Q$56),"")</f>
        <v/>
      </c>
      <c r="U33" s="54" t="str">
        <f>IF(AND('Mapa final'!$AA$57="Media",'Mapa final'!$AC$57="Menor"),CONCATENATE("R8C",'Mapa final'!$Q$57),"")</f>
        <v/>
      </c>
      <c r="V33" s="52" t="str">
        <f>IF(AND('Mapa final'!$AA$52="Media",'Mapa final'!$AC$52="Moderado"),CONCATENATE("R8C",'Mapa final'!$Q$52),"")</f>
        <v/>
      </c>
      <c r="W33" s="53" t="str">
        <f>IF(AND('Mapa final'!$AA$53="Media",'Mapa final'!$AC$53="Moderado"),CONCATENATE("R8C",'Mapa final'!$Q$53),"")</f>
        <v/>
      </c>
      <c r="X33" s="53" t="str">
        <f>IF(AND('Mapa final'!$AA$54="Media",'Mapa final'!$AC$54="Moderado"),CONCATENATE("R8C",'Mapa final'!$Q$54),"")</f>
        <v/>
      </c>
      <c r="Y33" s="53" t="str">
        <f>IF(AND('Mapa final'!$AA$55="Media",'Mapa final'!$AC$55="Moderado"),CONCATENATE("R8C",'Mapa final'!$Q$55),"")</f>
        <v/>
      </c>
      <c r="Z33" s="53" t="str">
        <f>IF(AND('Mapa final'!$AA$56="Media",'Mapa final'!$AC$56="Moderado"),CONCATENATE("R8C",'Mapa final'!$Q$56),"")</f>
        <v/>
      </c>
      <c r="AA33" s="54"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42" t="str">
        <f>IF(AND('Mapa final'!$AA$54="Media",'Mapa final'!$AC$54="Mayor"),CONCATENATE("R8C",'Mapa final'!$Q$54),"")</f>
        <v/>
      </c>
      <c r="AE33" s="42" t="str">
        <f>IF(AND('Mapa final'!$AA$55="Media",'Mapa final'!$AC$55="Mayor"),CONCATENATE("R8C",'Mapa final'!$Q$55),"")</f>
        <v/>
      </c>
      <c r="AF33" s="42"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8"/>
      <c r="AO33" s="444"/>
      <c r="AP33" s="445"/>
      <c r="AQ33" s="445"/>
      <c r="AR33" s="445"/>
      <c r="AS33" s="445"/>
      <c r="AT33" s="446"/>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row>
    <row r="34" spans="1:80" ht="15" customHeight="1" x14ac:dyDescent="0.25">
      <c r="A34" s="68"/>
      <c r="B34" s="362"/>
      <c r="C34" s="362"/>
      <c r="D34" s="363"/>
      <c r="E34" s="403"/>
      <c r="F34" s="404"/>
      <c r="G34" s="404"/>
      <c r="H34" s="404"/>
      <c r="I34" s="405"/>
      <c r="J34" s="52" t="str">
        <f>IF(AND('Mapa final'!$AA$58="Media",'Mapa final'!$AC$58="Leve"),CONCATENATE("R9C",'Mapa final'!$Q$58),"")</f>
        <v/>
      </c>
      <c r="K34" s="53" t="str">
        <f>IF(AND('Mapa final'!$AA$59="Media",'Mapa final'!$AC$59="Leve"),CONCATENATE("R9C",'Mapa final'!$Q$59),"")</f>
        <v/>
      </c>
      <c r="L34" s="53" t="str">
        <f>IF(AND('Mapa final'!$AA$60="Media",'Mapa final'!$AC$60="Leve"),CONCATENATE("R9C",'Mapa final'!$Q$60),"")</f>
        <v/>
      </c>
      <c r="M34" s="53" t="str">
        <f>IF(AND('Mapa final'!$AA$61="Media",'Mapa final'!$AC$61="Leve"),CONCATENATE("R9C",'Mapa final'!$Q$61),"")</f>
        <v/>
      </c>
      <c r="N34" s="53" t="str">
        <f>IF(AND('Mapa final'!$AA$62="Media",'Mapa final'!$AC$62="Leve"),CONCATENATE("R9C",'Mapa final'!$Q$62),"")</f>
        <v/>
      </c>
      <c r="O34" s="54" t="str">
        <f>IF(AND('Mapa final'!$AA$63="Media",'Mapa final'!$AC$63="Leve"),CONCATENATE("R9C",'Mapa final'!$Q$63),"")</f>
        <v/>
      </c>
      <c r="P34" s="52" t="str">
        <f>IF(AND('Mapa final'!$AA$58="Media",'Mapa final'!$AC$58="Menor"),CONCATENATE("R9C",'Mapa final'!$Q$58),"")</f>
        <v/>
      </c>
      <c r="Q34" s="53" t="str">
        <f>IF(AND('Mapa final'!$AA$59="Media",'Mapa final'!$AC$59="Menor"),CONCATENATE("R9C",'Mapa final'!$Q$59),"")</f>
        <v/>
      </c>
      <c r="R34" s="53" t="str">
        <f>IF(AND('Mapa final'!$AA$60="Media",'Mapa final'!$AC$60="Menor"),CONCATENATE("R9C",'Mapa final'!$Q$60),"")</f>
        <v/>
      </c>
      <c r="S34" s="53" t="str">
        <f>IF(AND('Mapa final'!$AA$61="Media",'Mapa final'!$AC$61="Menor"),CONCATENATE("R9C",'Mapa final'!$Q$61),"")</f>
        <v/>
      </c>
      <c r="T34" s="53" t="str">
        <f>IF(AND('Mapa final'!$AA$62="Media",'Mapa final'!$AC$62="Menor"),CONCATENATE("R9C",'Mapa final'!$Q$62),"")</f>
        <v/>
      </c>
      <c r="U34" s="54" t="str">
        <f>IF(AND('Mapa final'!$AA$63="Media",'Mapa final'!$AC$63="Menor"),CONCATENATE("R9C",'Mapa final'!$Q$63),"")</f>
        <v/>
      </c>
      <c r="V34" s="52" t="str">
        <f>IF(AND('Mapa final'!$AA$58="Media",'Mapa final'!$AC$58="Moderado"),CONCATENATE("R9C",'Mapa final'!$Q$58),"")</f>
        <v/>
      </c>
      <c r="W34" s="53" t="str">
        <f>IF(AND('Mapa final'!$AA$59="Media",'Mapa final'!$AC$59="Moderado"),CONCATENATE("R9C",'Mapa final'!$Q$59),"")</f>
        <v/>
      </c>
      <c r="X34" s="53" t="str">
        <f>IF(AND('Mapa final'!$AA$60="Media",'Mapa final'!$AC$60="Moderado"),CONCATENATE("R9C",'Mapa final'!$Q$60),"")</f>
        <v/>
      </c>
      <c r="Y34" s="53" t="str">
        <f>IF(AND('Mapa final'!$AA$61="Media",'Mapa final'!$AC$61="Moderado"),CONCATENATE("R9C",'Mapa final'!$Q$61),"")</f>
        <v/>
      </c>
      <c r="Z34" s="53" t="str">
        <f>IF(AND('Mapa final'!$AA$62="Media",'Mapa final'!$AC$62="Moderado"),CONCATENATE("R9C",'Mapa final'!$Q$62),"")</f>
        <v/>
      </c>
      <c r="AA34" s="54"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42" t="str">
        <f>IF(AND('Mapa final'!$AA$60="Media",'Mapa final'!$AC$60="Mayor"),CONCATENATE("R9C",'Mapa final'!$Q$60),"")</f>
        <v/>
      </c>
      <c r="AE34" s="42" t="str">
        <f>IF(AND('Mapa final'!$AA$61="Media",'Mapa final'!$AC$61="Mayor"),CONCATENATE("R9C",'Mapa final'!$Q$61),"")</f>
        <v/>
      </c>
      <c r="AF34" s="42"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8"/>
      <c r="AO34" s="444"/>
      <c r="AP34" s="445"/>
      <c r="AQ34" s="445"/>
      <c r="AR34" s="445"/>
      <c r="AS34" s="445"/>
      <c r="AT34" s="446"/>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row>
    <row r="35" spans="1:80" ht="15.75" customHeight="1" thickBot="1" x14ac:dyDescent="0.3">
      <c r="A35" s="68"/>
      <c r="B35" s="362"/>
      <c r="C35" s="362"/>
      <c r="D35" s="363"/>
      <c r="E35" s="406"/>
      <c r="F35" s="407"/>
      <c r="G35" s="407"/>
      <c r="H35" s="407"/>
      <c r="I35" s="408"/>
      <c r="J35" s="52" t="str">
        <f>IF(AND('Mapa final'!$AA$64="Media",'Mapa final'!$AC$64="Leve"),CONCATENATE("R10C",'Mapa final'!$Q$64),"")</f>
        <v/>
      </c>
      <c r="K35" s="53" t="str">
        <f>IF(AND('Mapa final'!$AA$65="Media",'Mapa final'!$AC$65="Leve"),CONCATENATE("R10C",'Mapa final'!$Q$65),"")</f>
        <v/>
      </c>
      <c r="L35" s="53" t="str">
        <f>IF(AND('Mapa final'!$AA$66="Media",'Mapa final'!$AC$66="Leve"),CONCATENATE("R10C",'Mapa final'!$Q$66),"")</f>
        <v/>
      </c>
      <c r="M35" s="53" t="str">
        <f>IF(AND('Mapa final'!$AA$67="Media",'Mapa final'!$AC$67="Leve"),CONCATENATE("R10C",'Mapa final'!$Q$67),"")</f>
        <v/>
      </c>
      <c r="N35" s="53" t="str">
        <f>IF(AND('Mapa final'!$AA$68="Media",'Mapa final'!$AC$68="Leve"),CONCATENATE("R10C",'Mapa final'!$Q$68),"")</f>
        <v/>
      </c>
      <c r="O35" s="54" t="str">
        <f>IF(AND('Mapa final'!$AA$69="Media",'Mapa final'!$AC$69="Leve"),CONCATENATE("R10C",'Mapa final'!$Q$69),"")</f>
        <v/>
      </c>
      <c r="P35" s="52" t="str">
        <f>IF(AND('Mapa final'!$AA$64="Media",'Mapa final'!$AC$64="Menor"),CONCATENATE("R10C",'Mapa final'!$Q$64),"")</f>
        <v/>
      </c>
      <c r="Q35" s="53" t="str">
        <f>IF(AND('Mapa final'!$AA$65="Media",'Mapa final'!$AC$65="Menor"),CONCATENATE("R10C",'Mapa final'!$Q$65),"")</f>
        <v/>
      </c>
      <c r="R35" s="53" t="str">
        <f>IF(AND('Mapa final'!$AA$66="Media",'Mapa final'!$AC$66="Menor"),CONCATENATE("R10C",'Mapa final'!$Q$66),"")</f>
        <v/>
      </c>
      <c r="S35" s="53" t="str">
        <f>IF(AND('Mapa final'!$AA$67="Media",'Mapa final'!$AC$67="Menor"),CONCATENATE("R10C",'Mapa final'!$Q$67),"")</f>
        <v/>
      </c>
      <c r="T35" s="53" t="str">
        <f>IF(AND('Mapa final'!$AA$68="Media",'Mapa final'!$AC$68="Menor"),CONCATENATE("R10C",'Mapa final'!$Q$68),"")</f>
        <v/>
      </c>
      <c r="U35" s="54" t="str">
        <f>IF(AND('Mapa final'!$AA$69="Media",'Mapa final'!$AC$69="Menor"),CONCATENATE("R10C",'Mapa final'!$Q$69),"")</f>
        <v/>
      </c>
      <c r="V35" s="52" t="str">
        <f>IF(AND('Mapa final'!$AA$64="Media",'Mapa final'!$AC$64="Moderado"),CONCATENATE("R10C",'Mapa final'!$Q$64),"")</f>
        <v/>
      </c>
      <c r="W35" s="53" t="str">
        <f>IF(AND('Mapa final'!$AA$65="Media",'Mapa final'!$AC$65="Moderado"),CONCATENATE("R10C",'Mapa final'!$Q$65),"")</f>
        <v/>
      </c>
      <c r="X35" s="53" t="str">
        <f>IF(AND('Mapa final'!$AA$66="Media",'Mapa final'!$AC$66="Moderado"),CONCATENATE("R10C",'Mapa final'!$Q$66),"")</f>
        <v/>
      </c>
      <c r="Y35" s="53" t="str">
        <f>IF(AND('Mapa final'!$AA$67="Media",'Mapa final'!$AC$67="Moderado"),CONCATENATE("R10C",'Mapa final'!$Q$67),"")</f>
        <v/>
      </c>
      <c r="Z35" s="53" t="str">
        <f>IF(AND('Mapa final'!$AA$68="Media",'Mapa final'!$AC$68="Moderado"),CONCATENATE("R10C",'Mapa final'!$Q$68),"")</f>
        <v/>
      </c>
      <c r="AA35" s="54" t="str">
        <f>IF(AND('Mapa final'!$AA$69="Media",'Mapa final'!$AC$69="Moderado"),CONCATENATE("R10C",'Mapa final'!$Q$69),"")</f>
        <v/>
      </c>
      <c r="AB35" s="43" t="str">
        <f>IF(AND('Mapa final'!$AA$64="Media",'Mapa final'!$AC$64="Mayor"),CONCATENATE("R10C",'Mapa final'!$Q$64),"")</f>
        <v/>
      </c>
      <c r="AC35" s="44" t="str">
        <f>IF(AND('Mapa final'!$AA$65="Media",'Mapa final'!$AC$65="Mayor"),CONCATENATE("R10C",'Mapa final'!$Q$65),"")</f>
        <v/>
      </c>
      <c r="AD35" s="44" t="str">
        <f>IF(AND('Mapa final'!$AA$66="Media",'Mapa final'!$AC$66="Mayor"),CONCATENATE("R10C",'Mapa final'!$Q$66),"")</f>
        <v/>
      </c>
      <c r="AE35" s="44" t="str">
        <f>IF(AND('Mapa final'!$AA$67="Media",'Mapa final'!$AC$67="Mayor"),CONCATENATE("R10C",'Mapa final'!$Q$67),"")</f>
        <v/>
      </c>
      <c r="AF35" s="44" t="str">
        <f>IF(AND('Mapa final'!$AA$68="Media",'Mapa final'!$AC$68="Mayor"),CONCATENATE("R10C",'Mapa final'!$Q$68),"")</f>
        <v/>
      </c>
      <c r="AG35" s="45" t="str">
        <f>IF(AND('Mapa final'!$AA$69="Media",'Mapa final'!$AC$69="Mayor"),CONCATENATE("R10C",'Mapa final'!$Q$69),"")</f>
        <v/>
      </c>
      <c r="AH35" s="46" t="str">
        <f>IF(AND('Mapa final'!$AA$64="Media",'Mapa final'!$AC$64="Catastrófico"),CONCATENATE("R10C",'Mapa final'!$Q$64),"")</f>
        <v/>
      </c>
      <c r="AI35" s="47" t="str">
        <f>IF(AND('Mapa final'!$AA$65="Media",'Mapa final'!$AC$65="Catastrófico"),CONCATENATE("R10C",'Mapa final'!$Q$65),"")</f>
        <v/>
      </c>
      <c r="AJ35" s="47" t="str">
        <f>IF(AND('Mapa final'!$AA$66="Media",'Mapa final'!$AC$66="Catastrófico"),CONCATENATE("R10C",'Mapa final'!$Q$66),"")</f>
        <v/>
      </c>
      <c r="AK35" s="47" t="str">
        <f>IF(AND('Mapa final'!$AA$67="Media",'Mapa final'!$AC$67="Catastrófico"),CONCATENATE("R10C",'Mapa final'!$Q$67),"")</f>
        <v/>
      </c>
      <c r="AL35" s="47" t="str">
        <f>IF(AND('Mapa final'!$AA$68="Media",'Mapa final'!$AC$68="Catastrófico"),CONCATENATE("R10C",'Mapa final'!$Q$68),"")</f>
        <v/>
      </c>
      <c r="AM35" s="48" t="str">
        <f>IF(AND('Mapa final'!$AA$69="Media",'Mapa final'!$AC$69="Catastrófico"),CONCATENATE("R10C",'Mapa final'!$Q$69),"")</f>
        <v/>
      </c>
      <c r="AN35" s="68"/>
      <c r="AO35" s="447"/>
      <c r="AP35" s="448"/>
      <c r="AQ35" s="448"/>
      <c r="AR35" s="448"/>
      <c r="AS35" s="448"/>
      <c r="AT35" s="449"/>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row>
    <row r="36" spans="1:80" ht="15" customHeight="1" x14ac:dyDescent="0.25">
      <c r="A36" s="68"/>
      <c r="B36" s="362"/>
      <c r="C36" s="362"/>
      <c r="D36" s="363"/>
      <c r="E36" s="400" t="s">
        <v>108</v>
      </c>
      <c r="F36" s="401"/>
      <c r="G36" s="401"/>
      <c r="H36" s="401"/>
      <c r="I36" s="401"/>
      <c r="J36" s="58" t="str">
        <f ca="1">IF(AND('Mapa final'!$AA$10="Baja",'Mapa final'!$AC$10="Leve"),CONCATENATE("R1C",'Mapa final'!$Q$10),"")</f>
        <v/>
      </c>
      <c r="K36" s="59" t="str">
        <f ca="1">IF(AND('Mapa final'!$AA$11="Baja",'Mapa final'!$AC$11="Leve"),CONCATENATE("R1C",'Mapa final'!$Q$11),"")</f>
        <v/>
      </c>
      <c r="L36" s="59" t="str">
        <f>IF(AND('Mapa final'!$AA$12="Baja",'Mapa final'!$AC$12="Leve"),CONCATENATE("R1C",'Mapa final'!$Q$12),"")</f>
        <v/>
      </c>
      <c r="M36" s="59" t="str">
        <f>IF(AND('Mapa final'!$AA$13="Baja",'Mapa final'!$AC$13="Leve"),CONCATENATE("R1C",'Mapa final'!$Q$13),"")</f>
        <v/>
      </c>
      <c r="N36" s="59" t="str">
        <f>IF(AND('Mapa final'!$AA$14="Baja",'Mapa final'!$AC$14="Leve"),CONCATENATE("R1C",'Mapa final'!$Q$14),"")</f>
        <v/>
      </c>
      <c r="O36" s="60" t="str">
        <f>IF(AND('Mapa final'!$AA$15="Baja",'Mapa final'!$AC$15="Leve"),CONCATENATE("R1C",'Mapa final'!$Q$15),"")</f>
        <v/>
      </c>
      <c r="P36" s="49" t="str">
        <f ca="1">IF(AND('Mapa final'!$AA$10="Baja",'Mapa final'!$AC$10="Menor"),CONCATENATE("R1C",'Mapa final'!$Q$10),"")</f>
        <v/>
      </c>
      <c r="Q36" s="50" t="str">
        <f ca="1">IF(AND('Mapa final'!$AA$11="Baja",'Mapa final'!$AC$11="Menor"),CONCATENATE("R1C",'Mapa final'!$Q$11),"")</f>
        <v/>
      </c>
      <c r="R36" s="50" t="str">
        <f>IF(AND('Mapa final'!$AA$12="Baja",'Mapa final'!$AC$12="Menor"),CONCATENATE("R1C",'Mapa final'!$Q$12),"")</f>
        <v/>
      </c>
      <c r="S36" s="50" t="str">
        <f>IF(AND('Mapa final'!$AA$13="Baja",'Mapa final'!$AC$13="Menor"),CONCATENATE("R1C",'Mapa final'!$Q$13),"")</f>
        <v/>
      </c>
      <c r="T36" s="50" t="str">
        <f>IF(AND('Mapa final'!$AA$14="Baja",'Mapa final'!$AC$14="Menor"),CONCATENATE("R1C",'Mapa final'!$Q$14),"")</f>
        <v/>
      </c>
      <c r="U36" s="51" t="str">
        <f>IF(AND('Mapa final'!$AA$15="Baja",'Mapa final'!$AC$15="Menor"),CONCATENATE("R1C",'Mapa final'!$Q$15),"")</f>
        <v/>
      </c>
      <c r="V36" s="49" t="str">
        <f ca="1">IF(AND('Mapa final'!$AA$10="Baja",'Mapa final'!$AC$10="Moderado"),CONCATENATE("R1C",'Mapa final'!$Q$10),"")</f>
        <v/>
      </c>
      <c r="W36" s="50" t="str">
        <f ca="1">IF(AND('Mapa final'!$AA$11="Baja",'Mapa final'!$AC$11="Moderado"),CONCATENATE("R1C",'Mapa final'!$Q$11),"")</f>
        <v/>
      </c>
      <c r="X36" s="50" t="str">
        <f>IF(AND('Mapa final'!$AA$12="Baja",'Mapa final'!$AC$12="Moderado"),CONCATENATE("R1C",'Mapa final'!$Q$12),"")</f>
        <v/>
      </c>
      <c r="Y36" s="50" t="str">
        <f>IF(AND('Mapa final'!$AA$13="Baja",'Mapa final'!$AC$13="Moderado"),CONCATENATE("R1C",'Mapa final'!$Q$13),"")</f>
        <v/>
      </c>
      <c r="Z36" s="50" t="str">
        <f>IF(AND('Mapa final'!$AA$14="Baja",'Mapa final'!$AC$14="Moderado"),CONCATENATE("R1C",'Mapa final'!$Q$14),"")</f>
        <v/>
      </c>
      <c r="AA36" s="51" t="str">
        <f>IF(AND('Mapa final'!$AA$15="Baja",'Mapa final'!$AC$15="Moderado"),CONCATENATE("R1C",'Mapa final'!$Q$15),"")</f>
        <v/>
      </c>
      <c r="AB36" s="30" t="str">
        <f ca="1">IF(AND('Mapa final'!$AA$10="Baja",'Mapa final'!$AC$10="Mayor"),CONCATENATE("R1C",'Mapa final'!$Q$10),"")</f>
        <v>R1C1</v>
      </c>
      <c r="AC36" s="31" t="str">
        <f ca="1">IF(AND('Mapa final'!$AA$11="Baja",'Mapa final'!$AC$11="Mayor"),CONCATENATE("R1C",'Mapa final'!$Q$11),"")</f>
        <v>R1C2</v>
      </c>
      <c r="AD36" s="31" t="str">
        <f>IF(AND('Mapa final'!$AA$12="Baja",'Mapa final'!$AC$12="Mayor"),CONCATENATE("R1C",'Mapa final'!$Q$12),"")</f>
        <v/>
      </c>
      <c r="AE36" s="31" t="str">
        <f>IF(AND('Mapa final'!$AA$13="Baja",'Mapa final'!$AC$13="Mayor"),CONCATENATE("R1C",'Mapa final'!$Q$13),"")</f>
        <v/>
      </c>
      <c r="AF36" s="31" t="str">
        <f>IF(AND('Mapa final'!$AA$14="Baja",'Mapa final'!$AC$14="Mayor"),CONCATENATE("R1C",'Mapa final'!$Q$14),"")</f>
        <v/>
      </c>
      <c r="AG36" s="32" t="str">
        <f>IF(AND('Mapa final'!$AA$15="Baja",'Mapa final'!$AC$15="Mayor"),CONCATENATE("R1C",'Mapa final'!$Q$15),"")</f>
        <v/>
      </c>
      <c r="AH36" s="33" t="str">
        <f ca="1">IF(AND('Mapa final'!$AA$10="Baja",'Mapa final'!$AC$10="Catastrófico"),CONCATENATE("R1C",'Mapa final'!$Q$10),"")</f>
        <v/>
      </c>
      <c r="AI36" s="34" t="str">
        <f ca="1">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8"/>
      <c r="AO36" s="432" t="s">
        <v>80</v>
      </c>
      <c r="AP36" s="433"/>
      <c r="AQ36" s="433"/>
      <c r="AR36" s="433"/>
      <c r="AS36" s="433"/>
      <c r="AT36" s="434"/>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row>
    <row r="37" spans="1:80" ht="15" customHeight="1" x14ac:dyDescent="0.25">
      <c r="A37" s="68"/>
      <c r="B37" s="362"/>
      <c r="C37" s="362"/>
      <c r="D37" s="363"/>
      <c r="E37" s="419"/>
      <c r="F37" s="420"/>
      <c r="G37" s="420"/>
      <c r="H37" s="420"/>
      <c r="I37" s="420"/>
      <c r="J37" s="61" t="str">
        <f ca="1">IF(AND('Mapa final'!$AA$16="Baja",'Mapa final'!$AC$16="Leve"),CONCATENATE("R2C",'Mapa final'!$Q$16),"")</f>
        <v/>
      </c>
      <c r="K37" s="62" t="str">
        <f ca="1">IF(AND('Mapa final'!$AA$17="Baja",'Mapa final'!$AC$17="Leve"),CONCATENATE("R2C",'Mapa final'!$Q$17),"")</f>
        <v/>
      </c>
      <c r="L37" s="62" t="str">
        <f>IF(AND('Mapa final'!$AA$18="Baja",'Mapa final'!$AC$18="Leve"),CONCATENATE("R2C",'Mapa final'!$Q$18),"")</f>
        <v/>
      </c>
      <c r="M37" s="62" t="str">
        <f>IF(AND('Mapa final'!$AA$19="Baja",'Mapa final'!$AC$19="Leve"),CONCATENATE("R2C",'Mapa final'!$Q$19),"")</f>
        <v/>
      </c>
      <c r="N37" s="62" t="str">
        <f>IF(AND('Mapa final'!$AA$20="Baja",'Mapa final'!$AC$20="Leve"),CONCATENATE("R2C",'Mapa final'!$Q$20),"")</f>
        <v/>
      </c>
      <c r="O37" s="63" t="str">
        <f>IF(AND('Mapa final'!$AA$21="Baja",'Mapa final'!$AC$21="Leve"),CONCATENATE("R2C",'Mapa final'!$Q$21),"")</f>
        <v/>
      </c>
      <c r="P37" s="52" t="str">
        <f ca="1">IF(AND('Mapa final'!$AA$16="Baja",'Mapa final'!$AC$16="Menor"),CONCATENATE("R2C",'Mapa final'!$Q$16),"")</f>
        <v/>
      </c>
      <c r="Q37" s="53" t="str">
        <f ca="1">IF(AND('Mapa final'!$AA$17="Baja",'Mapa final'!$AC$17="Menor"),CONCATENATE("R2C",'Mapa final'!$Q$17),"")</f>
        <v/>
      </c>
      <c r="R37" s="53" t="str">
        <f>IF(AND('Mapa final'!$AA$18="Baja",'Mapa final'!$AC$18="Menor"),CONCATENATE("R2C",'Mapa final'!$Q$18),"")</f>
        <v/>
      </c>
      <c r="S37" s="53" t="str">
        <f>IF(AND('Mapa final'!$AA$19="Baja",'Mapa final'!$AC$19="Menor"),CONCATENATE("R2C",'Mapa final'!$Q$19),"")</f>
        <v/>
      </c>
      <c r="T37" s="53" t="str">
        <f>IF(AND('Mapa final'!$AA$20="Baja",'Mapa final'!$AC$20="Menor"),CONCATENATE("R2C",'Mapa final'!$Q$20),"")</f>
        <v/>
      </c>
      <c r="U37" s="54" t="str">
        <f>IF(AND('Mapa final'!$AA$21="Baja",'Mapa final'!$AC$21="Menor"),CONCATENATE("R2C",'Mapa final'!$Q$21),"")</f>
        <v/>
      </c>
      <c r="V37" s="52" t="str">
        <f ca="1">IF(AND('Mapa final'!$AA$16="Baja",'Mapa final'!$AC$16="Moderado"),CONCATENATE("R2C",'Mapa final'!$Q$16),"")</f>
        <v/>
      </c>
      <c r="W37" s="53" t="str">
        <f ca="1">IF(AND('Mapa final'!$AA$17="Baja",'Mapa final'!$AC$17="Moderado"),CONCATENATE("R2C",'Mapa final'!$Q$17),"")</f>
        <v/>
      </c>
      <c r="X37" s="53" t="str">
        <f>IF(AND('Mapa final'!$AA$18="Baja",'Mapa final'!$AC$18="Moderado"),CONCATENATE("R2C",'Mapa final'!$Q$18),"")</f>
        <v/>
      </c>
      <c r="Y37" s="53" t="str">
        <f>IF(AND('Mapa final'!$AA$19="Baja",'Mapa final'!$AC$19="Moderado"),CONCATENATE("R2C",'Mapa final'!$Q$19),"")</f>
        <v/>
      </c>
      <c r="Z37" s="53" t="str">
        <f>IF(AND('Mapa final'!$AA$20="Baja",'Mapa final'!$AC$20="Moderado"),CONCATENATE("R2C",'Mapa final'!$Q$20),"")</f>
        <v/>
      </c>
      <c r="AA37" s="54" t="str">
        <f>IF(AND('Mapa final'!$AA$21="Baja",'Mapa final'!$AC$21="Moderado"),CONCATENATE("R2C",'Mapa final'!$Q$21),"")</f>
        <v/>
      </c>
      <c r="AB37" s="36" t="str">
        <f ca="1">IF(AND('Mapa final'!$AA$16="Baja",'Mapa final'!$AC$16="Mayor"),CONCATENATE("R2C",'Mapa final'!$Q$16),"")</f>
        <v/>
      </c>
      <c r="AC37" s="37" t="str">
        <f ca="1">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 ca="1">IF(AND('Mapa final'!$AA$16="Baja",'Mapa final'!$AC$16="Catastrófico"),CONCATENATE("R2C",'Mapa final'!$Q$16),"")</f>
        <v/>
      </c>
      <c r="AI37" s="40" t="str">
        <f ca="1">IF(AND('Mapa final'!$AA$17="Baja",'Mapa final'!$AC$17="Catastrófico"),CONCATENATE("R2C",'Mapa final'!$Q$17),"")</f>
        <v>R2C2</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8"/>
      <c r="AO37" s="435"/>
      <c r="AP37" s="436"/>
      <c r="AQ37" s="436"/>
      <c r="AR37" s="436"/>
      <c r="AS37" s="436"/>
      <c r="AT37" s="437"/>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row>
    <row r="38" spans="1:80" ht="15" customHeight="1" x14ac:dyDescent="0.25">
      <c r="A38" s="68"/>
      <c r="B38" s="362"/>
      <c r="C38" s="362"/>
      <c r="D38" s="363"/>
      <c r="E38" s="403"/>
      <c r="F38" s="404"/>
      <c r="G38" s="404"/>
      <c r="H38" s="404"/>
      <c r="I38" s="420"/>
      <c r="J38" s="61" t="str">
        <f ca="1">IF(AND('Mapa final'!$AA$22="Baja",'Mapa final'!$AC$22="Leve"),CONCATENATE("R3C",'Mapa final'!$Q$22),"")</f>
        <v/>
      </c>
      <c r="K38" s="62" t="str">
        <f ca="1">IF(AND('Mapa final'!$AA$23="Baja",'Mapa final'!$AC$23="Leve"),CONCATENATE("R3C",'Mapa final'!$Q$23),"")</f>
        <v/>
      </c>
      <c r="L38" s="62" t="str">
        <f>IF(AND('Mapa final'!$AA$24="Baja",'Mapa final'!$AC$24="Leve"),CONCATENATE("R3C",'Mapa final'!$Q$24),"")</f>
        <v/>
      </c>
      <c r="M38" s="62" t="str">
        <f>IF(AND('Mapa final'!$AA$25="Baja",'Mapa final'!$AC$25="Leve"),CONCATENATE("R3C",'Mapa final'!$Q$25),"")</f>
        <v/>
      </c>
      <c r="N38" s="62" t="str">
        <f>IF(AND('Mapa final'!$AA$26="Baja",'Mapa final'!$AC$26="Leve"),CONCATENATE("R3C",'Mapa final'!$Q$26),"")</f>
        <v/>
      </c>
      <c r="O38" s="63" t="str">
        <f>IF(AND('Mapa final'!$AA$27="Baja",'Mapa final'!$AC$27="Leve"),CONCATENATE("R3C",'Mapa final'!$Q$27),"")</f>
        <v/>
      </c>
      <c r="P38" s="52" t="str">
        <f ca="1">IF(AND('Mapa final'!$AA$22="Baja",'Mapa final'!$AC$22="Menor"),CONCATENATE("R3C",'Mapa final'!$Q$22),"")</f>
        <v/>
      </c>
      <c r="Q38" s="53" t="str">
        <f ca="1">IF(AND('Mapa final'!$AA$23="Baja",'Mapa final'!$AC$23="Menor"),CONCATENATE("R3C",'Mapa final'!$Q$23),"")</f>
        <v/>
      </c>
      <c r="R38" s="53" t="str">
        <f>IF(AND('Mapa final'!$AA$24="Baja",'Mapa final'!$AC$24="Menor"),CONCATENATE("R3C",'Mapa final'!$Q$24),"")</f>
        <v/>
      </c>
      <c r="S38" s="53" t="str">
        <f>IF(AND('Mapa final'!$AA$25="Baja",'Mapa final'!$AC$25="Menor"),CONCATENATE("R3C",'Mapa final'!$Q$25),"")</f>
        <v/>
      </c>
      <c r="T38" s="53" t="str">
        <f>IF(AND('Mapa final'!$AA$26="Baja",'Mapa final'!$AC$26="Menor"),CONCATENATE("R3C",'Mapa final'!$Q$26),"")</f>
        <v/>
      </c>
      <c r="U38" s="54" t="str">
        <f>IF(AND('Mapa final'!$AA$27="Baja",'Mapa final'!$AC$27="Menor"),CONCATENATE("R3C",'Mapa final'!$Q$27),"")</f>
        <v/>
      </c>
      <c r="V38" s="52" t="str">
        <f ca="1">IF(AND('Mapa final'!$AA$22="Baja",'Mapa final'!$AC$22="Moderado"),CONCATENATE("R3C",'Mapa final'!$Q$22),"")</f>
        <v/>
      </c>
      <c r="W38" s="53" t="str">
        <f ca="1">IF(AND('Mapa final'!$AA$23="Baja",'Mapa final'!$AC$23="Moderado"),CONCATENATE("R3C",'Mapa final'!$Q$23),"")</f>
        <v/>
      </c>
      <c r="X38" s="53" t="str">
        <f>IF(AND('Mapa final'!$AA$24="Baja",'Mapa final'!$AC$24="Moderado"),CONCATENATE("R3C",'Mapa final'!$Q$24),"")</f>
        <v/>
      </c>
      <c r="Y38" s="53" t="str">
        <f>IF(AND('Mapa final'!$AA$25="Baja",'Mapa final'!$AC$25="Moderado"),CONCATENATE("R3C",'Mapa final'!$Q$25),"")</f>
        <v/>
      </c>
      <c r="Z38" s="53" t="str">
        <f>IF(AND('Mapa final'!$AA$26="Baja",'Mapa final'!$AC$26="Moderado"),CONCATENATE("R3C",'Mapa final'!$Q$26),"")</f>
        <v/>
      </c>
      <c r="AA38" s="54" t="str">
        <f>IF(AND('Mapa final'!$AA$27="Baja",'Mapa final'!$AC$27="Moderado"),CONCATENATE("R3C",'Mapa final'!$Q$27),"")</f>
        <v/>
      </c>
      <c r="AB38" s="36" t="str">
        <f ca="1">IF(AND('Mapa final'!$AA$22="Baja",'Mapa final'!$AC$22="Mayor"),CONCATENATE("R3C",'Mapa final'!$Q$22),"")</f>
        <v/>
      </c>
      <c r="AC38" s="37" t="str">
        <f ca="1">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 ca="1">IF(AND('Mapa final'!$AA$22="Baja",'Mapa final'!$AC$22="Catastrófico"),CONCATENATE("R3C",'Mapa final'!$Q$22),"")</f>
        <v/>
      </c>
      <c r="AI38" s="40" t="str">
        <f ca="1">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8"/>
      <c r="AO38" s="435"/>
      <c r="AP38" s="436"/>
      <c r="AQ38" s="436"/>
      <c r="AR38" s="436"/>
      <c r="AS38" s="436"/>
      <c r="AT38" s="437"/>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row>
    <row r="39" spans="1:80" ht="15" customHeight="1" x14ac:dyDescent="0.25">
      <c r="A39" s="68"/>
      <c r="B39" s="362"/>
      <c r="C39" s="362"/>
      <c r="D39" s="363"/>
      <c r="E39" s="403"/>
      <c r="F39" s="404"/>
      <c r="G39" s="404"/>
      <c r="H39" s="404"/>
      <c r="I39" s="420"/>
      <c r="J39" s="61" t="str">
        <f>IF(AND('Mapa final'!$AA$28="Baja",'Mapa final'!$AC$28="Leve"),CONCATENATE("R4C",'Mapa final'!$Q$28),"")</f>
        <v/>
      </c>
      <c r="K39" s="62" t="str">
        <f>IF(AND('Mapa final'!$AA$29="Baja",'Mapa final'!$AC$29="Leve"),CONCATENATE("R4C",'Mapa final'!$Q$29),"")</f>
        <v/>
      </c>
      <c r="L39" s="62" t="str">
        <f>IF(AND('Mapa final'!$AA$30="Baja",'Mapa final'!$AC$30="Leve"),CONCATENATE("R4C",'Mapa final'!$Q$30),"")</f>
        <v/>
      </c>
      <c r="M39" s="62" t="str">
        <f>IF(AND('Mapa final'!$AA$31="Baja",'Mapa final'!$AC$31="Leve"),CONCATENATE("R4C",'Mapa final'!$Q$31),"")</f>
        <v/>
      </c>
      <c r="N39" s="62" t="str">
        <f>IF(AND('Mapa final'!$AA$32="Baja",'Mapa final'!$AC$32="Leve"),CONCATENATE("R4C",'Mapa final'!$Q$32),"")</f>
        <v/>
      </c>
      <c r="O39" s="63" t="str">
        <f>IF(AND('Mapa final'!$AA$33="Baja",'Mapa final'!$AC$33="Leve"),CONCATENATE("R4C",'Mapa final'!$Q$33),"")</f>
        <v/>
      </c>
      <c r="P39" s="52" t="str">
        <f>IF(AND('Mapa final'!$AA$28="Baja",'Mapa final'!$AC$28="Menor"),CONCATENATE("R4C",'Mapa final'!$Q$28),"")</f>
        <v/>
      </c>
      <c r="Q39" s="53" t="str">
        <f>IF(AND('Mapa final'!$AA$29="Baja",'Mapa final'!$AC$29="Menor"),CONCATENATE("R4C",'Mapa final'!$Q$29),"")</f>
        <v/>
      </c>
      <c r="R39" s="53" t="str">
        <f>IF(AND('Mapa final'!$AA$30="Baja",'Mapa final'!$AC$30="Menor"),CONCATENATE("R4C",'Mapa final'!$Q$30),"")</f>
        <v/>
      </c>
      <c r="S39" s="53" t="str">
        <f>IF(AND('Mapa final'!$AA$31="Baja",'Mapa final'!$AC$31="Menor"),CONCATENATE("R4C",'Mapa final'!$Q$31),"")</f>
        <v/>
      </c>
      <c r="T39" s="53" t="str">
        <f>IF(AND('Mapa final'!$AA$32="Baja",'Mapa final'!$AC$32="Menor"),CONCATENATE("R4C",'Mapa final'!$Q$32),"")</f>
        <v/>
      </c>
      <c r="U39" s="54" t="str">
        <f>IF(AND('Mapa final'!$AA$33="Baja",'Mapa final'!$AC$33="Menor"),CONCATENATE("R4C",'Mapa final'!$Q$33),"")</f>
        <v/>
      </c>
      <c r="V39" s="52" t="str">
        <f>IF(AND('Mapa final'!$AA$28="Baja",'Mapa final'!$AC$28="Moderado"),CONCATENATE("R4C",'Mapa final'!$Q$28),"")</f>
        <v/>
      </c>
      <c r="W39" s="53" t="str">
        <f>IF(AND('Mapa final'!$AA$29="Baja",'Mapa final'!$AC$29="Moderado"),CONCATENATE("R4C",'Mapa final'!$Q$29),"")</f>
        <v/>
      </c>
      <c r="X39" s="53" t="str">
        <f>IF(AND('Mapa final'!$AA$30="Baja",'Mapa final'!$AC$30="Moderado"),CONCATENATE("R4C",'Mapa final'!$Q$30),"")</f>
        <v/>
      </c>
      <c r="Y39" s="53" t="str">
        <f>IF(AND('Mapa final'!$AA$31="Baja",'Mapa final'!$AC$31="Moderado"),CONCATENATE("R4C",'Mapa final'!$Q$31),"")</f>
        <v/>
      </c>
      <c r="Z39" s="53" t="str">
        <f>IF(AND('Mapa final'!$AA$32="Baja",'Mapa final'!$AC$32="Moderado"),CONCATENATE("R4C",'Mapa final'!$Q$32),"")</f>
        <v/>
      </c>
      <c r="AA39" s="54"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8"/>
      <c r="AO39" s="435"/>
      <c r="AP39" s="436"/>
      <c r="AQ39" s="436"/>
      <c r="AR39" s="436"/>
      <c r="AS39" s="436"/>
      <c r="AT39" s="437"/>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row>
    <row r="40" spans="1:80" ht="15" customHeight="1" x14ac:dyDescent="0.25">
      <c r="A40" s="68"/>
      <c r="B40" s="362"/>
      <c r="C40" s="362"/>
      <c r="D40" s="363"/>
      <c r="E40" s="403"/>
      <c r="F40" s="404"/>
      <c r="G40" s="404"/>
      <c r="H40" s="404"/>
      <c r="I40" s="420"/>
      <c r="J40" s="61" t="str">
        <f>IF(AND('Mapa final'!$AA$34="Baja",'Mapa final'!$AC$34="Leve"),CONCATENATE("R5C",'Mapa final'!$Q$34),"")</f>
        <v/>
      </c>
      <c r="K40" s="62" t="str">
        <f>IF(AND('Mapa final'!$AA$35="Baja",'Mapa final'!$AC$35="Leve"),CONCATENATE("R5C",'Mapa final'!$Q$35),"")</f>
        <v/>
      </c>
      <c r="L40" s="62" t="str">
        <f>IF(AND('Mapa final'!$AA$36="Baja",'Mapa final'!$AC$36="Leve"),CONCATENATE("R5C",'Mapa final'!$Q$36),"")</f>
        <v/>
      </c>
      <c r="M40" s="62" t="str">
        <f>IF(AND('Mapa final'!$AA$37="Baja",'Mapa final'!$AC$37="Leve"),CONCATENATE("R5C",'Mapa final'!$Q$37),"")</f>
        <v/>
      </c>
      <c r="N40" s="62" t="str">
        <f>IF(AND('Mapa final'!$AA$38="Baja",'Mapa final'!$AC$38="Leve"),CONCATENATE("R5C",'Mapa final'!$Q$38),"")</f>
        <v/>
      </c>
      <c r="O40" s="63" t="str">
        <f>IF(AND('Mapa final'!$AA$39="Baja",'Mapa final'!$AC$39="Leve"),CONCATENATE("R5C",'Mapa final'!$Q$39),"")</f>
        <v/>
      </c>
      <c r="P40" s="52" t="str">
        <f>IF(AND('Mapa final'!$AA$34="Baja",'Mapa final'!$AC$34="Menor"),CONCATENATE("R5C",'Mapa final'!$Q$34),"")</f>
        <v/>
      </c>
      <c r="Q40" s="53" t="str">
        <f>IF(AND('Mapa final'!$AA$35="Baja",'Mapa final'!$AC$35="Menor"),CONCATENATE("R5C",'Mapa final'!$Q$35),"")</f>
        <v/>
      </c>
      <c r="R40" s="53" t="str">
        <f>IF(AND('Mapa final'!$AA$36="Baja",'Mapa final'!$AC$36="Menor"),CONCATENATE("R5C",'Mapa final'!$Q$36),"")</f>
        <v/>
      </c>
      <c r="S40" s="53" t="str">
        <f>IF(AND('Mapa final'!$AA$37="Baja",'Mapa final'!$AC$37="Menor"),CONCATENATE("R5C",'Mapa final'!$Q$37),"")</f>
        <v/>
      </c>
      <c r="T40" s="53" t="str">
        <f>IF(AND('Mapa final'!$AA$38="Baja",'Mapa final'!$AC$38="Menor"),CONCATENATE("R5C",'Mapa final'!$Q$38),"")</f>
        <v/>
      </c>
      <c r="U40" s="54" t="str">
        <f>IF(AND('Mapa final'!$AA$39="Baja",'Mapa final'!$AC$39="Menor"),CONCATENATE("R5C",'Mapa final'!$Q$39),"")</f>
        <v/>
      </c>
      <c r="V40" s="52" t="str">
        <f>IF(AND('Mapa final'!$AA$34="Baja",'Mapa final'!$AC$34="Moderado"),CONCATENATE("R5C",'Mapa final'!$Q$34),"")</f>
        <v/>
      </c>
      <c r="W40" s="53" t="str">
        <f>IF(AND('Mapa final'!$AA$35="Baja",'Mapa final'!$AC$35="Moderado"),CONCATENATE("R5C",'Mapa final'!$Q$35),"")</f>
        <v/>
      </c>
      <c r="X40" s="53" t="str">
        <f>IF(AND('Mapa final'!$AA$36="Baja",'Mapa final'!$AC$36="Moderado"),CONCATENATE("R5C",'Mapa final'!$Q$36),"")</f>
        <v/>
      </c>
      <c r="Y40" s="53" t="str">
        <f>IF(AND('Mapa final'!$AA$37="Baja",'Mapa final'!$AC$37="Moderado"),CONCATENATE("R5C",'Mapa final'!$Q$37),"")</f>
        <v/>
      </c>
      <c r="Z40" s="53" t="str">
        <f>IF(AND('Mapa final'!$AA$38="Baja",'Mapa final'!$AC$38="Moderado"),CONCATENATE("R5C",'Mapa final'!$Q$38),"")</f>
        <v/>
      </c>
      <c r="AA40" s="54"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42" t="str">
        <f>IF(AND('Mapa final'!$AA$36="Baja",'Mapa final'!$AC$36="Mayor"),CONCATENATE("R5C",'Mapa final'!$Q$36),"")</f>
        <v/>
      </c>
      <c r="AE40" s="42" t="str">
        <f>IF(AND('Mapa final'!$AA$37="Baja",'Mapa final'!$AC$37="Mayor"),CONCATENATE("R5C",'Mapa final'!$Q$37),"")</f>
        <v/>
      </c>
      <c r="AF40" s="42"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8"/>
      <c r="AO40" s="435"/>
      <c r="AP40" s="436"/>
      <c r="AQ40" s="436"/>
      <c r="AR40" s="436"/>
      <c r="AS40" s="436"/>
      <c r="AT40" s="437"/>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row>
    <row r="41" spans="1:80" ht="15" customHeight="1" x14ac:dyDescent="0.25">
      <c r="A41" s="68"/>
      <c r="B41" s="362"/>
      <c r="C41" s="362"/>
      <c r="D41" s="363"/>
      <c r="E41" s="403"/>
      <c r="F41" s="404"/>
      <c r="G41" s="404"/>
      <c r="H41" s="404"/>
      <c r="I41" s="420"/>
      <c r="J41" s="61" t="str">
        <f>IF(AND('Mapa final'!$AA$40="Baja",'Mapa final'!$AC$40="Leve"),CONCATENATE("R6C",'Mapa final'!$Q$40),"")</f>
        <v/>
      </c>
      <c r="K41" s="62" t="str">
        <f>IF(AND('Mapa final'!$AA$41="Baja",'Mapa final'!$AC$41="Leve"),CONCATENATE("R6C",'Mapa final'!$Q$41),"")</f>
        <v/>
      </c>
      <c r="L41" s="62" t="str">
        <f>IF(AND('Mapa final'!$AA$42="Baja",'Mapa final'!$AC$42="Leve"),CONCATENATE("R6C",'Mapa final'!$Q$42),"")</f>
        <v/>
      </c>
      <c r="M41" s="62" t="str">
        <f>IF(AND('Mapa final'!$AA$43="Baja",'Mapa final'!$AC$43="Leve"),CONCATENATE("R6C",'Mapa final'!$Q$43),"")</f>
        <v/>
      </c>
      <c r="N41" s="62" t="str">
        <f>IF(AND('Mapa final'!$AA$44="Baja",'Mapa final'!$AC$44="Leve"),CONCATENATE("R6C",'Mapa final'!$Q$44),"")</f>
        <v/>
      </c>
      <c r="O41" s="63" t="str">
        <f>IF(AND('Mapa final'!$AA$45="Baja",'Mapa final'!$AC$45="Leve"),CONCATENATE("R6C",'Mapa final'!$Q$45),"")</f>
        <v/>
      </c>
      <c r="P41" s="52" t="str">
        <f>IF(AND('Mapa final'!$AA$40="Baja",'Mapa final'!$AC$40="Menor"),CONCATENATE("R6C",'Mapa final'!$Q$40),"")</f>
        <v/>
      </c>
      <c r="Q41" s="53" t="str">
        <f>IF(AND('Mapa final'!$AA$41="Baja",'Mapa final'!$AC$41="Menor"),CONCATENATE("R6C",'Mapa final'!$Q$41),"")</f>
        <v/>
      </c>
      <c r="R41" s="53" t="str">
        <f>IF(AND('Mapa final'!$AA$42="Baja",'Mapa final'!$AC$42="Menor"),CONCATENATE("R6C",'Mapa final'!$Q$42),"")</f>
        <v/>
      </c>
      <c r="S41" s="53" t="str">
        <f>IF(AND('Mapa final'!$AA$43="Baja",'Mapa final'!$AC$43="Menor"),CONCATENATE("R6C",'Mapa final'!$Q$43),"")</f>
        <v/>
      </c>
      <c r="T41" s="53" t="str">
        <f>IF(AND('Mapa final'!$AA$44="Baja",'Mapa final'!$AC$44="Menor"),CONCATENATE("R6C",'Mapa final'!$Q$44),"")</f>
        <v/>
      </c>
      <c r="U41" s="54" t="str">
        <f>IF(AND('Mapa final'!$AA$45="Baja",'Mapa final'!$AC$45="Menor"),CONCATENATE("R6C",'Mapa final'!$Q$45),"")</f>
        <v/>
      </c>
      <c r="V41" s="52" t="str">
        <f>IF(AND('Mapa final'!$AA$40="Baja",'Mapa final'!$AC$40="Moderado"),CONCATENATE("R6C",'Mapa final'!$Q$40),"")</f>
        <v/>
      </c>
      <c r="W41" s="53" t="str">
        <f>IF(AND('Mapa final'!$AA$41="Baja",'Mapa final'!$AC$41="Moderado"),CONCATENATE("R6C",'Mapa final'!$Q$41),"")</f>
        <v/>
      </c>
      <c r="X41" s="53" t="str">
        <f>IF(AND('Mapa final'!$AA$42="Baja",'Mapa final'!$AC$42="Moderado"),CONCATENATE("R6C",'Mapa final'!$Q$42),"")</f>
        <v/>
      </c>
      <c r="Y41" s="53" t="str">
        <f>IF(AND('Mapa final'!$AA$43="Baja",'Mapa final'!$AC$43="Moderado"),CONCATENATE("R6C",'Mapa final'!$Q$43),"")</f>
        <v/>
      </c>
      <c r="Z41" s="53" t="str">
        <f>IF(AND('Mapa final'!$AA$44="Baja",'Mapa final'!$AC$44="Moderado"),CONCATENATE("R6C",'Mapa final'!$Q$44),"")</f>
        <v/>
      </c>
      <c r="AA41" s="54"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42" t="str">
        <f>IF(AND('Mapa final'!$AA$42="Baja",'Mapa final'!$AC$42="Mayor"),CONCATENATE("R6C",'Mapa final'!$Q$42),"")</f>
        <v/>
      </c>
      <c r="AE41" s="42" t="str">
        <f>IF(AND('Mapa final'!$AA$43="Baja",'Mapa final'!$AC$43="Mayor"),CONCATENATE("R6C",'Mapa final'!$Q$43),"")</f>
        <v/>
      </c>
      <c r="AF41" s="42"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8"/>
      <c r="AO41" s="435"/>
      <c r="AP41" s="436"/>
      <c r="AQ41" s="436"/>
      <c r="AR41" s="436"/>
      <c r="AS41" s="436"/>
      <c r="AT41" s="437"/>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row>
    <row r="42" spans="1:80" ht="15" customHeight="1" x14ac:dyDescent="0.25">
      <c r="A42" s="68"/>
      <c r="B42" s="362"/>
      <c r="C42" s="362"/>
      <c r="D42" s="363"/>
      <c r="E42" s="403"/>
      <c r="F42" s="404"/>
      <c r="G42" s="404"/>
      <c r="H42" s="404"/>
      <c r="I42" s="420"/>
      <c r="J42" s="61" t="str">
        <f>IF(AND('Mapa final'!$AA$46="Baja",'Mapa final'!$AC$46="Leve"),CONCATENATE("R7C",'Mapa final'!$Q$46),"")</f>
        <v/>
      </c>
      <c r="K42" s="62" t="str">
        <f>IF(AND('Mapa final'!$AA$47="Baja",'Mapa final'!$AC$47="Leve"),CONCATENATE("R7C",'Mapa final'!$Q$47),"")</f>
        <v/>
      </c>
      <c r="L42" s="62" t="str">
        <f>IF(AND('Mapa final'!$AA$48="Baja",'Mapa final'!$AC$48="Leve"),CONCATENATE("R7C",'Mapa final'!$Q$48),"")</f>
        <v/>
      </c>
      <c r="M42" s="62" t="str">
        <f>IF(AND('Mapa final'!$AA$49="Baja",'Mapa final'!$AC$49="Leve"),CONCATENATE("R7C",'Mapa final'!$Q$49),"")</f>
        <v/>
      </c>
      <c r="N42" s="62" t="str">
        <f>IF(AND('Mapa final'!$AA$50="Baja",'Mapa final'!$AC$50="Leve"),CONCATENATE("R7C",'Mapa final'!$Q$50),"")</f>
        <v/>
      </c>
      <c r="O42" s="63" t="str">
        <f>IF(AND('Mapa final'!$AA$51="Baja",'Mapa final'!$AC$51="Leve"),CONCATENATE("R7C",'Mapa final'!$Q$51),"")</f>
        <v/>
      </c>
      <c r="P42" s="52" t="str">
        <f>IF(AND('Mapa final'!$AA$46="Baja",'Mapa final'!$AC$46="Menor"),CONCATENATE("R7C",'Mapa final'!$Q$46),"")</f>
        <v/>
      </c>
      <c r="Q42" s="53" t="str">
        <f>IF(AND('Mapa final'!$AA$47="Baja",'Mapa final'!$AC$47="Menor"),CONCATENATE("R7C",'Mapa final'!$Q$47),"")</f>
        <v/>
      </c>
      <c r="R42" s="53" t="str">
        <f>IF(AND('Mapa final'!$AA$48="Baja",'Mapa final'!$AC$48="Menor"),CONCATENATE("R7C",'Mapa final'!$Q$48),"")</f>
        <v/>
      </c>
      <c r="S42" s="53" t="str">
        <f>IF(AND('Mapa final'!$AA$49="Baja",'Mapa final'!$AC$49="Menor"),CONCATENATE("R7C",'Mapa final'!$Q$49),"")</f>
        <v/>
      </c>
      <c r="T42" s="53" t="str">
        <f>IF(AND('Mapa final'!$AA$50="Baja",'Mapa final'!$AC$50="Menor"),CONCATENATE("R7C",'Mapa final'!$Q$50),"")</f>
        <v/>
      </c>
      <c r="U42" s="54" t="str">
        <f>IF(AND('Mapa final'!$AA$51="Baja",'Mapa final'!$AC$51="Menor"),CONCATENATE("R7C",'Mapa final'!$Q$51),"")</f>
        <v/>
      </c>
      <c r="V42" s="52" t="str">
        <f>IF(AND('Mapa final'!$AA$46="Baja",'Mapa final'!$AC$46="Moderado"),CONCATENATE("R7C",'Mapa final'!$Q$46),"")</f>
        <v/>
      </c>
      <c r="W42" s="53" t="str">
        <f>IF(AND('Mapa final'!$AA$47="Baja",'Mapa final'!$AC$47="Moderado"),CONCATENATE("R7C",'Mapa final'!$Q$47),"")</f>
        <v/>
      </c>
      <c r="X42" s="53" t="str">
        <f>IF(AND('Mapa final'!$AA$48="Baja",'Mapa final'!$AC$48="Moderado"),CONCATENATE("R7C",'Mapa final'!$Q$48),"")</f>
        <v/>
      </c>
      <c r="Y42" s="53" t="str">
        <f>IF(AND('Mapa final'!$AA$49="Baja",'Mapa final'!$AC$49="Moderado"),CONCATENATE("R7C",'Mapa final'!$Q$49),"")</f>
        <v/>
      </c>
      <c r="Z42" s="53" t="str">
        <f>IF(AND('Mapa final'!$AA$50="Baja",'Mapa final'!$AC$50="Moderado"),CONCATENATE("R7C",'Mapa final'!$Q$50),"")</f>
        <v/>
      </c>
      <c r="AA42" s="54"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42" t="str">
        <f>IF(AND('Mapa final'!$AA$48="Baja",'Mapa final'!$AC$48="Mayor"),CONCATENATE("R7C",'Mapa final'!$Q$48),"")</f>
        <v/>
      </c>
      <c r="AE42" s="42" t="str">
        <f>IF(AND('Mapa final'!$AA$49="Baja",'Mapa final'!$AC$49="Mayor"),CONCATENATE("R7C",'Mapa final'!$Q$49),"")</f>
        <v/>
      </c>
      <c r="AF42" s="42"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8"/>
      <c r="AO42" s="435"/>
      <c r="AP42" s="436"/>
      <c r="AQ42" s="436"/>
      <c r="AR42" s="436"/>
      <c r="AS42" s="436"/>
      <c r="AT42" s="437"/>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row>
    <row r="43" spans="1:80" ht="15" customHeight="1" x14ac:dyDescent="0.25">
      <c r="A43" s="68"/>
      <c r="B43" s="362"/>
      <c r="C43" s="362"/>
      <c r="D43" s="363"/>
      <c r="E43" s="403"/>
      <c r="F43" s="404"/>
      <c r="G43" s="404"/>
      <c r="H43" s="404"/>
      <c r="I43" s="420"/>
      <c r="J43" s="61" t="str">
        <f>IF(AND('Mapa final'!$AA$52="Baja",'Mapa final'!$AC$52="Leve"),CONCATENATE("R8C",'Mapa final'!$Q$52),"")</f>
        <v/>
      </c>
      <c r="K43" s="62" t="str">
        <f>IF(AND('Mapa final'!$AA$53="Baja",'Mapa final'!$AC$53="Leve"),CONCATENATE("R8C",'Mapa final'!$Q$53),"")</f>
        <v/>
      </c>
      <c r="L43" s="62" t="str">
        <f>IF(AND('Mapa final'!$AA$54="Baja",'Mapa final'!$AC$54="Leve"),CONCATENATE("R8C",'Mapa final'!$Q$54),"")</f>
        <v/>
      </c>
      <c r="M43" s="62" t="str">
        <f>IF(AND('Mapa final'!$AA$55="Baja",'Mapa final'!$AC$55="Leve"),CONCATENATE("R8C",'Mapa final'!$Q$55),"")</f>
        <v/>
      </c>
      <c r="N43" s="62" t="str">
        <f>IF(AND('Mapa final'!$AA$56="Baja",'Mapa final'!$AC$56="Leve"),CONCATENATE("R8C",'Mapa final'!$Q$56),"")</f>
        <v/>
      </c>
      <c r="O43" s="63" t="str">
        <f>IF(AND('Mapa final'!$AA$57="Baja",'Mapa final'!$AC$57="Leve"),CONCATENATE("R8C",'Mapa final'!$Q$57),"")</f>
        <v/>
      </c>
      <c r="P43" s="52" t="str">
        <f>IF(AND('Mapa final'!$AA$52="Baja",'Mapa final'!$AC$52="Menor"),CONCATENATE("R8C",'Mapa final'!$Q$52),"")</f>
        <v/>
      </c>
      <c r="Q43" s="53" t="str">
        <f>IF(AND('Mapa final'!$AA$53="Baja",'Mapa final'!$AC$53="Menor"),CONCATENATE("R8C",'Mapa final'!$Q$53),"")</f>
        <v/>
      </c>
      <c r="R43" s="53" t="str">
        <f>IF(AND('Mapa final'!$AA$54="Baja",'Mapa final'!$AC$54="Menor"),CONCATENATE("R8C",'Mapa final'!$Q$54),"")</f>
        <v/>
      </c>
      <c r="S43" s="53" t="str">
        <f>IF(AND('Mapa final'!$AA$55="Baja",'Mapa final'!$AC$55="Menor"),CONCATENATE("R8C",'Mapa final'!$Q$55),"")</f>
        <v/>
      </c>
      <c r="T43" s="53" t="str">
        <f>IF(AND('Mapa final'!$AA$56="Baja",'Mapa final'!$AC$56="Menor"),CONCATENATE("R8C",'Mapa final'!$Q$56),"")</f>
        <v/>
      </c>
      <c r="U43" s="54" t="str">
        <f>IF(AND('Mapa final'!$AA$57="Baja",'Mapa final'!$AC$57="Menor"),CONCATENATE("R8C",'Mapa final'!$Q$57),"")</f>
        <v/>
      </c>
      <c r="V43" s="52" t="str">
        <f>IF(AND('Mapa final'!$AA$52="Baja",'Mapa final'!$AC$52="Moderado"),CONCATENATE("R8C",'Mapa final'!$Q$52),"")</f>
        <v/>
      </c>
      <c r="W43" s="53" t="str">
        <f>IF(AND('Mapa final'!$AA$53="Baja",'Mapa final'!$AC$53="Moderado"),CONCATENATE("R8C",'Mapa final'!$Q$53),"")</f>
        <v/>
      </c>
      <c r="X43" s="53" t="str">
        <f>IF(AND('Mapa final'!$AA$54="Baja",'Mapa final'!$AC$54="Moderado"),CONCATENATE("R8C",'Mapa final'!$Q$54),"")</f>
        <v/>
      </c>
      <c r="Y43" s="53" t="str">
        <f>IF(AND('Mapa final'!$AA$55="Baja",'Mapa final'!$AC$55="Moderado"),CONCATENATE("R8C",'Mapa final'!$Q$55),"")</f>
        <v/>
      </c>
      <c r="Z43" s="53" t="str">
        <f>IF(AND('Mapa final'!$AA$56="Baja",'Mapa final'!$AC$56="Moderado"),CONCATENATE("R8C",'Mapa final'!$Q$56),"")</f>
        <v/>
      </c>
      <c r="AA43" s="54"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42" t="str">
        <f>IF(AND('Mapa final'!$AA$54="Baja",'Mapa final'!$AC$54="Mayor"),CONCATENATE("R8C",'Mapa final'!$Q$54),"")</f>
        <v/>
      </c>
      <c r="AE43" s="42" t="str">
        <f>IF(AND('Mapa final'!$AA$55="Baja",'Mapa final'!$AC$55="Mayor"),CONCATENATE("R8C",'Mapa final'!$Q$55),"")</f>
        <v/>
      </c>
      <c r="AF43" s="42"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8"/>
      <c r="AO43" s="435"/>
      <c r="AP43" s="436"/>
      <c r="AQ43" s="436"/>
      <c r="AR43" s="436"/>
      <c r="AS43" s="436"/>
      <c r="AT43" s="437"/>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row>
    <row r="44" spans="1:80" ht="15" customHeight="1" x14ac:dyDescent="0.25">
      <c r="A44" s="68"/>
      <c r="B44" s="362"/>
      <c r="C44" s="362"/>
      <c r="D44" s="363"/>
      <c r="E44" s="403"/>
      <c r="F44" s="404"/>
      <c r="G44" s="404"/>
      <c r="H44" s="404"/>
      <c r="I44" s="420"/>
      <c r="J44" s="61" t="str">
        <f>IF(AND('Mapa final'!$AA$58="Baja",'Mapa final'!$AC$58="Leve"),CONCATENATE("R9C",'Mapa final'!$Q$58),"")</f>
        <v/>
      </c>
      <c r="K44" s="62" t="str">
        <f>IF(AND('Mapa final'!$AA$59="Baja",'Mapa final'!$AC$59="Leve"),CONCATENATE("R9C",'Mapa final'!$Q$59),"")</f>
        <v/>
      </c>
      <c r="L44" s="62" t="str">
        <f>IF(AND('Mapa final'!$AA$60="Baja",'Mapa final'!$AC$60="Leve"),CONCATENATE("R9C",'Mapa final'!$Q$60),"")</f>
        <v/>
      </c>
      <c r="M44" s="62" t="str">
        <f>IF(AND('Mapa final'!$AA$61="Baja",'Mapa final'!$AC$61="Leve"),CONCATENATE("R9C",'Mapa final'!$Q$61),"")</f>
        <v/>
      </c>
      <c r="N44" s="62" t="str">
        <f>IF(AND('Mapa final'!$AA$62="Baja",'Mapa final'!$AC$62="Leve"),CONCATENATE("R9C",'Mapa final'!$Q$62),"")</f>
        <v/>
      </c>
      <c r="O44" s="63" t="str">
        <f>IF(AND('Mapa final'!$AA$63="Baja",'Mapa final'!$AC$63="Leve"),CONCATENATE("R9C",'Mapa final'!$Q$63),"")</f>
        <v/>
      </c>
      <c r="P44" s="52" t="str">
        <f>IF(AND('Mapa final'!$AA$58="Baja",'Mapa final'!$AC$58="Menor"),CONCATENATE("R9C",'Mapa final'!$Q$58),"")</f>
        <v/>
      </c>
      <c r="Q44" s="53" t="str">
        <f>IF(AND('Mapa final'!$AA$59="Baja",'Mapa final'!$AC$59="Menor"),CONCATENATE("R9C",'Mapa final'!$Q$59),"")</f>
        <v/>
      </c>
      <c r="R44" s="53" t="str">
        <f>IF(AND('Mapa final'!$AA$60="Baja",'Mapa final'!$AC$60="Menor"),CONCATENATE("R9C",'Mapa final'!$Q$60),"")</f>
        <v/>
      </c>
      <c r="S44" s="53" t="str">
        <f>IF(AND('Mapa final'!$AA$61="Baja",'Mapa final'!$AC$61="Menor"),CONCATENATE("R9C",'Mapa final'!$Q$61),"")</f>
        <v/>
      </c>
      <c r="T44" s="53" t="str">
        <f>IF(AND('Mapa final'!$AA$62="Baja",'Mapa final'!$AC$62="Menor"),CONCATENATE("R9C",'Mapa final'!$Q$62),"")</f>
        <v/>
      </c>
      <c r="U44" s="54" t="str">
        <f>IF(AND('Mapa final'!$AA$63="Baja",'Mapa final'!$AC$63="Menor"),CONCATENATE("R9C",'Mapa final'!$Q$63),"")</f>
        <v/>
      </c>
      <c r="V44" s="52" t="str">
        <f>IF(AND('Mapa final'!$AA$58="Baja",'Mapa final'!$AC$58="Moderado"),CONCATENATE("R9C",'Mapa final'!$Q$58),"")</f>
        <v/>
      </c>
      <c r="W44" s="53" t="str">
        <f>IF(AND('Mapa final'!$AA$59="Baja",'Mapa final'!$AC$59="Moderado"),CONCATENATE("R9C",'Mapa final'!$Q$59),"")</f>
        <v/>
      </c>
      <c r="X44" s="53" t="str">
        <f>IF(AND('Mapa final'!$AA$60="Baja",'Mapa final'!$AC$60="Moderado"),CONCATENATE("R9C",'Mapa final'!$Q$60),"")</f>
        <v/>
      </c>
      <c r="Y44" s="53" t="str">
        <f>IF(AND('Mapa final'!$AA$61="Baja",'Mapa final'!$AC$61="Moderado"),CONCATENATE("R9C",'Mapa final'!$Q$61),"")</f>
        <v/>
      </c>
      <c r="Z44" s="53" t="str">
        <f>IF(AND('Mapa final'!$AA$62="Baja",'Mapa final'!$AC$62="Moderado"),CONCATENATE("R9C",'Mapa final'!$Q$62),"")</f>
        <v/>
      </c>
      <c r="AA44" s="54"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42" t="str">
        <f>IF(AND('Mapa final'!$AA$60="Baja",'Mapa final'!$AC$60="Mayor"),CONCATENATE("R9C",'Mapa final'!$Q$60),"")</f>
        <v/>
      </c>
      <c r="AE44" s="42" t="str">
        <f>IF(AND('Mapa final'!$AA$61="Baja",'Mapa final'!$AC$61="Mayor"),CONCATENATE("R9C",'Mapa final'!$Q$61),"")</f>
        <v/>
      </c>
      <c r="AF44" s="42"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8"/>
      <c r="AO44" s="435"/>
      <c r="AP44" s="436"/>
      <c r="AQ44" s="436"/>
      <c r="AR44" s="436"/>
      <c r="AS44" s="436"/>
      <c r="AT44" s="437"/>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row>
    <row r="45" spans="1:80" ht="15.75" customHeight="1" thickBot="1" x14ac:dyDescent="0.3">
      <c r="A45" s="68"/>
      <c r="B45" s="362"/>
      <c r="C45" s="362"/>
      <c r="D45" s="363"/>
      <c r="E45" s="406"/>
      <c r="F45" s="407"/>
      <c r="G45" s="407"/>
      <c r="H45" s="407"/>
      <c r="I45" s="407"/>
      <c r="J45" s="64" t="str">
        <f>IF(AND('Mapa final'!$AA$64="Baja",'Mapa final'!$AC$64="Leve"),CONCATENATE("R10C",'Mapa final'!$Q$64),"")</f>
        <v/>
      </c>
      <c r="K45" s="65" t="str">
        <f>IF(AND('Mapa final'!$AA$65="Baja",'Mapa final'!$AC$65="Leve"),CONCATENATE("R10C",'Mapa final'!$Q$65),"")</f>
        <v/>
      </c>
      <c r="L45" s="65" t="str">
        <f>IF(AND('Mapa final'!$AA$66="Baja",'Mapa final'!$AC$66="Leve"),CONCATENATE("R10C",'Mapa final'!$Q$66),"")</f>
        <v/>
      </c>
      <c r="M45" s="65" t="str">
        <f>IF(AND('Mapa final'!$AA$67="Baja",'Mapa final'!$AC$67="Leve"),CONCATENATE("R10C",'Mapa final'!$Q$67),"")</f>
        <v/>
      </c>
      <c r="N45" s="65" t="str">
        <f>IF(AND('Mapa final'!$AA$68="Baja",'Mapa final'!$AC$68="Leve"),CONCATENATE("R10C",'Mapa final'!$Q$68),"")</f>
        <v/>
      </c>
      <c r="O45" s="66" t="str">
        <f>IF(AND('Mapa final'!$AA$69="Baja",'Mapa final'!$AC$69="Leve"),CONCATENATE("R10C",'Mapa final'!$Q$69),"")</f>
        <v/>
      </c>
      <c r="P45" s="52" t="str">
        <f>IF(AND('Mapa final'!$AA$64="Baja",'Mapa final'!$AC$64="Menor"),CONCATENATE("R10C",'Mapa final'!$Q$64),"")</f>
        <v/>
      </c>
      <c r="Q45" s="53" t="str">
        <f>IF(AND('Mapa final'!$AA$65="Baja",'Mapa final'!$AC$65="Menor"),CONCATENATE("R10C",'Mapa final'!$Q$65),"")</f>
        <v/>
      </c>
      <c r="R45" s="53" t="str">
        <f>IF(AND('Mapa final'!$AA$66="Baja",'Mapa final'!$AC$66="Menor"),CONCATENATE("R10C",'Mapa final'!$Q$66),"")</f>
        <v/>
      </c>
      <c r="S45" s="53" t="str">
        <f>IF(AND('Mapa final'!$AA$67="Baja",'Mapa final'!$AC$67="Menor"),CONCATENATE("R10C",'Mapa final'!$Q$67),"")</f>
        <v/>
      </c>
      <c r="T45" s="53" t="str">
        <f>IF(AND('Mapa final'!$AA$68="Baja",'Mapa final'!$AC$68="Menor"),CONCATENATE("R10C",'Mapa final'!$Q$68),"")</f>
        <v/>
      </c>
      <c r="U45" s="54" t="str">
        <f>IF(AND('Mapa final'!$AA$69="Baja",'Mapa final'!$AC$69="Menor"),CONCATENATE("R10C",'Mapa final'!$Q$69),"")</f>
        <v/>
      </c>
      <c r="V45" s="55" t="str">
        <f>IF(AND('Mapa final'!$AA$64="Baja",'Mapa final'!$AC$64="Moderado"),CONCATENATE("R10C",'Mapa final'!$Q$64),"")</f>
        <v/>
      </c>
      <c r="W45" s="56" t="str">
        <f>IF(AND('Mapa final'!$AA$65="Baja",'Mapa final'!$AC$65="Moderado"),CONCATENATE("R10C",'Mapa final'!$Q$65),"")</f>
        <v/>
      </c>
      <c r="X45" s="56" t="str">
        <f>IF(AND('Mapa final'!$AA$66="Baja",'Mapa final'!$AC$66="Moderado"),CONCATENATE("R10C",'Mapa final'!$Q$66),"")</f>
        <v/>
      </c>
      <c r="Y45" s="56" t="str">
        <f>IF(AND('Mapa final'!$AA$67="Baja",'Mapa final'!$AC$67="Moderado"),CONCATENATE("R10C",'Mapa final'!$Q$67),"")</f>
        <v/>
      </c>
      <c r="Z45" s="56" t="str">
        <f>IF(AND('Mapa final'!$AA$68="Baja",'Mapa final'!$AC$68="Moderado"),CONCATENATE("R10C",'Mapa final'!$Q$68),"")</f>
        <v/>
      </c>
      <c r="AA45" s="57" t="str">
        <f>IF(AND('Mapa final'!$AA$69="Baja",'Mapa final'!$AC$69="Moderado"),CONCATENATE("R10C",'Mapa final'!$Q$69),"")</f>
        <v/>
      </c>
      <c r="AB45" s="43" t="str">
        <f>IF(AND('Mapa final'!$AA$64="Baja",'Mapa final'!$AC$64="Mayor"),CONCATENATE("R10C",'Mapa final'!$Q$64),"")</f>
        <v/>
      </c>
      <c r="AC45" s="44" t="str">
        <f>IF(AND('Mapa final'!$AA$65="Baja",'Mapa final'!$AC$65="Mayor"),CONCATENATE("R10C",'Mapa final'!$Q$65),"")</f>
        <v/>
      </c>
      <c r="AD45" s="44" t="str">
        <f>IF(AND('Mapa final'!$AA$66="Baja",'Mapa final'!$AC$66="Mayor"),CONCATENATE("R10C",'Mapa final'!$Q$66),"")</f>
        <v/>
      </c>
      <c r="AE45" s="44" t="str">
        <f>IF(AND('Mapa final'!$AA$67="Baja",'Mapa final'!$AC$67="Mayor"),CONCATENATE("R10C",'Mapa final'!$Q$67),"")</f>
        <v/>
      </c>
      <c r="AF45" s="44" t="str">
        <f>IF(AND('Mapa final'!$AA$68="Baja",'Mapa final'!$AC$68="Mayor"),CONCATENATE("R10C",'Mapa final'!$Q$68),"")</f>
        <v/>
      </c>
      <c r="AG45" s="45" t="str">
        <f>IF(AND('Mapa final'!$AA$69="Baja",'Mapa final'!$AC$69="Mayor"),CONCATENATE("R10C",'Mapa final'!$Q$69),"")</f>
        <v/>
      </c>
      <c r="AH45" s="46" t="str">
        <f>IF(AND('Mapa final'!$AA$64="Baja",'Mapa final'!$AC$64="Catastrófico"),CONCATENATE("R10C",'Mapa final'!$Q$64),"")</f>
        <v/>
      </c>
      <c r="AI45" s="47" t="str">
        <f>IF(AND('Mapa final'!$AA$65="Baja",'Mapa final'!$AC$65="Catastrófico"),CONCATENATE("R10C",'Mapa final'!$Q$65),"")</f>
        <v/>
      </c>
      <c r="AJ45" s="47" t="str">
        <f>IF(AND('Mapa final'!$AA$66="Baja",'Mapa final'!$AC$66="Catastrófico"),CONCATENATE("R10C",'Mapa final'!$Q$66),"")</f>
        <v/>
      </c>
      <c r="AK45" s="47" t="str">
        <f>IF(AND('Mapa final'!$AA$67="Baja",'Mapa final'!$AC$67="Catastrófico"),CONCATENATE("R10C",'Mapa final'!$Q$67),"")</f>
        <v/>
      </c>
      <c r="AL45" s="47" t="str">
        <f>IF(AND('Mapa final'!$AA$68="Baja",'Mapa final'!$AC$68="Catastrófico"),CONCATENATE("R10C",'Mapa final'!$Q$68),"")</f>
        <v/>
      </c>
      <c r="AM45" s="48" t="str">
        <f>IF(AND('Mapa final'!$AA$69="Baja",'Mapa final'!$AC$69="Catastrófico"),CONCATENATE("R10C",'Mapa final'!$Q$69),"")</f>
        <v/>
      </c>
      <c r="AN45" s="68"/>
      <c r="AO45" s="438"/>
      <c r="AP45" s="439"/>
      <c r="AQ45" s="439"/>
      <c r="AR45" s="439"/>
      <c r="AS45" s="439"/>
      <c r="AT45" s="440"/>
    </row>
    <row r="46" spans="1:80" ht="46.5" customHeight="1" x14ac:dyDescent="0.35">
      <c r="A46" s="68"/>
      <c r="B46" s="362"/>
      <c r="C46" s="362"/>
      <c r="D46" s="363"/>
      <c r="E46" s="400" t="s">
        <v>107</v>
      </c>
      <c r="F46" s="401"/>
      <c r="G46" s="401"/>
      <c r="H46" s="401"/>
      <c r="I46" s="402"/>
      <c r="J46" s="58" t="str">
        <f ca="1">IF(AND('Mapa final'!$AA$10="Muy Baja",'Mapa final'!$AC$10="Leve"),CONCATENATE("R1C",'Mapa final'!$Q$10),"")</f>
        <v/>
      </c>
      <c r="K46" s="59" t="str">
        <f ca="1">IF(AND('Mapa final'!$AA$11="Muy Baja",'Mapa final'!$AC$11="Leve"),CONCATENATE("R1C",'Mapa final'!$Q$11),"")</f>
        <v/>
      </c>
      <c r="L46" s="59" t="str">
        <f>IF(AND('Mapa final'!$AA$12="Muy Baja",'Mapa final'!$AC$12="Leve"),CONCATENATE("R1C",'Mapa final'!$Q$12),"")</f>
        <v/>
      </c>
      <c r="M46" s="59" t="str">
        <f>IF(AND('Mapa final'!$AA$13="Muy Baja",'Mapa final'!$AC$13="Leve"),CONCATENATE("R1C",'Mapa final'!$Q$13),"")</f>
        <v/>
      </c>
      <c r="N46" s="59" t="str">
        <f>IF(AND('Mapa final'!$AA$14="Muy Baja",'Mapa final'!$AC$14="Leve"),CONCATENATE("R1C",'Mapa final'!$Q$14),"")</f>
        <v/>
      </c>
      <c r="O46" s="60" t="str">
        <f>IF(AND('Mapa final'!$AA$15="Muy Baja",'Mapa final'!$AC$15="Leve"),CONCATENATE("R1C",'Mapa final'!$Q$15),"")</f>
        <v/>
      </c>
      <c r="P46" s="58" t="str">
        <f ca="1">IF(AND('Mapa final'!$AA$10="Muy Baja",'Mapa final'!$AC$10="Menor"),CONCATENATE("R1C",'Mapa final'!$Q$10),"")</f>
        <v/>
      </c>
      <c r="Q46" s="59" t="str">
        <f ca="1">IF(AND('Mapa final'!$AA$11="Muy Baja",'Mapa final'!$AC$11="Menor"),CONCATENATE("R1C",'Mapa final'!$Q$11),"")</f>
        <v/>
      </c>
      <c r="R46" s="59" t="str">
        <f>IF(AND('Mapa final'!$AA$12="Muy Baja",'Mapa final'!$AC$12="Menor"),CONCATENATE("R1C",'Mapa final'!$Q$12),"")</f>
        <v/>
      </c>
      <c r="S46" s="59" t="str">
        <f>IF(AND('Mapa final'!$AA$13="Muy Baja",'Mapa final'!$AC$13="Menor"),CONCATENATE("R1C",'Mapa final'!$Q$13),"")</f>
        <v/>
      </c>
      <c r="T46" s="59" t="str">
        <f>IF(AND('Mapa final'!$AA$14="Muy Baja",'Mapa final'!$AC$14="Menor"),CONCATENATE("R1C",'Mapa final'!$Q$14),"")</f>
        <v/>
      </c>
      <c r="U46" s="60" t="str">
        <f>IF(AND('Mapa final'!$AA$15="Muy Baja",'Mapa final'!$AC$15="Menor"),CONCATENATE("R1C",'Mapa final'!$Q$15),"")</f>
        <v/>
      </c>
      <c r="V46" s="49" t="str">
        <f ca="1">IF(AND('Mapa final'!$AA$10="Muy Baja",'Mapa final'!$AC$10="Moderado"),CONCATENATE("R1C",'Mapa final'!$Q$10),"")</f>
        <v/>
      </c>
      <c r="W46" s="67" t="str">
        <f ca="1">IF(AND('Mapa final'!$AA$11="Muy Baja",'Mapa final'!$AC$11="Moderado"),CONCATENATE("R1C",'Mapa final'!$Q$11),"")</f>
        <v/>
      </c>
      <c r="X46" s="50" t="str">
        <f>IF(AND('Mapa final'!$AA$12="Muy Baja",'Mapa final'!$AC$12="Moderado"),CONCATENATE("R1C",'Mapa final'!$Q$12),"")</f>
        <v/>
      </c>
      <c r="Y46" s="50" t="str">
        <f>IF(AND('Mapa final'!$AA$13="Muy Baja",'Mapa final'!$AC$13="Moderado"),CONCATENATE("R1C",'Mapa final'!$Q$13),"")</f>
        <v/>
      </c>
      <c r="Z46" s="50" t="str">
        <f>IF(AND('Mapa final'!$AA$14="Muy Baja",'Mapa final'!$AC$14="Moderado"),CONCATENATE("R1C",'Mapa final'!$Q$14),"")</f>
        <v/>
      </c>
      <c r="AA46" s="51" t="str">
        <f>IF(AND('Mapa final'!$AA$15="Muy Baja",'Mapa final'!$AC$15="Moderado"),CONCATENATE("R1C",'Mapa final'!$Q$15),"")</f>
        <v/>
      </c>
      <c r="AB46" s="30" t="str">
        <f ca="1">IF(AND('Mapa final'!$AA$10="Muy Baja",'Mapa final'!$AC$10="Mayor"),CONCATENATE("R1C",'Mapa final'!$Q$10),"")</f>
        <v/>
      </c>
      <c r="AC46" s="31" t="str">
        <f ca="1">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str">
        <f>IF(AND('Mapa final'!$AA$14="Muy Baja",'Mapa final'!$AC$14="Mayor"),CONCATENATE("R1C",'Mapa final'!$Q$14),"")</f>
        <v/>
      </c>
      <c r="AG46" s="32" t="str">
        <f>IF(AND('Mapa final'!$AA$15="Muy Baja",'Mapa final'!$AC$15="Mayor"),CONCATENATE("R1C",'Mapa final'!$Q$15),"")</f>
        <v/>
      </c>
      <c r="AH46" s="33" t="str">
        <f ca="1">IF(AND('Mapa final'!$AA$10="Muy Baja",'Mapa final'!$AC$10="Catastrófico"),CONCATENATE("R1C",'Mapa final'!$Q$10),"")</f>
        <v/>
      </c>
      <c r="AI46" s="34" t="str">
        <f ca="1">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ht="46.5" customHeight="1" x14ac:dyDescent="0.25">
      <c r="A47" s="68"/>
      <c r="B47" s="362"/>
      <c r="C47" s="362"/>
      <c r="D47" s="363"/>
      <c r="E47" s="419"/>
      <c r="F47" s="420"/>
      <c r="G47" s="420"/>
      <c r="H47" s="420"/>
      <c r="I47" s="405"/>
      <c r="J47" s="61" t="str">
        <f ca="1">IF(AND('Mapa final'!$AA$16="Muy Baja",'Mapa final'!$AC$16="Leve"),CONCATENATE("R2C",'Mapa final'!$Q$16),"")</f>
        <v/>
      </c>
      <c r="K47" s="62" t="str">
        <f ca="1">IF(AND('Mapa final'!$AA$17="Muy Baja",'Mapa final'!$AC$17="Leve"),CONCATENATE("R2C",'Mapa final'!$Q$17),"")</f>
        <v/>
      </c>
      <c r="L47" s="62" t="str">
        <f>IF(AND('Mapa final'!$AA$18="Muy Baja",'Mapa final'!$AC$18="Leve"),CONCATENATE("R2C",'Mapa final'!$Q$18),"")</f>
        <v/>
      </c>
      <c r="M47" s="62" t="str">
        <f>IF(AND('Mapa final'!$AA$19="Muy Baja",'Mapa final'!$AC$19="Leve"),CONCATENATE("R2C",'Mapa final'!$Q$19),"")</f>
        <v/>
      </c>
      <c r="N47" s="62" t="str">
        <f>IF(AND('Mapa final'!$AA$20="Muy Baja",'Mapa final'!$AC$20="Leve"),CONCATENATE("R2C",'Mapa final'!$Q$20),"")</f>
        <v/>
      </c>
      <c r="O47" s="63" t="str">
        <f>IF(AND('Mapa final'!$AA$21="Muy Baja",'Mapa final'!$AC$21="Leve"),CONCATENATE("R2C",'Mapa final'!$Q$21),"")</f>
        <v/>
      </c>
      <c r="P47" s="61" t="str">
        <f ca="1">IF(AND('Mapa final'!$AA$16="Muy Baja",'Mapa final'!$AC$16="Menor"),CONCATENATE("R2C",'Mapa final'!$Q$16),"")</f>
        <v/>
      </c>
      <c r="Q47" s="62" t="str">
        <f ca="1">IF(AND('Mapa final'!$AA$17="Muy Baja",'Mapa final'!$AC$17="Menor"),CONCATENATE("R2C",'Mapa final'!$Q$17),"")</f>
        <v/>
      </c>
      <c r="R47" s="62" t="str">
        <f>IF(AND('Mapa final'!$AA$18="Muy Baja",'Mapa final'!$AC$18="Menor"),CONCATENATE("R2C",'Mapa final'!$Q$18),"")</f>
        <v/>
      </c>
      <c r="S47" s="62" t="str">
        <f>IF(AND('Mapa final'!$AA$19="Muy Baja",'Mapa final'!$AC$19="Menor"),CONCATENATE("R2C",'Mapa final'!$Q$19),"")</f>
        <v/>
      </c>
      <c r="T47" s="62" t="str">
        <f>IF(AND('Mapa final'!$AA$20="Muy Baja",'Mapa final'!$AC$20="Menor"),CONCATENATE("R2C",'Mapa final'!$Q$20),"")</f>
        <v/>
      </c>
      <c r="U47" s="63" t="str">
        <f>IF(AND('Mapa final'!$AA$21="Muy Baja",'Mapa final'!$AC$21="Menor"),CONCATENATE("R2C",'Mapa final'!$Q$21),"")</f>
        <v/>
      </c>
      <c r="V47" s="52" t="str">
        <f ca="1">IF(AND('Mapa final'!$AA$16="Muy Baja",'Mapa final'!$AC$16="Moderado"),CONCATENATE("R2C",'Mapa final'!$Q$16),"")</f>
        <v/>
      </c>
      <c r="W47" s="53" t="str">
        <f ca="1">IF(AND('Mapa final'!$AA$17="Muy Baja",'Mapa final'!$AC$17="Moderado"),CONCATENATE("R2C",'Mapa final'!$Q$17),"")</f>
        <v/>
      </c>
      <c r="X47" s="53" t="str">
        <f>IF(AND('Mapa final'!$AA$18="Muy Baja",'Mapa final'!$AC$18="Moderado"),CONCATENATE("R2C",'Mapa final'!$Q$18),"")</f>
        <v/>
      </c>
      <c r="Y47" s="53" t="str">
        <f>IF(AND('Mapa final'!$AA$19="Muy Baja",'Mapa final'!$AC$19="Moderado"),CONCATENATE("R2C",'Mapa final'!$Q$19),"")</f>
        <v/>
      </c>
      <c r="Z47" s="53" t="str">
        <f>IF(AND('Mapa final'!$AA$20="Muy Baja",'Mapa final'!$AC$20="Moderado"),CONCATENATE("R2C",'Mapa final'!$Q$20),"")</f>
        <v/>
      </c>
      <c r="AA47" s="54" t="str">
        <f>IF(AND('Mapa final'!$AA$21="Muy Baja",'Mapa final'!$AC$21="Moderado"),CONCATENATE("R2C",'Mapa final'!$Q$21),"")</f>
        <v/>
      </c>
      <c r="AB47" s="36" t="str">
        <f ca="1">IF(AND('Mapa final'!$AA$16="Muy Baja",'Mapa final'!$AC$16="Mayor"),CONCATENATE("R2C",'Mapa final'!$Q$16),"")</f>
        <v/>
      </c>
      <c r="AC47" s="37" t="str">
        <f ca="1">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 ca="1">IF(AND('Mapa final'!$AA$16="Muy Baja",'Mapa final'!$AC$16="Catastrófico"),CONCATENATE("R2C",'Mapa final'!$Q$16),"")</f>
        <v/>
      </c>
      <c r="AI47" s="40" t="str">
        <f ca="1">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ht="15" customHeight="1" x14ac:dyDescent="0.25">
      <c r="A48" s="68"/>
      <c r="B48" s="362"/>
      <c r="C48" s="362"/>
      <c r="D48" s="363"/>
      <c r="E48" s="419"/>
      <c r="F48" s="420"/>
      <c r="G48" s="420"/>
      <c r="H48" s="420"/>
      <c r="I48" s="405"/>
      <c r="J48" s="61" t="str">
        <f ca="1">IF(AND('Mapa final'!$AA$22="Muy Baja",'Mapa final'!$AC$22="Leve"),CONCATENATE("R3C",'Mapa final'!$Q$22),"")</f>
        <v/>
      </c>
      <c r="K48" s="62" t="str">
        <f ca="1">IF(AND('Mapa final'!$AA$23="Muy Baja",'Mapa final'!$AC$23="Leve"),CONCATENATE("R3C",'Mapa final'!$Q$23),"")</f>
        <v/>
      </c>
      <c r="L48" s="62" t="str">
        <f>IF(AND('Mapa final'!$AA$24="Muy Baja",'Mapa final'!$AC$24="Leve"),CONCATENATE("R3C",'Mapa final'!$Q$24),"")</f>
        <v/>
      </c>
      <c r="M48" s="62" t="str">
        <f>IF(AND('Mapa final'!$AA$25="Muy Baja",'Mapa final'!$AC$25="Leve"),CONCATENATE("R3C",'Mapa final'!$Q$25),"")</f>
        <v/>
      </c>
      <c r="N48" s="62" t="str">
        <f>IF(AND('Mapa final'!$AA$26="Muy Baja",'Mapa final'!$AC$26="Leve"),CONCATENATE("R3C",'Mapa final'!$Q$26),"")</f>
        <v/>
      </c>
      <c r="O48" s="63" t="str">
        <f>IF(AND('Mapa final'!$AA$27="Muy Baja",'Mapa final'!$AC$27="Leve"),CONCATENATE("R3C",'Mapa final'!$Q$27),"")</f>
        <v/>
      </c>
      <c r="P48" s="61" t="str">
        <f ca="1">IF(AND('Mapa final'!$AA$22="Muy Baja",'Mapa final'!$AC$22="Menor"),CONCATENATE("R3C",'Mapa final'!$Q$22),"")</f>
        <v/>
      </c>
      <c r="Q48" s="62" t="str">
        <f ca="1">IF(AND('Mapa final'!$AA$23="Muy Baja",'Mapa final'!$AC$23="Menor"),CONCATENATE("R3C",'Mapa final'!$Q$23),"")</f>
        <v/>
      </c>
      <c r="R48" s="62" t="str">
        <f>IF(AND('Mapa final'!$AA$24="Muy Baja",'Mapa final'!$AC$24="Menor"),CONCATENATE("R3C",'Mapa final'!$Q$24),"")</f>
        <v/>
      </c>
      <c r="S48" s="62" t="str">
        <f>IF(AND('Mapa final'!$AA$25="Muy Baja",'Mapa final'!$AC$25="Menor"),CONCATENATE("R3C",'Mapa final'!$Q$25),"")</f>
        <v/>
      </c>
      <c r="T48" s="62" t="str">
        <f>IF(AND('Mapa final'!$AA$26="Muy Baja",'Mapa final'!$AC$26="Menor"),CONCATENATE("R3C",'Mapa final'!$Q$26),"")</f>
        <v/>
      </c>
      <c r="U48" s="63" t="str">
        <f>IF(AND('Mapa final'!$AA$27="Muy Baja",'Mapa final'!$AC$27="Menor"),CONCATENATE("R3C",'Mapa final'!$Q$27),"")</f>
        <v/>
      </c>
      <c r="V48" s="52" t="str">
        <f ca="1">IF(AND('Mapa final'!$AA$22="Muy Baja",'Mapa final'!$AC$22="Moderado"),CONCATENATE("R3C",'Mapa final'!$Q$22),"")</f>
        <v/>
      </c>
      <c r="W48" s="53" t="str">
        <f ca="1">IF(AND('Mapa final'!$AA$23="Muy Baja",'Mapa final'!$AC$23="Moderado"),CONCATENATE("R3C",'Mapa final'!$Q$23),"")</f>
        <v/>
      </c>
      <c r="X48" s="53" t="str">
        <f>IF(AND('Mapa final'!$AA$24="Muy Baja",'Mapa final'!$AC$24="Moderado"),CONCATENATE("R3C",'Mapa final'!$Q$24),"")</f>
        <v/>
      </c>
      <c r="Y48" s="53" t="str">
        <f>IF(AND('Mapa final'!$AA$25="Muy Baja",'Mapa final'!$AC$25="Moderado"),CONCATENATE("R3C",'Mapa final'!$Q$25),"")</f>
        <v/>
      </c>
      <c r="Z48" s="53" t="str">
        <f>IF(AND('Mapa final'!$AA$26="Muy Baja",'Mapa final'!$AC$26="Moderado"),CONCATENATE("R3C",'Mapa final'!$Q$26),"")</f>
        <v/>
      </c>
      <c r="AA48" s="54" t="str">
        <f>IF(AND('Mapa final'!$AA$27="Muy Baja",'Mapa final'!$AC$27="Moderado"),CONCATENATE("R3C",'Mapa final'!$Q$27),"")</f>
        <v/>
      </c>
      <c r="AB48" s="36" t="str">
        <f ca="1">IF(AND('Mapa final'!$AA$22="Muy Baja",'Mapa final'!$AC$22="Mayor"),CONCATENATE("R3C",'Mapa final'!$Q$22),"")</f>
        <v/>
      </c>
      <c r="AC48" s="37" t="str">
        <f ca="1">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 ca="1">IF(AND('Mapa final'!$AA$22="Muy Baja",'Mapa final'!$AC$22="Catastrófico"),CONCATENATE("R3C",'Mapa final'!$Q$22),"")</f>
        <v/>
      </c>
      <c r="AI48" s="40" t="str">
        <f ca="1">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ht="15" customHeight="1" x14ac:dyDescent="0.25">
      <c r="A49" s="68"/>
      <c r="B49" s="362"/>
      <c r="C49" s="362"/>
      <c r="D49" s="363"/>
      <c r="E49" s="403"/>
      <c r="F49" s="404"/>
      <c r="G49" s="404"/>
      <c r="H49" s="404"/>
      <c r="I49" s="405"/>
      <c r="J49" s="61" t="str">
        <f>IF(AND('Mapa final'!$AA$28="Muy Baja",'Mapa final'!$AC$28="Leve"),CONCATENATE("R4C",'Mapa final'!$Q$28),"")</f>
        <v/>
      </c>
      <c r="K49" s="62" t="str">
        <f>IF(AND('Mapa final'!$AA$29="Muy Baja",'Mapa final'!$AC$29="Leve"),CONCATENATE("R4C",'Mapa final'!$Q$29),"")</f>
        <v/>
      </c>
      <c r="L49" s="62" t="str">
        <f>IF(AND('Mapa final'!$AA$30="Muy Baja",'Mapa final'!$AC$30="Leve"),CONCATENATE("R4C",'Mapa final'!$Q$30),"")</f>
        <v/>
      </c>
      <c r="M49" s="62" t="str">
        <f>IF(AND('Mapa final'!$AA$31="Muy Baja",'Mapa final'!$AC$31="Leve"),CONCATENATE("R4C",'Mapa final'!$Q$31),"")</f>
        <v/>
      </c>
      <c r="N49" s="62" t="str">
        <f>IF(AND('Mapa final'!$AA$32="Muy Baja",'Mapa final'!$AC$32="Leve"),CONCATENATE("R4C",'Mapa final'!$Q$32),"")</f>
        <v/>
      </c>
      <c r="O49" s="63" t="str">
        <f>IF(AND('Mapa final'!$AA$33="Muy Baja",'Mapa final'!$AC$33="Leve"),CONCATENATE("R4C",'Mapa final'!$Q$33),"")</f>
        <v/>
      </c>
      <c r="P49" s="61" t="str">
        <f>IF(AND('Mapa final'!$AA$28="Muy Baja",'Mapa final'!$AC$28="Menor"),CONCATENATE("R4C",'Mapa final'!$Q$28),"")</f>
        <v/>
      </c>
      <c r="Q49" s="62" t="str">
        <f>IF(AND('Mapa final'!$AA$29="Muy Baja",'Mapa final'!$AC$29="Menor"),CONCATENATE("R4C",'Mapa final'!$Q$29),"")</f>
        <v/>
      </c>
      <c r="R49" s="62" t="str">
        <f>IF(AND('Mapa final'!$AA$30="Muy Baja",'Mapa final'!$AC$30="Menor"),CONCATENATE("R4C",'Mapa final'!$Q$30),"")</f>
        <v/>
      </c>
      <c r="S49" s="62" t="str">
        <f>IF(AND('Mapa final'!$AA$31="Muy Baja",'Mapa final'!$AC$31="Menor"),CONCATENATE("R4C",'Mapa final'!$Q$31),"")</f>
        <v/>
      </c>
      <c r="T49" s="62" t="str">
        <f>IF(AND('Mapa final'!$AA$32="Muy Baja",'Mapa final'!$AC$32="Menor"),CONCATENATE("R4C",'Mapa final'!$Q$32),"")</f>
        <v/>
      </c>
      <c r="U49" s="63" t="str">
        <f>IF(AND('Mapa final'!$AA$33="Muy Baja",'Mapa final'!$AC$33="Menor"),CONCATENATE("R4C",'Mapa final'!$Q$33),"")</f>
        <v/>
      </c>
      <c r="V49" s="52" t="str">
        <f>IF(AND('Mapa final'!$AA$28="Muy Baja",'Mapa final'!$AC$28="Moderado"),CONCATENATE("R4C",'Mapa final'!$Q$28),"")</f>
        <v/>
      </c>
      <c r="W49" s="53" t="str">
        <f>IF(AND('Mapa final'!$AA$29="Muy Baja",'Mapa final'!$AC$29="Moderado"),CONCATENATE("R4C",'Mapa final'!$Q$29),"")</f>
        <v/>
      </c>
      <c r="X49" s="53" t="str">
        <f>IF(AND('Mapa final'!$AA$30="Muy Baja",'Mapa final'!$AC$30="Moderado"),CONCATENATE("R4C",'Mapa final'!$Q$30),"")</f>
        <v/>
      </c>
      <c r="Y49" s="53" t="str">
        <f>IF(AND('Mapa final'!$AA$31="Muy Baja",'Mapa final'!$AC$31="Moderado"),CONCATENATE("R4C",'Mapa final'!$Q$31),"")</f>
        <v/>
      </c>
      <c r="Z49" s="53" t="str">
        <f>IF(AND('Mapa final'!$AA$32="Muy Baja",'Mapa final'!$AC$32="Moderado"),CONCATENATE("R4C",'Mapa final'!$Q$32),"")</f>
        <v/>
      </c>
      <c r="AA49" s="54"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ht="15" customHeight="1" x14ac:dyDescent="0.25">
      <c r="A50" s="68"/>
      <c r="B50" s="362"/>
      <c r="C50" s="362"/>
      <c r="D50" s="363"/>
      <c r="E50" s="403"/>
      <c r="F50" s="404"/>
      <c r="G50" s="404"/>
      <c r="H50" s="404"/>
      <c r="I50" s="405"/>
      <c r="J50" s="61" t="str">
        <f>IF(AND('Mapa final'!$AA$34="Muy Baja",'Mapa final'!$AC$34="Leve"),CONCATENATE("R5C",'Mapa final'!$Q$34),"")</f>
        <v/>
      </c>
      <c r="K50" s="62" t="str">
        <f>IF(AND('Mapa final'!$AA$35="Muy Baja",'Mapa final'!$AC$35="Leve"),CONCATENATE("R5C",'Mapa final'!$Q$35),"")</f>
        <v/>
      </c>
      <c r="L50" s="62" t="str">
        <f>IF(AND('Mapa final'!$AA$36="Muy Baja",'Mapa final'!$AC$36="Leve"),CONCATENATE("R5C",'Mapa final'!$Q$36),"")</f>
        <v/>
      </c>
      <c r="M50" s="62" t="str">
        <f>IF(AND('Mapa final'!$AA$37="Muy Baja",'Mapa final'!$AC$37="Leve"),CONCATENATE("R5C",'Mapa final'!$Q$37),"")</f>
        <v/>
      </c>
      <c r="N50" s="62" t="str">
        <f>IF(AND('Mapa final'!$AA$38="Muy Baja",'Mapa final'!$AC$38="Leve"),CONCATENATE("R5C",'Mapa final'!$Q$38),"")</f>
        <v/>
      </c>
      <c r="O50" s="63" t="str">
        <f>IF(AND('Mapa final'!$AA$39="Muy Baja",'Mapa final'!$AC$39="Leve"),CONCATENATE("R5C",'Mapa final'!$Q$39),"")</f>
        <v/>
      </c>
      <c r="P50" s="61" t="str">
        <f>IF(AND('Mapa final'!$AA$34="Muy Baja",'Mapa final'!$AC$34="Menor"),CONCATENATE("R5C",'Mapa final'!$Q$34),"")</f>
        <v/>
      </c>
      <c r="Q50" s="62" t="str">
        <f>IF(AND('Mapa final'!$AA$35="Muy Baja",'Mapa final'!$AC$35="Menor"),CONCATENATE("R5C",'Mapa final'!$Q$35),"")</f>
        <v/>
      </c>
      <c r="R50" s="62" t="str">
        <f>IF(AND('Mapa final'!$AA$36="Muy Baja",'Mapa final'!$AC$36="Menor"),CONCATENATE("R5C",'Mapa final'!$Q$36),"")</f>
        <v/>
      </c>
      <c r="S50" s="62" t="str">
        <f>IF(AND('Mapa final'!$AA$37="Muy Baja",'Mapa final'!$AC$37="Menor"),CONCATENATE("R5C",'Mapa final'!$Q$37),"")</f>
        <v/>
      </c>
      <c r="T50" s="62" t="str">
        <f>IF(AND('Mapa final'!$AA$38="Muy Baja",'Mapa final'!$AC$38="Menor"),CONCATENATE("R5C",'Mapa final'!$Q$38),"")</f>
        <v/>
      </c>
      <c r="U50" s="63" t="str">
        <f>IF(AND('Mapa final'!$AA$39="Muy Baja",'Mapa final'!$AC$39="Menor"),CONCATENATE("R5C",'Mapa final'!$Q$39),"")</f>
        <v/>
      </c>
      <c r="V50" s="52" t="str">
        <f>IF(AND('Mapa final'!$AA$34="Muy Baja",'Mapa final'!$AC$34="Moderado"),CONCATENATE("R5C",'Mapa final'!$Q$34),"")</f>
        <v/>
      </c>
      <c r="W50" s="53" t="str">
        <f>IF(AND('Mapa final'!$AA$35="Muy Baja",'Mapa final'!$AC$35="Moderado"),CONCATENATE("R5C",'Mapa final'!$Q$35),"")</f>
        <v/>
      </c>
      <c r="X50" s="53" t="str">
        <f>IF(AND('Mapa final'!$AA$36="Muy Baja",'Mapa final'!$AC$36="Moderado"),CONCATENATE("R5C",'Mapa final'!$Q$36),"")</f>
        <v/>
      </c>
      <c r="Y50" s="53" t="str">
        <f>IF(AND('Mapa final'!$AA$37="Muy Baja",'Mapa final'!$AC$37="Moderado"),CONCATENATE("R5C",'Mapa final'!$Q$37),"")</f>
        <v/>
      </c>
      <c r="Z50" s="53" t="str">
        <f>IF(AND('Mapa final'!$AA$38="Muy Baja",'Mapa final'!$AC$38="Moderado"),CONCATENATE("R5C",'Mapa final'!$Q$38),"")</f>
        <v/>
      </c>
      <c r="AA50" s="54"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42" t="str">
        <f>IF(AND('Mapa final'!$AA$36="Muy Baja",'Mapa final'!$AC$36="Mayor"),CONCATENATE("R5C",'Mapa final'!$Q$36),"")</f>
        <v/>
      </c>
      <c r="AE50" s="42" t="str">
        <f>IF(AND('Mapa final'!$AA$37="Muy Baja",'Mapa final'!$AC$37="Mayor"),CONCATENATE("R5C",'Mapa final'!$Q$37),"")</f>
        <v/>
      </c>
      <c r="AF50" s="42"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 customHeight="1" x14ac:dyDescent="0.25">
      <c r="A51" s="68"/>
      <c r="B51" s="362"/>
      <c r="C51" s="362"/>
      <c r="D51" s="363"/>
      <c r="E51" s="403"/>
      <c r="F51" s="404"/>
      <c r="G51" s="404"/>
      <c r="H51" s="404"/>
      <c r="I51" s="405"/>
      <c r="J51" s="61" t="str">
        <f>IF(AND('Mapa final'!$AA$40="Muy Baja",'Mapa final'!$AC$40="Leve"),CONCATENATE("R6C",'Mapa final'!$Q$40),"")</f>
        <v/>
      </c>
      <c r="K51" s="62" t="str">
        <f>IF(AND('Mapa final'!$AA$41="Muy Baja",'Mapa final'!$AC$41="Leve"),CONCATENATE("R6C",'Mapa final'!$Q$41),"")</f>
        <v/>
      </c>
      <c r="L51" s="62" t="str">
        <f>IF(AND('Mapa final'!$AA$42="Muy Baja",'Mapa final'!$AC$42="Leve"),CONCATENATE("R6C",'Mapa final'!$Q$42),"")</f>
        <v/>
      </c>
      <c r="M51" s="62" t="str">
        <f>IF(AND('Mapa final'!$AA$43="Muy Baja",'Mapa final'!$AC$43="Leve"),CONCATENATE("R6C",'Mapa final'!$Q$43),"")</f>
        <v/>
      </c>
      <c r="N51" s="62" t="str">
        <f>IF(AND('Mapa final'!$AA$44="Muy Baja",'Mapa final'!$AC$44="Leve"),CONCATENATE("R6C",'Mapa final'!$Q$44),"")</f>
        <v/>
      </c>
      <c r="O51" s="63" t="str">
        <f>IF(AND('Mapa final'!$AA$45="Muy Baja",'Mapa final'!$AC$45="Leve"),CONCATENATE("R6C",'Mapa final'!$Q$45),"")</f>
        <v/>
      </c>
      <c r="P51" s="61" t="str">
        <f>IF(AND('Mapa final'!$AA$40="Muy Baja",'Mapa final'!$AC$40="Menor"),CONCATENATE("R6C",'Mapa final'!$Q$40),"")</f>
        <v/>
      </c>
      <c r="Q51" s="62" t="str">
        <f>IF(AND('Mapa final'!$AA$41="Muy Baja",'Mapa final'!$AC$41="Menor"),CONCATENATE("R6C",'Mapa final'!$Q$41),"")</f>
        <v/>
      </c>
      <c r="R51" s="62" t="str">
        <f>IF(AND('Mapa final'!$AA$42="Muy Baja",'Mapa final'!$AC$42="Menor"),CONCATENATE("R6C",'Mapa final'!$Q$42),"")</f>
        <v/>
      </c>
      <c r="S51" s="62" t="str">
        <f>IF(AND('Mapa final'!$AA$43="Muy Baja",'Mapa final'!$AC$43="Menor"),CONCATENATE("R6C",'Mapa final'!$Q$43),"")</f>
        <v/>
      </c>
      <c r="T51" s="62" t="str">
        <f>IF(AND('Mapa final'!$AA$44="Muy Baja",'Mapa final'!$AC$44="Menor"),CONCATENATE("R6C",'Mapa final'!$Q$44),"")</f>
        <v/>
      </c>
      <c r="U51" s="63" t="str">
        <f>IF(AND('Mapa final'!$AA$45="Muy Baja",'Mapa final'!$AC$45="Menor"),CONCATENATE("R6C",'Mapa final'!$Q$45),"")</f>
        <v/>
      </c>
      <c r="V51" s="52" t="str">
        <f>IF(AND('Mapa final'!$AA$40="Muy Baja",'Mapa final'!$AC$40="Moderado"),CONCATENATE("R6C",'Mapa final'!$Q$40),"")</f>
        <v/>
      </c>
      <c r="W51" s="53" t="str">
        <f>IF(AND('Mapa final'!$AA$41="Muy Baja",'Mapa final'!$AC$41="Moderado"),CONCATENATE("R6C",'Mapa final'!$Q$41),"")</f>
        <v/>
      </c>
      <c r="X51" s="53" t="str">
        <f>IF(AND('Mapa final'!$AA$42="Muy Baja",'Mapa final'!$AC$42="Moderado"),CONCATENATE("R6C",'Mapa final'!$Q$42),"")</f>
        <v/>
      </c>
      <c r="Y51" s="53" t="str">
        <f>IF(AND('Mapa final'!$AA$43="Muy Baja",'Mapa final'!$AC$43="Moderado"),CONCATENATE("R6C",'Mapa final'!$Q$43),"")</f>
        <v/>
      </c>
      <c r="Z51" s="53" t="str">
        <f>IF(AND('Mapa final'!$AA$44="Muy Baja",'Mapa final'!$AC$44="Moderado"),CONCATENATE("R6C",'Mapa final'!$Q$44),"")</f>
        <v/>
      </c>
      <c r="AA51" s="54"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42" t="str">
        <f>IF(AND('Mapa final'!$AA$42="Muy Baja",'Mapa final'!$AC$42="Mayor"),CONCATENATE("R6C",'Mapa final'!$Q$42),"")</f>
        <v/>
      </c>
      <c r="AE51" s="42" t="str">
        <f>IF(AND('Mapa final'!$AA$43="Muy Baja",'Mapa final'!$AC$43="Mayor"),CONCATENATE("R6C",'Mapa final'!$Q$43),"")</f>
        <v/>
      </c>
      <c r="AF51" s="42"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ht="15" customHeight="1" x14ac:dyDescent="0.25">
      <c r="A52" s="68"/>
      <c r="B52" s="362"/>
      <c r="C52" s="362"/>
      <c r="D52" s="363"/>
      <c r="E52" s="403"/>
      <c r="F52" s="404"/>
      <c r="G52" s="404"/>
      <c r="H52" s="404"/>
      <c r="I52" s="405"/>
      <c r="J52" s="61" t="str">
        <f>IF(AND('Mapa final'!$AA$46="Muy Baja",'Mapa final'!$AC$46="Leve"),CONCATENATE("R7C",'Mapa final'!$Q$46),"")</f>
        <v/>
      </c>
      <c r="K52" s="62" t="str">
        <f>IF(AND('Mapa final'!$AA$47="Muy Baja",'Mapa final'!$AC$47="Leve"),CONCATENATE("R7C",'Mapa final'!$Q$47),"")</f>
        <v/>
      </c>
      <c r="L52" s="62" t="str">
        <f>IF(AND('Mapa final'!$AA$48="Muy Baja",'Mapa final'!$AC$48="Leve"),CONCATENATE("R7C",'Mapa final'!$Q$48),"")</f>
        <v/>
      </c>
      <c r="M52" s="62" t="str">
        <f>IF(AND('Mapa final'!$AA$49="Muy Baja",'Mapa final'!$AC$49="Leve"),CONCATENATE("R7C",'Mapa final'!$Q$49),"")</f>
        <v/>
      </c>
      <c r="N52" s="62" t="str">
        <f>IF(AND('Mapa final'!$AA$50="Muy Baja",'Mapa final'!$AC$50="Leve"),CONCATENATE("R7C",'Mapa final'!$Q$50),"")</f>
        <v/>
      </c>
      <c r="O52" s="63" t="str">
        <f>IF(AND('Mapa final'!$AA$51="Muy Baja",'Mapa final'!$AC$51="Leve"),CONCATENATE("R7C",'Mapa final'!$Q$51),"")</f>
        <v/>
      </c>
      <c r="P52" s="61" t="str">
        <f>IF(AND('Mapa final'!$AA$46="Muy Baja",'Mapa final'!$AC$46="Menor"),CONCATENATE("R7C",'Mapa final'!$Q$46),"")</f>
        <v/>
      </c>
      <c r="Q52" s="62" t="str">
        <f>IF(AND('Mapa final'!$AA$47="Muy Baja",'Mapa final'!$AC$47="Menor"),CONCATENATE("R7C",'Mapa final'!$Q$47),"")</f>
        <v/>
      </c>
      <c r="R52" s="62" t="str">
        <f>IF(AND('Mapa final'!$AA$48="Muy Baja",'Mapa final'!$AC$48="Menor"),CONCATENATE("R7C",'Mapa final'!$Q$48),"")</f>
        <v/>
      </c>
      <c r="S52" s="62" t="str">
        <f>IF(AND('Mapa final'!$AA$49="Muy Baja",'Mapa final'!$AC$49="Menor"),CONCATENATE("R7C",'Mapa final'!$Q$49),"")</f>
        <v/>
      </c>
      <c r="T52" s="62" t="str">
        <f>IF(AND('Mapa final'!$AA$50="Muy Baja",'Mapa final'!$AC$50="Menor"),CONCATENATE("R7C",'Mapa final'!$Q$50),"")</f>
        <v/>
      </c>
      <c r="U52" s="63" t="str">
        <f>IF(AND('Mapa final'!$AA$51="Muy Baja",'Mapa final'!$AC$51="Menor"),CONCATENATE("R7C",'Mapa final'!$Q$51),"")</f>
        <v/>
      </c>
      <c r="V52" s="52" t="str">
        <f>IF(AND('Mapa final'!$AA$46="Muy Baja",'Mapa final'!$AC$46="Moderado"),CONCATENATE("R7C",'Mapa final'!$Q$46),"")</f>
        <v/>
      </c>
      <c r="W52" s="53" t="str">
        <f>IF(AND('Mapa final'!$AA$47="Muy Baja",'Mapa final'!$AC$47="Moderado"),CONCATENATE("R7C",'Mapa final'!$Q$47),"")</f>
        <v/>
      </c>
      <c r="X52" s="53" t="str">
        <f>IF(AND('Mapa final'!$AA$48="Muy Baja",'Mapa final'!$AC$48="Moderado"),CONCATENATE("R7C",'Mapa final'!$Q$48),"")</f>
        <v/>
      </c>
      <c r="Y52" s="53" t="str">
        <f>IF(AND('Mapa final'!$AA$49="Muy Baja",'Mapa final'!$AC$49="Moderado"),CONCATENATE("R7C",'Mapa final'!$Q$49),"")</f>
        <v/>
      </c>
      <c r="Z52" s="53" t="str">
        <f>IF(AND('Mapa final'!$AA$50="Muy Baja",'Mapa final'!$AC$50="Moderado"),CONCATENATE("R7C",'Mapa final'!$Q$50),"")</f>
        <v/>
      </c>
      <c r="AA52" s="54"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42" t="str">
        <f>IF(AND('Mapa final'!$AA$48="Muy Baja",'Mapa final'!$AC$48="Mayor"),CONCATENATE("R7C",'Mapa final'!$Q$48),"")</f>
        <v/>
      </c>
      <c r="AE52" s="42" t="str">
        <f>IF(AND('Mapa final'!$AA$49="Muy Baja",'Mapa final'!$AC$49="Mayor"),CONCATENATE("R7C",'Mapa final'!$Q$49),"")</f>
        <v/>
      </c>
      <c r="AF52" s="42"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362"/>
      <c r="C53" s="362"/>
      <c r="D53" s="363"/>
      <c r="E53" s="403"/>
      <c r="F53" s="404"/>
      <c r="G53" s="404"/>
      <c r="H53" s="404"/>
      <c r="I53" s="405"/>
      <c r="J53" s="61" t="str">
        <f>IF(AND('Mapa final'!$AA$52="Muy Baja",'Mapa final'!$AC$52="Leve"),CONCATENATE("R8C",'Mapa final'!$Q$52),"")</f>
        <v/>
      </c>
      <c r="K53" s="62" t="str">
        <f>IF(AND('Mapa final'!$AA$53="Muy Baja",'Mapa final'!$AC$53="Leve"),CONCATENATE("R8C",'Mapa final'!$Q$53),"")</f>
        <v/>
      </c>
      <c r="L53" s="62" t="str">
        <f>IF(AND('Mapa final'!$AA$54="Muy Baja",'Mapa final'!$AC$54="Leve"),CONCATENATE("R8C",'Mapa final'!$Q$54),"")</f>
        <v/>
      </c>
      <c r="M53" s="62" t="str">
        <f>IF(AND('Mapa final'!$AA$55="Muy Baja",'Mapa final'!$AC$55="Leve"),CONCATENATE("R8C",'Mapa final'!$Q$55),"")</f>
        <v/>
      </c>
      <c r="N53" s="62" t="str">
        <f>IF(AND('Mapa final'!$AA$56="Muy Baja",'Mapa final'!$AC$56="Leve"),CONCATENATE("R8C",'Mapa final'!$Q$56),"")</f>
        <v/>
      </c>
      <c r="O53" s="63" t="str">
        <f>IF(AND('Mapa final'!$AA$57="Muy Baja",'Mapa final'!$AC$57="Leve"),CONCATENATE("R8C",'Mapa final'!$Q$57),"")</f>
        <v/>
      </c>
      <c r="P53" s="61" t="str">
        <f>IF(AND('Mapa final'!$AA$52="Muy Baja",'Mapa final'!$AC$52="Menor"),CONCATENATE("R8C",'Mapa final'!$Q$52),"")</f>
        <v/>
      </c>
      <c r="Q53" s="62" t="str">
        <f>IF(AND('Mapa final'!$AA$53="Muy Baja",'Mapa final'!$AC$53="Menor"),CONCATENATE("R8C",'Mapa final'!$Q$53),"")</f>
        <v/>
      </c>
      <c r="R53" s="62" t="str">
        <f>IF(AND('Mapa final'!$AA$54="Muy Baja",'Mapa final'!$AC$54="Menor"),CONCATENATE("R8C",'Mapa final'!$Q$54),"")</f>
        <v/>
      </c>
      <c r="S53" s="62" t="str">
        <f>IF(AND('Mapa final'!$AA$55="Muy Baja",'Mapa final'!$AC$55="Menor"),CONCATENATE("R8C",'Mapa final'!$Q$55),"")</f>
        <v/>
      </c>
      <c r="T53" s="62" t="str">
        <f>IF(AND('Mapa final'!$AA$56="Muy Baja",'Mapa final'!$AC$56="Menor"),CONCATENATE("R8C",'Mapa final'!$Q$56),"")</f>
        <v/>
      </c>
      <c r="U53" s="63" t="str">
        <f>IF(AND('Mapa final'!$AA$57="Muy Baja",'Mapa final'!$AC$57="Menor"),CONCATENATE("R8C",'Mapa final'!$Q$57),"")</f>
        <v/>
      </c>
      <c r="V53" s="52" t="str">
        <f>IF(AND('Mapa final'!$AA$52="Muy Baja",'Mapa final'!$AC$52="Moderado"),CONCATENATE("R8C",'Mapa final'!$Q$52),"")</f>
        <v/>
      </c>
      <c r="W53" s="53" t="str">
        <f>IF(AND('Mapa final'!$AA$53="Muy Baja",'Mapa final'!$AC$53="Moderado"),CONCATENATE("R8C",'Mapa final'!$Q$53),"")</f>
        <v/>
      </c>
      <c r="X53" s="53" t="str">
        <f>IF(AND('Mapa final'!$AA$54="Muy Baja",'Mapa final'!$AC$54="Moderado"),CONCATENATE("R8C",'Mapa final'!$Q$54),"")</f>
        <v/>
      </c>
      <c r="Y53" s="53" t="str">
        <f>IF(AND('Mapa final'!$AA$55="Muy Baja",'Mapa final'!$AC$55="Moderado"),CONCATENATE("R8C",'Mapa final'!$Q$55),"")</f>
        <v/>
      </c>
      <c r="Z53" s="53" t="str">
        <f>IF(AND('Mapa final'!$AA$56="Muy Baja",'Mapa final'!$AC$56="Moderado"),CONCATENATE("R8C",'Mapa final'!$Q$56),"")</f>
        <v/>
      </c>
      <c r="AA53" s="54"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42" t="str">
        <f>IF(AND('Mapa final'!$AA$54="Muy Baja",'Mapa final'!$AC$54="Mayor"),CONCATENATE("R8C",'Mapa final'!$Q$54),"")</f>
        <v/>
      </c>
      <c r="AE53" s="42" t="str">
        <f>IF(AND('Mapa final'!$AA$55="Muy Baja",'Mapa final'!$AC$55="Mayor"),CONCATENATE("R8C",'Mapa final'!$Q$55),"")</f>
        <v/>
      </c>
      <c r="AF53" s="42"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362"/>
      <c r="C54" s="362"/>
      <c r="D54" s="363"/>
      <c r="E54" s="403"/>
      <c r="F54" s="404"/>
      <c r="G54" s="404"/>
      <c r="H54" s="404"/>
      <c r="I54" s="405"/>
      <c r="J54" s="61" t="str">
        <f>IF(AND('Mapa final'!$AA$58="Muy Baja",'Mapa final'!$AC$58="Leve"),CONCATENATE("R9C",'Mapa final'!$Q$58),"")</f>
        <v/>
      </c>
      <c r="K54" s="62" t="str">
        <f>IF(AND('Mapa final'!$AA$59="Muy Baja",'Mapa final'!$AC$59="Leve"),CONCATENATE("R9C",'Mapa final'!$Q$59),"")</f>
        <v/>
      </c>
      <c r="L54" s="62" t="str">
        <f>IF(AND('Mapa final'!$AA$60="Muy Baja",'Mapa final'!$AC$60="Leve"),CONCATENATE("R9C",'Mapa final'!$Q$60),"")</f>
        <v/>
      </c>
      <c r="M54" s="62" t="str">
        <f>IF(AND('Mapa final'!$AA$61="Muy Baja",'Mapa final'!$AC$61="Leve"),CONCATENATE("R9C",'Mapa final'!$Q$61),"")</f>
        <v/>
      </c>
      <c r="N54" s="62" t="str">
        <f>IF(AND('Mapa final'!$AA$62="Muy Baja",'Mapa final'!$AC$62="Leve"),CONCATENATE("R9C",'Mapa final'!$Q$62),"")</f>
        <v/>
      </c>
      <c r="O54" s="63" t="str">
        <f>IF(AND('Mapa final'!$AA$63="Muy Baja",'Mapa final'!$AC$63="Leve"),CONCATENATE("R9C",'Mapa final'!$Q$63),"")</f>
        <v/>
      </c>
      <c r="P54" s="61" t="str">
        <f>IF(AND('Mapa final'!$AA$58="Muy Baja",'Mapa final'!$AC$58="Menor"),CONCATENATE("R9C",'Mapa final'!$Q$58),"")</f>
        <v/>
      </c>
      <c r="Q54" s="62" t="str">
        <f>IF(AND('Mapa final'!$AA$59="Muy Baja",'Mapa final'!$AC$59="Menor"),CONCATENATE("R9C",'Mapa final'!$Q$59),"")</f>
        <v/>
      </c>
      <c r="R54" s="62" t="str">
        <f>IF(AND('Mapa final'!$AA$60="Muy Baja",'Mapa final'!$AC$60="Menor"),CONCATENATE("R9C",'Mapa final'!$Q$60),"")</f>
        <v/>
      </c>
      <c r="S54" s="62" t="str">
        <f>IF(AND('Mapa final'!$AA$61="Muy Baja",'Mapa final'!$AC$61="Menor"),CONCATENATE("R9C",'Mapa final'!$Q$61),"")</f>
        <v/>
      </c>
      <c r="T54" s="62" t="str">
        <f>IF(AND('Mapa final'!$AA$62="Muy Baja",'Mapa final'!$AC$62="Menor"),CONCATENATE("R9C",'Mapa final'!$Q$62),"")</f>
        <v/>
      </c>
      <c r="U54" s="63" t="str">
        <f>IF(AND('Mapa final'!$AA$63="Muy Baja",'Mapa final'!$AC$63="Menor"),CONCATENATE("R9C",'Mapa final'!$Q$63),"")</f>
        <v/>
      </c>
      <c r="V54" s="52" t="str">
        <f>IF(AND('Mapa final'!$AA$58="Muy Baja",'Mapa final'!$AC$58="Moderado"),CONCATENATE("R9C",'Mapa final'!$Q$58),"")</f>
        <v/>
      </c>
      <c r="W54" s="53" t="str">
        <f>IF(AND('Mapa final'!$AA$59="Muy Baja",'Mapa final'!$AC$59="Moderado"),CONCATENATE("R9C",'Mapa final'!$Q$59),"")</f>
        <v/>
      </c>
      <c r="X54" s="53" t="str">
        <f>IF(AND('Mapa final'!$AA$60="Muy Baja",'Mapa final'!$AC$60="Moderado"),CONCATENATE("R9C",'Mapa final'!$Q$60),"")</f>
        <v/>
      </c>
      <c r="Y54" s="53" t="str">
        <f>IF(AND('Mapa final'!$AA$61="Muy Baja",'Mapa final'!$AC$61="Moderado"),CONCATENATE("R9C",'Mapa final'!$Q$61),"")</f>
        <v/>
      </c>
      <c r="Z54" s="53" t="str">
        <f>IF(AND('Mapa final'!$AA$62="Muy Baja",'Mapa final'!$AC$62="Moderado"),CONCATENATE("R9C",'Mapa final'!$Q$62),"")</f>
        <v/>
      </c>
      <c r="AA54" s="54"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42" t="str">
        <f>IF(AND('Mapa final'!$AA$60="Muy Baja",'Mapa final'!$AC$60="Mayor"),CONCATENATE("R9C",'Mapa final'!$Q$60),"")</f>
        <v/>
      </c>
      <c r="AE54" s="42" t="str">
        <f>IF(AND('Mapa final'!$AA$61="Muy Baja",'Mapa final'!$AC$61="Mayor"),CONCATENATE("R9C",'Mapa final'!$Q$61),"")</f>
        <v/>
      </c>
      <c r="AF54" s="42"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ht="15.75" customHeight="1" thickBot="1" x14ac:dyDescent="0.3">
      <c r="A55" s="68"/>
      <c r="B55" s="362"/>
      <c r="C55" s="362"/>
      <c r="D55" s="363"/>
      <c r="E55" s="406"/>
      <c r="F55" s="407"/>
      <c r="G55" s="407"/>
      <c r="H55" s="407"/>
      <c r="I55" s="408"/>
      <c r="J55" s="64" t="str">
        <f>IF(AND('Mapa final'!$AA$64="Muy Baja",'Mapa final'!$AC$64="Leve"),CONCATENATE("R10C",'Mapa final'!$Q$64),"")</f>
        <v/>
      </c>
      <c r="K55" s="65" t="str">
        <f>IF(AND('Mapa final'!$AA$65="Muy Baja",'Mapa final'!$AC$65="Leve"),CONCATENATE("R10C",'Mapa final'!$Q$65),"")</f>
        <v/>
      </c>
      <c r="L55" s="65" t="str">
        <f>IF(AND('Mapa final'!$AA$66="Muy Baja",'Mapa final'!$AC$66="Leve"),CONCATENATE("R10C",'Mapa final'!$Q$66),"")</f>
        <v/>
      </c>
      <c r="M55" s="65" t="str">
        <f>IF(AND('Mapa final'!$AA$67="Muy Baja",'Mapa final'!$AC$67="Leve"),CONCATENATE("R10C",'Mapa final'!$Q$67),"")</f>
        <v/>
      </c>
      <c r="N55" s="65" t="str">
        <f>IF(AND('Mapa final'!$AA$68="Muy Baja",'Mapa final'!$AC$68="Leve"),CONCATENATE("R10C",'Mapa final'!$Q$68),"")</f>
        <v/>
      </c>
      <c r="O55" s="66" t="str">
        <f>IF(AND('Mapa final'!$AA$69="Muy Baja",'Mapa final'!$AC$69="Leve"),CONCATENATE("R10C",'Mapa final'!$Q$69),"")</f>
        <v/>
      </c>
      <c r="P55" s="64" t="str">
        <f>IF(AND('Mapa final'!$AA$64="Muy Baja",'Mapa final'!$AC$64="Menor"),CONCATENATE("R10C",'Mapa final'!$Q$64),"")</f>
        <v/>
      </c>
      <c r="Q55" s="65" t="str">
        <f>IF(AND('Mapa final'!$AA$65="Muy Baja",'Mapa final'!$AC$65="Menor"),CONCATENATE("R10C",'Mapa final'!$Q$65),"")</f>
        <v/>
      </c>
      <c r="R55" s="65" t="str">
        <f>IF(AND('Mapa final'!$AA$66="Muy Baja",'Mapa final'!$AC$66="Menor"),CONCATENATE("R10C",'Mapa final'!$Q$66),"")</f>
        <v/>
      </c>
      <c r="S55" s="65" t="str">
        <f>IF(AND('Mapa final'!$AA$67="Muy Baja",'Mapa final'!$AC$67="Menor"),CONCATENATE("R10C",'Mapa final'!$Q$67),"")</f>
        <v/>
      </c>
      <c r="T55" s="65" t="str">
        <f>IF(AND('Mapa final'!$AA$68="Muy Baja",'Mapa final'!$AC$68="Menor"),CONCATENATE("R10C",'Mapa final'!$Q$68),"")</f>
        <v/>
      </c>
      <c r="U55" s="66" t="str">
        <f>IF(AND('Mapa final'!$AA$69="Muy Baja",'Mapa final'!$AC$69="Menor"),CONCATENATE("R10C",'Mapa final'!$Q$69),"")</f>
        <v/>
      </c>
      <c r="V55" s="55" t="str">
        <f>IF(AND('Mapa final'!$AA$64="Muy Baja",'Mapa final'!$AC$64="Moderado"),CONCATENATE("R10C",'Mapa final'!$Q$64),"")</f>
        <v/>
      </c>
      <c r="W55" s="56" t="str">
        <f>IF(AND('Mapa final'!$AA$65="Muy Baja",'Mapa final'!$AC$65="Moderado"),CONCATENATE("R10C",'Mapa final'!$Q$65),"")</f>
        <v/>
      </c>
      <c r="X55" s="56" t="str">
        <f>IF(AND('Mapa final'!$AA$66="Muy Baja",'Mapa final'!$AC$66="Moderado"),CONCATENATE("R10C",'Mapa final'!$Q$66),"")</f>
        <v/>
      </c>
      <c r="Y55" s="56" t="str">
        <f>IF(AND('Mapa final'!$AA$67="Muy Baja",'Mapa final'!$AC$67="Moderado"),CONCATENATE("R10C",'Mapa final'!$Q$67),"")</f>
        <v/>
      </c>
      <c r="Z55" s="56" t="str">
        <f>IF(AND('Mapa final'!$AA$68="Muy Baja",'Mapa final'!$AC$68="Moderado"),CONCATENATE("R10C",'Mapa final'!$Q$68),"")</f>
        <v/>
      </c>
      <c r="AA55" s="57" t="str">
        <f>IF(AND('Mapa final'!$AA$69="Muy Baja",'Mapa final'!$AC$69="Moderado"),CONCATENATE("R10C",'Mapa final'!$Q$69),"")</f>
        <v/>
      </c>
      <c r="AB55" s="43" t="str">
        <f>IF(AND('Mapa final'!$AA$64="Muy Baja",'Mapa final'!$AC$64="Mayor"),CONCATENATE("R10C",'Mapa final'!$Q$64),"")</f>
        <v/>
      </c>
      <c r="AC55" s="44" t="str">
        <f>IF(AND('Mapa final'!$AA$65="Muy Baja",'Mapa final'!$AC$65="Mayor"),CONCATENATE("R10C",'Mapa final'!$Q$65),"")</f>
        <v/>
      </c>
      <c r="AD55" s="44" t="str">
        <f>IF(AND('Mapa final'!$AA$66="Muy Baja",'Mapa final'!$AC$66="Mayor"),CONCATENATE("R10C",'Mapa final'!$Q$66),"")</f>
        <v/>
      </c>
      <c r="AE55" s="44" t="str">
        <f>IF(AND('Mapa final'!$AA$67="Muy Baja",'Mapa final'!$AC$67="Mayor"),CONCATENATE("R10C",'Mapa final'!$Q$67),"")</f>
        <v/>
      </c>
      <c r="AF55" s="44" t="str">
        <f>IF(AND('Mapa final'!$AA$68="Muy Baja",'Mapa final'!$AC$68="Mayor"),CONCATENATE("R10C",'Mapa final'!$Q$68),"")</f>
        <v/>
      </c>
      <c r="AG55" s="45" t="str">
        <f>IF(AND('Mapa final'!$AA$69="Muy Baja",'Mapa final'!$AC$69="Mayor"),CONCATENATE("R10C",'Mapa final'!$Q$69),"")</f>
        <v/>
      </c>
      <c r="AH55" s="46" t="str">
        <f>IF(AND('Mapa final'!$AA$64="Muy Baja",'Mapa final'!$AC$64="Catastrófico"),CONCATENATE("R10C",'Mapa final'!$Q$64),"")</f>
        <v/>
      </c>
      <c r="AI55" s="47" t="str">
        <f>IF(AND('Mapa final'!$AA$65="Muy Baja",'Mapa final'!$AC$65="Catastrófico"),CONCATENATE("R10C",'Mapa final'!$Q$65),"")</f>
        <v/>
      </c>
      <c r="AJ55" s="47" t="str">
        <f>IF(AND('Mapa final'!$AA$66="Muy Baja",'Mapa final'!$AC$66="Catastrófico"),CONCATENATE("R10C",'Mapa final'!$Q$66),"")</f>
        <v/>
      </c>
      <c r="AK55" s="47" t="str">
        <f>IF(AND('Mapa final'!$AA$67="Muy Baja",'Mapa final'!$AC$67="Catastrófico"),CONCATENATE("R10C",'Mapa final'!$Q$67),"")</f>
        <v/>
      </c>
      <c r="AL55" s="47" t="str">
        <f>IF(AND('Mapa final'!$AA$68="Muy Baja",'Mapa final'!$AC$68="Catastrófico"),CONCATENATE("R10C",'Mapa final'!$Q$68),"")</f>
        <v/>
      </c>
      <c r="AM55" s="48" t="str">
        <f>IF(AND('Mapa final'!$AA$69="Muy Baja",'Mapa final'!$AC$69="Catastrófico"),CONCATENATE("R10C",'Mapa final'!$Q$69),"")</f>
        <v/>
      </c>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400" t="s">
        <v>106</v>
      </c>
      <c r="K56" s="401"/>
      <c r="L56" s="401"/>
      <c r="M56" s="401"/>
      <c r="N56" s="401"/>
      <c r="O56" s="402"/>
      <c r="P56" s="400" t="s">
        <v>105</v>
      </c>
      <c r="Q56" s="401"/>
      <c r="R56" s="401"/>
      <c r="S56" s="401"/>
      <c r="T56" s="401"/>
      <c r="U56" s="402"/>
      <c r="V56" s="400" t="s">
        <v>104</v>
      </c>
      <c r="W56" s="401"/>
      <c r="X56" s="401"/>
      <c r="Y56" s="401"/>
      <c r="Z56" s="401"/>
      <c r="AA56" s="402"/>
      <c r="AB56" s="400" t="s">
        <v>103</v>
      </c>
      <c r="AC56" s="409"/>
      <c r="AD56" s="401"/>
      <c r="AE56" s="401"/>
      <c r="AF56" s="401"/>
      <c r="AG56" s="402"/>
      <c r="AH56" s="400" t="s">
        <v>102</v>
      </c>
      <c r="AI56" s="401"/>
      <c r="AJ56" s="401"/>
      <c r="AK56" s="401"/>
      <c r="AL56" s="401"/>
      <c r="AM56" s="402"/>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403"/>
      <c r="K57" s="404"/>
      <c r="L57" s="404"/>
      <c r="M57" s="404"/>
      <c r="N57" s="404"/>
      <c r="O57" s="405"/>
      <c r="P57" s="403"/>
      <c r="Q57" s="404"/>
      <c r="R57" s="404"/>
      <c r="S57" s="404"/>
      <c r="T57" s="404"/>
      <c r="U57" s="405"/>
      <c r="V57" s="403"/>
      <c r="W57" s="404"/>
      <c r="X57" s="404"/>
      <c r="Y57" s="404"/>
      <c r="Z57" s="404"/>
      <c r="AA57" s="405"/>
      <c r="AB57" s="403"/>
      <c r="AC57" s="404"/>
      <c r="AD57" s="404"/>
      <c r="AE57" s="404"/>
      <c r="AF57" s="404"/>
      <c r="AG57" s="405"/>
      <c r="AH57" s="403"/>
      <c r="AI57" s="404"/>
      <c r="AJ57" s="404"/>
      <c r="AK57" s="404"/>
      <c r="AL57" s="404"/>
      <c r="AM57" s="405"/>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403"/>
      <c r="K58" s="404"/>
      <c r="L58" s="404"/>
      <c r="M58" s="404"/>
      <c r="N58" s="404"/>
      <c r="O58" s="405"/>
      <c r="P58" s="403"/>
      <c r="Q58" s="404"/>
      <c r="R58" s="404"/>
      <c r="S58" s="404"/>
      <c r="T58" s="404"/>
      <c r="U58" s="405"/>
      <c r="V58" s="403"/>
      <c r="W58" s="404"/>
      <c r="X58" s="404"/>
      <c r="Y58" s="404"/>
      <c r="Z58" s="404"/>
      <c r="AA58" s="405"/>
      <c r="AB58" s="403"/>
      <c r="AC58" s="404"/>
      <c r="AD58" s="404"/>
      <c r="AE58" s="404"/>
      <c r="AF58" s="404"/>
      <c r="AG58" s="405"/>
      <c r="AH58" s="403"/>
      <c r="AI58" s="404"/>
      <c r="AJ58" s="404"/>
      <c r="AK58" s="404"/>
      <c r="AL58" s="404"/>
      <c r="AM58" s="405"/>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403"/>
      <c r="K59" s="404"/>
      <c r="L59" s="404"/>
      <c r="M59" s="404"/>
      <c r="N59" s="404"/>
      <c r="O59" s="405"/>
      <c r="P59" s="403"/>
      <c r="Q59" s="404"/>
      <c r="R59" s="404"/>
      <c r="S59" s="404"/>
      <c r="T59" s="404"/>
      <c r="U59" s="405"/>
      <c r="V59" s="403"/>
      <c r="W59" s="404"/>
      <c r="X59" s="404"/>
      <c r="Y59" s="404"/>
      <c r="Z59" s="404"/>
      <c r="AA59" s="405"/>
      <c r="AB59" s="403"/>
      <c r="AC59" s="404"/>
      <c r="AD59" s="404"/>
      <c r="AE59" s="404"/>
      <c r="AF59" s="404"/>
      <c r="AG59" s="405"/>
      <c r="AH59" s="403"/>
      <c r="AI59" s="404"/>
      <c r="AJ59" s="404"/>
      <c r="AK59" s="404"/>
      <c r="AL59" s="404"/>
      <c r="AM59" s="405"/>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403"/>
      <c r="K60" s="404"/>
      <c r="L60" s="404"/>
      <c r="M60" s="404"/>
      <c r="N60" s="404"/>
      <c r="O60" s="405"/>
      <c r="P60" s="403"/>
      <c r="Q60" s="404"/>
      <c r="R60" s="404"/>
      <c r="S60" s="404"/>
      <c r="T60" s="404"/>
      <c r="U60" s="405"/>
      <c r="V60" s="403"/>
      <c r="W60" s="404"/>
      <c r="X60" s="404"/>
      <c r="Y60" s="404"/>
      <c r="Z60" s="404"/>
      <c r="AA60" s="405"/>
      <c r="AB60" s="403"/>
      <c r="AC60" s="404"/>
      <c r="AD60" s="404"/>
      <c r="AE60" s="404"/>
      <c r="AF60" s="404"/>
      <c r="AG60" s="405"/>
      <c r="AH60" s="403"/>
      <c r="AI60" s="404"/>
      <c r="AJ60" s="404"/>
      <c r="AK60" s="404"/>
      <c r="AL60" s="404"/>
      <c r="AM60" s="405"/>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ht="15.75" thickBot="1" x14ac:dyDescent="0.3">
      <c r="A61" s="68"/>
      <c r="B61" s="68"/>
      <c r="C61" s="68"/>
      <c r="D61" s="68"/>
      <c r="E61" s="68"/>
      <c r="F61" s="68"/>
      <c r="G61" s="68"/>
      <c r="H61" s="68"/>
      <c r="I61" s="68"/>
      <c r="J61" s="406"/>
      <c r="K61" s="407"/>
      <c r="L61" s="407"/>
      <c r="M61" s="407"/>
      <c r="N61" s="407"/>
      <c r="O61" s="408"/>
      <c r="P61" s="406"/>
      <c r="Q61" s="407"/>
      <c r="R61" s="407"/>
      <c r="S61" s="407"/>
      <c r="T61" s="407"/>
      <c r="U61" s="408"/>
      <c r="V61" s="406"/>
      <c r="W61" s="407"/>
      <c r="X61" s="407"/>
      <c r="Y61" s="407"/>
      <c r="Z61" s="407"/>
      <c r="AA61" s="408"/>
      <c r="AB61" s="406"/>
      <c r="AC61" s="407"/>
      <c r="AD61" s="407"/>
      <c r="AE61" s="407"/>
      <c r="AF61" s="407"/>
      <c r="AG61" s="408"/>
      <c r="AH61" s="406"/>
      <c r="AI61" s="407"/>
      <c r="AJ61" s="407"/>
      <c r="AK61" s="407"/>
      <c r="AL61" s="407"/>
      <c r="AM61" s="40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row>
    <row r="63" spans="1:80" ht="15" customHeight="1" x14ac:dyDescent="0.25">
      <c r="A63" s="68"/>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68"/>
      <c r="AV63" s="68"/>
      <c r="AW63" s="68"/>
      <c r="AX63" s="68"/>
      <c r="AY63" s="68"/>
      <c r="AZ63" s="68"/>
      <c r="BA63" s="68"/>
      <c r="BB63" s="68"/>
      <c r="BC63" s="68"/>
      <c r="BD63" s="68"/>
      <c r="BE63" s="68"/>
      <c r="BF63" s="68"/>
      <c r="BG63" s="68"/>
      <c r="BH63" s="68"/>
    </row>
    <row r="64" spans="1:80" ht="15" customHeight="1" x14ac:dyDescent="0.25">
      <c r="A64" s="68"/>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68"/>
      <c r="AV64" s="68"/>
      <c r="AW64" s="68"/>
      <c r="AX64" s="68"/>
      <c r="AY64" s="68"/>
      <c r="AZ64" s="68"/>
      <c r="BA64" s="68"/>
      <c r="BB64" s="68"/>
      <c r="BC64" s="68"/>
      <c r="BD64" s="68"/>
      <c r="BE64" s="68"/>
      <c r="BF64" s="68"/>
      <c r="BG64" s="68"/>
      <c r="BH64" s="68"/>
    </row>
    <row r="65" spans="1:6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row>
    <row r="66" spans="1:6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row>
    <row r="67" spans="1:6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row>
    <row r="68" spans="1:6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row>
    <row r="69" spans="1:6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row>
    <row r="70" spans="1:6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row>
    <row r="71" spans="1:6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row>
    <row r="72" spans="1:6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row>
    <row r="73" spans="1:6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row>
    <row r="74" spans="1:6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row>
    <row r="75" spans="1:6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row>
    <row r="76" spans="1:6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row>
    <row r="77" spans="1:6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row>
    <row r="78" spans="1:6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row>
    <row r="79" spans="1:6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row>
    <row r="80" spans="1:6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row>
    <row r="81" spans="1:60"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row>
    <row r="82" spans="1:60"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row>
    <row r="83" spans="1:60"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row>
    <row r="84" spans="1:60"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row>
    <row r="85" spans="1:60"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row>
    <row r="86" spans="1:60"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row>
    <row r="87" spans="1:60"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row>
    <row r="88" spans="1:60"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row>
    <row r="89" spans="1:60"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row>
    <row r="90" spans="1:60"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row>
    <row r="91" spans="1:60"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row>
    <row r="92" spans="1:60"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row>
    <row r="93" spans="1:60"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row>
    <row r="94" spans="1:60"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row>
    <row r="95" spans="1:60"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row>
    <row r="96" spans="1:60"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row>
    <row r="97" spans="1:60"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row>
    <row r="98" spans="1:60"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row>
    <row r="99" spans="1:60"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row>
    <row r="100" spans="1:60"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row>
    <row r="101" spans="1:60"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row>
    <row r="102" spans="1:60"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row>
    <row r="103" spans="1:60"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row>
    <row r="104" spans="1:60"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row>
    <row r="105" spans="1:60"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row>
    <row r="106" spans="1:60"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row>
    <row r="107" spans="1:60"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row>
    <row r="108" spans="1:60"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row>
    <row r="109" spans="1:60"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row>
    <row r="110" spans="1:60"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row>
    <row r="111" spans="1:60"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row>
    <row r="112" spans="1:60"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row>
    <row r="113" spans="1:60"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row>
    <row r="114" spans="1:60"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row>
    <row r="115" spans="1:60"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row>
    <row r="116" spans="1:60"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row>
    <row r="117" spans="1:60"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row>
    <row r="118" spans="1:60"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row>
    <row r="119" spans="1:60"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row>
    <row r="120" spans="1:60"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row>
    <row r="121" spans="1:60"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row>
    <row r="122" spans="1:60" x14ac:dyDescent="0.2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row>
    <row r="123" spans="1:60" x14ac:dyDescent="0.2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row>
    <row r="124" spans="1:60" x14ac:dyDescent="0.2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row>
    <row r="125" spans="1:60" x14ac:dyDescent="0.2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row>
    <row r="126" spans="1:60" x14ac:dyDescent="0.2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row>
    <row r="127" spans="1:60" x14ac:dyDescent="0.2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row>
    <row r="128" spans="1:60" x14ac:dyDescent="0.2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row>
    <row r="129" spans="1:60" x14ac:dyDescent="0.2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row>
    <row r="130" spans="1:60" x14ac:dyDescent="0.2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row>
    <row r="131" spans="1:60" x14ac:dyDescent="0.2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row>
    <row r="132" spans="1:60" x14ac:dyDescent="0.2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row>
    <row r="133" spans="1:60" x14ac:dyDescent="0.2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row>
    <row r="134" spans="1:60" x14ac:dyDescent="0.2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row>
    <row r="135" spans="1:60" x14ac:dyDescent="0.2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row>
    <row r="136" spans="1:60" x14ac:dyDescent="0.2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row>
    <row r="137" spans="1:60" x14ac:dyDescent="0.2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row>
    <row r="138" spans="1:60" x14ac:dyDescent="0.2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row>
    <row r="139" spans="1:60" x14ac:dyDescent="0.2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row>
    <row r="140" spans="1:60" x14ac:dyDescent="0.2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row>
    <row r="141" spans="1:60" x14ac:dyDescent="0.2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row>
    <row r="142" spans="1:60" x14ac:dyDescent="0.2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row>
    <row r="143" spans="1:60" x14ac:dyDescent="0.2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row>
    <row r="144" spans="1:60" x14ac:dyDescent="0.2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row>
    <row r="145" spans="1:60" x14ac:dyDescent="0.2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row>
    <row r="146" spans="1:60" x14ac:dyDescent="0.2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row>
    <row r="147" spans="1:60" x14ac:dyDescent="0.25">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row>
    <row r="148" spans="1:60" x14ac:dyDescent="0.25">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row>
    <row r="149" spans="1:60" x14ac:dyDescent="0.25">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row>
    <row r="150" spans="1:60" x14ac:dyDescent="0.25">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row>
    <row r="151" spans="1:60" x14ac:dyDescent="0.2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row>
    <row r="152" spans="1:60" x14ac:dyDescent="0.25">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row>
    <row r="153" spans="1:60" x14ac:dyDescent="0.25">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row>
    <row r="154" spans="1:60" x14ac:dyDescent="0.25">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row>
    <row r="155" spans="1:60" x14ac:dyDescent="0.2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row>
    <row r="156" spans="1:60" x14ac:dyDescent="0.25">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row>
    <row r="157" spans="1:60" x14ac:dyDescent="0.25">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row>
    <row r="158" spans="1:60" x14ac:dyDescent="0.25">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row>
    <row r="159" spans="1:60" x14ac:dyDescent="0.25">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row>
    <row r="160" spans="1:60" x14ac:dyDescent="0.25">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row>
    <row r="161" spans="1:60" x14ac:dyDescent="0.25">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row>
    <row r="162" spans="1:60" x14ac:dyDescent="0.25">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row>
    <row r="163" spans="1:60" x14ac:dyDescent="0.25">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row>
    <row r="164" spans="1:60" x14ac:dyDescent="0.25">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row>
    <row r="165" spans="1:60" x14ac:dyDescent="0.2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row>
    <row r="166" spans="1:60" x14ac:dyDescent="0.25">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row>
    <row r="167" spans="1:60" x14ac:dyDescent="0.25">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row>
    <row r="168" spans="1:60" x14ac:dyDescent="0.25">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row>
    <row r="169" spans="1:60" x14ac:dyDescent="0.25">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row>
    <row r="170" spans="1:60" x14ac:dyDescent="0.2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row>
    <row r="171" spans="1:60" x14ac:dyDescent="0.25">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row>
    <row r="172" spans="1:60" x14ac:dyDescent="0.25">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row>
    <row r="173" spans="1:60" x14ac:dyDescent="0.25">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row>
    <row r="174" spans="1:60" x14ac:dyDescent="0.25">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row>
    <row r="175" spans="1:60" x14ac:dyDescent="0.2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row>
    <row r="176" spans="1:60" x14ac:dyDescent="0.25">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row>
    <row r="177" spans="1:60" x14ac:dyDescent="0.25">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row>
    <row r="178" spans="1:60" x14ac:dyDescent="0.25">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row>
    <row r="179" spans="1:60" x14ac:dyDescent="0.25">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row>
    <row r="180" spans="1:60" x14ac:dyDescent="0.25">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row>
    <row r="181" spans="1:60" x14ac:dyDescent="0.25">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row>
    <row r="182" spans="1:60" x14ac:dyDescent="0.25">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row>
    <row r="183" spans="1:60" x14ac:dyDescent="0.25">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row>
    <row r="184" spans="1:60" x14ac:dyDescent="0.25">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row>
    <row r="185" spans="1:60" x14ac:dyDescent="0.2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row>
    <row r="186" spans="1:60" x14ac:dyDescent="0.25">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row>
    <row r="187" spans="1:60" x14ac:dyDescent="0.25">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row>
    <row r="188" spans="1:60" x14ac:dyDescent="0.25">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row>
    <row r="189" spans="1:60" x14ac:dyDescent="0.2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row>
    <row r="190" spans="1:60" x14ac:dyDescent="0.2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row>
    <row r="191" spans="1:60" x14ac:dyDescent="0.25">
      <c r="A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row>
    <row r="192" spans="1:60" x14ac:dyDescent="0.25">
      <c r="A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row>
    <row r="193" spans="1:60" x14ac:dyDescent="0.25">
      <c r="A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row>
    <row r="194" spans="1:60" x14ac:dyDescent="0.25">
      <c r="A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row>
    <row r="195" spans="1:60" x14ac:dyDescent="0.25">
      <c r="A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row>
    <row r="196" spans="1:60" x14ac:dyDescent="0.25">
      <c r="A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row>
    <row r="197" spans="1:60" x14ac:dyDescent="0.25">
      <c r="A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row>
    <row r="198" spans="1:60" x14ac:dyDescent="0.25">
      <c r="A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row>
    <row r="199" spans="1:60" x14ac:dyDescent="0.25">
      <c r="A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row>
    <row r="200" spans="1:60" x14ac:dyDescent="0.25">
      <c r="A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row>
    <row r="201" spans="1:60" x14ac:dyDescent="0.25">
      <c r="A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row>
    <row r="202" spans="1:60" x14ac:dyDescent="0.25">
      <c r="A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row>
    <row r="203" spans="1:60" x14ac:dyDescent="0.25">
      <c r="A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row>
    <row r="204" spans="1:60" x14ac:dyDescent="0.25">
      <c r="A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row>
    <row r="205" spans="1:60" x14ac:dyDescent="0.25">
      <c r="A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row>
    <row r="206" spans="1:60" x14ac:dyDescent="0.25">
      <c r="A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row>
    <row r="207" spans="1:60" x14ac:dyDescent="0.25">
      <c r="A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row>
    <row r="208" spans="1:60" x14ac:dyDescent="0.25">
      <c r="A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row>
    <row r="209" spans="1:60" x14ac:dyDescent="0.25">
      <c r="A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row>
    <row r="210" spans="1:60" x14ac:dyDescent="0.25">
      <c r="A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row>
    <row r="211" spans="1:60" x14ac:dyDescent="0.25">
      <c r="A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row>
    <row r="212" spans="1:60" x14ac:dyDescent="0.25">
      <c r="A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row>
    <row r="213" spans="1:60" x14ac:dyDescent="0.25">
      <c r="A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row>
    <row r="214" spans="1:60" x14ac:dyDescent="0.25">
      <c r="A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row>
    <row r="215" spans="1:60" x14ac:dyDescent="0.25">
      <c r="A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row>
    <row r="216" spans="1:60" x14ac:dyDescent="0.25">
      <c r="A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row>
    <row r="217" spans="1:60" x14ac:dyDescent="0.25">
      <c r="A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row>
    <row r="218" spans="1:60" x14ac:dyDescent="0.25">
      <c r="A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row>
    <row r="219" spans="1:60" x14ac:dyDescent="0.25">
      <c r="A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row>
    <row r="220" spans="1:60" x14ac:dyDescent="0.25">
      <c r="A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row>
    <row r="221" spans="1:60" x14ac:dyDescent="0.25">
      <c r="A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row>
    <row r="222" spans="1:60" x14ac:dyDescent="0.25">
      <c r="A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row>
    <row r="223" spans="1:60" x14ac:dyDescent="0.25">
      <c r="A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row>
    <row r="224" spans="1:60" x14ac:dyDescent="0.25">
      <c r="A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row>
    <row r="225" spans="1:60" x14ac:dyDescent="0.25">
      <c r="A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row>
    <row r="226" spans="1:60" x14ac:dyDescent="0.25">
      <c r="A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row>
    <row r="227" spans="1:60" x14ac:dyDescent="0.25">
      <c r="A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row>
    <row r="228" spans="1:60" x14ac:dyDescent="0.25">
      <c r="A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row>
    <row r="229" spans="1:60" x14ac:dyDescent="0.25">
      <c r="A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row>
    <row r="230" spans="1:60" x14ac:dyDescent="0.25">
      <c r="A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row>
    <row r="231" spans="1:60" x14ac:dyDescent="0.25">
      <c r="A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row>
    <row r="232" spans="1:60" x14ac:dyDescent="0.25">
      <c r="A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row>
    <row r="233" spans="1:60" x14ac:dyDescent="0.25">
      <c r="A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row>
    <row r="234" spans="1:60" x14ac:dyDescent="0.25">
      <c r="A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row>
    <row r="235" spans="1:60" x14ac:dyDescent="0.25">
      <c r="A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row>
    <row r="236" spans="1:60" x14ac:dyDescent="0.25">
      <c r="A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row>
    <row r="237" spans="1:60" x14ac:dyDescent="0.25">
      <c r="A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row>
    <row r="238" spans="1:60" x14ac:dyDescent="0.25">
      <c r="A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row>
    <row r="239" spans="1:60" x14ac:dyDescent="0.25">
      <c r="A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row>
    <row r="240" spans="1:60" x14ac:dyDescent="0.25">
      <c r="A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8"/>
      <c r="BG240" s="68"/>
      <c r="BH240" s="68"/>
    </row>
    <row r="241" spans="1:60" x14ac:dyDescent="0.25">
      <c r="A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row>
    <row r="242" spans="1:60" x14ac:dyDescent="0.25">
      <c r="A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8"/>
      <c r="BG242" s="68"/>
      <c r="BH242" s="68"/>
    </row>
    <row r="243" spans="1:60" x14ac:dyDescent="0.25">
      <c r="A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row>
    <row r="244" spans="1:60" x14ac:dyDescent="0.25">
      <c r="A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8"/>
      <c r="BG244" s="68"/>
      <c r="BH244" s="68"/>
    </row>
    <row r="245" spans="1:60" x14ac:dyDescent="0.25">
      <c r="A245" s="68"/>
    </row>
    <row r="246" spans="1:60" x14ac:dyDescent="0.25">
      <c r="A246" s="68"/>
    </row>
    <row r="247" spans="1:60" x14ac:dyDescent="0.25">
      <c r="A247" s="68"/>
    </row>
    <row r="248" spans="1:60" x14ac:dyDescent="0.25">
      <c r="A248" s="68"/>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4"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8"/>
      <c r="B1" s="450" t="s">
        <v>54</v>
      </c>
      <c r="C1" s="450"/>
      <c r="D1" s="450"/>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7" x14ac:dyDescent="0.2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row>
    <row r="3" spans="1:37" ht="25.5" x14ac:dyDescent="0.25">
      <c r="A3" s="68"/>
      <c r="B3" s="11"/>
      <c r="C3" s="12" t="s">
        <v>51</v>
      </c>
      <c r="D3" s="12" t="s">
        <v>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37" ht="51" x14ac:dyDescent="0.25">
      <c r="A4" s="68"/>
      <c r="B4" s="13" t="s">
        <v>50</v>
      </c>
      <c r="C4" s="14" t="s">
        <v>96</v>
      </c>
      <c r="D4" s="15">
        <v>0.2</v>
      </c>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7" ht="51" x14ac:dyDescent="0.25">
      <c r="A5" s="68"/>
      <c r="B5" s="16" t="s">
        <v>52</v>
      </c>
      <c r="C5" s="17" t="s">
        <v>97</v>
      </c>
      <c r="D5" s="18">
        <v>0.4</v>
      </c>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ht="51" x14ac:dyDescent="0.25">
      <c r="A6" s="68"/>
      <c r="B6" s="19" t="s">
        <v>101</v>
      </c>
      <c r="C6" s="17" t="s">
        <v>98</v>
      </c>
      <c r="D6" s="18">
        <v>0.6</v>
      </c>
      <c r="E6" s="68"/>
      <c r="F6" s="68"/>
      <c r="G6" s="68"/>
      <c r="H6" s="68"/>
      <c r="I6" s="68"/>
      <c r="J6" s="68"/>
      <c r="K6" s="68"/>
      <c r="L6" s="68"/>
      <c r="M6" s="68"/>
      <c r="N6" s="68"/>
      <c r="O6" s="68"/>
      <c r="P6" s="68"/>
      <c r="Q6" s="68"/>
      <c r="R6" s="68"/>
      <c r="S6" s="68"/>
      <c r="T6" s="68"/>
      <c r="U6" s="68"/>
      <c r="V6" s="68"/>
      <c r="W6" s="68"/>
      <c r="X6" s="68"/>
      <c r="Y6" s="68"/>
      <c r="Z6" s="68"/>
      <c r="AA6" s="68"/>
      <c r="AB6" s="68"/>
      <c r="AC6" s="68"/>
      <c r="AD6" s="68"/>
      <c r="AE6" s="68"/>
    </row>
    <row r="7" spans="1:37" ht="76.5" x14ac:dyDescent="0.25">
      <c r="A7" s="68"/>
      <c r="B7" s="20" t="s">
        <v>6</v>
      </c>
      <c r="C7" s="17" t="s">
        <v>99</v>
      </c>
      <c r="D7" s="18">
        <v>0.8</v>
      </c>
      <c r="E7" s="68"/>
      <c r="F7" s="68"/>
      <c r="G7" s="68"/>
      <c r="H7" s="68"/>
      <c r="I7" s="68"/>
      <c r="J7" s="68"/>
      <c r="K7" s="68"/>
      <c r="L7" s="68"/>
      <c r="M7" s="68"/>
      <c r="N7" s="68"/>
      <c r="O7" s="68"/>
      <c r="P7" s="68"/>
      <c r="Q7" s="68"/>
      <c r="R7" s="68"/>
      <c r="S7" s="68"/>
      <c r="T7" s="68"/>
      <c r="U7" s="68"/>
      <c r="V7" s="68"/>
      <c r="W7" s="68"/>
      <c r="X7" s="68"/>
      <c r="Y7" s="68"/>
      <c r="Z7" s="68"/>
      <c r="AA7" s="68"/>
      <c r="AB7" s="68"/>
      <c r="AC7" s="68"/>
      <c r="AD7" s="68"/>
      <c r="AE7" s="68"/>
    </row>
    <row r="8" spans="1:37" ht="51" x14ac:dyDescent="0.25">
      <c r="A8" s="68"/>
      <c r="B8" s="21" t="s">
        <v>53</v>
      </c>
      <c r="C8" s="17" t="s">
        <v>100</v>
      </c>
      <c r="D8" s="18">
        <v>1</v>
      </c>
      <c r="E8" s="68"/>
      <c r="F8" s="68"/>
      <c r="G8" s="68"/>
      <c r="H8" s="68"/>
      <c r="I8" s="68"/>
      <c r="J8" s="68"/>
      <c r="K8" s="68"/>
      <c r="L8" s="68"/>
      <c r="M8" s="68"/>
      <c r="N8" s="68"/>
      <c r="O8" s="68"/>
      <c r="P8" s="68"/>
      <c r="Q8" s="68"/>
      <c r="R8" s="68"/>
      <c r="S8" s="68"/>
      <c r="T8" s="68"/>
      <c r="U8" s="68"/>
      <c r="V8" s="68"/>
      <c r="W8" s="68"/>
      <c r="X8" s="68"/>
      <c r="Y8" s="68"/>
      <c r="Z8" s="68"/>
      <c r="AA8" s="68"/>
      <c r="AB8" s="68"/>
      <c r="AC8" s="68"/>
      <c r="AD8" s="68"/>
      <c r="AE8" s="68"/>
    </row>
    <row r="9" spans="1:37" x14ac:dyDescent="0.25">
      <c r="A9" s="68"/>
      <c r="B9" s="90"/>
      <c r="C9" s="90"/>
      <c r="D9" s="90"/>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1:37" ht="16.5" x14ac:dyDescent="0.25">
      <c r="A10" s="68"/>
      <c r="B10" s="91"/>
      <c r="C10" s="90"/>
      <c r="D10" s="90"/>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row>
    <row r="11" spans="1:37" x14ac:dyDescent="0.25">
      <c r="A11" s="68"/>
      <c r="B11" s="90"/>
      <c r="C11" s="90"/>
      <c r="D11" s="90"/>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row>
    <row r="12" spans="1:37" x14ac:dyDescent="0.25">
      <c r="A12" s="68"/>
      <c r="B12" s="90"/>
      <c r="C12" s="90"/>
      <c r="D12" s="90"/>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row>
    <row r="13" spans="1:37" x14ac:dyDescent="0.25">
      <c r="A13" s="68"/>
      <c r="B13" s="90"/>
      <c r="C13" s="90"/>
      <c r="D13" s="90"/>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row>
    <row r="14" spans="1:37" x14ac:dyDescent="0.25">
      <c r="A14" s="68"/>
      <c r="B14" s="90"/>
      <c r="C14" s="90"/>
      <c r="D14" s="90"/>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row>
    <row r="15" spans="1:37" x14ac:dyDescent="0.25">
      <c r="A15" s="68"/>
      <c r="B15" s="90"/>
      <c r="C15" s="90"/>
      <c r="D15" s="90"/>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1:37" x14ac:dyDescent="0.25">
      <c r="A16" s="68"/>
      <c r="B16" s="90"/>
      <c r="C16" s="90"/>
      <c r="D16" s="90"/>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row>
    <row r="17" spans="1:37" x14ac:dyDescent="0.25">
      <c r="A17" s="68"/>
      <c r="B17" s="90"/>
      <c r="C17" s="90"/>
      <c r="D17" s="90"/>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row>
    <row r="18" spans="1:37" x14ac:dyDescent="0.25">
      <c r="A18" s="68"/>
      <c r="B18" s="90"/>
      <c r="C18" s="90"/>
      <c r="D18" s="90"/>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row>
    <row r="19" spans="1:37" x14ac:dyDescent="0.2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x14ac:dyDescent="0.2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x14ac:dyDescent="0.2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x14ac:dyDescent="0.25">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1:37" x14ac:dyDescent="0.25">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row>
    <row r="24" spans="1:37" x14ac:dyDescent="0.2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7" x14ac:dyDescent="0.2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37" x14ac:dyDescent="0.2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row>
    <row r="27" spans="1:37" x14ac:dyDescent="0.2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row>
    <row r="28" spans="1:37" x14ac:dyDescent="0.2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row>
    <row r="29" spans="1:37" x14ac:dyDescent="0.2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row>
    <row r="30" spans="1:37" x14ac:dyDescent="0.25">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row>
    <row r="31" spans="1:37" x14ac:dyDescent="0.2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row>
    <row r="32" spans="1:37" x14ac:dyDescent="0.2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row>
    <row r="33" spans="1:31" x14ac:dyDescent="0.25">
      <c r="A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1:31" x14ac:dyDescent="0.25">
      <c r="A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row>
    <row r="35" spans="1:31" x14ac:dyDescent="0.25">
      <c r="A35" s="68"/>
    </row>
    <row r="36" spans="1:31" x14ac:dyDescent="0.25">
      <c r="A36" s="68"/>
    </row>
    <row r="37" spans="1:31" x14ac:dyDescent="0.25">
      <c r="A37" s="68"/>
    </row>
    <row r="38" spans="1:31" x14ac:dyDescent="0.25">
      <c r="A38" s="68"/>
    </row>
    <row r="39" spans="1:31" x14ac:dyDescent="0.25">
      <c r="A39" s="68"/>
    </row>
    <row r="40" spans="1:31" x14ac:dyDescent="0.25">
      <c r="A40" s="68"/>
    </row>
    <row r="41" spans="1:31" x14ac:dyDescent="0.25">
      <c r="A41" s="68"/>
    </row>
    <row r="42" spans="1:31" x14ac:dyDescent="0.25">
      <c r="A42" s="68"/>
    </row>
    <row r="43" spans="1:31" x14ac:dyDescent="0.25">
      <c r="A43" s="68"/>
    </row>
    <row r="44" spans="1:31" x14ac:dyDescent="0.25">
      <c r="A44" s="68"/>
    </row>
    <row r="45" spans="1:31" x14ac:dyDescent="0.25">
      <c r="A45" s="68"/>
    </row>
    <row r="46" spans="1:31" x14ac:dyDescent="0.25">
      <c r="A46" s="68"/>
    </row>
    <row r="47" spans="1:31" x14ac:dyDescent="0.25">
      <c r="A47" s="68"/>
    </row>
    <row r="48" spans="1:31" x14ac:dyDescent="0.25">
      <c r="A48" s="68"/>
    </row>
    <row r="49" spans="1:1" x14ac:dyDescent="0.25">
      <c r="A49" s="68"/>
    </row>
    <row r="50" spans="1:1" x14ac:dyDescent="0.25">
      <c r="A50" s="68"/>
    </row>
    <row r="51" spans="1:1" x14ac:dyDescent="0.25">
      <c r="A51" s="68"/>
    </row>
    <row r="52" spans="1:1" x14ac:dyDescent="0.25">
      <c r="A52" s="68"/>
    </row>
    <row r="53" spans="1:1" x14ac:dyDescent="0.25">
      <c r="A53" s="68"/>
    </row>
    <row r="54" spans="1:1" x14ac:dyDescent="0.25">
      <c r="A54" s="68"/>
    </row>
    <row r="55" spans="1:1" x14ac:dyDescent="0.25">
      <c r="A55" s="6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C15" sqref="C15"/>
    </sheetView>
  </sheetViews>
  <sheetFormatPr baseColWidth="10"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90"/>
      <c r="B1" s="451" t="s">
        <v>61</v>
      </c>
      <c r="C1" s="451"/>
      <c r="D1" s="451"/>
      <c r="E1" s="90"/>
      <c r="F1" s="90"/>
      <c r="G1" s="90"/>
      <c r="H1" s="90"/>
      <c r="I1" s="90"/>
      <c r="J1" s="90"/>
      <c r="K1" s="90"/>
      <c r="L1" s="90"/>
      <c r="M1" s="90"/>
      <c r="N1" s="90"/>
      <c r="O1" s="90"/>
      <c r="P1" s="90"/>
      <c r="Q1" s="90"/>
      <c r="R1" s="90"/>
      <c r="S1" s="90"/>
      <c r="T1" s="90"/>
      <c r="U1" s="90"/>
    </row>
    <row r="2" spans="1:21" x14ac:dyDescent="0.25">
      <c r="A2" s="90"/>
      <c r="B2" s="90"/>
      <c r="C2" s="90"/>
      <c r="D2" s="90"/>
      <c r="E2" s="90"/>
      <c r="F2" s="90"/>
      <c r="G2" s="90"/>
      <c r="H2" s="90"/>
      <c r="I2" s="90"/>
      <c r="J2" s="90"/>
      <c r="K2" s="90"/>
      <c r="L2" s="90"/>
      <c r="M2" s="90"/>
      <c r="N2" s="90"/>
      <c r="O2" s="90"/>
      <c r="P2" s="90"/>
      <c r="Q2" s="90"/>
      <c r="R2" s="90"/>
      <c r="S2" s="90"/>
      <c r="T2" s="90"/>
      <c r="U2" s="90"/>
    </row>
    <row r="3" spans="1:21" ht="30" x14ac:dyDescent="0.25">
      <c r="A3" s="90"/>
      <c r="B3" s="89"/>
      <c r="C3" s="139" t="s">
        <v>55</v>
      </c>
      <c r="D3" s="139" t="s">
        <v>56</v>
      </c>
      <c r="E3" s="90"/>
      <c r="F3" s="90"/>
      <c r="G3" s="90"/>
      <c r="H3" s="90"/>
      <c r="I3" s="90"/>
      <c r="J3" s="90"/>
      <c r="K3" s="90"/>
      <c r="L3" s="90"/>
      <c r="M3" s="90"/>
      <c r="N3" s="90"/>
      <c r="O3" s="90"/>
      <c r="P3" s="90"/>
      <c r="Q3" s="90"/>
      <c r="R3" s="90"/>
      <c r="S3" s="90"/>
      <c r="T3" s="90"/>
      <c r="U3" s="90"/>
    </row>
    <row r="4" spans="1:21" ht="33.75" x14ac:dyDescent="0.25">
      <c r="A4" s="90" t="s">
        <v>81</v>
      </c>
      <c r="B4" s="140" t="s">
        <v>95</v>
      </c>
      <c r="C4" s="141" t="s">
        <v>204</v>
      </c>
      <c r="D4" s="142" t="s">
        <v>91</v>
      </c>
      <c r="E4" s="90"/>
      <c r="F4" s="90"/>
      <c r="G4" s="90"/>
      <c r="H4" s="90"/>
      <c r="I4" s="90"/>
      <c r="J4" s="90"/>
      <c r="K4" s="90"/>
      <c r="L4" s="90"/>
      <c r="M4" s="90"/>
      <c r="N4" s="90"/>
      <c r="O4" s="90"/>
      <c r="P4" s="90"/>
      <c r="Q4" s="90"/>
      <c r="R4" s="90"/>
      <c r="S4" s="90"/>
      <c r="T4" s="90"/>
      <c r="U4" s="90"/>
    </row>
    <row r="5" spans="1:21" ht="67.5" x14ac:dyDescent="0.25">
      <c r="A5" s="90" t="s">
        <v>82</v>
      </c>
      <c r="B5" s="143" t="s">
        <v>57</v>
      </c>
      <c r="C5" s="144" t="s">
        <v>205</v>
      </c>
      <c r="D5" s="145" t="s">
        <v>92</v>
      </c>
      <c r="E5" s="90"/>
      <c r="F5" s="90"/>
      <c r="G5" s="90"/>
      <c r="H5" s="90"/>
      <c r="I5" s="90"/>
      <c r="J5" s="90"/>
      <c r="K5" s="90"/>
      <c r="L5" s="90"/>
      <c r="M5" s="90"/>
      <c r="N5" s="90"/>
      <c r="O5" s="90"/>
      <c r="P5" s="90"/>
      <c r="Q5" s="90"/>
      <c r="R5" s="90"/>
      <c r="S5" s="90"/>
      <c r="T5" s="90"/>
      <c r="U5" s="90"/>
    </row>
    <row r="6" spans="1:21" ht="67.5" x14ac:dyDescent="0.25">
      <c r="A6" s="90" t="s">
        <v>79</v>
      </c>
      <c r="B6" s="146" t="s">
        <v>58</v>
      </c>
      <c r="C6" s="144" t="s">
        <v>209</v>
      </c>
      <c r="D6" s="145" t="s">
        <v>94</v>
      </c>
      <c r="E6" s="90"/>
      <c r="F6" s="90"/>
      <c r="G6" s="90"/>
      <c r="H6" s="90"/>
      <c r="I6" s="90"/>
      <c r="J6" s="90"/>
      <c r="K6" s="90"/>
      <c r="L6" s="90"/>
      <c r="M6" s="90"/>
      <c r="N6" s="90"/>
      <c r="O6" s="90"/>
      <c r="P6" s="90"/>
      <c r="Q6" s="90"/>
      <c r="R6" s="90"/>
      <c r="S6" s="90"/>
      <c r="T6" s="90"/>
      <c r="U6" s="90"/>
    </row>
    <row r="7" spans="1:21" ht="101.25" x14ac:dyDescent="0.25">
      <c r="A7" s="90" t="s">
        <v>7</v>
      </c>
      <c r="B7" s="147" t="s">
        <v>59</v>
      </c>
      <c r="C7" s="144" t="s">
        <v>210</v>
      </c>
      <c r="D7" s="145" t="s">
        <v>93</v>
      </c>
      <c r="E7" s="90"/>
      <c r="F7" s="90"/>
      <c r="G7" s="90"/>
      <c r="H7" s="90"/>
      <c r="I7" s="90"/>
      <c r="J7" s="90"/>
      <c r="K7" s="90"/>
      <c r="L7" s="90"/>
      <c r="M7" s="90"/>
      <c r="N7" s="90"/>
      <c r="O7" s="90"/>
      <c r="P7" s="90"/>
      <c r="Q7" s="90"/>
      <c r="R7" s="90"/>
      <c r="S7" s="90"/>
      <c r="T7" s="90"/>
      <c r="U7" s="90"/>
    </row>
    <row r="8" spans="1:21" ht="67.5" x14ac:dyDescent="0.25">
      <c r="A8" s="90" t="s">
        <v>83</v>
      </c>
      <c r="B8" s="148" t="s">
        <v>60</v>
      </c>
      <c r="C8" s="144" t="s">
        <v>206</v>
      </c>
      <c r="D8" s="145" t="s">
        <v>112</v>
      </c>
      <c r="E8" s="90"/>
      <c r="F8" s="90"/>
      <c r="G8" s="90"/>
      <c r="H8" s="90"/>
      <c r="I8" s="90"/>
      <c r="J8" s="90"/>
      <c r="K8" s="90"/>
      <c r="L8" s="90"/>
      <c r="M8" s="90"/>
      <c r="N8" s="90"/>
      <c r="O8" s="90"/>
      <c r="P8" s="90"/>
      <c r="Q8" s="90"/>
      <c r="R8" s="90"/>
      <c r="S8" s="90"/>
      <c r="T8" s="90"/>
      <c r="U8" s="90"/>
    </row>
    <row r="9" spans="1:21" s="23" customFormat="1" ht="20.25" x14ac:dyDescent="0.25">
      <c r="A9" s="88"/>
      <c r="B9" s="88"/>
      <c r="C9" s="153"/>
      <c r="D9" s="153"/>
      <c r="E9" s="88"/>
      <c r="F9" s="88"/>
      <c r="G9" s="88"/>
      <c r="H9" s="88"/>
      <c r="I9" s="88"/>
      <c r="J9" s="88"/>
      <c r="K9" s="88"/>
      <c r="L9" s="88"/>
      <c r="M9" s="88"/>
      <c r="N9" s="88"/>
      <c r="O9" s="88"/>
      <c r="P9" s="88"/>
      <c r="Q9" s="88"/>
      <c r="R9" s="88"/>
      <c r="S9" s="88"/>
      <c r="T9" s="88"/>
      <c r="U9" s="88"/>
    </row>
    <row r="10" spans="1:21" s="23" customFormat="1" ht="16.5" x14ac:dyDescent="0.25">
      <c r="A10" s="88"/>
      <c r="B10" s="154"/>
      <c r="C10" s="154"/>
      <c r="D10" s="154"/>
      <c r="E10" s="88"/>
      <c r="F10" s="88"/>
      <c r="G10" s="88"/>
      <c r="H10" s="88"/>
      <c r="I10" s="88"/>
      <c r="J10" s="88"/>
      <c r="K10" s="88"/>
      <c r="L10" s="88"/>
      <c r="M10" s="88"/>
      <c r="N10" s="88"/>
      <c r="O10" s="88"/>
      <c r="P10" s="88"/>
      <c r="Q10" s="88"/>
      <c r="R10" s="88"/>
      <c r="S10" s="88"/>
      <c r="T10" s="88"/>
      <c r="U10" s="88"/>
    </row>
    <row r="11" spans="1:21" s="23" customFormat="1" x14ac:dyDescent="0.25">
      <c r="A11" s="88"/>
      <c r="B11" s="88" t="s">
        <v>89</v>
      </c>
      <c r="C11" s="88" t="s">
        <v>208</v>
      </c>
      <c r="D11" s="88" t="s">
        <v>142</v>
      </c>
      <c r="E11" s="88"/>
      <c r="F11" s="88"/>
      <c r="G11" s="88"/>
      <c r="H11" s="88"/>
      <c r="I11" s="88"/>
      <c r="J11" s="88"/>
      <c r="K11" s="88"/>
      <c r="L11" s="88"/>
      <c r="M11" s="88"/>
      <c r="N11" s="88"/>
      <c r="O11" s="88"/>
      <c r="P11" s="88"/>
      <c r="Q11" s="88"/>
      <c r="R11" s="88"/>
      <c r="S11" s="88"/>
      <c r="T11" s="88"/>
      <c r="U11" s="88"/>
    </row>
    <row r="12" spans="1:21" s="23" customFormat="1" x14ac:dyDescent="0.25">
      <c r="A12" s="88"/>
      <c r="B12" s="88" t="s">
        <v>87</v>
      </c>
      <c r="C12" s="88" t="s">
        <v>207</v>
      </c>
      <c r="D12" s="88" t="s">
        <v>143</v>
      </c>
      <c r="E12" s="88"/>
      <c r="F12" s="88"/>
      <c r="G12" s="88"/>
      <c r="H12" s="88"/>
      <c r="I12" s="88"/>
      <c r="J12" s="88"/>
      <c r="K12" s="88"/>
      <c r="L12" s="88"/>
      <c r="M12" s="88"/>
      <c r="N12" s="88"/>
      <c r="O12" s="88"/>
      <c r="P12" s="88"/>
      <c r="Q12" s="88"/>
      <c r="R12" s="88"/>
      <c r="S12" s="88"/>
      <c r="T12" s="88"/>
      <c r="U12" s="88"/>
    </row>
    <row r="13" spans="1:21" s="23" customFormat="1" x14ac:dyDescent="0.25">
      <c r="A13" s="88"/>
      <c r="B13" s="88"/>
      <c r="C13" s="88" t="s">
        <v>211</v>
      </c>
      <c r="D13" s="88" t="s">
        <v>144</v>
      </c>
      <c r="E13" s="88"/>
      <c r="F13" s="88"/>
      <c r="G13" s="88"/>
      <c r="H13" s="88"/>
      <c r="I13" s="88"/>
      <c r="J13" s="88"/>
      <c r="K13" s="88"/>
      <c r="L13" s="88"/>
      <c r="M13" s="88"/>
      <c r="N13" s="88"/>
      <c r="O13" s="88"/>
      <c r="P13" s="88"/>
      <c r="Q13" s="88"/>
      <c r="R13" s="88"/>
      <c r="S13" s="88"/>
      <c r="T13" s="88"/>
      <c r="U13" s="88"/>
    </row>
    <row r="14" spans="1:21" s="23" customFormat="1" x14ac:dyDescent="0.25">
      <c r="A14" s="88"/>
      <c r="B14" s="88"/>
      <c r="C14" s="88" t="s">
        <v>213</v>
      </c>
      <c r="D14" s="88" t="s">
        <v>145</v>
      </c>
      <c r="E14" s="88"/>
      <c r="F14" s="88"/>
      <c r="G14" s="88"/>
      <c r="H14" s="88"/>
      <c r="I14" s="88"/>
      <c r="J14" s="88"/>
      <c r="K14" s="88"/>
      <c r="L14" s="88"/>
      <c r="M14" s="88"/>
      <c r="N14" s="88"/>
      <c r="O14" s="88"/>
      <c r="P14" s="88"/>
      <c r="Q14" s="88"/>
      <c r="R14" s="88"/>
      <c r="S14" s="88"/>
      <c r="T14" s="88"/>
      <c r="U14" s="88"/>
    </row>
    <row r="15" spans="1:21" s="23" customFormat="1" x14ac:dyDescent="0.25">
      <c r="A15" s="88"/>
      <c r="B15" s="88"/>
      <c r="C15" s="88" t="s">
        <v>212</v>
      </c>
      <c r="D15" s="88" t="s">
        <v>146</v>
      </c>
      <c r="E15" s="88"/>
      <c r="F15" s="88"/>
      <c r="G15" s="88"/>
      <c r="H15" s="88"/>
      <c r="I15" s="88"/>
      <c r="J15" s="88"/>
      <c r="K15" s="88"/>
      <c r="L15" s="88"/>
      <c r="M15" s="88"/>
      <c r="N15" s="88"/>
      <c r="O15" s="88"/>
      <c r="P15" s="88"/>
      <c r="Q15" s="88"/>
      <c r="R15" s="88"/>
      <c r="S15" s="88"/>
      <c r="T15" s="88"/>
      <c r="U15" s="88"/>
    </row>
    <row r="16" spans="1:21" s="23" customFormat="1" x14ac:dyDescent="0.25">
      <c r="A16" s="88"/>
      <c r="B16" s="88"/>
      <c r="C16" s="88"/>
      <c r="D16" s="88"/>
      <c r="E16" s="88"/>
      <c r="F16" s="88"/>
      <c r="G16" s="88"/>
      <c r="H16" s="88"/>
      <c r="I16" s="88"/>
      <c r="J16" s="88"/>
      <c r="K16" s="88"/>
      <c r="L16" s="88"/>
      <c r="M16" s="88"/>
      <c r="N16" s="88"/>
      <c r="O16" s="88"/>
    </row>
    <row r="17" spans="1:15" s="23" customFormat="1" x14ac:dyDescent="0.25">
      <c r="A17" s="88"/>
      <c r="B17" s="88"/>
      <c r="C17" s="88"/>
      <c r="D17" s="88"/>
      <c r="E17" s="88"/>
      <c r="F17" s="88"/>
      <c r="G17" s="88"/>
      <c r="H17" s="88"/>
      <c r="I17" s="88"/>
      <c r="J17" s="88"/>
      <c r="K17" s="88"/>
      <c r="L17" s="88"/>
      <c r="M17" s="88"/>
      <c r="N17" s="88"/>
      <c r="O17" s="88"/>
    </row>
    <row r="18" spans="1:15" s="23" customFormat="1" x14ac:dyDescent="0.25">
      <c r="A18" s="88"/>
      <c r="B18" s="88"/>
      <c r="C18" s="88"/>
      <c r="D18" s="88"/>
      <c r="E18" s="88"/>
      <c r="F18" s="88"/>
      <c r="G18" s="88"/>
      <c r="H18" s="88"/>
      <c r="I18" s="88"/>
      <c r="J18" s="88"/>
      <c r="K18" s="88"/>
      <c r="L18" s="88"/>
      <c r="M18" s="88"/>
      <c r="N18" s="88"/>
      <c r="O18" s="88"/>
    </row>
    <row r="19" spans="1:15" s="23" customFormat="1" x14ac:dyDescent="0.25">
      <c r="A19" s="88"/>
      <c r="B19" s="88"/>
      <c r="C19" s="88"/>
      <c r="D19" s="88"/>
      <c r="E19" s="88"/>
      <c r="F19" s="88"/>
      <c r="G19" s="88"/>
      <c r="H19" s="88"/>
      <c r="I19" s="88"/>
      <c r="J19" s="88"/>
      <c r="K19" s="88"/>
      <c r="L19" s="88"/>
      <c r="M19" s="88"/>
      <c r="N19" s="88"/>
      <c r="O19" s="88"/>
    </row>
    <row r="20" spans="1:15" s="23" customFormat="1" x14ac:dyDescent="0.25">
      <c r="A20" s="88"/>
      <c r="B20" s="88"/>
      <c r="C20" s="88"/>
      <c r="D20" s="88"/>
      <c r="E20" s="88"/>
      <c r="F20" s="88"/>
      <c r="G20" s="88"/>
      <c r="H20" s="88"/>
      <c r="I20" s="88"/>
      <c r="J20" s="88"/>
      <c r="K20" s="88"/>
      <c r="L20" s="88"/>
      <c r="M20" s="88"/>
      <c r="N20" s="88"/>
      <c r="O20" s="88"/>
    </row>
    <row r="21" spans="1:15" s="23" customFormat="1" x14ac:dyDescent="0.25">
      <c r="A21" s="88"/>
      <c r="B21" s="88"/>
      <c r="C21" s="88"/>
      <c r="D21" s="88"/>
      <c r="E21" s="88"/>
      <c r="F21" s="88"/>
      <c r="G21" s="88"/>
      <c r="H21" s="88"/>
      <c r="I21" s="88"/>
      <c r="J21" s="88"/>
      <c r="K21" s="88"/>
      <c r="L21" s="88"/>
      <c r="M21" s="88"/>
      <c r="N21" s="88"/>
      <c r="O21" s="88"/>
    </row>
    <row r="22" spans="1:15" s="23" customFormat="1" ht="20.25" x14ac:dyDescent="0.25">
      <c r="A22" s="88"/>
      <c r="B22" s="88"/>
      <c r="C22" s="153"/>
      <c r="D22" s="153"/>
      <c r="E22" s="88"/>
      <c r="F22" s="88"/>
      <c r="G22" s="88"/>
      <c r="H22" s="88"/>
      <c r="I22" s="88"/>
      <c r="J22" s="88"/>
      <c r="K22" s="88"/>
      <c r="L22" s="88"/>
      <c r="M22" s="88"/>
      <c r="N22" s="88"/>
      <c r="O22" s="88"/>
    </row>
    <row r="23" spans="1:15" s="23" customFormat="1" ht="20.25" x14ac:dyDescent="0.25">
      <c r="A23" s="88"/>
      <c r="B23" s="88"/>
      <c r="C23" s="153"/>
      <c r="D23" s="153"/>
      <c r="E23" s="88"/>
      <c r="F23" s="88"/>
      <c r="G23" s="88"/>
      <c r="H23" s="88"/>
      <c r="I23" s="88"/>
      <c r="J23" s="88"/>
      <c r="K23" s="88"/>
      <c r="L23" s="88"/>
      <c r="M23" s="88"/>
      <c r="N23" s="88"/>
      <c r="O23" s="88"/>
    </row>
    <row r="24" spans="1:15" s="23" customFormat="1" ht="20.25" x14ac:dyDescent="0.25">
      <c r="A24" s="88"/>
      <c r="B24" s="88"/>
      <c r="C24" s="153"/>
      <c r="D24" s="153"/>
      <c r="E24" s="88"/>
      <c r="F24" s="88"/>
      <c r="G24" s="88"/>
      <c r="H24" s="88"/>
      <c r="I24" s="88"/>
      <c r="J24" s="88"/>
      <c r="K24" s="88"/>
      <c r="L24" s="88"/>
      <c r="M24" s="88"/>
      <c r="N24" s="88"/>
      <c r="O24" s="88"/>
    </row>
    <row r="25" spans="1:15" s="23" customFormat="1" ht="20.25" x14ac:dyDescent="0.25">
      <c r="A25" s="88"/>
      <c r="B25" s="88"/>
      <c r="C25" s="153"/>
      <c r="D25" s="153"/>
      <c r="E25" s="88"/>
      <c r="F25" s="88"/>
      <c r="G25" s="88"/>
      <c r="H25" s="88"/>
      <c r="I25" s="88"/>
      <c r="J25" s="88"/>
      <c r="K25" s="88"/>
      <c r="L25" s="88"/>
      <c r="M25" s="88"/>
      <c r="N25" s="88"/>
      <c r="O25" s="88"/>
    </row>
    <row r="26" spans="1:15" s="23" customFormat="1" ht="20.25" x14ac:dyDescent="0.25">
      <c r="A26" s="88"/>
      <c r="B26" s="88"/>
      <c r="C26" s="153"/>
      <c r="D26" s="153"/>
      <c r="E26" s="88"/>
      <c r="F26" s="88"/>
      <c r="G26" s="88"/>
      <c r="H26" s="88"/>
      <c r="I26" s="88"/>
      <c r="J26" s="88"/>
      <c r="K26" s="88"/>
      <c r="L26" s="88"/>
      <c r="M26" s="88"/>
      <c r="N26" s="88"/>
      <c r="O26" s="88"/>
    </row>
    <row r="27" spans="1:15" s="23" customFormat="1" ht="20.25" x14ac:dyDescent="0.25">
      <c r="A27" s="88"/>
      <c r="B27" s="88"/>
      <c r="C27" s="153"/>
      <c r="D27" s="153"/>
      <c r="E27" s="88"/>
      <c r="F27" s="88"/>
      <c r="G27" s="88"/>
      <c r="H27" s="88"/>
      <c r="I27" s="88"/>
      <c r="J27" s="88"/>
      <c r="K27" s="88"/>
      <c r="L27" s="88"/>
      <c r="M27" s="88"/>
      <c r="N27" s="88"/>
      <c r="O27" s="88"/>
    </row>
    <row r="28" spans="1:15" s="23" customFormat="1" ht="20.25" x14ac:dyDescent="0.25">
      <c r="A28" s="88"/>
      <c r="B28" s="88"/>
      <c r="C28" s="153"/>
      <c r="D28" s="153"/>
      <c r="E28" s="88"/>
      <c r="F28" s="88"/>
      <c r="G28" s="88"/>
      <c r="H28" s="88"/>
      <c r="I28" s="88"/>
      <c r="J28" s="88"/>
      <c r="K28" s="88"/>
      <c r="L28" s="88"/>
      <c r="M28" s="88"/>
      <c r="N28" s="88"/>
      <c r="O28" s="88"/>
    </row>
    <row r="29" spans="1:15" s="23" customFormat="1" ht="20.25" x14ac:dyDescent="0.25">
      <c r="A29" s="88"/>
      <c r="B29" s="88"/>
      <c r="C29" s="153"/>
      <c r="D29" s="153"/>
      <c r="E29" s="88"/>
      <c r="F29" s="88"/>
      <c r="G29" s="88"/>
      <c r="H29" s="88"/>
      <c r="I29" s="88"/>
      <c r="J29" s="88"/>
      <c r="K29" s="88"/>
      <c r="L29" s="88"/>
      <c r="M29" s="88"/>
      <c r="N29" s="88"/>
      <c r="O29" s="88"/>
    </row>
    <row r="30" spans="1:15" s="23" customFormat="1" ht="20.25" x14ac:dyDescent="0.25">
      <c r="A30" s="88"/>
      <c r="B30" s="88"/>
      <c r="C30" s="153"/>
      <c r="D30" s="153"/>
      <c r="E30" s="88"/>
      <c r="F30" s="88"/>
      <c r="G30" s="88"/>
      <c r="H30" s="88"/>
      <c r="I30" s="88"/>
      <c r="J30" s="88"/>
      <c r="K30" s="88"/>
      <c r="L30" s="88"/>
      <c r="M30" s="88"/>
      <c r="N30" s="88"/>
      <c r="O30" s="88"/>
    </row>
    <row r="31" spans="1:15" s="23" customFormat="1" ht="20.25" x14ac:dyDescent="0.25">
      <c r="A31" s="88"/>
      <c r="B31" s="88"/>
      <c r="C31" s="153"/>
      <c r="D31" s="153"/>
      <c r="E31" s="88"/>
      <c r="F31" s="88"/>
      <c r="G31" s="88"/>
      <c r="H31" s="88"/>
      <c r="I31" s="88"/>
      <c r="J31" s="88"/>
      <c r="K31" s="88"/>
      <c r="L31" s="88"/>
      <c r="M31" s="88"/>
      <c r="N31" s="88"/>
      <c r="O31" s="88"/>
    </row>
    <row r="32" spans="1:15" s="23" customFormat="1" ht="20.25" x14ac:dyDescent="0.25">
      <c r="A32" s="88"/>
      <c r="B32" s="88"/>
      <c r="C32" s="153"/>
      <c r="D32" s="153"/>
      <c r="E32" s="88"/>
      <c r="F32" s="88"/>
      <c r="G32" s="88"/>
      <c r="H32" s="88"/>
      <c r="I32" s="88"/>
      <c r="J32" s="88"/>
      <c r="K32" s="88"/>
      <c r="L32" s="88"/>
      <c r="M32" s="88"/>
      <c r="N32" s="88"/>
      <c r="O32" s="88"/>
    </row>
    <row r="33" spans="1:15" s="23" customFormat="1" ht="20.25" x14ac:dyDescent="0.25">
      <c r="A33" s="88"/>
      <c r="B33" s="88"/>
      <c r="C33" s="153"/>
      <c r="D33" s="153"/>
      <c r="E33" s="88"/>
      <c r="F33" s="88"/>
      <c r="G33" s="88"/>
      <c r="H33" s="88"/>
      <c r="I33" s="88"/>
      <c r="J33" s="88"/>
      <c r="K33" s="88"/>
      <c r="L33" s="88"/>
      <c r="M33" s="88"/>
      <c r="N33" s="88"/>
      <c r="O33" s="88"/>
    </row>
    <row r="34" spans="1:15" s="23" customFormat="1" ht="20.25" x14ac:dyDescent="0.25">
      <c r="A34" s="88"/>
      <c r="B34" s="88"/>
      <c r="C34" s="153"/>
      <c r="D34" s="153"/>
      <c r="E34" s="88"/>
      <c r="F34" s="88"/>
      <c r="G34" s="88"/>
      <c r="H34" s="88"/>
      <c r="I34" s="88"/>
      <c r="J34" s="88"/>
      <c r="K34" s="88"/>
      <c r="L34" s="88"/>
      <c r="M34" s="88"/>
      <c r="N34" s="88"/>
      <c r="O34" s="88"/>
    </row>
    <row r="35" spans="1:15" s="23" customFormat="1" ht="20.25" x14ac:dyDescent="0.25">
      <c r="A35" s="88"/>
      <c r="B35" s="88"/>
      <c r="C35" s="153"/>
      <c r="D35" s="153"/>
      <c r="E35" s="88"/>
      <c r="F35" s="88"/>
      <c r="G35" s="88"/>
      <c r="H35" s="88"/>
      <c r="I35" s="88"/>
      <c r="J35" s="88"/>
      <c r="K35" s="88"/>
      <c r="L35" s="88"/>
      <c r="M35" s="88"/>
      <c r="N35" s="88"/>
      <c r="O35" s="88"/>
    </row>
    <row r="36" spans="1:15" s="23" customFormat="1" ht="20.25" x14ac:dyDescent="0.25">
      <c r="A36" s="88"/>
      <c r="B36" s="88"/>
      <c r="C36" s="153"/>
      <c r="D36" s="153"/>
      <c r="E36" s="88"/>
      <c r="F36" s="88"/>
      <c r="G36" s="88"/>
      <c r="H36" s="88"/>
      <c r="I36" s="88"/>
      <c r="J36" s="88"/>
      <c r="K36" s="88"/>
      <c r="L36" s="88"/>
      <c r="M36" s="88"/>
      <c r="N36" s="88"/>
      <c r="O36" s="88"/>
    </row>
    <row r="37" spans="1:15" s="23" customFormat="1" ht="20.25" x14ac:dyDescent="0.25">
      <c r="A37" s="88"/>
      <c r="B37" s="88"/>
      <c r="C37" s="153"/>
      <c r="D37" s="153"/>
      <c r="E37" s="88"/>
      <c r="F37" s="88"/>
      <c r="G37" s="88"/>
      <c r="H37" s="88"/>
      <c r="I37" s="88"/>
      <c r="J37" s="88"/>
      <c r="K37" s="88"/>
      <c r="L37" s="88"/>
      <c r="M37" s="88"/>
      <c r="N37" s="88"/>
      <c r="O37" s="88"/>
    </row>
    <row r="38" spans="1:15" s="23" customFormat="1" ht="20.25" x14ac:dyDescent="0.25">
      <c r="A38" s="88"/>
      <c r="B38" s="88"/>
      <c r="C38" s="153"/>
      <c r="D38" s="153"/>
      <c r="E38" s="88"/>
      <c r="F38" s="88"/>
      <c r="G38" s="88"/>
      <c r="H38" s="88"/>
      <c r="I38" s="88"/>
      <c r="J38" s="88"/>
      <c r="K38" s="88"/>
      <c r="L38" s="88"/>
      <c r="M38" s="88"/>
      <c r="N38" s="88"/>
      <c r="O38" s="88"/>
    </row>
    <row r="39" spans="1:15" s="23" customFormat="1" ht="20.25" x14ac:dyDescent="0.25">
      <c r="A39" s="88"/>
      <c r="B39" s="88"/>
      <c r="C39" s="153"/>
      <c r="D39" s="153"/>
      <c r="E39" s="88"/>
      <c r="F39" s="88"/>
      <c r="G39" s="88"/>
      <c r="H39" s="88"/>
      <c r="I39" s="88"/>
      <c r="J39" s="88"/>
      <c r="K39" s="88"/>
      <c r="L39" s="88"/>
      <c r="M39" s="88"/>
      <c r="N39" s="88"/>
      <c r="O39" s="88"/>
    </row>
    <row r="40" spans="1:15" s="23" customFormat="1" ht="20.25" x14ac:dyDescent="0.25">
      <c r="A40" s="88"/>
      <c r="B40" s="88"/>
      <c r="C40" s="153"/>
      <c r="D40" s="153"/>
      <c r="E40" s="88"/>
      <c r="F40" s="88"/>
      <c r="G40" s="88"/>
      <c r="H40" s="88"/>
      <c r="I40" s="88"/>
      <c r="J40" s="88"/>
      <c r="K40" s="88"/>
      <c r="L40" s="88"/>
      <c r="M40" s="88"/>
      <c r="N40" s="88"/>
      <c r="O40" s="88"/>
    </row>
    <row r="41" spans="1:15" s="23" customFormat="1" ht="20.25" x14ac:dyDescent="0.25">
      <c r="A41" s="88"/>
      <c r="B41" s="88"/>
      <c r="C41" s="153"/>
      <c r="D41" s="153"/>
      <c r="E41" s="88"/>
      <c r="F41" s="88"/>
      <c r="G41" s="88"/>
      <c r="H41" s="88"/>
      <c r="I41" s="88"/>
      <c r="J41" s="88"/>
      <c r="K41" s="88"/>
      <c r="L41" s="88"/>
      <c r="M41" s="88"/>
      <c r="N41" s="88"/>
      <c r="O41" s="88"/>
    </row>
    <row r="42" spans="1:15" s="23" customFormat="1" ht="20.25" x14ac:dyDescent="0.25">
      <c r="A42" s="88"/>
      <c r="B42" s="88"/>
      <c r="C42" s="153"/>
      <c r="D42" s="153"/>
      <c r="E42" s="88"/>
      <c r="F42" s="88"/>
      <c r="G42" s="88"/>
      <c r="H42" s="88"/>
      <c r="I42" s="88"/>
      <c r="J42" s="88"/>
      <c r="K42" s="88"/>
      <c r="L42" s="88"/>
      <c r="M42" s="88"/>
      <c r="N42" s="88"/>
      <c r="O42" s="88"/>
    </row>
    <row r="43" spans="1:15" s="23" customFormat="1" ht="20.25" x14ac:dyDescent="0.25">
      <c r="A43" s="88"/>
      <c r="B43" s="88"/>
      <c r="C43" s="153"/>
      <c r="D43" s="153"/>
      <c r="E43" s="88"/>
      <c r="F43" s="88"/>
      <c r="G43" s="88"/>
      <c r="H43" s="88"/>
      <c r="I43" s="88"/>
      <c r="J43" s="88"/>
      <c r="K43" s="88"/>
      <c r="L43" s="88"/>
      <c r="M43" s="88"/>
      <c r="N43" s="88"/>
      <c r="O43" s="88"/>
    </row>
    <row r="44" spans="1:15" s="23" customFormat="1" ht="20.25" x14ac:dyDescent="0.25">
      <c r="A44" s="88"/>
      <c r="B44" s="88"/>
      <c r="C44" s="153"/>
      <c r="D44" s="153"/>
      <c r="E44" s="88"/>
      <c r="F44" s="88"/>
      <c r="G44" s="88"/>
      <c r="H44" s="88"/>
      <c r="I44" s="88"/>
      <c r="J44" s="88"/>
      <c r="K44" s="88"/>
      <c r="L44" s="88"/>
      <c r="M44" s="88"/>
      <c r="N44" s="88"/>
      <c r="O44" s="88"/>
    </row>
    <row r="45" spans="1:15" s="23" customFormat="1" ht="20.25" x14ac:dyDescent="0.25">
      <c r="A45" s="88"/>
      <c r="B45" s="88"/>
      <c r="C45" s="153"/>
      <c r="D45" s="153"/>
      <c r="E45" s="88"/>
      <c r="F45" s="88"/>
      <c r="G45" s="88"/>
      <c r="H45" s="88"/>
      <c r="I45" s="88"/>
      <c r="J45" s="88"/>
      <c r="K45" s="88"/>
      <c r="L45" s="88"/>
      <c r="M45" s="88"/>
      <c r="N45" s="88"/>
      <c r="O45" s="88"/>
    </row>
    <row r="46" spans="1:15" s="23" customFormat="1" ht="20.25" x14ac:dyDescent="0.25">
      <c r="A46" s="88"/>
      <c r="B46" s="88"/>
      <c r="C46" s="153"/>
      <c r="D46" s="153"/>
      <c r="E46" s="88"/>
      <c r="F46" s="88"/>
      <c r="G46" s="88"/>
      <c r="H46" s="88"/>
      <c r="I46" s="88"/>
      <c r="J46" s="88"/>
      <c r="K46" s="88"/>
      <c r="L46" s="88"/>
      <c r="M46" s="88"/>
      <c r="N46" s="88"/>
      <c r="O46" s="88"/>
    </row>
    <row r="47" spans="1:15" s="23" customFormat="1" ht="20.25" x14ac:dyDescent="0.25">
      <c r="A47" s="88"/>
      <c r="B47" s="88"/>
      <c r="C47" s="153"/>
      <c r="D47" s="153"/>
      <c r="E47" s="88"/>
      <c r="F47" s="88"/>
      <c r="G47" s="88"/>
      <c r="H47" s="88"/>
      <c r="I47" s="88"/>
      <c r="J47" s="88"/>
      <c r="K47" s="88"/>
      <c r="L47" s="88"/>
      <c r="M47" s="88"/>
      <c r="N47" s="88"/>
      <c r="O47" s="88"/>
    </row>
    <row r="48" spans="1:15" s="23" customFormat="1" ht="20.25" x14ac:dyDescent="0.25">
      <c r="A48" s="88"/>
      <c r="B48" s="88"/>
      <c r="C48" s="153"/>
      <c r="D48" s="153"/>
      <c r="E48" s="88"/>
      <c r="F48" s="88"/>
      <c r="G48" s="88"/>
      <c r="H48" s="88"/>
      <c r="I48" s="88"/>
      <c r="J48" s="88"/>
      <c r="K48" s="88"/>
      <c r="L48" s="88"/>
      <c r="M48" s="88"/>
      <c r="N48" s="88"/>
      <c r="O48" s="88"/>
    </row>
    <row r="49" spans="1:15" s="23" customFormat="1" ht="20.25" x14ac:dyDescent="0.25">
      <c r="A49" s="88"/>
      <c r="B49" s="88"/>
      <c r="C49" s="153"/>
      <c r="D49" s="153"/>
      <c r="E49" s="88"/>
      <c r="F49" s="88"/>
      <c r="G49" s="88"/>
      <c r="H49" s="88"/>
      <c r="I49" s="88"/>
      <c r="J49" s="88"/>
      <c r="K49" s="88"/>
      <c r="L49" s="88"/>
      <c r="M49" s="88"/>
      <c r="N49" s="88"/>
      <c r="O49" s="88"/>
    </row>
    <row r="50" spans="1:15" s="23" customFormat="1" ht="20.25" x14ac:dyDescent="0.25">
      <c r="A50" s="88"/>
      <c r="B50" s="88"/>
      <c r="C50" s="153"/>
      <c r="D50" s="153"/>
      <c r="E50" s="88"/>
      <c r="F50" s="88"/>
      <c r="G50" s="88"/>
      <c r="H50" s="88"/>
      <c r="I50" s="88"/>
      <c r="J50" s="88"/>
      <c r="K50" s="88"/>
      <c r="L50" s="88"/>
      <c r="M50" s="88"/>
      <c r="N50" s="88"/>
      <c r="O50" s="88"/>
    </row>
    <row r="51" spans="1:15" s="23" customFormat="1" ht="20.25" x14ac:dyDescent="0.25">
      <c r="A51" s="88"/>
      <c r="B51" s="88"/>
      <c r="C51" s="153"/>
      <c r="D51" s="153"/>
      <c r="E51" s="88"/>
      <c r="F51" s="88"/>
      <c r="G51" s="88"/>
      <c r="H51" s="88"/>
      <c r="I51" s="88"/>
      <c r="J51" s="88"/>
      <c r="K51" s="88"/>
      <c r="L51" s="88"/>
      <c r="M51" s="88"/>
      <c r="N51" s="88"/>
      <c r="O51" s="88"/>
    </row>
    <row r="52" spans="1:15" s="23" customFormat="1" ht="20.25" x14ac:dyDescent="0.25">
      <c r="A52" s="88"/>
      <c r="C52" s="155"/>
      <c r="D52" s="155"/>
    </row>
    <row r="53" spans="1:15" s="23" customFormat="1" ht="20.25" x14ac:dyDescent="0.25">
      <c r="A53" s="88"/>
      <c r="C53" s="155"/>
      <c r="D53" s="155"/>
    </row>
    <row r="54" spans="1:15" s="23" customFormat="1" ht="20.25" x14ac:dyDescent="0.25">
      <c r="A54" s="88"/>
      <c r="C54" s="155"/>
      <c r="D54" s="155"/>
    </row>
    <row r="55" spans="1:15" s="23" customFormat="1" ht="20.25" x14ac:dyDescent="0.25">
      <c r="A55" s="88"/>
      <c r="C55" s="155"/>
      <c r="D55" s="155"/>
    </row>
    <row r="56" spans="1:15" s="23" customFormat="1" ht="20.25" x14ac:dyDescent="0.25">
      <c r="A56" s="88"/>
      <c r="C56" s="155"/>
      <c r="D56" s="155"/>
    </row>
    <row r="57" spans="1:15" s="23" customFormat="1" ht="20.25" x14ac:dyDescent="0.25">
      <c r="A57" s="88"/>
      <c r="C57" s="155"/>
      <c r="D57" s="155"/>
    </row>
    <row r="58" spans="1:15" s="23" customFormat="1" ht="20.25" x14ac:dyDescent="0.25">
      <c r="A58" s="88"/>
      <c r="C58" s="155"/>
      <c r="D58" s="155"/>
    </row>
    <row r="59" spans="1:15" s="23" customFormat="1" ht="20.25" x14ac:dyDescent="0.25">
      <c r="A59" s="88"/>
      <c r="C59" s="155"/>
      <c r="D59" s="155"/>
    </row>
    <row r="60" spans="1:15" s="23" customFormat="1" ht="20.25" x14ac:dyDescent="0.25">
      <c r="A60" s="88"/>
      <c r="C60" s="155"/>
      <c r="D60" s="155"/>
    </row>
    <row r="61" spans="1:15" s="23" customFormat="1" ht="20.25" x14ac:dyDescent="0.25">
      <c r="A61" s="88"/>
      <c r="C61" s="155"/>
      <c r="D61" s="155"/>
    </row>
    <row r="62" spans="1:15" s="23" customFormat="1" ht="20.25" x14ac:dyDescent="0.25">
      <c r="A62" s="88"/>
      <c r="C62" s="155"/>
      <c r="D62" s="155"/>
    </row>
    <row r="63" spans="1:15" s="23" customFormat="1" ht="20.25" x14ac:dyDescent="0.25">
      <c r="A63" s="88"/>
      <c r="C63" s="155"/>
      <c r="D63" s="155"/>
    </row>
    <row r="64" spans="1:15" s="23" customFormat="1" ht="20.25" x14ac:dyDescent="0.25">
      <c r="A64" s="88"/>
      <c r="C64" s="155"/>
      <c r="D64" s="155"/>
    </row>
    <row r="65" spans="1:4" s="23" customFormat="1" ht="20.25" x14ac:dyDescent="0.25">
      <c r="A65" s="88"/>
      <c r="C65" s="155"/>
      <c r="D65" s="155"/>
    </row>
    <row r="66" spans="1:4" s="23" customFormat="1" ht="20.25" x14ac:dyDescent="0.25">
      <c r="A66" s="88"/>
      <c r="C66" s="155"/>
      <c r="D66" s="155"/>
    </row>
    <row r="67" spans="1:4" s="23" customFormat="1" ht="20.25" x14ac:dyDescent="0.25">
      <c r="A67" s="88"/>
      <c r="C67" s="155"/>
      <c r="D67" s="155"/>
    </row>
    <row r="68" spans="1:4" s="23" customFormat="1" ht="20.25" x14ac:dyDescent="0.25">
      <c r="A68" s="88"/>
      <c r="C68" s="155"/>
      <c r="D68" s="155"/>
    </row>
    <row r="69" spans="1:4" s="23" customFormat="1" ht="20.25" x14ac:dyDescent="0.25">
      <c r="A69" s="88"/>
      <c r="C69" s="155"/>
      <c r="D69" s="155"/>
    </row>
    <row r="70" spans="1:4" s="23" customFormat="1" ht="20.25" x14ac:dyDescent="0.25">
      <c r="A70" s="88"/>
      <c r="C70" s="155"/>
      <c r="D70" s="155"/>
    </row>
    <row r="71" spans="1:4" s="23" customFormat="1" ht="20.25" x14ac:dyDescent="0.25">
      <c r="A71" s="88"/>
      <c r="C71" s="155"/>
      <c r="D71" s="155"/>
    </row>
    <row r="72" spans="1:4" s="23" customFormat="1" ht="20.25" x14ac:dyDescent="0.25">
      <c r="A72" s="88"/>
      <c r="C72" s="155"/>
      <c r="D72" s="155"/>
    </row>
    <row r="73" spans="1:4" s="23" customFormat="1" ht="20.25" x14ac:dyDescent="0.25">
      <c r="A73" s="88"/>
      <c r="C73" s="155"/>
      <c r="D73" s="155"/>
    </row>
    <row r="74" spans="1:4" s="23" customFormat="1" ht="20.25" x14ac:dyDescent="0.25">
      <c r="A74" s="88"/>
      <c r="C74" s="155"/>
      <c r="D74" s="155"/>
    </row>
    <row r="75" spans="1:4" s="23" customFormat="1" ht="20.25" x14ac:dyDescent="0.25">
      <c r="A75" s="88"/>
      <c r="C75" s="155"/>
      <c r="D75" s="155"/>
    </row>
    <row r="76" spans="1:4" s="23" customFormat="1" ht="20.25" x14ac:dyDescent="0.25">
      <c r="A76" s="88"/>
      <c r="C76" s="155"/>
      <c r="D76" s="155"/>
    </row>
    <row r="77" spans="1:4" s="23" customFormat="1" ht="20.25" x14ac:dyDescent="0.25">
      <c r="A77" s="88"/>
      <c r="C77" s="155"/>
      <c r="D77" s="155"/>
    </row>
    <row r="78" spans="1:4" s="23" customFormat="1" ht="20.25" x14ac:dyDescent="0.25">
      <c r="A78" s="88"/>
      <c r="C78" s="155"/>
      <c r="D78" s="155"/>
    </row>
    <row r="79" spans="1:4" s="23" customFormat="1" ht="20.25" x14ac:dyDescent="0.25">
      <c r="A79" s="88"/>
      <c r="C79" s="155"/>
      <c r="D79" s="155"/>
    </row>
    <row r="80" spans="1:4" s="23" customFormat="1" ht="20.25" x14ac:dyDescent="0.25">
      <c r="A80" s="88"/>
      <c r="C80" s="155"/>
      <c r="D80" s="155"/>
    </row>
    <row r="81" spans="1:4" s="23" customFormat="1" ht="20.25" x14ac:dyDescent="0.25">
      <c r="A81" s="88"/>
      <c r="C81" s="155"/>
      <c r="D81" s="155"/>
    </row>
    <row r="82" spans="1:4" s="23" customFormat="1" ht="20.25" x14ac:dyDescent="0.25">
      <c r="A82" s="88"/>
      <c r="C82" s="155"/>
      <c r="D82" s="155"/>
    </row>
    <row r="83" spans="1:4" s="23" customFormat="1" ht="20.25" x14ac:dyDescent="0.25">
      <c r="A83" s="88"/>
      <c r="C83" s="155"/>
      <c r="D83" s="155"/>
    </row>
    <row r="84" spans="1:4" s="23" customFormat="1" ht="20.25" x14ac:dyDescent="0.25">
      <c r="A84" s="88"/>
      <c r="C84" s="155"/>
      <c r="D84" s="155"/>
    </row>
    <row r="85" spans="1:4" s="23" customFormat="1" ht="20.25" x14ac:dyDescent="0.25">
      <c r="A85" s="88"/>
      <c r="C85" s="155"/>
      <c r="D85" s="155"/>
    </row>
    <row r="86" spans="1:4" s="23" customFormat="1" ht="20.25" x14ac:dyDescent="0.25">
      <c r="A86" s="88"/>
      <c r="C86" s="155"/>
      <c r="D86" s="155"/>
    </row>
    <row r="87" spans="1:4" s="23" customFormat="1" ht="20.25" x14ac:dyDescent="0.25">
      <c r="A87" s="88"/>
      <c r="C87" s="155"/>
      <c r="D87" s="155"/>
    </row>
    <row r="88" spans="1:4" s="23" customFormat="1" ht="20.25" x14ac:dyDescent="0.25">
      <c r="A88" s="88"/>
      <c r="C88" s="155"/>
      <c r="D88" s="155"/>
    </row>
    <row r="89" spans="1:4" s="23" customFormat="1" ht="20.25" x14ac:dyDescent="0.25">
      <c r="A89" s="88"/>
      <c r="C89" s="155"/>
      <c r="D89" s="155"/>
    </row>
    <row r="90" spans="1:4" s="23" customFormat="1" ht="20.25" x14ac:dyDescent="0.25">
      <c r="A90" s="88"/>
      <c r="C90" s="155"/>
      <c r="D90" s="155"/>
    </row>
    <row r="91" spans="1:4" s="23" customFormat="1" ht="20.25" x14ac:dyDescent="0.25">
      <c r="A91" s="88"/>
      <c r="C91" s="155"/>
      <c r="D91" s="155"/>
    </row>
    <row r="92" spans="1:4" s="23" customFormat="1" ht="20.25" x14ac:dyDescent="0.25">
      <c r="A92" s="88"/>
      <c r="C92" s="155"/>
      <c r="D92" s="155"/>
    </row>
    <row r="93" spans="1:4" s="23" customFormat="1" ht="20.25" x14ac:dyDescent="0.25">
      <c r="A93" s="88"/>
      <c r="C93" s="155"/>
      <c r="D93" s="155"/>
    </row>
    <row r="94" spans="1:4" s="23" customFormat="1" ht="20.25" x14ac:dyDescent="0.25">
      <c r="A94" s="88"/>
      <c r="C94" s="155"/>
      <c r="D94" s="155"/>
    </row>
    <row r="95" spans="1:4" s="23" customFormat="1" ht="20.25" x14ac:dyDescent="0.25">
      <c r="A95" s="88"/>
      <c r="C95" s="155"/>
      <c r="D95" s="155"/>
    </row>
    <row r="96" spans="1:4" s="23" customFormat="1" ht="20.25" x14ac:dyDescent="0.25">
      <c r="A96" s="88"/>
      <c r="C96" s="155"/>
      <c r="D96" s="155"/>
    </row>
    <row r="97" spans="1:4" s="23" customFormat="1" ht="20.25" x14ac:dyDescent="0.25">
      <c r="A97" s="88"/>
      <c r="C97" s="155"/>
      <c r="D97" s="155"/>
    </row>
    <row r="98" spans="1:4" s="23" customFormat="1" ht="20.25" x14ac:dyDescent="0.25">
      <c r="A98" s="88"/>
      <c r="C98" s="155"/>
      <c r="D98" s="155"/>
    </row>
    <row r="99" spans="1:4" s="23" customFormat="1" ht="20.25" x14ac:dyDescent="0.25">
      <c r="A99" s="88"/>
      <c r="C99" s="155"/>
      <c r="D99" s="155"/>
    </row>
    <row r="100" spans="1:4" s="23" customFormat="1" ht="20.25" x14ac:dyDescent="0.25">
      <c r="A100" s="88"/>
      <c r="C100" s="155"/>
      <c r="D100" s="155"/>
    </row>
    <row r="101" spans="1:4" s="23" customFormat="1" ht="20.25" x14ac:dyDescent="0.25">
      <c r="A101" s="88"/>
      <c r="C101" s="155"/>
      <c r="D101" s="155"/>
    </row>
    <row r="102" spans="1:4" s="23" customFormat="1" ht="20.25" x14ac:dyDescent="0.25">
      <c r="A102" s="88"/>
      <c r="C102" s="155"/>
      <c r="D102" s="155"/>
    </row>
    <row r="103" spans="1:4" s="23" customFormat="1" ht="20.25" x14ac:dyDescent="0.25">
      <c r="A103" s="88"/>
      <c r="C103" s="155"/>
      <c r="D103" s="155"/>
    </row>
    <row r="104" spans="1:4" s="23" customFormat="1" ht="20.25" x14ac:dyDescent="0.25">
      <c r="A104" s="88"/>
      <c r="C104" s="155"/>
      <c r="D104" s="155"/>
    </row>
    <row r="105" spans="1:4" s="23" customFormat="1" ht="20.25" x14ac:dyDescent="0.25">
      <c r="A105" s="88"/>
      <c r="C105" s="155"/>
      <c r="D105" s="155"/>
    </row>
    <row r="106" spans="1:4" s="23" customFormat="1" ht="20.25" x14ac:dyDescent="0.25">
      <c r="A106" s="88"/>
      <c r="C106" s="155"/>
      <c r="D106" s="155"/>
    </row>
    <row r="107" spans="1:4" s="23" customFormat="1" ht="20.25" x14ac:dyDescent="0.25">
      <c r="A107" s="88"/>
      <c r="C107" s="155"/>
      <c r="D107" s="155"/>
    </row>
    <row r="108" spans="1:4" s="23" customFormat="1" ht="20.25" x14ac:dyDescent="0.25">
      <c r="A108" s="88"/>
      <c r="C108" s="155"/>
      <c r="D108" s="155"/>
    </row>
    <row r="109" spans="1:4" s="23" customFormat="1" ht="20.25" x14ac:dyDescent="0.25">
      <c r="A109" s="88"/>
      <c r="C109" s="155"/>
      <c r="D109" s="155"/>
    </row>
    <row r="110" spans="1:4" s="23" customFormat="1" ht="20.25" x14ac:dyDescent="0.25">
      <c r="A110" s="88"/>
      <c r="C110" s="155"/>
      <c r="D110" s="155"/>
    </row>
    <row r="111" spans="1:4" s="23" customFormat="1" ht="20.25" x14ac:dyDescent="0.25">
      <c r="A111" s="88"/>
      <c r="C111" s="155"/>
      <c r="D111" s="155"/>
    </row>
    <row r="112" spans="1:4" s="23" customFormat="1" ht="20.25" x14ac:dyDescent="0.25">
      <c r="A112" s="88"/>
      <c r="C112" s="155"/>
      <c r="D112" s="155"/>
    </row>
    <row r="113" spans="1:4" s="23" customFormat="1" ht="20.25" x14ac:dyDescent="0.25">
      <c r="A113" s="88"/>
      <c r="C113" s="155"/>
      <c r="D113" s="155"/>
    </row>
    <row r="114" spans="1:4" s="23" customFormat="1" ht="20.25" x14ac:dyDescent="0.25">
      <c r="A114" s="88"/>
      <c r="C114" s="155"/>
      <c r="D114" s="155"/>
    </row>
    <row r="115" spans="1:4" s="23" customFormat="1" ht="20.25" x14ac:dyDescent="0.25">
      <c r="A115" s="88"/>
      <c r="C115" s="155"/>
      <c r="D115" s="155"/>
    </row>
    <row r="116" spans="1:4" s="23" customFormat="1" ht="20.25" x14ac:dyDescent="0.25">
      <c r="A116" s="88"/>
      <c r="C116" s="155"/>
      <c r="D116" s="155"/>
    </row>
    <row r="117" spans="1:4" s="23" customFormat="1" ht="20.25" x14ac:dyDescent="0.25">
      <c r="A117" s="88"/>
      <c r="C117" s="155"/>
      <c r="D117" s="155"/>
    </row>
    <row r="118" spans="1:4" s="23" customFormat="1" ht="20.25" x14ac:dyDescent="0.25">
      <c r="A118" s="88"/>
      <c r="C118" s="155"/>
      <c r="D118" s="155"/>
    </row>
    <row r="119" spans="1:4" s="23" customFormat="1" ht="20.25" x14ac:dyDescent="0.25">
      <c r="A119" s="88"/>
      <c r="C119" s="155"/>
      <c r="D119" s="155"/>
    </row>
    <row r="120" spans="1:4" s="23" customFormat="1" ht="20.25" x14ac:dyDescent="0.25">
      <c r="A120" s="88"/>
      <c r="C120" s="155"/>
      <c r="D120" s="155"/>
    </row>
    <row r="121" spans="1:4" s="23" customFormat="1" ht="20.25" x14ac:dyDescent="0.25">
      <c r="A121" s="88"/>
      <c r="C121" s="155"/>
      <c r="D121" s="155"/>
    </row>
    <row r="122" spans="1:4" s="23" customFormat="1" ht="20.25" x14ac:dyDescent="0.25">
      <c r="A122" s="88"/>
      <c r="C122" s="155"/>
      <c r="D122" s="155"/>
    </row>
    <row r="123" spans="1:4" s="23" customFormat="1" ht="20.25" x14ac:dyDescent="0.25">
      <c r="A123" s="88"/>
      <c r="C123" s="155"/>
      <c r="D123" s="155"/>
    </row>
    <row r="124" spans="1:4" s="23" customFormat="1" ht="20.25" x14ac:dyDescent="0.25">
      <c r="A124" s="88"/>
      <c r="C124" s="155"/>
      <c r="D124" s="155"/>
    </row>
    <row r="125" spans="1:4" s="23" customFormat="1" ht="20.25" x14ac:dyDescent="0.25">
      <c r="A125" s="88"/>
      <c r="C125" s="155"/>
      <c r="D125" s="155"/>
    </row>
    <row r="126" spans="1:4" s="23" customFormat="1" ht="20.25" x14ac:dyDescent="0.25">
      <c r="A126" s="88"/>
      <c r="C126" s="155"/>
      <c r="D126" s="155"/>
    </row>
    <row r="127" spans="1:4" s="23" customFormat="1" ht="20.25" x14ac:dyDescent="0.25">
      <c r="A127" s="88"/>
      <c r="C127" s="155"/>
      <c r="D127" s="155"/>
    </row>
    <row r="128" spans="1:4" s="23" customFormat="1" ht="20.25" x14ac:dyDescent="0.25">
      <c r="A128" s="88"/>
      <c r="C128" s="155"/>
      <c r="D128" s="155"/>
    </row>
    <row r="129" spans="1:4" s="23" customFormat="1" ht="20.25" x14ac:dyDescent="0.25">
      <c r="A129" s="88"/>
      <c r="C129" s="155"/>
      <c r="D129" s="155"/>
    </row>
    <row r="130" spans="1:4" s="23" customFormat="1" ht="20.25" x14ac:dyDescent="0.25">
      <c r="A130" s="88"/>
      <c r="C130" s="155"/>
      <c r="D130" s="155"/>
    </row>
    <row r="131" spans="1:4" s="23" customFormat="1" ht="20.25" x14ac:dyDescent="0.25">
      <c r="A131" s="88"/>
      <c r="C131" s="155"/>
      <c r="D131" s="155"/>
    </row>
    <row r="132" spans="1:4" s="23" customFormat="1" ht="20.25" x14ac:dyDescent="0.25">
      <c r="A132" s="88"/>
      <c r="C132" s="155"/>
      <c r="D132" s="155"/>
    </row>
    <row r="133" spans="1:4" s="23" customFormat="1" ht="20.25" x14ac:dyDescent="0.25">
      <c r="A133" s="88"/>
      <c r="C133" s="155"/>
      <c r="D133" s="155"/>
    </row>
    <row r="134" spans="1:4" s="23" customFormat="1" ht="20.25" x14ac:dyDescent="0.25">
      <c r="A134" s="88"/>
      <c r="C134" s="155"/>
      <c r="D134" s="155"/>
    </row>
    <row r="135" spans="1:4" s="23" customFormat="1" ht="20.25" x14ac:dyDescent="0.25">
      <c r="A135" s="88"/>
      <c r="C135" s="155"/>
      <c r="D135" s="155"/>
    </row>
    <row r="136" spans="1:4" s="23" customFormat="1" ht="20.25" x14ac:dyDescent="0.25">
      <c r="A136" s="88"/>
      <c r="C136" s="155"/>
      <c r="D136" s="155"/>
    </row>
    <row r="137" spans="1:4" s="23" customFormat="1" ht="20.25" x14ac:dyDescent="0.25">
      <c r="A137" s="88"/>
      <c r="C137" s="155"/>
      <c r="D137" s="155"/>
    </row>
    <row r="138" spans="1:4" s="23" customFormat="1" ht="20.25" x14ac:dyDescent="0.25">
      <c r="A138" s="88"/>
      <c r="C138" s="155"/>
      <c r="D138" s="155"/>
    </row>
    <row r="139" spans="1:4" s="23" customFormat="1" ht="20.25" x14ac:dyDescent="0.25">
      <c r="A139" s="88"/>
      <c r="C139" s="155"/>
      <c r="D139" s="155"/>
    </row>
    <row r="140" spans="1:4" s="23" customFormat="1" ht="20.25" x14ac:dyDescent="0.25">
      <c r="A140" s="88"/>
      <c r="C140" s="155"/>
      <c r="D140" s="155"/>
    </row>
    <row r="141" spans="1:4" s="23" customFormat="1" ht="20.25" x14ac:dyDescent="0.25">
      <c r="A141" s="88"/>
      <c r="C141" s="155"/>
      <c r="D141" s="155"/>
    </row>
    <row r="142" spans="1:4" s="23" customFormat="1" ht="20.25" x14ac:dyDescent="0.25">
      <c r="A142" s="88"/>
      <c r="C142" s="155"/>
      <c r="D142" s="155"/>
    </row>
    <row r="143" spans="1:4" s="23" customFormat="1" ht="20.25" x14ac:dyDescent="0.25">
      <c r="A143" s="88"/>
      <c r="C143" s="155"/>
      <c r="D143" s="155"/>
    </row>
    <row r="144" spans="1:4" s="23" customFormat="1" ht="20.25" x14ac:dyDescent="0.25">
      <c r="A144" s="88"/>
      <c r="C144" s="155"/>
      <c r="D144" s="155"/>
    </row>
    <row r="145" spans="1:4" s="23" customFormat="1" ht="20.25" x14ac:dyDescent="0.25">
      <c r="A145" s="88"/>
      <c r="C145" s="155"/>
      <c r="D145" s="155"/>
    </row>
    <row r="146" spans="1:4" s="23" customFormat="1" ht="20.25" x14ac:dyDescent="0.25">
      <c r="A146" s="88"/>
      <c r="C146" s="155"/>
      <c r="D146" s="155"/>
    </row>
    <row r="147" spans="1:4" s="23" customFormat="1" ht="20.25" x14ac:dyDescent="0.25">
      <c r="A147" s="88"/>
      <c r="C147" s="155"/>
      <c r="D147" s="155"/>
    </row>
    <row r="148" spans="1:4" s="23" customFormat="1" ht="20.25" x14ac:dyDescent="0.25">
      <c r="A148" s="88"/>
      <c r="C148" s="155"/>
      <c r="D148" s="155"/>
    </row>
    <row r="149" spans="1:4" s="23" customFormat="1" ht="20.25" x14ac:dyDescent="0.25">
      <c r="A149" s="88"/>
      <c r="C149" s="155"/>
      <c r="D149" s="155"/>
    </row>
    <row r="150" spans="1:4" s="23" customFormat="1" ht="20.25" x14ac:dyDescent="0.25">
      <c r="A150" s="88"/>
      <c r="C150" s="155"/>
      <c r="D150" s="155"/>
    </row>
    <row r="151" spans="1:4" s="23" customFormat="1" ht="20.25" x14ac:dyDescent="0.25">
      <c r="A151" s="88"/>
      <c r="C151" s="155"/>
      <c r="D151" s="155"/>
    </row>
    <row r="152" spans="1:4" s="23" customFormat="1" ht="20.25" x14ac:dyDescent="0.25">
      <c r="A152" s="88"/>
      <c r="C152" s="155"/>
      <c r="D152" s="155"/>
    </row>
    <row r="153" spans="1:4" s="23" customFormat="1" ht="20.25" x14ac:dyDescent="0.25">
      <c r="A153" s="88"/>
      <c r="C153" s="155"/>
      <c r="D153" s="155"/>
    </row>
    <row r="154" spans="1:4" s="23" customFormat="1" ht="20.25" x14ac:dyDescent="0.25">
      <c r="A154" s="88"/>
      <c r="C154" s="155"/>
      <c r="D154" s="155"/>
    </row>
    <row r="155" spans="1:4" s="23" customFormat="1" ht="20.25" x14ac:dyDescent="0.25">
      <c r="A155" s="88"/>
      <c r="C155" s="155"/>
      <c r="D155" s="155"/>
    </row>
    <row r="156" spans="1:4" s="23" customFormat="1" ht="20.25" x14ac:dyDescent="0.25">
      <c r="A156" s="88"/>
      <c r="C156" s="155"/>
      <c r="D156" s="155"/>
    </row>
    <row r="157" spans="1:4" s="23" customFormat="1" ht="20.25" x14ac:dyDescent="0.25">
      <c r="A157" s="88"/>
      <c r="C157" s="155"/>
      <c r="D157" s="155"/>
    </row>
    <row r="158" spans="1:4" s="23" customFormat="1" ht="20.25" x14ac:dyDescent="0.25">
      <c r="A158" s="88"/>
      <c r="C158" s="155"/>
      <c r="D158" s="155"/>
    </row>
    <row r="159" spans="1:4" s="23" customFormat="1" ht="20.25" x14ac:dyDescent="0.25">
      <c r="A159" s="88"/>
      <c r="C159" s="155"/>
      <c r="D159" s="155"/>
    </row>
    <row r="160" spans="1:4" s="23" customFormat="1" ht="20.25" x14ac:dyDescent="0.25">
      <c r="A160" s="88"/>
      <c r="C160" s="155"/>
      <c r="D160" s="155"/>
    </row>
    <row r="161" spans="1:4" s="23" customFormat="1" ht="20.25" x14ac:dyDescent="0.25">
      <c r="A161" s="88"/>
      <c r="C161" s="155"/>
      <c r="D161" s="155"/>
    </row>
    <row r="162" spans="1:4" s="23" customFormat="1" ht="20.25" x14ac:dyDescent="0.25">
      <c r="A162" s="88"/>
      <c r="C162" s="155"/>
      <c r="D162" s="155"/>
    </row>
    <row r="163" spans="1:4" s="23" customFormat="1" ht="20.25" x14ac:dyDescent="0.25">
      <c r="A163" s="88"/>
      <c r="C163" s="155"/>
      <c r="D163" s="155"/>
    </row>
    <row r="164" spans="1:4" s="23" customFormat="1" ht="20.25" x14ac:dyDescent="0.25">
      <c r="A164" s="88"/>
      <c r="C164" s="155"/>
      <c r="D164" s="155"/>
    </row>
    <row r="165" spans="1:4" s="23" customFormat="1" ht="20.25" x14ac:dyDescent="0.25">
      <c r="A165" s="88"/>
      <c r="C165" s="155"/>
      <c r="D165" s="155"/>
    </row>
    <row r="166" spans="1:4" s="23" customFormat="1" ht="20.25" x14ac:dyDescent="0.25">
      <c r="A166" s="88"/>
      <c r="C166" s="155"/>
      <c r="D166" s="155"/>
    </row>
    <row r="167" spans="1:4" s="23" customFormat="1" ht="20.25" x14ac:dyDescent="0.25">
      <c r="A167" s="88"/>
      <c r="C167" s="155"/>
      <c r="D167" s="155"/>
    </row>
    <row r="168" spans="1:4" s="23" customFormat="1" ht="20.25" x14ac:dyDescent="0.25">
      <c r="A168" s="88"/>
      <c r="C168" s="155"/>
      <c r="D168" s="155"/>
    </row>
    <row r="169" spans="1:4" s="23" customFormat="1" ht="20.25" x14ac:dyDescent="0.25">
      <c r="A169" s="88"/>
      <c r="C169" s="155"/>
      <c r="D169" s="155"/>
    </row>
    <row r="170" spans="1:4" s="23" customFormat="1" ht="20.25" x14ac:dyDescent="0.25">
      <c r="A170" s="88"/>
      <c r="C170" s="155"/>
      <c r="D170" s="155"/>
    </row>
    <row r="171" spans="1:4" s="23" customFormat="1" ht="20.25" x14ac:dyDescent="0.25">
      <c r="A171" s="88"/>
      <c r="C171" s="155"/>
      <c r="D171" s="155"/>
    </row>
    <row r="172" spans="1:4" s="23" customFormat="1" ht="20.25" x14ac:dyDescent="0.25">
      <c r="A172" s="88"/>
      <c r="C172" s="155"/>
      <c r="D172" s="155"/>
    </row>
    <row r="173" spans="1:4" s="23" customFormat="1" ht="20.25" x14ac:dyDescent="0.25">
      <c r="A173" s="88"/>
      <c r="C173" s="155"/>
      <c r="D173" s="155"/>
    </row>
    <row r="174" spans="1:4" s="23" customFormat="1" ht="20.25" x14ac:dyDescent="0.25">
      <c r="A174" s="88"/>
      <c r="C174" s="155"/>
      <c r="D174" s="155"/>
    </row>
    <row r="175" spans="1:4" s="23" customFormat="1" ht="20.25" x14ac:dyDescent="0.25">
      <c r="A175" s="88"/>
      <c r="C175" s="155"/>
      <c r="D175" s="155"/>
    </row>
    <row r="176" spans="1:4" s="23" customFormat="1" ht="20.25" x14ac:dyDescent="0.25">
      <c r="A176" s="88"/>
      <c r="C176" s="155"/>
      <c r="D176" s="155"/>
    </row>
    <row r="177" spans="1:4" s="23" customFormat="1" ht="20.25" x14ac:dyDescent="0.25">
      <c r="A177" s="88"/>
      <c r="C177" s="155"/>
      <c r="D177" s="155"/>
    </row>
    <row r="178" spans="1:4" s="23" customFormat="1" ht="20.25" x14ac:dyDescent="0.25">
      <c r="A178" s="88"/>
      <c r="C178" s="155"/>
      <c r="D178" s="155"/>
    </row>
    <row r="179" spans="1:4" s="23" customFormat="1" ht="20.25" x14ac:dyDescent="0.25">
      <c r="A179" s="88"/>
      <c r="C179" s="155"/>
      <c r="D179" s="155"/>
    </row>
    <row r="180" spans="1:4" s="23" customFormat="1" ht="20.25" x14ac:dyDescent="0.25">
      <c r="A180" s="88"/>
      <c r="C180" s="155"/>
      <c r="D180" s="155"/>
    </row>
    <row r="181" spans="1:4" s="23" customFormat="1" ht="20.25" x14ac:dyDescent="0.25">
      <c r="A181" s="88"/>
      <c r="C181" s="155"/>
      <c r="D181" s="155"/>
    </row>
    <row r="182" spans="1:4" s="23" customFormat="1" ht="20.25" x14ac:dyDescent="0.25">
      <c r="A182" s="88"/>
      <c r="C182" s="155"/>
      <c r="D182" s="155"/>
    </row>
    <row r="183" spans="1:4" s="23" customFormat="1" ht="20.25" x14ac:dyDescent="0.25">
      <c r="A183" s="88"/>
      <c r="C183" s="155"/>
      <c r="D183" s="155"/>
    </row>
    <row r="184" spans="1:4" s="23" customFormat="1" ht="20.25" x14ac:dyDescent="0.25">
      <c r="A184" s="88"/>
      <c r="C184" s="155"/>
      <c r="D184" s="155"/>
    </row>
    <row r="185" spans="1:4" s="23" customFormat="1" ht="20.25" x14ac:dyDescent="0.25">
      <c r="A185" s="88"/>
      <c r="C185" s="155"/>
      <c r="D185" s="155"/>
    </row>
    <row r="186" spans="1:4" s="23" customFormat="1" ht="20.25" x14ac:dyDescent="0.25">
      <c r="A186" s="88"/>
      <c r="C186" s="155"/>
      <c r="D186" s="155"/>
    </row>
    <row r="187" spans="1:4" s="23" customFormat="1" ht="20.25" x14ac:dyDescent="0.25">
      <c r="A187" s="88"/>
      <c r="C187" s="155"/>
      <c r="D187" s="155"/>
    </row>
    <row r="188" spans="1:4" s="23" customFormat="1" ht="20.25" x14ac:dyDescent="0.25">
      <c r="A188" s="88"/>
      <c r="C188" s="155"/>
      <c r="D188" s="155"/>
    </row>
    <row r="189" spans="1:4" s="23" customFormat="1" ht="20.25" x14ac:dyDescent="0.25">
      <c r="A189" s="88"/>
      <c r="C189" s="155"/>
      <c r="D189" s="155"/>
    </row>
    <row r="190" spans="1:4" s="23" customFormat="1" ht="20.25" x14ac:dyDescent="0.25">
      <c r="A190" s="88"/>
      <c r="C190" s="155"/>
      <c r="D190" s="155"/>
    </row>
    <row r="191" spans="1:4" s="23" customFormat="1" ht="20.25" x14ac:dyDescent="0.25">
      <c r="A191" s="88"/>
      <c r="C191" s="155"/>
      <c r="D191" s="155"/>
    </row>
    <row r="192" spans="1:4" s="23" customFormat="1" ht="20.25" x14ac:dyDescent="0.25">
      <c r="A192" s="88"/>
      <c r="C192" s="155"/>
      <c r="D192" s="155"/>
    </row>
    <row r="193" spans="1:4" s="23" customFormat="1" ht="20.25" x14ac:dyDescent="0.25">
      <c r="A193" s="88"/>
      <c r="C193" s="155"/>
      <c r="D193" s="155"/>
    </row>
    <row r="194" spans="1:4" s="23" customFormat="1" ht="20.25" x14ac:dyDescent="0.25">
      <c r="A194" s="88"/>
      <c r="C194" s="155"/>
      <c r="D194" s="155"/>
    </row>
    <row r="195" spans="1:4" s="23" customFormat="1" ht="20.25" x14ac:dyDescent="0.25">
      <c r="A195" s="88"/>
      <c r="C195" s="155"/>
      <c r="D195" s="155"/>
    </row>
    <row r="196" spans="1:4" s="23" customFormat="1" ht="20.25" x14ac:dyDescent="0.25">
      <c r="A196" s="88"/>
      <c r="C196" s="155"/>
      <c r="D196" s="155"/>
    </row>
    <row r="197" spans="1:4" s="23" customFormat="1" ht="20.25" x14ac:dyDescent="0.25">
      <c r="A197" s="88"/>
      <c r="C197" s="155"/>
      <c r="D197" s="155"/>
    </row>
    <row r="198" spans="1:4" s="23" customFormat="1" ht="20.25" x14ac:dyDescent="0.25">
      <c r="A198" s="88"/>
      <c r="C198" s="155"/>
      <c r="D198" s="155"/>
    </row>
    <row r="199" spans="1:4" s="23" customFormat="1" ht="20.25" x14ac:dyDescent="0.25">
      <c r="A199" s="88"/>
      <c r="C199" s="155"/>
      <c r="D199" s="155"/>
    </row>
    <row r="200" spans="1:4" s="23" customFormat="1" ht="20.25" x14ac:dyDescent="0.25">
      <c r="A200" s="88"/>
      <c r="C200" s="155"/>
      <c r="D200" s="155"/>
    </row>
    <row r="201" spans="1:4" s="23" customFormat="1" ht="20.25" x14ac:dyDescent="0.25">
      <c r="A201" s="88"/>
      <c r="C201" s="155"/>
      <c r="D201" s="155"/>
    </row>
    <row r="202" spans="1:4" s="23" customFormat="1" ht="20.25" x14ac:dyDescent="0.25">
      <c r="A202" s="88"/>
      <c r="C202" s="155"/>
      <c r="D202" s="155"/>
    </row>
    <row r="203" spans="1:4" s="23" customFormat="1" ht="20.25" x14ac:dyDescent="0.25">
      <c r="A203" s="88"/>
      <c r="C203" s="155"/>
      <c r="D203" s="155"/>
    </row>
    <row r="204" spans="1:4" s="23" customFormat="1" ht="20.25" x14ac:dyDescent="0.25">
      <c r="A204" s="88"/>
      <c r="C204" s="155"/>
      <c r="D204" s="155"/>
    </row>
    <row r="205" spans="1:4" s="23" customFormat="1" ht="20.25" x14ac:dyDescent="0.25">
      <c r="A205" s="88"/>
      <c r="C205" s="155"/>
      <c r="D205" s="155"/>
    </row>
    <row r="206" spans="1:4" s="23" customFormat="1" ht="20.25" x14ac:dyDescent="0.25">
      <c r="A206" s="88"/>
      <c r="C206" s="155"/>
      <c r="D206" s="155"/>
    </row>
    <row r="207" spans="1:4" s="23" customFormat="1" ht="20.25" x14ac:dyDescent="0.25">
      <c r="A207" s="88"/>
      <c r="C207" s="155"/>
      <c r="D207" s="155"/>
    </row>
    <row r="208" spans="1:4" s="23" customFormat="1" x14ac:dyDescent="0.25">
      <c r="A208" s="88"/>
    </row>
    <row r="209" spans="1:8" s="23" customFormat="1" ht="20.25" x14ac:dyDescent="0.25">
      <c r="A209" s="88"/>
      <c r="B209" s="156" t="s">
        <v>86</v>
      </c>
      <c r="C209" s="156" t="s">
        <v>139</v>
      </c>
      <c r="D209" s="157" t="s">
        <v>86</v>
      </c>
      <c r="E209" s="157" t="s">
        <v>139</v>
      </c>
    </row>
    <row r="210" spans="1:8" s="23" customFormat="1" ht="42" x14ac:dyDescent="0.35">
      <c r="A210" s="88"/>
      <c r="B210" s="158" t="s">
        <v>88</v>
      </c>
      <c r="C210" s="158" t="s">
        <v>204</v>
      </c>
      <c r="D210" s="23" t="s">
        <v>88</v>
      </c>
      <c r="F210" s="23" t="str">
        <f>IF(NOT(ISBLANK(D210)),D210,IF(NOT(ISBLANK(E210)),"     "&amp;E210,FALSE))</f>
        <v>Afectación Económica o presupuestal</v>
      </c>
      <c r="G210" s="23" t="s">
        <v>88</v>
      </c>
      <c r="H210" s="23" t="str">
        <f ca="1">IF(NOT(ISERROR(MATCH(G210,_xlfn.ANCHORARRAY(B221),0))),F223&amp;"Por favor no seleccionar los criterios de impacto",G210)</f>
        <v>Afectación Económica o presupuestal</v>
      </c>
    </row>
    <row r="211" spans="1:8" s="23" customFormat="1" ht="42" x14ac:dyDescent="0.35">
      <c r="A211" s="88"/>
      <c r="B211" s="158" t="s">
        <v>88</v>
      </c>
      <c r="C211" s="158" t="s">
        <v>205</v>
      </c>
      <c r="E211" s="23" t="s">
        <v>204</v>
      </c>
      <c r="F211" s="23" t="str">
        <f t="shared" ref="F211:F221" si="0">IF(NOT(ISBLANK(D211)),D211,IF(NOT(ISBLANK(E211)),"     "&amp;E211,FALSE))</f>
        <v xml:space="preserve">     Afectación menor a 200 SMLMV</v>
      </c>
    </row>
    <row r="212" spans="1:8" s="23" customFormat="1" ht="42" x14ac:dyDescent="0.35">
      <c r="A212" s="88"/>
      <c r="B212" s="158" t="s">
        <v>88</v>
      </c>
      <c r="C212" s="158" t="s">
        <v>209</v>
      </c>
      <c r="E212" s="23" t="s">
        <v>205</v>
      </c>
      <c r="F212" s="23" t="str">
        <f t="shared" si="0"/>
        <v xml:space="preserve">     Entre 200 y 1000 SMLMV</v>
      </c>
    </row>
    <row r="213" spans="1:8" s="23" customFormat="1" ht="42" x14ac:dyDescent="0.35">
      <c r="A213" s="88"/>
      <c r="B213" s="158" t="s">
        <v>88</v>
      </c>
      <c r="C213" s="158" t="s">
        <v>210</v>
      </c>
      <c r="E213" s="23" t="s">
        <v>209</v>
      </c>
      <c r="F213" s="23" t="str">
        <f t="shared" si="0"/>
        <v xml:space="preserve">     Entre 1000 y 5000 SMLMV </v>
      </c>
    </row>
    <row r="214" spans="1:8" s="23" customFormat="1" ht="42" x14ac:dyDescent="0.35">
      <c r="A214" s="88"/>
      <c r="B214" s="158" t="s">
        <v>88</v>
      </c>
      <c r="C214" s="158" t="s">
        <v>206</v>
      </c>
      <c r="E214" s="23" t="s">
        <v>210</v>
      </c>
      <c r="F214" s="23" t="str">
        <f t="shared" si="0"/>
        <v xml:space="preserve">     Entre 5000 y 10000 SMLMV</v>
      </c>
    </row>
    <row r="215" spans="1:8" s="23" customFormat="1" ht="42" x14ac:dyDescent="0.35">
      <c r="A215" s="88"/>
      <c r="B215" s="158" t="s">
        <v>56</v>
      </c>
      <c r="C215" s="158" t="s">
        <v>91</v>
      </c>
      <c r="E215" s="23" t="s">
        <v>206</v>
      </c>
      <c r="F215" s="23" t="str">
        <f t="shared" si="0"/>
        <v xml:space="preserve">     Mayor a 10000 SMLMV</v>
      </c>
    </row>
    <row r="216" spans="1:8" s="23" customFormat="1" ht="63" x14ac:dyDescent="0.35">
      <c r="A216" s="88"/>
      <c r="B216" s="158" t="s">
        <v>56</v>
      </c>
      <c r="C216" s="158" t="s">
        <v>92</v>
      </c>
      <c r="D216" s="23" t="s">
        <v>56</v>
      </c>
      <c r="F216" s="23" t="str">
        <f t="shared" si="0"/>
        <v>Pérdida Reputacional</v>
      </c>
    </row>
    <row r="217" spans="1:8" s="23" customFormat="1" ht="42" x14ac:dyDescent="0.35">
      <c r="A217" s="88"/>
      <c r="B217" s="158" t="s">
        <v>56</v>
      </c>
      <c r="C217" s="158" t="s">
        <v>94</v>
      </c>
      <c r="E217" s="23" t="s">
        <v>91</v>
      </c>
      <c r="F217" s="23" t="str">
        <f>IF(NOT(ISBLANK(D217)),D217,IF(NOT(ISBLANK(E217)),"     "&amp;E217,FALSE))</f>
        <v xml:space="preserve">     El riesgo afecta la imagen de alguna área de la organización</v>
      </c>
    </row>
    <row r="218" spans="1:8" s="23" customFormat="1" ht="63" x14ac:dyDescent="0.35">
      <c r="A218" s="88"/>
      <c r="B218" s="158" t="s">
        <v>56</v>
      </c>
      <c r="C218" s="158"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35">
      <c r="A219" s="88"/>
      <c r="B219" s="158" t="s">
        <v>56</v>
      </c>
      <c r="C219" s="158" t="s">
        <v>112</v>
      </c>
      <c r="E219" s="23" t="s">
        <v>94</v>
      </c>
      <c r="F219" s="23" t="str">
        <f t="shared" si="0"/>
        <v xml:space="preserve">     El riesgo afecta la imagen de la entidad con algunos usuarios de relevancia frente al logro de los objetivos</v>
      </c>
    </row>
    <row r="220" spans="1:8" s="23" customFormat="1" x14ac:dyDescent="0.25">
      <c r="A220" s="88"/>
      <c r="E220" s="23" t="s">
        <v>93</v>
      </c>
      <c r="F220" s="23" t="str">
        <f t="shared" si="0"/>
        <v xml:space="preserve">     El riesgo afecta la imagen de de la entidad con efecto publicitario sostenido a nivel de sector administrativo, nivel departamental o municipal</v>
      </c>
    </row>
    <row r="221" spans="1:8" s="23" customFormat="1" x14ac:dyDescent="0.25">
      <c r="A221" s="88"/>
      <c r="B221" s="23" t="e" cm="1">
        <f t="array" aca="1" ref="B221:B223" ca="1">_xlfn.UNIQUE(Tabla1[[#All],[Criterios]])</f>
        <v>#NAME?</v>
      </c>
      <c r="E221" s="23" t="s">
        <v>112</v>
      </c>
      <c r="F221" s="23" t="str">
        <f t="shared" si="0"/>
        <v xml:space="preserve">     El riesgo afecta la imagen de la entidad a nivel nacional, con efecto publicitarios sostenible a nivel país</v>
      </c>
    </row>
    <row r="222" spans="1:8" s="23" customFormat="1" x14ac:dyDescent="0.25">
      <c r="A222" s="88"/>
      <c r="B222" s="23" t="e">
        <f ca="1"/>
        <v>#NAME?</v>
      </c>
    </row>
    <row r="223" spans="1:8" s="23" customFormat="1" x14ac:dyDescent="0.25">
      <c r="B223" s="23" t="e">
        <f ca="1"/>
        <v>#NAME?</v>
      </c>
      <c r="F223" s="159" t="s">
        <v>140</v>
      </c>
    </row>
    <row r="224" spans="1:8" s="23" customFormat="1" x14ac:dyDescent="0.25">
      <c r="F224" s="159" t="s">
        <v>141</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3"/>
    <col min="3" max="3" width="17" style="73" customWidth="1"/>
    <col min="4" max="4" width="14.28515625" style="73"/>
    <col min="5" max="5" width="46" style="73" customWidth="1"/>
    <col min="6" max="16384" width="14.28515625" style="73"/>
  </cols>
  <sheetData>
    <row r="1" spans="2:6" ht="24" customHeight="1" thickBot="1" x14ac:dyDescent="0.25">
      <c r="B1" s="452" t="s">
        <v>76</v>
      </c>
      <c r="C1" s="453"/>
      <c r="D1" s="453"/>
      <c r="E1" s="453"/>
      <c r="F1" s="454"/>
    </row>
    <row r="2" spans="2:6" ht="16.5" thickBot="1" x14ac:dyDescent="0.3">
      <c r="B2" s="74"/>
      <c r="C2" s="74"/>
      <c r="D2" s="74"/>
      <c r="E2" s="74"/>
      <c r="F2" s="74"/>
    </row>
    <row r="3" spans="2:6" ht="16.5" thickBot="1" x14ac:dyDescent="0.25">
      <c r="B3" s="456" t="s">
        <v>62</v>
      </c>
      <c r="C3" s="457"/>
      <c r="D3" s="457"/>
      <c r="E3" s="86" t="s">
        <v>63</v>
      </c>
      <c r="F3" s="87" t="s">
        <v>64</v>
      </c>
    </row>
    <row r="4" spans="2:6" ht="31.5" x14ac:dyDescent="0.2">
      <c r="B4" s="458" t="s">
        <v>65</v>
      </c>
      <c r="C4" s="460" t="s">
        <v>13</v>
      </c>
      <c r="D4" s="75" t="s">
        <v>14</v>
      </c>
      <c r="E4" s="76" t="s">
        <v>66</v>
      </c>
      <c r="F4" s="77">
        <v>0.25</v>
      </c>
    </row>
    <row r="5" spans="2:6" ht="47.25" x14ac:dyDescent="0.2">
      <c r="B5" s="459"/>
      <c r="C5" s="461"/>
      <c r="D5" s="78" t="s">
        <v>15</v>
      </c>
      <c r="E5" s="79" t="s">
        <v>67</v>
      </c>
      <c r="F5" s="80">
        <v>0.15</v>
      </c>
    </row>
    <row r="6" spans="2:6" ht="47.25" x14ac:dyDescent="0.2">
      <c r="B6" s="459"/>
      <c r="C6" s="461"/>
      <c r="D6" s="78" t="s">
        <v>16</v>
      </c>
      <c r="E6" s="79" t="s">
        <v>68</v>
      </c>
      <c r="F6" s="80">
        <v>0.1</v>
      </c>
    </row>
    <row r="7" spans="2:6" ht="63" x14ac:dyDescent="0.2">
      <c r="B7" s="459"/>
      <c r="C7" s="461" t="s">
        <v>17</v>
      </c>
      <c r="D7" s="78" t="s">
        <v>10</v>
      </c>
      <c r="E7" s="79" t="s">
        <v>69</v>
      </c>
      <c r="F7" s="80">
        <v>0.25</v>
      </c>
    </row>
    <row r="8" spans="2:6" ht="31.5" x14ac:dyDescent="0.2">
      <c r="B8" s="459"/>
      <c r="C8" s="461"/>
      <c r="D8" s="78" t="s">
        <v>9</v>
      </c>
      <c r="E8" s="79" t="s">
        <v>70</v>
      </c>
      <c r="F8" s="80">
        <v>0.15</v>
      </c>
    </row>
    <row r="9" spans="2:6" ht="47.25" x14ac:dyDescent="0.2">
      <c r="B9" s="459" t="s">
        <v>150</v>
      </c>
      <c r="C9" s="461" t="s">
        <v>18</v>
      </c>
      <c r="D9" s="78" t="s">
        <v>19</v>
      </c>
      <c r="E9" s="79" t="s">
        <v>71</v>
      </c>
      <c r="F9" s="81" t="s">
        <v>72</v>
      </c>
    </row>
    <row r="10" spans="2:6" ht="63" x14ac:dyDescent="0.2">
      <c r="B10" s="459"/>
      <c r="C10" s="461"/>
      <c r="D10" s="78" t="s">
        <v>20</v>
      </c>
      <c r="E10" s="79" t="s">
        <v>73</v>
      </c>
      <c r="F10" s="81" t="s">
        <v>72</v>
      </c>
    </row>
    <row r="11" spans="2:6" ht="47.25" x14ac:dyDescent="0.2">
      <c r="B11" s="459"/>
      <c r="C11" s="461" t="s">
        <v>21</v>
      </c>
      <c r="D11" s="78" t="s">
        <v>22</v>
      </c>
      <c r="E11" s="79" t="s">
        <v>74</v>
      </c>
      <c r="F11" s="81" t="s">
        <v>72</v>
      </c>
    </row>
    <row r="12" spans="2:6" ht="47.25" x14ac:dyDescent="0.2">
      <c r="B12" s="459"/>
      <c r="C12" s="461"/>
      <c r="D12" s="78" t="s">
        <v>23</v>
      </c>
      <c r="E12" s="79" t="s">
        <v>75</v>
      </c>
      <c r="F12" s="81" t="s">
        <v>72</v>
      </c>
    </row>
    <row r="13" spans="2:6" ht="31.5" x14ac:dyDescent="0.2">
      <c r="B13" s="459"/>
      <c r="C13" s="461" t="s">
        <v>24</v>
      </c>
      <c r="D13" s="78" t="s">
        <v>113</v>
      </c>
      <c r="E13" s="79" t="s">
        <v>116</v>
      </c>
      <c r="F13" s="81" t="s">
        <v>72</v>
      </c>
    </row>
    <row r="14" spans="2:6" ht="32.25" thickBot="1" x14ac:dyDescent="0.25">
      <c r="B14" s="462"/>
      <c r="C14" s="463"/>
      <c r="D14" s="82" t="s">
        <v>114</v>
      </c>
      <c r="E14" s="83" t="s">
        <v>115</v>
      </c>
      <c r="F14" s="84" t="s">
        <v>72</v>
      </c>
    </row>
    <row r="15" spans="2:6" ht="49.5" customHeight="1" x14ac:dyDescent="0.2">
      <c r="B15" s="455" t="s">
        <v>147</v>
      </c>
      <c r="C15" s="455"/>
      <c r="D15" s="455"/>
      <c r="E15" s="455"/>
      <c r="F15" s="455"/>
    </row>
    <row r="16" spans="2:6" ht="27" customHeight="1" x14ac:dyDescent="0.25">
      <c r="B16" s="8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127</v>
      </c>
    </row>
    <row r="3" spans="2:5" x14ac:dyDescent="0.25">
      <c r="B3" t="s">
        <v>32</v>
      </c>
      <c r="E3" t="s">
        <v>126</v>
      </c>
    </row>
    <row r="4" spans="2:5" x14ac:dyDescent="0.25">
      <c r="B4" t="s">
        <v>131</v>
      </c>
      <c r="E4" t="s">
        <v>128</v>
      </c>
    </row>
    <row r="5" spans="2:5" x14ac:dyDescent="0.25">
      <c r="B5" t="s">
        <v>130</v>
      </c>
    </row>
    <row r="8" spans="2:5" x14ac:dyDescent="0.25">
      <c r="B8" t="s">
        <v>84</v>
      </c>
    </row>
    <row r="9" spans="2:5" x14ac:dyDescent="0.25">
      <c r="B9" t="s">
        <v>39</v>
      </c>
    </row>
    <row r="10" spans="2:5" x14ac:dyDescent="0.25">
      <c r="B10" t="s">
        <v>40</v>
      </c>
    </row>
    <row r="13" spans="2:5" x14ac:dyDescent="0.25">
      <c r="B13" t="s">
        <v>123</v>
      </c>
    </row>
    <row r="14" spans="2:5" x14ac:dyDescent="0.25">
      <c r="B14" t="s">
        <v>117</v>
      </c>
    </row>
    <row r="15" spans="2:5" x14ac:dyDescent="0.25">
      <c r="B15" t="s">
        <v>120</v>
      </c>
    </row>
    <row r="16" spans="2:5" x14ac:dyDescent="0.25">
      <c r="B16" t="s">
        <v>118</v>
      </c>
    </row>
    <row r="17" spans="2:2" x14ac:dyDescent="0.25">
      <c r="B17" t="s">
        <v>119</v>
      </c>
    </row>
    <row r="18" spans="2:2" x14ac:dyDescent="0.25">
      <c r="B18" t="s">
        <v>121</v>
      </c>
    </row>
    <row r="19" spans="2:2" x14ac:dyDescent="0.25">
      <c r="B19" t="s">
        <v>122</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39</v>
      </c>
    </row>
    <row r="21" spans="1:1" x14ac:dyDescent="0.2">
      <c r="A21" s="1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Hewlett-Packard Company</cp:lastModifiedBy>
  <cp:lastPrinted>2020-05-13T01:12:22Z</cp:lastPrinted>
  <dcterms:created xsi:type="dcterms:W3CDTF">2020-03-24T23:12:47Z</dcterms:created>
  <dcterms:modified xsi:type="dcterms:W3CDTF">2022-05-07T04:14:34Z</dcterms:modified>
</cp:coreProperties>
</file>