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hidePivotFieldList="1" defaultThemeVersion="124226"/>
  <mc:AlternateContent xmlns:mc="http://schemas.openxmlformats.org/markup-compatibility/2006">
    <mc:Choice Requires="x15">
      <x15ac:absPath xmlns:x15ac="http://schemas.microsoft.com/office/spreadsheetml/2010/11/ac" url="C:\Users\agma-\Documents\Alcaldía de Ibagué\2022\Riesgos\"/>
    </mc:Choice>
  </mc:AlternateContent>
  <xr:revisionPtr revIDLastSave="0" documentId="8_{C5DD0C7E-A583-42B9-ABC6-CAEFD4C925AC}" xr6:coauthVersionLast="47" xr6:coauthVersionMax="47" xr10:uidLastSave="{00000000-0000-0000-0000-000000000000}"/>
  <bookViews>
    <workbookView xWindow="-108" yWindow="-108" windowWidth="23256" windowHeight="12456"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91029"/>
  <pivotCaches>
    <pivotCache cacheId="0" r:id="rId11"/>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18" i="1" l="1"/>
  <c r="S18" i="1"/>
  <c r="Z18" i="1" s="1"/>
  <c r="AB18" i="1" s="1"/>
  <c r="V17" i="1"/>
  <c r="S17" i="1"/>
  <c r="I19" i="1"/>
  <c r="V58" i="1"/>
  <c r="S58" i="1"/>
  <c r="V57" i="1"/>
  <c r="S57" i="1"/>
  <c r="V56" i="1"/>
  <c r="S56" i="1"/>
  <c r="V55" i="1"/>
  <c r="S55" i="1"/>
  <c r="V54" i="1"/>
  <c r="S54" i="1"/>
  <c r="V53" i="1"/>
  <c r="S53" i="1"/>
  <c r="V52" i="1"/>
  <c r="S52" i="1"/>
  <c r="V51" i="1"/>
  <c r="S51" i="1"/>
  <c r="V50" i="1"/>
  <c r="S50" i="1"/>
  <c r="V49" i="1"/>
  <c r="S49" i="1"/>
  <c r="V48" i="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6" i="1"/>
  <c r="S16" i="1"/>
  <c r="V15" i="1"/>
  <c r="S15" i="1"/>
  <c r="AA18" i="1" l="1"/>
  <c r="AD24" i="1"/>
  <c r="AC24" i="1" s="1"/>
  <c r="AD26" i="1"/>
  <c r="AC26" i="1" s="1"/>
  <c r="AD30" i="1"/>
  <c r="AC30" i="1" s="1"/>
  <c r="AD32" i="1"/>
  <c r="AC32" i="1" s="1"/>
  <c r="AD34" i="1"/>
  <c r="AC34" i="1" s="1"/>
  <c r="AD38" i="1"/>
  <c r="AC38" i="1" s="1"/>
  <c r="AD40" i="1"/>
  <c r="AC40" i="1" s="1"/>
  <c r="AD42" i="1"/>
  <c r="AC42" i="1" s="1"/>
  <c r="AD46" i="1"/>
  <c r="AC46" i="1" s="1"/>
  <c r="AD48" i="1"/>
  <c r="AC48" i="1" s="1"/>
  <c r="AD50" i="1"/>
  <c r="AC50" i="1" s="1"/>
  <c r="AD54" i="1"/>
  <c r="AC54" i="1" s="1"/>
  <c r="AD56" i="1"/>
  <c r="AC56" i="1" s="1"/>
  <c r="AD58" i="1"/>
  <c r="AC58" i="1" s="1"/>
  <c r="AD28" i="1"/>
  <c r="AC28" i="1" s="1"/>
  <c r="AD36" i="1"/>
  <c r="AC36" i="1" s="1"/>
  <c r="AD44" i="1"/>
  <c r="AC44" i="1" s="1"/>
  <c r="AD52" i="1"/>
  <c r="AC52" i="1" s="1"/>
  <c r="AD25" i="1"/>
  <c r="AC25" i="1" s="1"/>
  <c r="AD27" i="1"/>
  <c r="AC27" i="1" s="1"/>
  <c r="AD31" i="1"/>
  <c r="AC31" i="1" s="1"/>
  <c r="AD33" i="1"/>
  <c r="AC33" i="1" s="1"/>
  <c r="AD37" i="1"/>
  <c r="AC37" i="1" s="1"/>
  <c r="AD39" i="1"/>
  <c r="AC39" i="1" s="1"/>
  <c r="AD43" i="1"/>
  <c r="AC43" i="1" s="1"/>
  <c r="AD45" i="1"/>
  <c r="AC45" i="1" s="1"/>
  <c r="AD49" i="1"/>
  <c r="AC49" i="1" s="1"/>
  <c r="AD51" i="1"/>
  <c r="AC51" i="1" s="1"/>
  <c r="AD55" i="1"/>
  <c r="AC55" i="1" s="1"/>
  <c r="AD57" i="1"/>
  <c r="AC57" i="1" s="1"/>
  <c r="Z53" i="1"/>
  <c r="Z55" i="1"/>
  <c r="Z57" i="1"/>
  <c r="AD53" i="1"/>
  <c r="AC53" i="1" s="1"/>
  <c r="Z54" i="1"/>
  <c r="Z56" i="1"/>
  <c r="Z58" i="1"/>
  <c r="Z47" i="1"/>
  <c r="Z49" i="1"/>
  <c r="Z51" i="1"/>
  <c r="AD47" i="1"/>
  <c r="AC47" i="1" s="1"/>
  <c r="Z48" i="1"/>
  <c r="Z50" i="1"/>
  <c r="Z52" i="1"/>
  <c r="Z41" i="1"/>
  <c r="Z43" i="1"/>
  <c r="Z45" i="1"/>
  <c r="AD41" i="1"/>
  <c r="AC41" i="1" s="1"/>
  <c r="Z42" i="1"/>
  <c r="Z44" i="1"/>
  <c r="Z46" i="1"/>
  <c r="Z35" i="1"/>
  <c r="Z37" i="1"/>
  <c r="Z39" i="1"/>
  <c r="AD35" i="1"/>
  <c r="AC35" i="1" s="1"/>
  <c r="Z36" i="1"/>
  <c r="Z38" i="1"/>
  <c r="Z40" i="1"/>
  <c r="Z29" i="1"/>
  <c r="Z31" i="1"/>
  <c r="Z33" i="1"/>
  <c r="AD29" i="1"/>
  <c r="AC29" i="1" s="1"/>
  <c r="Z30" i="1"/>
  <c r="Z32" i="1"/>
  <c r="Z34" i="1"/>
  <c r="Z23" i="1"/>
  <c r="Z25" i="1"/>
  <c r="Z27" i="1"/>
  <c r="AD23" i="1"/>
  <c r="AC23" i="1" s="1"/>
  <c r="Z24" i="1"/>
  <c r="Z26" i="1"/>
  <c r="Z28" i="1"/>
  <c r="AB58" i="1" l="1"/>
  <c r="AA58" i="1"/>
  <c r="AE58" i="1" s="1"/>
  <c r="AB56" i="1"/>
  <c r="AA56" i="1"/>
  <c r="AE56" i="1" s="1"/>
  <c r="AB54" i="1"/>
  <c r="AA54" i="1"/>
  <c r="AE54" i="1" s="1"/>
  <c r="AB57" i="1"/>
  <c r="AA57" i="1"/>
  <c r="AE57" i="1" s="1"/>
  <c r="AB55" i="1"/>
  <c r="AA55" i="1"/>
  <c r="AE55" i="1" s="1"/>
  <c r="AB53" i="1"/>
  <c r="AA53" i="1"/>
  <c r="AE53" i="1" s="1"/>
  <c r="AB52" i="1"/>
  <c r="AA52" i="1"/>
  <c r="AE52" i="1" s="1"/>
  <c r="AB50" i="1"/>
  <c r="AA50" i="1"/>
  <c r="AE50" i="1" s="1"/>
  <c r="AB48" i="1"/>
  <c r="AA48" i="1"/>
  <c r="AE48" i="1" s="1"/>
  <c r="AB51" i="1"/>
  <c r="AA51" i="1"/>
  <c r="AE51" i="1" s="1"/>
  <c r="AB49" i="1"/>
  <c r="AA49" i="1"/>
  <c r="AE49" i="1" s="1"/>
  <c r="AB47" i="1"/>
  <c r="AA47" i="1"/>
  <c r="AE47" i="1" s="1"/>
  <c r="AB46" i="1"/>
  <c r="AA46" i="1"/>
  <c r="AE46" i="1" s="1"/>
  <c r="AB44" i="1"/>
  <c r="AA44" i="1"/>
  <c r="AE44" i="1" s="1"/>
  <c r="AB42" i="1"/>
  <c r="AA42" i="1"/>
  <c r="AE42" i="1" s="1"/>
  <c r="AB45" i="1"/>
  <c r="AA45" i="1"/>
  <c r="AE45" i="1" s="1"/>
  <c r="AB43" i="1"/>
  <c r="AA43" i="1"/>
  <c r="AE43" i="1" s="1"/>
  <c r="AB41" i="1"/>
  <c r="AA41" i="1"/>
  <c r="AE41" i="1" s="1"/>
  <c r="AB40" i="1"/>
  <c r="AA40" i="1"/>
  <c r="AE40" i="1" s="1"/>
  <c r="AB38" i="1"/>
  <c r="AA38" i="1"/>
  <c r="AE38" i="1" s="1"/>
  <c r="AB36" i="1"/>
  <c r="AA36" i="1"/>
  <c r="AE36" i="1" s="1"/>
  <c r="AB39" i="1"/>
  <c r="AA39" i="1"/>
  <c r="AE39" i="1" s="1"/>
  <c r="AB37" i="1"/>
  <c r="AA37" i="1"/>
  <c r="AE37" i="1" s="1"/>
  <c r="AB35" i="1"/>
  <c r="AA35" i="1"/>
  <c r="AE35" i="1" s="1"/>
  <c r="AB34" i="1"/>
  <c r="AA34" i="1"/>
  <c r="AE34" i="1" s="1"/>
  <c r="AB32" i="1"/>
  <c r="AA32" i="1"/>
  <c r="AE32" i="1" s="1"/>
  <c r="AB30" i="1"/>
  <c r="AA30" i="1"/>
  <c r="AE30" i="1" s="1"/>
  <c r="AB33" i="1"/>
  <c r="AA33" i="1"/>
  <c r="AE33" i="1" s="1"/>
  <c r="AB31" i="1"/>
  <c r="AA31" i="1"/>
  <c r="AE31" i="1" s="1"/>
  <c r="AB29" i="1"/>
  <c r="AA29" i="1"/>
  <c r="AE29" i="1" s="1"/>
  <c r="AB28" i="1"/>
  <c r="AA28" i="1"/>
  <c r="AE28" i="1" s="1"/>
  <c r="AB26" i="1"/>
  <c r="AA26" i="1"/>
  <c r="AE26" i="1" s="1"/>
  <c r="AB24" i="1"/>
  <c r="AA24" i="1"/>
  <c r="AE24" i="1" s="1"/>
  <c r="AA27" i="1"/>
  <c r="AE27" i="1" s="1"/>
  <c r="AB27" i="1"/>
  <c r="AA25" i="1"/>
  <c r="AE25" i="1" s="1"/>
  <c r="AB25" i="1"/>
  <c r="AB23" i="1"/>
  <c r="AA23" i="1"/>
  <c r="AE23" i="1" s="1"/>
  <c r="J10" i="1" l="1"/>
  <c r="J19" i="1"/>
  <c r="J23" i="1"/>
  <c r="K23" i="1" s="1"/>
  <c r="J29" i="1"/>
  <c r="K29" i="1" s="1"/>
  <c r="J35" i="1"/>
  <c r="K35" i="1" s="1"/>
  <c r="J41" i="1"/>
  <c r="K41" i="1" s="1"/>
  <c r="J47" i="1"/>
  <c r="K47" i="1" s="1"/>
  <c r="J53" i="1"/>
  <c r="K53" i="1" s="1"/>
  <c r="V12" i="1"/>
  <c r="V13" i="1"/>
  <c r="V14" i="1"/>
  <c r="V11" i="1"/>
  <c r="M32" i="1"/>
  <c r="M22" i="1"/>
  <c r="M27" i="1"/>
  <c r="M44" i="1"/>
  <c r="M36" i="1"/>
  <c r="M40" i="1"/>
  <c r="M52" i="1"/>
  <c r="M48" i="1"/>
  <c r="M25" i="1"/>
  <c r="M57" i="1"/>
  <c r="M46" i="1"/>
  <c r="M38" i="1"/>
  <c r="M58" i="1"/>
  <c r="M54" i="1"/>
  <c r="M42" i="1"/>
  <c r="M26" i="1"/>
  <c r="M43" i="1"/>
  <c r="M56" i="1"/>
  <c r="M34" i="1"/>
  <c r="M28" i="1"/>
  <c r="M30" i="1"/>
  <c r="M24" i="1"/>
  <c r="M51" i="1"/>
  <c r="M21" i="1"/>
  <c r="M20" i="1"/>
  <c r="M49" i="1"/>
  <c r="M55" i="1"/>
  <c r="M45" i="1"/>
  <c r="M31" i="1"/>
  <c r="M33" i="1"/>
  <c r="M39" i="1"/>
  <c r="M50" i="1"/>
  <c r="M37" i="1"/>
  <c r="K19" i="1" l="1"/>
  <c r="Z19" i="1" s="1"/>
  <c r="AA19" i="1" l="1"/>
  <c r="AB19" i="1"/>
  <c r="Z20" i="1" s="1"/>
  <c r="S11" i="1"/>
  <c r="F217" i="13"/>
  <c r="S12" i="1"/>
  <c r="S13" i="1"/>
  <c r="S14" i="1"/>
  <c r="AA20" i="1" l="1"/>
  <c r="AB20" i="1"/>
  <c r="Z21" i="1" s="1"/>
  <c r="V10" i="1"/>
  <c r="S10" i="1"/>
  <c r="AB21" i="1" l="1"/>
  <c r="Z22" i="1" s="1"/>
  <c r="AA21" i="1"/>
  <c r="K10" i="1"/>
  <c r="M16" i="1"/>
  <c r="AA22" i="1" l="1"/>
  <c r="AB22" i="1"/>
  <c r="F221" i="13"/>
  <c r="F211" i="13"/>
  <c r="F212" i="13"/>
  <c r="F213" i="13"/>
  <c r="F214" i="13"/>
  <c r="F215" i="13"/>
  <c r="F216" i="13"/>
  <c r="F218" i="13"/>
  <c r="F219" i="13"/>
  <c r="F220" i="13"/>
  <c r="F210" i="13"/>
  <c r="B221" i="13" a="1"/>
  <c r="M12" i="1"/>
  <c r="M13" i="1"/>
  <c r="M11" i="1"/>
  <c r="M14" i="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J15" i="1" l="1"/>
  <c r="K15" i="1" l="1"/>
  <c r="Z15" i="1" s="1"/>
  <c r="AA15" i="1" l="1"/>
  <c r="AB15" i="1"/>
  <c r="Z16" i="1" s="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A16" i="1" l="1"/>
  <c r="AB16" i="1"/>
  <c r="Z10" i="1"/>
  <c r="AA10" i="1" s="1"/>
  <c r="Z17" i="1" l="1"/>
  <c r="AB10" i="1"/>
  <c r="Z11" i="1" s="1"/>
  <c r="AB17" i="1" l="1"/>
  <c r="AA17" i="1"/>
  <c r="AB11" i="1"/>
  <c r="Z12" i="1" s="1"/>
  <c r="AA11" i="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AA12" i="1" l="1"/>
  <c r="AB12" i="1"/>
  <c r="Z13" i="1" s="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A13" i="1" l="1"/>
  <c r="AB13" i="1"/>
  <c r="Z14"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B14" i="1" l="1"/>
  <c r="AA14" i="1"/>
  <c r="AG39" i="19"/>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9" i="1" l="1"/>
  <c r="N19" i="1" s="1"/>
  <c r="M23" i="1"/>
  <c r="N23" i="1" s="1"/>
  <c r="M29" i="1"/>
  <c r="N29" i="1" s="1"/>
  <c r="M35" i="1"/>
  <c r="N35" i="1" s="1"/>
  <c r="M41" i="1"/>
  <c r="N41" i="1" s="1"/>
  <c r="M47" i="1"/>
  <c r="N47" i="1" s="1"/>
  <c r="M53" i="1"/>
  <c r="N53" i="1" s="1"/>
  <c r="M15" i="1"/>
  <c r="N15" i="1" s="1"/>
  <c r="M10" i="1"/>
  <c r="N10" i="1" s="1"/>
  <c r="P38" i="18" l="1"/>
  <c r="J6" i="18"/>
  <c r="V6" i="18"/>
  <c r="J22" i="18"/>
  <c r="V22" i="18"/>
  <c r="AH6" i="18"/>
  <c r="P22" i="18"/>
  <c r="AH22" i="18"/>
  <c r="P6" i="18"/>
  <c r="O10" i="1"/>
  <c r="AD10" i="1" s="1"/>
  <c r="AD11"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P15" i="1"/>
  <c r="R30" i="18"/>
  <c r="AD38" i="18"/>
  <c r="AD22" i="18"/>
  <c r="O15" i="1"/>
  <c r="AD15" i="1" s="1"/>
  <c r="L30" i="18"/>
  <c r="AJ14" i="18"/>
  <c r="L14" i="18"/>
  <c r="X38" i="18"/>
  <c r="L22" i="18"/>
  <c r="AD30" i="18"/>
  <c r="AJ22" i="18"/>
  <c r="X14" i="18"/>
  <c r="X6" i="18"/>
  <c r="R22" i="18"/>
  <c r="L6" i="18"/>
  <c r="X22" i="18"/>
  <c r="O53" i="1"/>
  <c r="P5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47" i="1"/>
  <c r="P4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41" i="1"/>
  <c r="O4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35" i="1"/>
  <c r="P3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29" i="1"/>
  <c r="O29"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23" i="1"/>
  <c r="O23"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19" i="1"/>
  <c r="AD19" i="1" s="1"/>
  <c r="P19"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C15" i="1" l="1"/>
  <c r="AE15" i="1" s="1"/>
  <c r="AD16" i="1"/>
  <c r="AD17" i="1" s="1"/>
  <c r="AC19" i="1"/>
  <c r="AE19" i="1" s="1"/>
  <c r="AD20" i="1"/>
  <c r="AC10" i="1"/>
  <c r="P36" i="19" s="1"/>
  <c r="AH27" i="19" l="1"/>
  <c r="J37" i="19"/>
  <c r="AB37" i="19"/>
  <c r="J27" i="19"/>
  <c r="AC17" i="1"/>
  <c r="AE17" i="1" s="1"/>
  <c r="AD18" i="1"/>
  <c r="AC18" i="1" s="1"/>
  <c r="AE18" i="1" s="1"/>
  <c r="P7" i="19"/>
  <c r="AH17" i="19"/>
  <c r="J17" i="19"/>
  <c r="V37" i="19"/>
  <c r="AB27" i="19"/>
  <c r="J7" i="19"/>
  <c r="AB17" i="19"/>
  <c r="P37" i="19"/>
  <c r="V27" i="19"/>
  <c r="V47" i="19"/>
  <c r="AH47" i="19"/>
  <c r="J47" i="19"/>
  <c r="V17" i="19"/>
  <c r="P17" i="19"/>
  <c r="AB47" i="19"/>
  <c r="AB7" i="19"/>
  <c r="P27" i="19"/>
  <c r="AH37" i="19"/>
  <c r="V7" i="19"/>
  <c r="P47" i="19"/>
  <c r="AH7" i="19"/>
  <c r="AC16" i="1"/>
  <c r="AE16" i="1" s="1"/>
  <c r="AB16" i="19"/>
  <c r="AH36" i="19"/>
  <c r="V46" i="19"/>
  <c r="AH46" i="19"/>
  <c r="J36" i="19"/>
  <c r="V16" i="19"/>
  <c r="AH26" i="19"/>
  <c r="AE10" i="1"/>
  <c r="AB26" i="19"/>
  <c r="J46" i="19"/>
  <c r="J16" i="19"/>
  <c r="AH6" i="19"/>
  <c r="AB36" i="19"/>
  <c r="J26" i="19"/>
  <c r="P26" i="19"/>
  <c r="AB46" i="19"/>
  <c r="P6" i="19"/>
  <c r="AH16" i="19"/>
  <c r="P46" i="19"/>
  <c r="AB6" i="19"/>
  <c r="V26" i="19"/>
  <c r="J6" i="19"/>
  <c r="P16" i="19"/>
  <c r="V36" i="19"/>
  <c r="J29" i="19"/>
  <c r="J19" i="19"/>
  <c r="V29" i="19"/>
  <c r="AH9" i="19"/>
  <c r="AC20" i="1"/>
  <c r="AI19" i="19" s="1"/>
  <c r="AD21" i="1"/>
  <c r="AB19" i="19"/>
  <c r="V9" i="19"/>
  <c r="AH29" i="19"/>
  <c r="V39" i="19"/>
  <c r="AB9" i="19"/>
  <c r="V19" i="19"/>
  <c r="P9" i="19"/>
  <c r="AH39" i="19"/>
  <c r="P39" i="19"/>
  <c r="V49" i="19"/>
  <c r="P19" i="19"/>
  <c r="AB39" i="19"/>
  <c r="AH49" i="19"/>
  <c r="J49" i="19"/>
  <c r="J9" i="19"/>
  <c r="J39" i="19"/>
  <c r="AB29" i="19"/>
  <c r="P49" i="19"/>
  <c r="AB49" i="19"/>
  <c r="P29" i="19"/>
  <c r="AH19" i="19"/>
  <c r="V6" i="19"/>
  <c r="AC11" i="1"/>
  <c r="AD12" i="1"/>
  <c r="AC39" i="19" l="1"/>
  <c r="AI39" i="19"/>
  <c r="K39" i="19"/>
  <c r="AE20" i="1"/>
  <c r="AC49" i="19"/>
  <c r="AC21" i="1"/>
  <c r="AE21" i="1" s="1"/>
  <c r="AD22" i="1"/>
  <c r="AC22" i="1" s="1"/>
  <c r="Q39" i="19"/>
  <c r="Q29" i="19"/>
  <c r="AI29" i="19"/>
  <c r="AC9" i="19"/>
  <c r="W49" i="19"/>
  <c r="Q19" i="19"/>
  <c r="Q49" i="19"/>
  <c r="AI9" i="19"/>
  <c r="Q9" i="19"/>
  <c r="K49" i="19"/>
  <c r="K19" i="19"/>
  <c r="AC19" i="19"/>
  <c r="W9" i="19"/>
  <c r="K29" i="19"/>
  <c r="W29" i="19"/>
  <c r="W19" i="19"/>
  <c r="AC29" i="19"/>
  <c r="K9" i="19"/>
  <c r="AI49" i="19"/>
  <c r="W39" i="19"/>
  <c r="W37" i="19"/>
  <c r="AC7" i="19"/>
  <c r="AI7" i="19"/>
  <c r="W47" i="19"/>
  <c r="W17" i="19"/>
  <c r="Q37" i="19"/>
  <c r="W27" i="19"/>
  <c r="AI27" i="19"/>
  <c r="Q47" i="19"/>
  <c r="Q7" i="19"/>
  <c r="W7" i="19"/>
  <c r="K27" i="19"/>
  <c r="AI17" i="19"/>
  <c r="K17" i="19"/>
  <c r="K47" i="19"/>
  <c r="K7" i="19"/>
  <c r="AI47" i="19"/>
  <c r="Q17" i="19"/>
  <c r="Q27" i="19"/>
  <c r="K37" i="19"/>
  <c r="AC27" i="19"/>
  <c r="AC47" i="19"/>
  <c r="AC37" i="19"/>
  <c r="AI37" i="19"/>
  <c r="AC17" i="19"/>
  <c r="AC12" i="1"/>
  <c r="AD13" i="1"/>
  <c r="AE11" i="1"/>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R19" i="19" l="1"/>
  <c r="AJ49" i="19"/>
  <c r="L9" i="19"/>
  <c r="X9" i="19"/>
  <c r="AJ39" i="19"/>
  <c r="AJ19" i="19"/>
  <c r="X49" i="19"/>
  <c r="AD19" i="19"/>
  <c r="AD29" i="19"/>
  <c r="AJ9" i="19"/>
  <c r="X39" i="19"/>
  <c r="X19" i="19"/>
  <c r="AD39" i="19"/>
  <c r="R9" i="19"/>
  <c r="L19" i="19"/>
  <c r="AJ29" i="19"/>
  <c r="L29" i="19"/>
  <c r="L49" i="19"/>
  <c r="R49" i="19"/>
  <c r="R29" i="19"/>
  <c r="R39" i="19"/>
  <c r="AD49" i="19"/>
  <c r="L39" i="19"/>
  <c r="AD9" i="19"/>
  <c r="X29" i="19"/>
  <c r="AE22" i="1"/>
  <c r="Y39" i="19"/>
  <c r="Y29" i="19"/>
  <c r="AK49" i="19"/>
  <c r="M9" i="19"/>
  <c r="AK29" i="19"/>
  <c r="AK39" i="19"/>
  <c r="S19" i="19"/>
  <c r="S29" i="19"/>
  <c r="M19" i="19"/>
  <c r="AE9" i="19"/>
  <c r="AE39" i="19"/>
  <c r="S39" i="19"/>
  <c r="M39" i="19"/>
  <c r="S49" i="19"/>
  <c r="M49" i="19"/>
  <c r="AK9" i="19"/>
  <c r="AE49" i="19"/>
  <c r="AE19" i="19"/>
  <c r="Y19" i="19"/>
  <c r="AK19" i="19"/>
  <c r="S9" i="19"/>
  <c r="Y9" i="19"/>
  <c r="AE29" i="19"/>
  <c r="M29" i="19"/>
  <c r="Y49" i="19"/>
  <c r="AJ7" i="19"/>
  <c r="L47" i="19"/>
  <c r="AJ37" i="19"/>
  <c r="R37" i="19"/>
  <c r="L27" i="19"/>
  <c r="AD7" i="19"/>
  <c r="AD17" i="19"/>
  <c r="X37" i="19"/>
  <c r="L37" i="19"/>
  <c r="R47" i="19"/>
  <c r="R17" i="19"/>
  <c r="AD37" i="19"/>
  <c r="AJ17" i="19"/>
  <c r="X7" i="19"/>
  <c r="AJ47" i="19"/>
  <c r="X47" i="19"/>
  <c r="L7" i="19"/>
  <c r="L17" i="19"/>
  <c r="AD27" i="19"/>
  <c r="R27" i="19"/>
  <c r="X27" i="19"/>
  <c r="AD47" i="19"/>
  <c r="R7" i="19"/>
  <c r="AJ27" i="19"/>
  <c r="X17" i="19"/>
  <c r="AC13" i="1"/>
  <c r="AD14" i="1"/>
  <c r="AE12" i="1"/>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AC14" i="1"/>
  <c r="AE13" i="1"/>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E14" i="1"/>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s>
  <commentList>
    <comment ref="R10" authorId="0" shapeId="0" xr:uid="{992FBA1A-B563-4EE4-B360-9A638542599F}">
      <text>
        <r>
          <rPr>
            <b/>
            <sz val="9"/>
            <color indexed="81"/>
            <rFont val="Tahoma"/>
          </rPr>
          <t>ACER:</t>
        </r>
        <r>
          <rPr>
            <sz val="9"/>
            <color indexed="81"/>
            <rFont val="Tahoma"/>
          </rPr>
          <t xml:space="preserve">
Documentar</t>
        </r>
      </text>
    </comment>
  </commentList>
</comments>
</file>

<file path=xl/metadata.xml><?xml version="1.0" encoding="utf-8"?>
<metadata xmlns="http://schemas.openxmlformats.org/spreadsheetml/2006/main" xmlns:xlrd="http://schemas.microsoft.com/office/spreadsheetml/2017/richdata">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xmlns:xda="http://schemas.microsoft.com/office/spreadsheetml/2017/dynamicarray"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<sst xmlns="http://schemas.openxmlformats.org/spreadsheetml/2006/main" count="443" uniqueCount="272">
  <si>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</si>
  <si>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</si>
  <si>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</si>
  <si>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</si>
  <si>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</si>
  <si>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</si>
  <si>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</si>
  <si>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</si>
  <si>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</si>
  <si>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</si>
  <si>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</si>
  <si>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</si>
  <si>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</si>
  <si>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</si>
  <si>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</si>
  <si>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</si>
  <si>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</si>
  <si>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</si>
  <si>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</si>
  <si>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</si>
  <si>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</si>
  <si>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</si>
  <si>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</si>
  <si>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</si>
  <si>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</si>
  <si>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</si>
  <si>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</si>
  <si>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</si>
  <si>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</si>
  <si>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</si>
  <si>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</si>
  <si>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</si>
  <si>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</si>
  <si>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</si>
  <si>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</si>
  <si>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</si>
  <si>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</si>
  <si>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</si>
  <si>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</si>
  <si>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</si>
  <si>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</si>
  <si>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</si>
  <si>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</si>
  <si>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</si>
  <si>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</si>
  <si>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</si>
  <si>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</si>
  <si>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</si>
  <si>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</si>
  <si>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</si>
  <si>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</si>
  <si>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</si>
  <si>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</si>
  <si>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</si>
  <si>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</si>
  <si>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</si>
  <si>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</si>
  <si>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</si>
  <si>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</si>
  <si>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</si>
  <si>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</si>
  <si>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</si>
  <si>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</si>
  <si>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</si>
  <si>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</si>
  <si>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</si>
  <si>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</si>
  <si>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</si>
  <si>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</si>
  <si>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</si>
  <si>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</si>
  <si>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</si>
  <si>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</si>
  <si>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</si>
  <si>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</si>
  <si>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</si>
  <si>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</si>
  <si>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</si>
  <si>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</si>
  <si>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</si>
  <si>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</si>
  <si>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</si>
  <si>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</si>
  <si>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</si>
  <si>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</si>
  <si>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</si>
  <si>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</si>
  <si>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</si>
  <si>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</si>
  <si>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</si>
  <si>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</si>
  <si>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</si>
  <si>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</si>
  <si>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</si>
  <si>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</si>
  <si>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</si>
  <si>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</si>
  <si>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</si>
  <si>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</si>
  <si>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</si>
  <si>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</si>
  <si>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</si>
  <si>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</si>
  <si>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</si>
  <si>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</si>
  <si>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</si>
  <si>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</si>
  <si>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</si>
  <si>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</si>
  <si>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</si>
  <si>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</si>
  <si>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</si>
  <si>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</si>
  <si>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</si>
  <si>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</si>
  <si>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</si>
  <si>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</si>
  <si>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</si>
  <si>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</si>
  <si>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</si>
  <si>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</si>
  <si>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</si>
  <si>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</si>
  <si>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</si>
  <si>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</si>
  <si>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</si>
  <si>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</si>
  <si>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</si>
  <si>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</si>
  <si>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</si>
  <si>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</si>
  <si>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</si>
  <si>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</si>
  <si>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</si>
  <si>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</si>
  <si>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</si>
  <si>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</si>
  <si>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</si>
  <si>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</si>
  <si>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</si>
  <si>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</si>
  <si>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</si>
  <si>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</si>
  <si>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</si>
  <si>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</si>
  <si>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</si>
  <si>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</si>
  <si>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</si>
  <si>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</si>
  <si>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</si>
  <si>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</si>
  <si>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</si>
  <si>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</si>
  <si>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</si>
  <si>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</si>
  <si>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</si>
  <si>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</si>
  <si>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</si>
  <si>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</si>
  <si>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</si>
  <si>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</si>
  <si>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</si>
  <si>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</si>
  <si>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</si>
  <si>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</si>
  <si>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</si>
  <si>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</si>
  <si>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</si>
  <si>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</si>
  <si>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</si>
  <si>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</si>
  <si>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</si>
  <si>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</si>
  <si>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</si>
  <si>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</si>
  <si>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</si>
  <si>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</si>
  <si>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</si>
  <si>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</si>
  <si>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</si>
  <si>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</si>
  <si>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</si>
  <si>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</si>
  <si>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</si>
  <si>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</si>
  <si>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</si>
  <si>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</si>
  <si>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</si>
  <si>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</si>
  <si>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</si>
  <si>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</si>
  <si>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</si>
  <si>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</si>
  <si>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</si>
  <si>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</si>
  <si>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</si>
  <si>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</si>
  <si>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</si>
  <si>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</si>
  <si>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</si>
  <si>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</si>
  <si>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</si>
  <si>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</si>
  <si>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Actividades de Riesgo</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</si>
  <si>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</si>
  <si>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</si>
  <si>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</si>
  <si>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</si>
  <si>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</si>
  <si>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</si>
  <si>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</si>
  <si>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</si>
  <si>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</si>
  <si>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</si>
  <si>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Incumplimiento de los requisitos de las normas HSEQ</t>
  </si>
  <si>
    <t>Inadecuada Gestión del Conocimiento</t>
  </si>
  <si>
    <t>Falta de compromiso de la alta dirección</t>
  </si>
  <si>
    <t>Posibilidad de perdida reputacional por la cancelación o retiro de las certificaciones obtenidas debido al incumplimiento de los requisitos de las normas HSEQ.</t>
  </si>
  <si>
    <t xml:space="preserve">cancelación o retiro de las certificaciones obtenidas </t>
  </si>
  <si>
    <t>Incumplimiento de la estructura documental del instrutivo de Elaboración de Documentos del SIGAMI</t>
  </si>
  <si>
    <t xml:space="preserve">Constantes cambios en la normatividad </t>
  </si>
  <si>
    <t>multa o sanción de los entes reguladores</t>
  </si>
  <si>
    <t>incumpliento de los controles establecidos en la norma ISO 27001</t>
  </si>
  <si>
    <t xml:space="preserve">Insuficiente recurso presupuestal </t>
  </si>
  <si>
    <t>Desconocimiento de las políticas de Seguridad de la Información por parte del personal de la entidad.</t>
  </si>
  <si>
    <t>Uso de recurso tecnologico como herramienta de apoyo a los procesos
Actividades de Gestión Documental
Trámites y servicios Digitales</t>
  </si>
  <si>
    <t>Posibilidad de perdida reputacional por multa o sanción de los entes reguladores debido al incumpliento de los controles establecidos en la norma ISO 27001</t>
  </si>
  <si>
    <t>El comité Institucional de Gestión y Desempeño anualmente verifica que el plan de recursos presentado por parte de la Secretaría de las TIC tenga los recursos suficientes para la implmentación y mantenimiento del Sistema de Seguridad de la Información, dejando como evidencia el acta del comité y el presupuesto asignado.</t>
  </si>
  <si>
    <t>La secretaria de las TIC junto con su equipo de trabajo, trimestralmente verifica el cumplimiento del plan de sensibilización y capacitación del Sistema de Gestión de Seguridad de la Información. Dejando como evidencia la evaluación del indicador.</t>
  </si>
  <si>
    <t xml:space="preserve">Inadecuada Planeación de la implementación o mantenimiento de los controles </t>
  </si>
  <si>
    <t>La secretaria de las TIC junto con su equipo de trabajo, trismestral verifica y realiza seguimiento al cumplimiento de los controles del Sistema de Gestión de Seguridad de la Información. Dejando como evidencia la evaluación del indicador ó la matriz de autoevaluación de la implmentación del MSPI.</t>
  </si>
  <si>
    <t>DESARROLLAR ACCIONES PARA LA IMPLEMENTACIÓN, SOSTENIBILIDAD Y MEJORA CONTINUA DEL SISTEMA INTEGRADO DE GESTIÓN DE LA ADMINISTRACIÓN MUNICIPAL DE IBAGUÉ “SIGAMI”, OMO HERRAMIENTA PARA LA TOMA DE DECISIONES Y EL CUMPLIMIENTO DE LA MISIÓN Y OBJETIVOS INSTITUCIONALES.</t>
  </si>
  <si>
    <t>SISTEMA INTEGRADO DE GESTIÓN</t>
  </si>
  <si>
    <t>INICIA DESDE LA PLANEACION DEL PROCESO, EL AFIANZAMIENTO DE LA CULTURA Y COMPROMISO ORGANIZACIONAL CON EL SIGAMI, HASTA LA CONSOLIDACIÓN DE LOS RESULTADOS DE LA MEDICIÓN Y SEGUIMIENTO DEL SISTEMA.</t>
  </si>
  <si>
    <t>Incumplimiento de los indicadores de Gestión</t>
  </si>
  <si>
    <t>Auditorías internas fuera de los parametros estabelcidos</t>
  </si>
  <si>
    <t xml:space="preserve">Consolidación de Indicadores del Sistema Integrado de Gestión SIGAMI
Auditorías Internas - Seguimiento al cumplimiento de los requisitos de las Normas HSEQ
Consolidación y monitoreo a mapas de riesgos
Control de documentaciónd SIGAMI
Consolidación y seguimiento a normogramas </t>
  </si>
  <si>
    <t>La directora(a) de Fortalecimiento Institucional junto con su equipo de trabajo trimestralmente consolida el reporte de indicadores y revisa el cumplimiento de las metas. Dejando como evidencia el tablero de indicadores de SIGAMI.</t>
  </si>
  <si>
    <t xml:space="preserve">La directora(a) de Fortalecimiento Institucional junto con su equipo  antes de eliminar, actualizar o crear un documento SIGAMI que se cumpla con la estructura documental del instrutivo de Elaboración de Documentos del SIGAMI. Dejando como evidencia correos electrónicos o el listado maestro de documentos. </t>
  </si>
  <si>
    <t xml:space="preserve">La directora(a) de Fortalecimiento Institucional cada vez que se requiera, revisa que la Oficina de Control Interno dentro de su Programa Anual de Auditoría determine las fechas de las auditorías de gestión con el fin de realar adecuadamente la planeación de las mismas. </t>
  </si>
  <si>
    <t>La directora(a) de Fortalecimiento Institucional junto con su equipo de trabajo trimestralmente consolida el reporte de normograma y realiza el seguimiento aleatorio del cumplimiento de la normatividad. Dejando como evidencia actas de reunión y correos eléctronicos de retrolimentación</t>
  </si>
  <si>
    <t xml:space="preserve">Los Líderes de los Sistemas de Gestión y sus equipos de trabajo, anualmente verifican la apropición del Sistema Integrado de Gestión a través de las evaluación de impacto de los procesos de Inducción y reinducción a fin de identificar las fortalezas y debilidades del personal.  Dejando como evidencia el informe  de resultados.  </t>
  </si>
  <si>
    <t xml:space="preserve">La director(a) de Fortalecimiento Institucional presentará el reporte o semaforización de las entregas con el fin de los procesos que no hayan cumplido a cabalidad con las directrices impartidas realizcen las acciones correctivas necesarias. </t>
  </si>
  <si>
    <t>La director(a) de Fortalecimiento Instituciona</t>
  </si>
  <si>
    <t>A partir del mes de mayo</t>
  </si>
  <si>
    <t>Remitir a la Dirección de Fortalecimiento mediante memorando el Plan de Recursos, con el fin de Garantizar que sea incluido en el Ordén del día del Comité Institucional de Gestión y Desempeño</t>
  </si>
  <si>
    <t>La secretaria de TIC</t>
  </si>
  <si>
    <t>31/05/2022</t>
  </si>
  <si>
    <t>La secretaría de las TIC en conjunto con la Oficina de Comunicaciones realizan campañas publicitarias de sensibilización relaciondas con las politicas de Seguridad de la Información y el Sistema en general.</t>
  </si>
  <si>
    <t xml:space="preserve">La secretaría de las TIC en conjunto con la Oficina de Comunicaciones </t>
  </si>
  <si>
    <t>Inicio: 01/06/2022 
Final: 31/12/2022</t>
  </si>
  <si>
    <t>Comunicar anualmente a las dependencias los controles que son de su competencia.</t>
  </si>
  <si>
    <t>El comité Institucional de Gestión y Desempeño semestralmente verifica el cumplimiento del plan de trabajo de implementación y mantemiento del Sistema de Seguridad de la Información, dejando como evidencia el acta del comité.</t>
  </si>
  <si>
    <t xml:space="preserve">Formular un plan de mejora de las acciones y/o actividades vencidas, socializando a cada dependencia su reponsabilidad directa o indirecta en cada una estas. </t>
  </si>
  <si>
    <t>Sectretaría de TIC y Dirección de Fortalecimiento Institucional</t>
  </si>
  <si>
    <t>Trimestralmente</t>
  </si>
  <si>
    <t>Inicio: 01/07/2022 
Final: 31/12/2022</t>
  </si>
  <si>
    <t>Incumplimiento del plan de trabajo</t>
  </si>
  <si>
    <r>
      <rPr>
        <b/>
        <sz val="10"/>
        <color theme="9" tint="-0.249977111117893"/>
        <rFont val="Arial Narrow"/>
        <family val="2"/>
      </rPr>
      <t xml:space="preserve">*Nota: </t>
    </r>
    <r>
      <rPr>
        <sz val="10"/>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</si>
  <si>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30 de junio</t>
  </si>
  <si>
    <t xml:space="preserve">
Posibilidad de perdida reputación y afectación económica por multa o sanción de los entes reguladores debido al incumplimiento de la normatividad vigente en Seguridad y Salud en el Trabajo, y ambiente.</t>
  </si>
  <si>
    <t>Falta de compromiso, gestión y liderazgo en los diferentes sistemas que componen SIGAMI</t>
  </si>
  <si>
    <t>Desarrollo, implementación y seguimiento al plan de trabajo del Sistema de Salud y Seguridad en el Trabajo y Sistema de Gestión Ambiental.</t>
  </si>
  <si>
    <t>debido al incumplimiento de la normatividad vigente en Seguridad y Salud en el Trabajo y ambiente.</t>
  </si>
  <si>
    <t>Los líderes de los Sistemas de Seguridad y Salud en el Trabajo y el Sistema de Gestión Ambiental con los Profesionales designados, el equipo de trabajo y/o el COPASST, mensualmente verifican el cumplimiento al plan de trabajo del respectivo. Dejando como evidencia las actas de reunión y los indicadores de Gestión del Sistema de Gestión de SST y Gestión Ambiental.</t>
  </si>
  <si>
    <t xml:space="preserve">Insuficiencia en el talento humano </t>
  </si>
  <si>
    <t xml:space="preserve">Los líderes de los Sistemas de Seguridad y Salud en el Trabajo y el Sistema de Gestión Ambiental con los Profesionales designados, anualmente verifican la necesidad del talento humano en misión y se determinan los requeridos para el buen funcionamiento de los Sistemas de SST y Gestión Ambiental y se incluye en el plan anual de adquisiciones de las dependencias. Dejando como evidencia el plan anual de adquisiones. </t>
  </si>
  <si>
    <t>deficiente priorización en la gestión para el cumplimiento de los requisitos o necesidades en SST y Sistema de Gestión Ambiental</t>
  </si>
  <si>
    <t>Los líderes de los Sistemas de Seguridad y Salud en el Trabajo y el Sistema de Gestión Ambiental con los Profesionales designados, trimestralmente realizan seguimiento al cumplimiento del Plan de Acción. Dejando como evidencia actas de reunión.</t>
  </si>
  <si>
    <t>El comité Institucional de Gestión y Desempeño, trimestralmente verifica el cumplimiento de los planes de trabajo y revisan el cumplimiento de los indicadores de los objetivos. Dejando como evidencia las actas de comité.</t>
  </si>
  <si>
    <t>Semestralmente el grupo de SST y/o el equipo líder del Sistema de Gestión Ambiental junto con la Dirección de Fortalecimiento Institucional realizarán seguimiento al plan anual de trabajo y a las acciones correctivas de las auditorías al Sistema Sistema de Seguridad y Salud en el Trabajo y del Sistema de gestión Ambiental para Verificar la eficacia de las mismas.</t>
  </si>
  <si>
    <t>Lider del Sistema de Seguridad y Salud en el trabajo y Líder del Sistema de Gestión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</si>
</sst>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7"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sz val="9"/>
      <color indexed="81"/>
      <name val="Tahoma"/>
    </font>
    <font>
      <b/>
      <sz val="9"/>
      <color indexed="81"/>
      <name val="Tahoma"/>
    </font>
    <font>
      <b/>
      <sz val="10"/>
      <color theme="1"/>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
      <left style="dashed">
        <color theme="9" tint="-0.249977111117893"/>
      </left>
      <right style="dashed">
        <color theme="9" tint="-0.249977111117893"/>
      </right>
      <top style="dashed">
        <color theme="9" tint="-0.249977111117893"/>
      </top>
      <bottom/>
      <diagonal/>
    </border>
    <border>
      <left style="dashed">
        <color theme="9" tint="-0.249977111117893"/>
      </left>
      <right style="dashed">
        <color theme="9" tint="-0.249977111117893"/>
      </right>
      <top/>
      <bottom/>
      <diagonal/>
    </border>
  </borders>
  <cellStyleXfs count="5">
    <xf numFmtId="0" fontId="0" fillId="0" borderId="0"/>
    <xf numFmtId="9" fontId="12" fillId="0" borderId="0" applyFont="0" applyFill="0" applyBorder="0" applyAlignment="0" applyProtection="0"/>
    <xf numFmtId="0" fontId="36" fillId="0" borderId="0"/>
    <xf numFmtId="0" fontId="37" fillId="0" borderId="0"/>
    <xf numFmtId="0" fontId="4" fillId="0" borderId="0"/>
  </cellStyleXfs>
  <cellXfs count="44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7" fillId="0" borderId="0" xfId="0" applyFont="1" applyAlignment="1">
      <alignment horizontal="center" vertical="center" wrapText="1"/>
    </xf>
    <xf numFmtId="0" fontId="8" fillId="6" borderId="0" xfId="0" applyFont="1" applyFill="1" applyAlignment="1">
      <alignment horizontal="center" vertical="center" wrapText="1" readingOrder="1"/>
    </xf>
    <xf numFmtId="0" fontId="9" fillId="5" borderId="11" xfId="0" applyFont="1" applyFill="1" applyBorder="1" applyAlignment="1">
      <alignment horizontal="center" vertical="center" wrapText="1" readingOrder="1"/>
    </xf>
    <xf numFmtId="0" fontId="9" fillId="0" borderId="11" xfId="0" applyFont="1" applyBorder="1" applyAlignment="1">
      <alignment horizontal="justify" vertical="center" wrapText="1" readingOrder="1"/>
    </xf>
    <xf numFmtId="9" fontId="9" fillId="0" borderId="11" xfId="0" applyNumberFormat="1" applyFont="1" applyBorder="1" applyAlignment="1">
      <alignment horizontal="center" vertical="center" wrapText="1" readingOrder="1"/>
    </xf>
    <xf numFmtId="0" fontId="9" fillId="7" borderId="1" xfId="0" applyFont="1" applyFill="1" applyBorder="1" applyAlignment="1">
      <alignment horizontal="center" vertical="center" wrapText="1" readingOrder="1"/>
    </xf>
    <xf numFmtId="0" fontId="9" fillId="0" borderId="1" xfId="0" applyFont="1" applyBorder="1" applyAlignment="1">
      <alignment horizontal="justify" vertical="center" wrapText="1" readingOrder="1"/>
    </xf>
    <xf numFmtId="9" fontId="9" fillId="0" borderId="1" xfId="0" applyNumberFormat="1" applyFont="1" applyBorder="1" applyAlignment="1">
      <alignment horizontal="center" vertical="center" wrapText="1" readingOrder="1"/>
    </xf>
    <xf numFmtId="0" fontId="9" fillId="4" borderId="1" xfId="0" applyFont="1" applyFill="1" applyBorder="1" applyAlignment="1">
      <alignment horizontal="center" vertical="center" wrapText="1" readingOrder="1"/>
    </xf>
    <xf numFmtId="0" fontId="9" fillId="8" borderId="1" xfId="0" applyFont="1" applyFill="1" applyBorder="1" applyAlignment="1">
      <alignment horizontal="center" vertical="center" wrapText="1" readingOrder="1"/>
    </xf>
    <xf numFmtId="0" fontId="10" fillId="9" borderId="1" xfId="0" applyFont="1" applyFill="1" applyBorder="1" applyAlignment="1">
      <alignment horizontal="center" vertical="center" wrapText="1" readingOrder="1"/>
    </xf>
    <xf numFmtId="0" fontId="13" fillId="0" borderId="0" xfId="0" applyFont="1"/>
    <xf numFmtId="0" fontId="11" fillId="0" borderId="0" xfId="0" applyFont="1"/>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17" fillId="11" borderId="14" xfId="0" applyFont="1" applyFill="1" applyBorder="1" applyAlignment="1" applyProtection="1">
      <alignment horizontal="center" vertical="center" wrapText="1" readingOrder="1"/>
      <protection hidden="1"/>
    </xf>
    <xf numFmtId="0" fontId="17" fillId="11" borderId="0" xfId="0" applyFont="1" applyFill="1" applyBorder="1" applyAlignment="1" applyProtection="1">
      <alignment horizontal="center" vertical="center" wrapText="1" readingOrder="1"/>
      <protection hidden="1"/>
    </xf>
    <xf numFmtId="0" fontId="17" fillId="11" borderId="15" xfId="0" applyFont="1" applyFill="1" applyBorder="1" applyAlignment="1" applyProtection="1">
      <alignment horizontal="center" vertical="center" wrapText="1" readingOrder="1"/>
      <protection hidden="1"/>
    </xf>
    <xf numFmtId="0" fontId="17" fillId="12" borderId="14" xfId="0" applyFont="1" applyFill="1" applyBorder="1" applyAlignment="1" applyProtection="1">
      <alignment horizontal="center" wrapText="1" readingOrder="1"/>
      <protection hidden="1"/>
    </xf>
    <xf numFmtId="0" fontId="17" fillId="12" borderId="0" xfId="0" applyFont="1" applyFill="1" applyBorder="1" applyAlignment="1" applyProtection="1">
      <alignment horizontal="center" wrapText="1" readingOrder="1"/>
      <protection hidden="1"/>
    </xf>
    <xf numFmtId="0" fontId="17" fillId="12" borderId="15" xfId="0" applyFont="1" applyFill="1" applyBorder="1" applyAlignment="1" applyProtection="1">
      <alignment horizont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16" xfId="0" applyFont="1" applyFill="1" applyBorder="1" applyAlignment="1" applyProtection="1">
      <alignment horizontal="center" vertical="center" wrapText="1" readingOrder="1"/>
      <protection hidden="1"/>
    </xf>
    <xf numFmtId="0" fontId="17" fillId="11" borderId="18" xfId="0" applyFont="1" applyFill="1" applyBorder="1" applyAlignment="1" applyProtection="1">
      <alignment horizontal="center" vertical="center" wrapText="1" readingOrder="1"/>
      <protection hidden="1"/>
    </xf>
    <xf numFmtId="0" fontId="17" fillId="11" borderId="17" xfId="0" applyFont="1" applyFill="1" applyBorder="1" applyAlignment="1" applyProtection="1">
      <alignment horizontal="center" vertical="center" wrapText="1" readingOrder="1"/>
      <protection hidden="1"/>
    </xf>
    <xf numFmtId="0" fontId="17" fillId="12" borderId="16" xfId="0" applyFont="1" applyFill="1" applyBorder="1" applyAlignment="1" applyProtection="1">
      <alignment horizontal="center" wrapText="1" readingOrder="1"/>
      <protection hidden="1"/>
    </xf>
    <xf numFmtId="0" fontId="17" fillId="12" borderId="18" xfId="0" applyFont="1" applyFill="1" applyBorder="1" applyAlignment="1" applyProtection="1">
      <alignment horizontal="center" wrapText="1" readingOrder="1"/>
      <protection hidden="1"/>
    </xf>
    <xf numFmtId="0" fontId="17" fillId="12" borderId="17" xfId="0" applyFont="1" applyFill="1" applyBorder="1" applyAlignment="1" applyProtection="1">
      <alignment horizontal="center" wrapText="1" readingOrder="1"/>
      <protection hidden="1"/>
    </xf>
    <xf numFmtId="0" fontId="17" fillId="13" borderId="12" xfId="0" applyFont="1" applyFill="1" applyBorder="1" applyAlignment="1" applyProtection="1">
      <alignment horizontal="center" wrapText="1" readingOrder="1"/>
      <protection hidden="1"/>
    </xf>
    <xf numFmtId="0" fontId="17" fillId="13" borderId="19" xfId="0" applyFont="1" applyFill="1" applyBorder="1" applyAlignment="1" applyProtection="1">
      <alignment horizontal="center" wrapText="1" readingOrder="1"/>
      <protection hidden="1"/>
    </xf>
    <xf numFmtId="0" fontId="17" fillId="13" borderId="13" xfId="0" applyFont="1" applyFill="1" applyBorder="1" applyAlignment="1" applyProtection="1">
      <alignment horizontal="center" wrapText="1" readingOrder="1"/>
      <protection hidden="1"/>
    </xf>
    <xf numFmtId="0" fontId="17" fillId="13" borderId="14" xfId="0" applyFont="1" applyFill="1" applyBorder="1" applyAlignment="1" applyProtection="1">
      <alignment horizontal="center" wrapText="1" readingOrder="1"/>
      <protection hidden="1"/>
    </xf>
    <xf numFmtId="0" fontId="17" fillId="13" borderId="0" xfId="0" applyFont="1" applyFill="1" applyBorder="1" applyAlignment="1" applyProtection="1">
      <alignment horizontal="center" wrapText="1" readingOrder="1"/>
      <protection hidden="1"/>
    </xf>
    <xf numFmtId="0" fontId="17" fillId="13" borderId="15" xfId="0" applyFont="1" applyFill="1" applyBorder="1" applyAlignment="1" applyProtection="1">
      <alignment horizontal="center" wrapText="1" readingOrder="1"/>
      <protection hidden="1"/>
    </xf>
    <xf numFmtId="0" fontId="17" fillId="13" borderId="16" xfId="0" applyFont="1" applyFill="1" applyBorder="1" applyAlignment="1" applyProtection="1">
      <alignment horizontal="center" wrapText="1" readingOrder="1"/>
      <protection hidden="1"/>
    </xf>
    <xf numFmtId="0" fontId="17" fillId="13" borderId="18" xfId="0" applyFont="1" applyFill="1" applyBorder="1" applyAlignment="1" applyProtection="1">
      <alignment horizontal="center" wrapText="1" readingOrder="1"/>
      <protection hidden="1"/>
    </xf>
    <xf numFmtId="0" fontId="17" fillId="13" borderId="17" xfId="0" applyFont="1" applyFill="1" applyBorder="1" applyAlignment="1" applyProtection="1">
      <alignment horizontal="center" wrapText="1" readingOrder="1"/>
      <protection hidden="1"/>
    </xf>
    <xf numFmtId="0" fontId="17" fillId="5" borderId="12" xfId="0" applyFont="1" applyFill="1" applyBorder="1" applyAlignment="1" applyProtection="1">
      <alignment horizontal="center" wrapText="1" readingOrder="1"/>
      <protection hidden="1"/>
    </xf>
    <xf numFmtId="0" fontId="17" fillId="5" borderId="19" xfId="0" applyFont="1" applyFill="1" applyBorder="1" applyAlignment="1" applyProtection="1">
      <alignment horizontal="center" wrapText="1" readingOrder="1"/>
      <protection hidden="1"/>
    </xf>
    <xf numFmtId="0" fontId="17" fillId="5" borderId="13" xfId="0" applyFont="1" applyFill="1" applyBorder="1" applyAlignment="1" applyProtection="1">
      <alignment horizontal="center" wrapText="1" readingOrder="1"/>
      <protection hidden="1"/>
    </xf>
    <xf numFmtId="0" fontId="17" fillId="5" borderId="14" xfId="0" applyFont="1" applyFill="1" applyBorder="1" applyAlignment="1" applyProtection="1">
      <alignment horizontal="center" wrapText="1" readingOrder="1"/>
      <protection hidden="1"/>
    </xf>
    <xf numFmtId="0" fontId="17" fillId="5" borderId="0" xfId="0" applyFont="1" applyFill="1" applyBorder="1" applyAlignment="1" applyProtection="1">
      <alignment horizontal="center" wrapText="1" readingOrder="1"/>
      <protection hidden="1"/>
    </xf>
    <xf numFmtId="0" fontId="17" fillId="5" borderId="15" xfId="0" applyFont="1" applyFill="1" applyBorder="1" applyAlignment="1" applyProtection="1">
      <alignment horizontal="center" wrapText="1" readingOrder="1"/>
      <protection hidden="1"/>
    </xf>
    <xf numFmtId="0" fontId="17" fillId="5" borderId="16" xfId="0" applyFont="1" applyFill="1" applyBorder="1" applyAlignment="1" applyProtection="1">
      <alignment horizontal="center" wrapText="1" readingOrder="1"/>
      <protection hidden="1"/>
    </xf>
    <xf numFmtId="0" fontId="17" fillId="5" borderId="18" xfId="0" applyFont="1" applyFill="1" applyBorder="1" applyAlignment="1" applyProtection="1">
      <alignment horizontal="center" wrapText="1" readingOrder="1"/>
      <protection hidden="1"/>
    </xf>
    <xf numFmtId="0" fontId="17" fillId="5" borderId="17"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0" fillId="3" borderId="0" xfId="0" applyFill="1"/>
    <xf numFmtId="0" fontId="38" fillId="3" borderId="51" xfId="2" applyFont="1" applyFill="1" applyBorder="1" applyProtection="1"/>
    <xf numFmtId="0" fontId="38" fillId="3" borderId="52" xfId="2" applyFont="1" applyFill="1" applyBorder="1" applyProtection="1"/>
    <xf numFmtId="0" fontId="38" fillId="3" borderId="53" xfId="2" applyFont="1" applyFill="1" applyBorder="1" applyProtection="1"/>
    <xf numFmtId="0" fontId="14" fillId="3" borderId="0" xfId="0" applyFont="1" applyFill="1" applyAlignment="1">
      <alignment vertical="center"/>
    </xf>
    <xf numFmtId="0" fontId="4" fillId="3" borderId="0" xfId="0" applyFont="1" applyFill="1"/>
    <xf numFmtId="0" fontId="26" fillId="3" borderId="0" xfId="0" applyFont="1" applyFill="1"/>
    <xf numFmtId="0" fontId="27" fillId="3" borderId="34" xfId="0" applyFont="1" applyFill="1" applyBorder="1" applyAlignment="1">
      <alignment horizontal="center" vertical="center" wrapText="1" readingOrder="1"/>
    </xf>
    <xf numFmtId="0" fontId="28" fillId="3" borderId="34" xfId="0" applyFont="1" applyFill="1" applyBorder="1" applyAlignment="1">
      <alignment horizontal="justify" vertical="center" wrapText="1" readingOrder="1"/>
    </xf>
    <xf numFmtId="9" fontId="27" fillId="3" borderId="43" xfId="0" applyNumberFormat="1"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8" fillId="3" borderId="33" xfId="0" applyFont="1" applyFill="1" applyBorder="1" applyAlignment="1">
      <alignment horizontal="justify" vertical="center" wrapText="1" readingOrder="1"/>
    </xf>
    <xf numFmtId="9" fontId="27" fillId="3" borderId="38" xfId="0" applyNumberFormat="1" applyFont="1" applyFill="1" applyBorder="1" applyAlignment="1">
      <alignment horizontal="center" vertical="center" wrapText="1" readingOrder="1"/>
    </xf>
    <xf numFmtId="0" fontId="28" fillId="3" borderId="38"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28" fillId="3" borderId="40" xfId="0" applyFont="1" applyFill="1" applyBorder="1" applyAlignment="1">
      <alignment horizontal="justify" vertical="center" wrapText="1" readingOrder="1"/>
    </xf>
    <xf numFmtId="0" fontId="28" fillId="3" borderId="41" xfId="0" applyFont="1" applyFill="1" applyBorder="1" applyAlignment="1">
      <alignment horizontal="center" vertical="center" wrapText="1" readingOrder="1"/>
    </xf>
    <xf numFmtId="0" fontId="35" fillId="3" borderId="0" xfId="0" applyFont="1" applyFill="1"/>
    <xf numFmtId="0" fontId="27" fillId="15" borderId="45" xfId="0" applyFont="1" applyFill="1" applyBorder="1" applyAlignment="1">
      <alignment horizontal="center" vertical="center" wrapText="1" readingOrder="1"/>
    </xf>
    <xf numFmtId="0" fontId="27" fillId="15" borderId="46" xfId="0" applyFont="1" applyFill="1" applyBorder="1" applyAlignment="1">
      <alignment horizontal="center" vertical="center" wrapText="1" readingOrder="1"/>
    </xf>
    <xf numFmtId="0" fontId="11" fillId="3" borderId="0" xfId="0" applyFont="1" applyFill="1"/>
    <xf numFmtId="0" fontId="24" fillId="3" borderId="0" xfId="0" applyFont="1" applyFill="1" applyAlignment="1">
      <alignment horizontal="center" vertical="center" wrapText="1"/>
    </xf>
    <xf numFmtId="0" fontId="13" fillId="3" borderId="0" xfId="0" applyFont="1" applyFill="1"/>
    <xf numFmtId="0" fontId="3" fillId="3" borderId="0" xfId="0" applyFont="1" applyFill="1" applyAlignment="1">
      <alignment horizontal="left" vertical="center"/>
    </xf>
    <xf numFmtId="0" fontId="38" fillId="3" borderId="14" xfId="2" applyFont="1" applyFill="1" applyBorder="1" applyProtection="1"/>
    <xf numFmtId="0" fontId="43" fillId="3" borderId="0" xfId="0" applyFont="1" applyFill="1" applyBorder="1" applyAlignment="1" applyProtection="1">
      <alignment horizontal="left" vertical="center" wrapText="1"/>
    </xf>
    <xf numFmtId="0" fontId="44" fillId="3" borderId="0" xfId="0" applyFont="1" applyFill="1" applyBorder="1" applyAlignment="1" applyProtection="1">
      <alignment horizontal="left" vertical="top" wrapText="1"/>
    </xf>
    <xf numFmtId="0" fontId="38" fillId="3" borderId="0" xfId="2" applyFont="1" applyFill="1" applyBorder="1" applyProtection="1"/>
    <xf numFmtId="0" fontId="38" fillId="3" borderId="15" xfId="2" applyFont="1" applyFill="1" applyBorder="1" applyProtection="1"/>
    <xf numFmtId="0" fontId="38" fillId="3" borderId="16" xfId="2" applyFont="1" applyFill="1" applyBorder="1" applyProtection="1"/>
    <xf numFmtId="0" fontId="38" fillId="3" borderId="18" xfId="2" applyFont="1" applyFill="1" applyBorder="1" applyProtection="1"/>
    <xf numFmtId="0" fontId="38" fillId="3" borderId="17" xfId="2" applyFont="1" applyFill="1" applyBorder="1" applyProtection="1"/>
    <xf numFmtId="0" fontId="42" fillId="3" borderId="0" xfId="2" applyFont="1" applyFill="1" applyBorder="1" applyAlignment="1" applyProtection="1">
      <alignment horizontal="left" vertical="center" wrapText="1"/>
    </xf>
    <xf numFmtId="0" fontId="38" fillId="3" borderId="0" xfId="2" applyFont="1" applyFill="1" applyBorder="1" applyAlignment="1" applyProtection="1">
      <alignment horizontal="left" vertical="center" wrapText="1"/>
    </xf>
    <xf numFmtId="0" fontId="38" fillId="3" borderId="0" xfId="2" quotePrefix="1" applyFont="1" applyFill="1" applyBorder="1" applyAlignment="1" applyProtection="1">
      <alignment horizontal="left" vertical="center" wrapText="1"/>
    </xf>
    <xf numFmtId="0" fontId="38" fillId="3" borderId="15" xfId="2" applyFont="1" applyFill="1" applyBorder="1" applyAlignment="1" applyProtection="1"/>
    <xf numFmtId="0" fontId="40" fillId="3" borderId="14" xfId="2" quotePrefix="1" applyFont="1" applyFill="1" applyBorder="1" applyAlignment="1" applyProtection="1">
      <alignment horizontal="left" vertical="top" wrapText="1"/>
    </xf>
    <xf numFmtId="0" fontId="41" fillId="3" borderId="0" xfId="2" quotePrefix="1" applyFont="1" applyFill="1" applyBorder="1" applyAlignment="1" applyProtection="1">
      <alignment horizontal="left" vertical="top" wrapText="1"/>
    </xf>
    <xf numFmtId="0" fontId="41" fillId="3" borderId="15" xfId="2" quotePrefix="1" applyFont="1" applyFill="1" applyBorder="1" applyAlignment="1" applyProtection="1">
      <alignment horizontal="left" vertical="top" wrapText="1"/>
    </xf>
    <xf numFmtId="0" fontId="5" fillId="0" borderId="2" xfId="0" applyFont="1" applyBorder="1" applyAlignment="1" applyProtection="1">
      <alignment horizontal="justify" vertical="top" wrapText="1"/>
      <protection locked="0"/>
    </xf>
    <xf numFmtId="0" fontId="48" fillId="6" borderId="0" xfId="0" applyFont="1" applyFill="1" applyAlignment="1">
      <alignment horizontal="center" vertical="center" wrapText="1" readingOrder="1"/>
    </xf>
    <xf numFmtId="0" fontId="49" fillId="5" borderId="11" xfId="0" applyFont="1" applyFill="1" applyBorder="1" applyAlignment="1">
      <alignment horizontal="center" vertical="center" wrapText="1" readingOrder="1"/>
    </xf>
    <xf numFmtId="0" fontId="49" fillId="0" borderId="11" xfId="0" applyFont="1" applyBorder="1" applyAlignment="1">
      <alignment horizontal="center" vertical="center" wrapText="1" readingOrder="1"/>
    </xf>
    <xf numFmtId="0" fontId="49" fillId="0" borderId="11" xfId="0" applyFont="1" applyBorder="1" applyAlignment="1">
      <alignment horizontal="justify" vertical="center" wrapText="1" readingOrder="1"/>
    </xf>
    <xf numFmtId="0" fontId="49" fillId="7" borderId="1" xfId="0" applyFont="1" applyFill="1" applyBorder="1" applyAlignment="1">
      <alignment horizontal="center" vertical="center" wrapText="1" readingOrder="1"/>
    </xf>
    <xf numFmtId="0" fontId="49" fillId="0" borderId="1" xfId="0" applyFont="1" applyBorder="1" applyAlignment="1">
      <alignment horizontal="center" vertical="center" wrapText="1" readingOrder="1"/>
    </xf>
    <xf numFmtId="0" fontId="49" fillId="0" borderId="1" xfId="0" applyFont="1" applyBorder="1" applyAlignment="1">
      <alignment horizontal="justify" vertical="center" wrapText="1" readingOrder="1"/>
    </xf>
    <xf numFmtId="0" fontId="49" fillId="4" borderId="1" xfId="0" applyFont="1" applyFill="1" applyBorder="1" applyAlignment="1">
      <alignment horizontal="center" vertical="center" wrapText="1" readingOrder="1"/>
    </xf>
    <xf numFmtId="0" fontId="49" fillId="8" borderId="1" xfId="0" applyFont="1" applyFill="1" applyBorder="1" applyAlignment="1">
      <alignment horizontal="center" vertical="center" wrapText="1" readingOrder="1"/>
    </xf>
    <xf numFmtId="0" fontId="49" fillId="9" borderId="1" xfId="0" applyFont="1" applyFill="1" applyBorder="1" applyAlignment="1">
      <alignment horizontal="center" vertical="center" wrapText="1" readingOrder="1"/>
    </xf>
    <xf numFmtId="0" fontId="50" fillId="3" borderId="0" xfId="0" applyFont="1" applyFill="1" applyBorder="1" applyAlignment="1">
      <alignment horizontal="justify" vertical="center" wrapText="1" readingOrder="1"/>
    </xf>
    <xf numFmtId="0" fontId="51" fillId="3" borderId="0" xfId="0" applyFont="1" applyFill="1" applyAlignment="1">
      <alignment vertical="center"/>
    </xf>
    <xf numFmtId="0" fontId="50" fillId="0" borderId="0" xfId="0" applyFont="1" applyBorder="1" applyAlignment="1">
      <alignment horizontal="justify" vertical="center" wrapText="1" readingOrder="1"/>
    </xf>
    <xf numFmtId="0" fontId="50" fillId="0" borderId="0" xfId="0" applyFont="1" applyFill="1" applyAlignment="1">
      <alignment vertical="center"/>
    </xf>
    <xf numFmtId="0" fontId="11" fillId="0" borderId="0" xfId="0" pivotButton="1" applyFont="1"/>
    <xf numFmtId="0" fontId="52" fillId="0" borderId="0" xfId="0" applyFont="1" applyFill="1" applyAlignment="1">
      <alignment horizontal="center" wrapText="1"/>
    </xf>
    <xf numFmtId="0" fontId="53" fillId="0" borderId="0" xfId="0" applyFont="1"/>
    <xf numFmtId="0" fontId="5" fillId="0" borderId="2" xfId="0" applyFont="1" applyBorder="1" applyAlignment="1" applyProtection="1">
      <alignment horizontal="justify" vertical="center" wrapText="1"/>
      <protection locked="0"/>
    </xf>
    <xf numFmtId="0" fontId="5" fillId="0" borderId="2" xfId="0" applyFont="1" applyBorder="1" applyAlignment="1" applyProtection="1">
      <alignment horizontal="center" vertical="top" wrapText="1"/>
      <protection locked="0"/>
    </xf>
    <xf numFmtId="0" fontId="5" fillId="3" borderId="0" xfId="0" applyFont="1" applyFill="1"/>
    <xf numFmtId="0" fontId="5" fillId="0" borderId="0" xfId="0" applyFont="1"/>
    <xf numFmtId="0" fontId="5" fillId="3" borderId="0" xfId="0" applyFont="1" applyFill="1" applyAlignment="1">
      <alignment horizontal="center" vertical="center"/>
    </xf>
    <xf numFmtId="0" fontId="5" fillId="3" borderId="0" xfId="0" applyFont="1" applyFill="1" applyAlignment="1">
      <alignment horizontal="left" vertical="center"/>
    </xf>
    <xf numFmtId="0" fontId="5" fillId="3" borderId="0" xfId="0" applyFont="1" applyFill="1" applyAlignment="1">
      <alignment horizontal="center"/>
    </xf>
    <xf numFmtId="0" fontId="56" fillId="2" borderId="8" xfId="0" applyFont="1" applyFill="1" applyBorder="1" applyAlignment="1">
      <alignment horizontal="center" vertical="center"/>
    </xf>
    <xf numFmtId="0" fontId="56" fillId="2" borderId="2" xfId="0" applyFont="1" applyFill="1" applyBorder="1" applyAlignment="1">
      <alignment horizontal="center" vertical="center" textRotation="90"/>
    </xf>
    <xf numFmtId="0" fontId="56" fillId="3" borderId="0" xfId="0" applyFont="1" applyFill="1" applyAlignment="1">
      <alignment horizontal="center" vertical="center"/>
    </xf>
    <xf numFmtId="0" fontId="56" fillId="2" borderId="0" xfId="0" applyFont="1" applyFill="1" applyAlignment="1">
      <alignment horizontal="center" vertical="center"/>
    </xf>
    <xf numFmtId="0" fontId="5" fillId="0" borderId="75"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textRotation="90"/>
      <protection locked="0"/>
    </xf>
    <xf numFmtId="9" fontId="5" fillId="0" borderId="2" xfId="0" applyNumberFormat="1" applyFont="1" applyBorder="1" applyAlignment="1" applyProtection="1">
      <alignment horizontal="center" vertical="center"/>
      <protection hidden="1"/>
    </xf>
    <xf numFmtId="164" fontId="5" fillId="0" borderId="2" xfId="1" applyNumberFormat="1" applyFont="1" applyBorder="1" applyAlignment="1">
      <alignment horizontal="center" vertical="center"/>
    </xf>
    <xf numFmtId="0" fontId="56" fillId="0" borderId="2" xfId="0" applyFont="1" applyFill="1" applyBorder="1" applyAlignment="1" applyProtection="1">
      <alignment horizontal="center" vertical="center" textRotation="90" wrapText="1"/>
      <protection hidden="1"/>
    </xf>
    <xf numFmtId="9" fontId="5" fillId="0" borderId="4" xfId="0" applyNumberFormat="1" applyFont="1" applyBorder="1" applyAlignment="1" applyProtection="1">
      <alignment horizontal="center" vertical="center"/>
      <protection hidden="1"/>
    </xf>
    <xf numFmtId="0" fontId="56" fillId="0" borderId="2" xfId="0" applyFont="1" applyBorder="1" applyAlignment="1" applyProtection="1">
      <alignment horizontal="center" vertical="center" textRotation="90"/>
      <protection hidden="1"/>
    </xf>
    <xf numFmtId="14" fontId="5" fillId="0" borderId="2" xfId="0" applyNumberFormat="1" applyFont="1" applyBorder="1" applyAlignment="1" applyProtection="1">
      <alignment horizontal="center" vertical="top"/>
      <protection locked="0"/>
    </xf>
    <xf numFmtId="0" fontId="5" fillId="0" borderId="2" xfId="0" applyFont="1" applyBorder="1" applyAlignment="1" applyProtection="1">
      <alignment horizontal="center" vertical="top"/>
      <protection locked="0"/>
    </xf>
    <xf numFmtId="0" fontId="5" fillId="3" borderId="0" xfId="0" applyFont="1" applyFill="1" applyAlignment="1">
      <alignment vertical="center"/>
    </xf>
    <xf numFmtId="0" fontId="5" fillId="0" borderId="0" xfId="0" applyFont="1" applyAlignment="1">
      <alignment vertical="center"/>
    </xf>
    <xf numFmtId="9" fontId="5" fillId="0" borderId="4" xfId="0" applyNumberFormat="1" applyFont="1" applyFill="1" applyBorder="1" applyAlignment="1" applyProtection="1">
      <alignment horizontal="center" vertical="center"/>
      <protection hidden="1"/>
    </xf>
    <xf numFmtId="0" fontId="5" fillId="0" borderId="2" xfId="0" applyFont="1" applyBorder="1" applyAlignment="1" applyProtection="1">
      <alignment horizontal="justify" vertical="center"/>
      <protection locked="0"/>
    </xf>
    <xf numFmtId="0" fontId="5" fillId="0" borderId="2" xfId="0" applyFont="1" applyBorder="1" applyAlignment="1" applyProtection="1">
      <alignment horizontal="center" vertical="top"/>
    </xf>
    <xf numFmtId="0" fontId="5" fillId="0" borderId="2" xfId="0" applyFont="1" applyBorder="1" applyAlignment="1" applyProtection="1">
      <alignment horizontal="center" vertical="top" textRotation="90"/>
      <protection locked="0"/>
    </xf>
    <xf numFmtId="9" fontId="5" fillId="0" borderId="2" xfId="0" applyNumberFormat="1" applyFont="1" applyBorder="1" applyAlignment="1" applyProtection="1">
      <alignment horizontal="center" vertical="top"/>
      <protection hidden="1"/>
    </xf>
    <xf numFmtId="164" fontId="5" fillId="0" borderId="2" xfId="1" applyNumberFormat="1" applyFont="1" applyBorder="1" applyAlignment="1">
      <alignment horizontal="center" vertical="top"/>
    </xf>
    <xf numFmtId="0" fontId="56" fillId="0" borderId="2" xfId="0" applyFont="1" applyFill="1" applyBorder="1" applyAlignment="1" applyProtection="1">
      <alignment horizontal="center" vertical="top" textRotation="90" wrapText="1"/>
      <protection hidden="1"/>
    </xf>
    <xf numFmtId="9" fontId="5" fillId="0" borderId="4" xfId="0" applyNumberFormat="1" applyFont="1" applyBorder="1" applyAlignment="1" applyProtection="1">
      <alignment horizontal="center" vertical="top"/>
      <protection hidden="1"/>
    </xf>
    <xf numFmtId="0" fontId="56" fillId="0" borderId="2" xfId="0" applyFont="1" applyBorder="1" applyAlignment="1" applyProtection="1">
      <alignment horizontal="center" vertical="top" textRotation="90"/>
      <protection hidden="1"/>
    </xf>
    <xf numFmtId="0" fontId="5" fillId="0" borderId="4" xfId="0" applyFont="1" applyBorder="1" applyAlignment="1" applyProtection="1">
      <alignment horizontal="center" vertical="top" textRotation="90"/>
      <protection locked="0"/>
    </xf>
    <xf numFmtId="0" fontId="5" fillId="0" borderId="75" xfId="0" applyFont="1" applyBorder="1" applyAlignment="1" applyProtection="1">
      <alignment horizontal="center" vertical="top" wrapText="1"/>
      <protection locked="0"/>
    </xf>
    <xf numFmtId="9" fontId="5" fillId="0" borderId="4" xfId="0" applyNumberFormat="1" applyFont="1" applyFill="1" applyBorder="1" applyAlignment="1" applyProtection="1">
      <alignment horizontal="center" vertical="top"/>
      <protection hidden="1"/>
    </xf>
    <xf numFmtId="0" fontId="5" fillId="0" borderId="2" xfId="0" applyFont="1" applyBorder="1" applyAlignment="1" applyProtection="1">
      <alignment horizontal="justify" vertical="top"/>
      <protection locked="0"/>
    </xf>
    <xf numFmtId="0" fontId="5" fillId="0" borderId="2" xfId="0" applyFont="1" applyBorder="1" applyAlignment="1" applyProtection="1">
      <alignment horizontal="center" vertical="top"/>
      <protection hidden="1"/>
    </xf>
    <xf numFmtId="0" fontId="5" fillId="0" borderId="2" xfId="0" applyFont="1" applyBorder="1" applyAlignment="1" applyProtection="1">
      <alignment horizontal="center" textRotation="90"/>
      <protection locked="0"/>
    </xf>
    <xf numFmtId="0" fontId="5" fillId="0" borderId="2" xfId="0"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protection locked="0"/>
    </xf>
    <xf numFmtId="14" fontId="5" fillId="0" borderId="2" xfId="0" applyNumberFormat="1"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38" fillId="0" borderId="75"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5" fillId="0" borderId="2" xfId="0" applyFont="1" applyBorder="1" applyAlignment="1">
      <alignment horizontal="center" vertical="center"/>
    </xf>
    <xf numFmtId="0" fontId="5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center"/>
    </xf>
    <xf numFmtId="0" fontId="44" fillId="3" borderId="64" xfId="2" applyFont="1" applyFill="1" applyBorder="1" applyAlignment="1" applyProtection="1">
      <alignment horizontal="justify" vertical="center" wrapText="1"/>
    </xf>
    <xf numFmtId="0" fontId="44" fillId="3" borderId="65" xfId="2" applyFont="1" applyFill="1" applyBorder="1" applyAlignment="1" applyProtection="1">
      <alignment horizontal="justify" vertical="center" wrapText="1"/>
    </xf>
    <xf numFmtId="0" fontId="43" fillId="3" borderId="71" xfId="0" applyFont="1" applyFill="1" applyBorder="1" applyAlignment="1" applyProtection="1">
      <alignment horizontal="left" vertical="center" wrapText="1"/>
    </xf>
    <xf numFmtId="0" fontId="43" fillId="3" borderId="72" xfId="0" applyFont="1" applyFill="1" applyBorder="1" applyAlignment="1" applyProtection="1">
      <alignment horizontal="left" vertical="center" wrapText="1"/>
    </xf>
    <xf numFmtId="0" fontId="43" fillId="3" borderId="58" xfId="3" applyFont="1" applyFill="1" applyBorder="1" applyAlignment="1" applyProtection="1">
      <alignment horizontal="left" vertical="top" wrapText="1" readingOrder="1"/>
    </xf>
    <xf numFmtId="0" fontId="43" fillId="3" borderId="59" xfId="3" applyFont="1" applyFill="1" applyBorder="1" applyAlignment="1" applyProtection="1">
      <alignment horizontal="left" vertical="top" wrapText="1" readingOrder="1"/>
    </xf>
    <xf numFmtId="0" fontId="44" fillId="3" borderId="60" xfId="2" applyFont="1" applyFill="1" applyBorder="1" applyAlignment="1" applyProtection="1">
      <alignment horizontal="justify" vertical="center" wrapText="1"/>
    </xf>
    <xf numFmtId="0" fontId="44" fillId="3" borderId="61" xfId="2" applyFont="1" applyFill="1" applyBorder="1" applyAlignment="1" applyProtection="1">
      <alignment horizontal="justify" vertical="center" wrapText="1"/>
    </xf>
    <xf numFmtId="0" fontId="43" fillId="3" borderId="62" xfId="0" applyFont="1" applyFill="1" applyBorder="1" applyAlignment="1" applyProtection="1">
      <alignment horizontal="left" vertical="center" wrapText="1"/>
    </xf>
    <xf numFmtId="0" fontId="43" fillId="3" borderId="63" xfId="0" applyFont="1" applyFill="1" applyBorder="1" applyAlignment="1" applyProtection="1">
      <alignment horizontal="left" vertical="center" wrapText="1"/>
    </xf>
    <xf numFmtId="0" fontId="38" fillId="3" borderId="14" xfId="2" applyFont="1" applyFill="1" applyBorder="1" applyAlignment="1" applyProtection="1">
      <alignment horizontal="left" vertical="top" wrapText="1"/>
    </xf>
    <xf numFmtId="0" fontId="38" fillId="3" borderId="0" xfId="2" applyFont="1" applyFill="1" applyBorder="1" applyAlignment="1" applyProtection="1">
      <alignment horizontal="left" vertical="top" wrapText="1"/>
    </xf>
    <xf numFmtId="0" fontId="38" fillId="3" borderId="15" xfId="2" applyFont="1" applyFill="1" applyBorder="1" applyAlignment="1" applyProtection="1">
      <alignment horizontal="left" vertical="top" wrapText="1"/>
    </xf>
    <xf numFmtId="0" fontId="43" fillId="3" borderId="73" xfId="0" applyFont="1" applyFill="1" applyBorder="1" applyAlignment="1" applyProtection="1">
      <alignment horizontal="left" vertical="center" wrapText="1"/>
    </xf>
    <xf numFmtId="0" fontId="43" fillId="3" borderId="74" xfId="0" applyFont="1" applyFill="1" applyBorder="1" applyAlignment="1" applyProtection="1">
      <alignment horizontal="left" vertical="center" wrapText="1"/>
    </xf>
    <xf numFmtId="0" fontId="44" fillId="3" borderId="66" xfId="0" applyFont="1" applyFill="1" applyBorder="1" applyAlignment="1" applyProtection="1">
      <alignment horizontal="justify" vertical="center" wrapText="1"/>
    </xf>
    <xf numFmtId="0" fontId="44" fillId="3" borderId="67" xfId="0" applyFont="1" applyFill="1" applyBorder="1" applyAlignment="1" applyProtection="1">
      <alignment horizontal="justify" vertical="center" wrapText="1"/>
    </xf>
    <xf numFmtId="0" fontId="39" fillId="14" borderId="48" xfId="2" applyFont="1" applyFill="1" applyBorder="1" applyAlignment="1" applyProtection="1">
      <alignment horizontal="center" vertical="center" wrapText="1"/>
    </xf>
    <xf numFmtId="0" fontId="39" fillId="14" borderId="49" xfId="2" applyFont="1" applyFill="1" applyBorder="1" applyAlignment="1" applyProtection="1">
      <alignment horizontal="center" vertical="center" wrapText="1"/>
    </xf>
    <xf numFmtId="0" fontId="39" fillId="14" borderId="50" xfId="2" applyFont="1" applyFill="1" applyBorder="1" applyAlignment="1" applyProtection="1">
      <alignment horizontal="center" vertical="center" wrapText="1"/>
    </xf>
    <xf numFmtId="0" fontId="38" fillId="0" borderId="14" xfId="2" quotePrefix="1" applyFont="1" applyBorder="1" applyAlignment="1" applyProtection="1">
      <alignment horizontal="left" vertical="center" wrapText="1"/>
    </xf>
    <xf numFmtId="0" fontId="38" fillId="0" borderId="0" xfId="2" quotePrefix="1" applyFont="1" applyBorder="1" applyAlignment="1" applyProtection="1">
      <alignment horizontal="left" vertical="center" wrapText="1"/>
    </xf>
    <xf numFmtId="0" fontId="38" fillId="0" borderId="15" xfId="2" quotePrefix="1" applyFont="1" applyBorder="1" applyAlignment="1" applyProtection="1">
      <alignment horizontal="left" vertical="center" wrapText="1"/>
    </xf>
    <xf numFmtId="0" fontId="38" fillId="0" borderId="68" xfId="2" quotePrefix="1" applyFont="1" applyBorder="1" applyAlignment="1" applyProtection="1">
      <alignment horizontal="left" vertical="center" wrapText="1"/>
    </xf>
    <xf numFmtId="0" fontId="38" fillId="0" borderId="69" xfId="2" quotePrefix="1" applyFont="1" applyBorder="1" applyAlignment="1" applyProtection="1">
      <alignment horizontal="left" vertical="center" wrapText="1"/>
    </xf>
    <xf numFmtId="0" fontId="38" fillId="0" borderId="70" xfId="2" quotePrefix="1" applyFont="1" applyBorder="1" applyAlignment="1" applyProtection="1">
      <alignment horizontal="left" vertical="center" wrapText="1"/>
    </xf>
    <xf numFmtId="0" fontId="40" fillId="3" borderId="51" xfId="2" quotePrefix="1" applyFont="1" applyFill="1" applyBorder="1" applyAlignment="1" applyProtection="1">
      <alignment horizontal="left" vertical="top" wrapText="1"/>
    </xf>
    <xf numFmtId="0" fontId="41" fillId="3" borderId="52" xfId="2" quotePrefix="1" applyFont="1" applyFill="1" applyBorder="1" applyAlignment="1" applyProtection="1">
      <alignment horizontal="left" vertical="top" wrapText="1"/>
    </xf>
    <xf numFmtId="0" fontId="41" fillId="3" borderId="53" xfId="2" quotePrefix="1" applyFont="1" applyFill="1" applyBorder="1" applyAlignment="1" applyProtection="1">
      <alignment horizontal="left" vertical="top" wrapText="1"/>
    </xf>
    <xf numFmtId="0" fontId="38" fillId="0" borderId="14" xfId="2" quotePrefix="1" applyFont="1" applyBorder="1" applyAlignment="1" applyProtection="1">
      <alignment horizontal="left" vertical="top" wrapText="1"/>
    </xf>
    <xf numFmtId="0" fontId="38" fillId="0" borderId="0" xfId="2" quotePrefix="1" applyFont="1" applyBorder="1" applyAlignment="1" applyProtection="1">
      <alignment horizontal="left" vertical="top" wrapText="1"/>
    </xf>
    <xf numFmtId="0" fontId="38" fillId="0" borderId="15" xfId="2" quotePrefix="1" applyFont="1" applyBorder="1" applyAlignment="1" applyProtection="1">
      <alignment horizontal="left" vertical="top" wrapText="1"/>
    </xf>
    <xf numFmtId="0" fontId="43" fillId="14" borderId="54" xfId="3" applyFont="1" applyFill="1" applyBorder="1" applyAlignment="1" applyProtection="1">
      <alignment horizontal="center" vertical="center" wrapText="1"/>
    </xf>
    <xf numFmtId="0" fontId="43" fillId="14" borderId="55" xfId="3" applyFont="1" applyFill="1" applyBorder="1" applyAlignment="1" applyProtection="1">
      <alignment horizontal="center" vertical="center" wrapText="1"/>
    </xf>
    <xf numFmtId="0" fontId="43" fillId="14" borderId="56" xfId="2" applyFont="1" applyFill="1" applyBorder="1" applyAlignment="1" applyProtection="1">
      <alignment horizontal="center" vertical="center"/>
    </xf>
    <xf numFmtId="0" fontId="43" fillId="14" borderId="57" xfId="2" applyFont="1" applyFill="1" applyBorder="1" applyAlignment="1" applyProtection="1">
      <alignment horizontal="center" vertical="center"/>
    </xf>
    <xf numFmtId="0" fontId="1" fillId="3" borderId="68" xfId="2" quotePrefix="1" applyFont="1" applyFill="1" applyBorder="1" applyAlignment="1" applyProtection="1">
      <alignment horizontal="justify" vertical="center" wrapText="1"/>
    </xf>
    <xf numFmtId="0" fontId="1" fillId="3" borderId="69" xfId="2" quotePrefix="1" applyFont="1" applyFill="1" applyBorder="1" applyAlignment="1" applyProtection="1">
      <alignment horizontal="justify" vertical="center" wrapText="1"/>
    </xf>
    <xf numFmtId="0" fontId="1" fillId="3" borderId="70" xfId="2" quotePrefix="1" applyFont="1" applyFill="1" applyBorder="1" applyAlignment="1" applyProtection="1">
      <alignment horizontal="justify" vertical="center" wrapText="1"/>
    </xf>
    <xf numFmtId="0" fontId="5" fillId="0" borderId="4" xfId="0" applyFont="1" applyBorder="1" applyAlignment="1" applyProtection="1">
      <alignment horizontal="center" vertical="center" textRotation="90"/>
      <protection locked="0"/>
    </xf>
    <xf numFmtId="0" fontId="5" fillId="0" borderId="8" xfId="0" applyFont="1" applyBorder="1" applyAlignment="1" applyProtection="1">
      <alignment horizontal="center" vertical="center" textRotation="90"/>
      <protection locked="0"/>
    </xf>
    <xf numFmtId="0" fontId="5" fillId="0" borderId="5" xfId="0" applyFont="1" applyBorder="1" applyAlignment="1" applyProtection="1">
      <alignment horizontal="center" vertical="center" textRotation="90"/>
      <protection locked="0"/>
    </xf>
    <xf numFmtId="0" fontId="5" fillId="3" borderId="75" xfId="0" applyFont="1" applyFill="1" applyBorder="1" applyAlignment="1" applyProtection="1">
      <alignment horizontal="left" vertical="center"/>
      <protection locked="0"/>
    </xf>
    <xf numFmtId="0" fontId="5" fillId="3" borderId="75" xfId="0" applyFont="1" applyFill="1" applyBorder="1" applyAlignment="1" applyProtection="1">
      <alignment horizontal="left" vertical="center" wrapText="1"/>
      <protection locked="0"/>
    </xf>
    <xf numFmtId="0" fontId="56" fillId="2" borderId="28" xfId="0" applyFont="1" applyFill="1" applyBorder="1" applyAlignment="1">
      <alignment horizontal="center" vertical="center"/>
    </xf>
    <xf numFmtId="0" fontId="56" fillId="2" borderId="29" xfId="0" applyFont="1" applyFill="1" applyBorder="1" applyAlignment="1">
      <alignment horizontal="center" vertical="center"/>
    </xf>
    <xf numFmtId="0" fontId="56" fillId="2" borderId="30" xfId="0" applyFont="1" applyFill="1" applyBorder="1" applyAlignment="1">
      <alignment horizontal="center" vertical="center"/>
    </xf>
    <xf numFmtId="0" fontId="56" fillId="2" borderId="3" xfId="0" applyFont="1" applyFill="1" applyBorder="1" applyAlignment="1">
      <alignment horizontal="center" vertical="center"/>
    </xf>
    <xf numFmtId="0" fontId="56" fillId="2" borderId="31" xfId="0" applyFont="1" applyFill="1" applyBorder="1" applyAlignment="1">
      <alignment horizontal="center" vertical="center"/>
    </xf>
    <xf numFmtId="0" fontId="56" fillId="2" borderId="32" xfId="0" applyFont="1" applyFill="1" applyBorder="1" applyAlignment="1">
      <alignment horizontal="center" vertical="center"/>
    </xf>
    <xf numFmtId="0" fontId="56" fillId="2" borderId="6" xfId="0" applyFont="1" applyFill="1" applyBorder="1" applyAlignment="1">
      <alignment horizontal="center" vertical="center"/>
    </xf>
    <xf numFmtId="0" fontId="56" fillId="2" borderId="10" xfId="0" applyFont="1" applyFill="1" applyBorder="1" applyAlignment="1">
      <alignment horizontal="center" vertical="center"/>
    </xf>
    <xf numFmtId="0" fontId="5" fillId="0" borderId="4"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38" fillId="0" borderId="75" xfId="0" applyFont="1" applyBorder="1" applyAlignment="1" applyProtection="1">
      <alignment horizontal="center" vertical="center" wrapText="1"/>
      <protection locked="0"/>
    </xf>
    <xf numFmtId="0" fontId="5" fillId="0" borderId="30" xfId="0" applyFont="1" applyBorder="1" applyAlignment="1" applyProtection="1">
      <alignment horizontal="center" vertical="center" wrapText="1"/>
      <protection locked="0"/>
    </xf>
    <xf numFmtId="0" fontId="5" fillId="0" borderId="7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6" fillId="0" borderId="4" xfId="0" applyFont="1" applyFill="1" applyBorder="1" applyAlignment="1" applyProtection="1">
      <alignment horizontal="center" vertical="center" wrapText="1"/>
      <protection hidden="1"/>
    </xf>
    <xf numFmtId="0" fontId="56" fillId="0" borderId="8" xfId="0" applyFont="1" applyFill="1" applyBorder="1" applyAlignment="1" applyProtection="1">
      <alignment horizontal="center" vertical="center" wrapText="1"/>
      <protection hidden="1"/>
    </xf>
    <xf numFmtId="9" fontId="5" fillId="0" borderId="4" xfId="0" applyNumberFormat="1" applyFont="1" applyBorder="1" applyAlignment="1" applyProtection="1">
      <alignment horizontal="center" vertical="center" wrapText="1"/>
      <protection hidden="1"/>
    </xf>
    <xf numFmtId="9" fontId="5" fillId="0" borderId="8" xfId="0" applyNumberFormat="1" applyFont="1" applyBorder="1" applyAlignment="1" applyProtection="1">
      <alignment horizontal="center" vertical="center" wrapText="1"/>
      <protection hidden="1"/>
    </xf>
    <xf numFmtId="9" fontId="5" fillId="0" borderId="4" xfId="0" applyNumberFormat="1" applyFont="1" applyBorder="1" applyAlignment="1" applyProtection="1">
      <alignment horizontal="center" vertical="center" wrapText="1"/>
      <protection locked="0"/>
    </xf>
    <xf numFmtId="9" fontId="5" fillId="0" borderId="8" xfId="0" applyNumberFormat="1" applyFont="1" applyBorder="1" applyAlignment="1" applyProtection="1">
      <alignment horizontal="center" vertical="center" wrapText="1"/>
      <protection locked="0"/>
    </xf>
    <xf numFmtId="9" fontId="5" fillId="0" borderId="4" xfId="0" applyNumberFormat="1" applyFont="1" applyBorder="1" applyAlignment="1" applyProtection="1">
      <alignment horizontal="center" vertical="top" wrapText="1"/>
      <protection hidden="1"/>
    </xf>
    <xf numFmtId="9" fontId="5" fillId="0" borderId="8" xfId="0" applyNumberFormat="1" applyFont="1" applyBorder="1" applyAlignment="1" applyProtection="1">
      <alignment horizontal="center" vertical="top" wrapText="1"/>
      <protection hidden="1"/>
    </xf>
    <xf numFmtId="0" fontId="56" fillId="0" borderId="4" xfId="0" applyFont="1" applyFill="1" applyBorder="1" applyAlignment="1" applyProtection="1">
      <alignment horizontal="center" vertical="top" wrapText="1"/>
      <protection hidden="1"/>
    </xf>
    <xf numFmtId="0" fontId="56" fillId="0" borderId="8" xfId="0" applyFont="1" applyFill="1" applyBorder="1" applyAlignment="1" applyProtection="1">
      <alignment horizontal="center" vertical="top" wrapText="1"/>
      <protection hidden="1"/>
    </xf>
    <xf numFmtId="0" fontId="5" fillId="0" borderId="6" xfId="0" applyFont="1" applyBorder="1" applyAlignment="1">
      <alignment horizontal="left" vertical="center" wrapText="1"/>
    </xf>
    <xf numFmtId="0" fontId="5" fillId="0" borderId="10" xfId="0" applyFont="1" applyBorder="1" applyAlignment="1">
      <alignment horizontal="left" vertical="center" wrapText="1"/>
    </xf>
    <xf numFmtId="0" fontId="5" fillId="0" borderId="7" xfId="0" applyFont="1" applyBorder="1" applyAlignment="1">
      <alignment horizontal="left" vertical="center" wrapText="1"/>
    </xf>
    <xf numFmtId="9" fontId="5" fillId="0" borderId="5" xfId="0" applyNumberFormat="1" applyFont="1" applyBorder="1" applyAlignment="1" applyProtection="1">
      <alignment horizontal="center" vertical="top" wrapText="1"/>
      <protection hidden="1"/>
    </xf>
    <xf numFmtId="0" fontId="56" fillId="0" borderId="4" xfId="0" applyFont="1" applyBorder="1" applyAlignment="1" applyProtection="1">
      <alignment horizontal="center" vertical="top"/>
      <protection hidden="1"/>
    </xf>
    <xf numFmtId="0" fontId="56" fillId="0" borderId="8" xfId="0" applyFont="1" applyBorder="1" applyAlignment="1" applyProtection="1">
      <alignment horizontal="center" vertical="top"/>
      <protection hidden="1"/>
    </xf>
    <xf numFmtId="0" fontId="56" fillId="0" borderId="5" xfId="0" applyFont="1" applyBorder="1" applyAlignment="1" applyProtection="1">
      <alignment horizontal="center" vertical="top"/>
      <protection hidden="1"/>
    </xf>
    <xf numFmtId="0" fontId="5" fillId="0" borderId="5" xfId="0" applyFont="1" applyBorder="1" applyAlignment="1" applyProtection="1">
      <alignment horizontal="center" vertical="center"/>
    </xf>
    <xf numFmtId="0" fontId="5" fillId="0" borderId="4" xfId="0" applyFont="1" applyBorder="1" applyAlignment="1" applyProtection="1">
      <alignment horizontal="center" vertical="top" wrapText="1"/>
      <protection locked="0"/>
    </xf>
    <xf numFmtId="0" fontId="5" fillId="0" borderId="8" xfId="0" applyFont="1" applyBorder="1" applyAlignment="1" applyProtection="1">
      <alignment horizontal="center" vertical="top" wrapText="1"/>
      <protection locked="0"/>
    </xf>
    <xf numFmtId="0" fontId="5" fillId="0" borderId="5" xfId="0" applyFont="1" applyBorder="1" applyAlignment="1" applyProtection="1">
      <alignment horizontal="center" vertical="top" wrapText="1"/>
      <protection locked="0"/>
    </xf>
    <xf numFmtId="0" fontId="38" fillId="0" borderId="4" xfId="0" applyFont="1" applyBorder="1" applyAlignment="1" applyProtection="1">
      <alignment horizontal="center" vertical="top" wrapText="1"/>
      <protection locked="0"/>
    </xf>
    <xf numFmtId="0" fontId="38" fillId="0" borderId="8" xfId="0" applyFont="1" applyBorder="1" applyAlignment="1" applyProtection="1">
      <alignment horizontal="center" vertical="top" wrapText="1"/>
      <protection locked="0"/>
    </xf>
    <xf numFmtId="0" fontId="38" fillId="0" borderId="5" xfId="0" applyFont="1" applyBorder="1" applyAlignment="1" applyProtection="1">
      <alignment horizontal="center" vertical="top" wrapText="1"/>
      <protection locked="0"/>
    </xf>
    <xf numFmtId="0" fontId="5" fillId="0" borderId="4" xfId="0" applyFont="1" applyBorder="1" applyAlignment="1" applyProtection="1">
      <alignment horizontal="center" vertical="top"/>
      <protection locked="0"/>
    </xf>
    <xf numFmtId="0" fontId="5" fillId="0" borderId="8" xfId="0" applyFont="1" applyBorder="1" applyAlignment="1" applyProtection="1">
      <alignment horizontal="center" vertical="top"/>
      <protection locked="0"/>
    </xf>
    <xf numFmtId="0" fontId="5" fillId="0" borderId="5" xfId="0" applyFont="1" applyBorder="1" applyAlignment="1" applyProtection="1">
      <alignment horizontal="center" vertical="top"/>
      <protection locked="0"/>
    </xf>
    <xf numFmtId="0" fontId="56" fillId="0" borderId="5" xfId="0" applyFont="1" applyFill="1" applyBorder="1" applyAlignment="1" applyProtection="1">
      <alignment horizontal="center" vertical="top" wrapText="1"/>
      <protection hidden="1"/>
    </xf>
    <xf numFmtId="9" fontId="5" fillId="0" borderId="4" xfId="0" applyNumberFormat="1" applyFont="1" applyBorder="1" applyAlignment="1" applyProtection="1">
      <alignment horizontal="center" vertical="top" wrapText="1"/>
      <protection locked="0"/>
    </xf>
    <xf numFmtId="9" fontId="5" fillId="0" borderId="8" xfId="0" applyNumberFormat="1" applyFont="1" applyBorder="1" applyAlignment="1" applyProtection="1">
      <alignment horizontal="center" vertical="top" wrapText="1"/>
      <protection locked="0"/>
    </xf>
    <xf numFmtId="9" fontId="5" fillId="0" borderId="5" xfId="0" applyNumberFormat="1" applyFont="1" applyBorder="1" applyAlignment="1" applyProtection="1">
      <alignment horizontal="center" vertical="top" wrapText="1"/>
      <protection locked="0"/>
    </xf>
    <xf numFmtId="0" fontId="5" fillId="0" borderId="28" xfId="0" applyFont="1" applyBorder="1" applyAlignment="1" applyProtection="1">
      <alignment horizontal="center" vertical="top" wrapText="1"/>
      <protection locked="0"/>
    </xf>
    <xf numFmtId="0" fontId="5" fillId="0" borderId="9" xfId="0" applyFont="1" applyBorder="1" applyAlignment="1" applyProtection="1">
      <alignment horizontal="center" vertical="top" wrapText="1"/>
      <protection locked="0"/>
    </xf>
    <xf numFmtId="0" fontId="5" fillId="0" borderId="3" xfId="0" applyFont="1" applyBorder="1" applyAlignment="1" applyProtection="1">
      <alignment horizontal="center" vertical="top" wrapText="1"/>
      <protection locked="0"/>
    </xf>
    <xf numFmtId="0" fontId="38" fillId="0" borderId="75" xfId="0" applyFont="1" applyBorder="1" applyAlignment="1" applyProtection="1">
      <alignment horizontal="center" vertical="top" wrapText="1"/>
      <protection locked="0"/>
    </xf>
    <xf numFmtId="0" fontId="5" fillId="0" borderId="30" xfId="0" applyFont="1" applyBorder="1" applyAlignment="1" applyProtection="1">
      <alignment horizontal="center" vertical="top" wrapText="1"/>
      <protection locked="0"/>
    </xf>
    <xf numFmtId="0" fontId="5" fillId="0" borderId="76" xfId="0" applyFont="1" applyBorder="1" applyAlignment="1" applyProtection="1">
      <alignment horizontal="center" vertical="top" wrapText="1"/>
      <protection locked="0"/>
    </xf>
    <xf numFmtId="0" fontId="5" fillId="0" borderId="32" xfId="0" applyFont="1" applyBorder="1" applyAlignment="1" applyProtection="1">
      <alignment horizontal="center" vertical="top" wrapText="1"/>
      <protection locked="0"/>
    </xf>
    <xf numFmtId="0" fontId="5" fillId="0" borderId="77" xfId="0" applyFont="1" applyBorder="1" applyAlignment="1">
      <alignment horizontal="justify" vertical="center" wrapText="1"/>
    </xf>
    <xf numFmtId="0" fontId="5" fillId="0" borderId="78" xfId="0" applyFont="1" applyBorder="1" applyAlignment="1">
      <alignment horizontal="justify" vertical="center" wrapText="1"/>
    </xf>
    <xf numFmtId="0" fontId="38" fillId="0" borderId="77" xfId="0" applyFont="1" applyBorder="1" applyAlignment="1" applyProtection="1">
      <alignment horizontal="center" vertical="center" wrapText="1"/>
      <protection locked="0"/>
    </xf>
    <xf numFmtId="0" fontId="38" fillId="0" borderId="78" xfId="0" applyFont="1" applyBorder="1" applyAlignment="1" applyProtection="1">
      <alignment horizontal="center" vertical="center" wrapText="1"/>
      <protection locked="0"/>
    </xf>
    <xf numFmtId="0" fontId="56" fillId="0" borderId="4" xfId="0" applyFont="1" applyBorder="1" applyAlignment="1" applyProtection="1">
      <alignment horizontal="center" vertical="center"/>
      <protection hidden="1"/>
    </xf>
    <xf numFmtId="0" fontId="56" fillId="0" borderId="8" xfId="0" applyFont="1" applyBorder="1" applyAlignment="1" applyProtection="1">
      <alignment horizontal="center" vertical="center"/>
      <protection hidden="1"/>
    </xf>
    <xf numFmtId="0" fontId="56" fillId="2" borderId="4" xfId="0" applyFont="1" applyFill="1" applyBorder="1" applyAlignment="1">
      <alignment horizontal="center" vertical="center" wrapText="1"/>
    </xf>
    <xf numFmtId="0" fontId="56" fillId="2" borderId="8" xfId="0" applyFont="1" applyFill="1" applyBorder="1" applyAlignment="1">
      <alignment horizontal="center" vertical="center" wrapText="1"/>
    </xf>
    <xf numFmtId="0" fontId="5" fillId="0" borderId="5" xfId="0"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wrapText="1"/>
      <protection locked="0"/>
    </xf>
    <xf numFmtId="14" fontId="5" fillId="0" borderId="8" xfId="0" applyNumberFormat="1"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0" fontId="56" fillId="2" borderId="2" xfId="0" applyFont="1" applyFill="1" applyBorder="1" applyAlignment="1">
      <alignment horizontal="center" vertical="center" wrapText="1"/>
    </xf>
    <xf numFmtId="0" fontId="56" fillId="2" borderId="5" xfId="0" applyFont="1" applyFill="1" applyBorder="1" applyAlignment="1">
      <alignment horizontal="center" vertical="center" wrapText="1"/>
    </xf>
    <xf numFmtId="0" fontId="56" fillId="2" borderId="6" xfId="0" applyFont="1" applyFill="1" applyBorder="1" applyAlignment="1">
      <alignment horizontal="left" vertical="center"/>
    </xf>
    <xf numFmtId="0" fontId="56" fillId="2" borderId="10" xfId="0" applyFont="1" applyFill="1" applyBorder="1" applyAlignment="1">
      <alignment horizontal="left" vertical="center"/>
    </xf>
    <xf numFmtId="0" fontId="56" fillId="2" borderId="4" xfId="0" applyFont="1" applyFill="1" applyBorder="1" applyAlignment="1">
      <alignment horizontal="center" vertical="center" textRotation="90"/>
    </xf>
    <xf numFmtId="0" fontId="56" fillId="2" borderId="5" xfId="0" applyFont="1" applyFill="1" applyBorder="1" applyAlignment="1">
      <alignment horizontal="center" vertical="center" textRotation="90"/>
    </xf>
    <xf numFmtId="0" fontId="56" fillId="2" borderId="5" xfId="0" applyFont="1" applyFill="1" applyBorder="1" applyAlignment="1">
      <alignment horizontal="center" vertical="center"/>
    </xf>
    <xf numFmtId="0" fontId="56" fillId="2" borderId="4" xfId="0" applyFont="1" applyFill="1" applyBorder="1" applyAlignment="1">
      <alignment horizontal="center" vertical="center"/>
    </xf>
    <xf numFmtId="0" fontId="56" fillId="2" borderId="4" xfId="0" applyFont="1" applyFill="1" applyBorder="1" applyAlignment="1">
      <alignment horizontal="center" vertical="center" textRotation="90" wrapText="1"/>
    </xf>
    <xf numFmtId="0" fontId="56" fillId="2" borderId="5" xfId="0" applyFont="1" applyFill="1" applyBorder="1" applyAlignment="1">
      <alignment horizontal="center" vertical="center" textRotation="90" wrapText="1"/>
    </xf>
    <xf numFmtId="0" fontId="56" fillId="2" borderId="2" xfId="0" applyFont="1" applyFill="1" applyBorder="1" applyAlignment="1">
      <alignment horizontal="center" vertical="center" textRotation="90" wrapText="1"/>
    </xf>
    <xf numFmtId="0" fontId="56" fillId="2" borderId="9" xfId="0" applyFont="1" applyFill="1" applyBorder="1" applyAlignment="1">
      <alignment horizontal="center" vertical="center"/>
    </xf>
    <xf numFmtId="0" fontId="56" fillId="2" borderId="9" xfId="0" applyFont="1" applyFill="1" applyBorder="1" applyAlignment="1">
      <alignment horizontal="center" vertical="center" wrapText="1"/>
    </xf>
    <xf numFmtId="0" fontId="56" fillId="2" borderId="2" xfId="0" applyFont="1" applyFill="1" applyBorder="1" applyAlignment="1">
      <alignment horizontal="center" vertical="center"/>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19" fillId="12" borderId="20" xfId="0" applyFont="1" applyFill="1" applyBorder="1" applyAlignment="1">
      <alignment horizontal="center" vertical="center" wrapText="1" readingOrder="1"/>
    </xf>
    <xf numFmtId="0" fontId="19" fillId="12" borderId="21" xfId="0" applyFont="1" applyFill="1" applyBorder="1" applyAlignment="1">
      <alignment horizontal="center" vertical="center" wrapText="1" readingOrder="1"/>
    </xf>
    <xf numFmtId="0" fontId="19" fillId="12" borderId="22" xfId="0" applyFont="1" applyFill="1" applyBorder="1" applyAlignment="1">
      <alignment horizontal="center" vertical="center" wrapText="1" readingOrder="1"/>
    </xf>
    <xf numFmtId="0" fontId="19" fillId="12" borderId="23" xfId="0" applyFont="1" applyFill="1" applyBorder="1" applyAlignment="1">
      <alignment horizontal="center" vertical="center" wrapText="1" readingOrder="1"/>
    </xf>
    <xf numFmtId="0" fontId="19" fillId="12" borderId="0" xfId="0" applyFont="1" applyFill="1" applyBorder="1" applyAlignment="1">
      <alignment horizontal="center" vertical="center" wrapText="1" readingOrder="1"/>
    </xf>
    <xf numFmtId="0" fontId="19" fillId="12" borderId="24" xfId="0" applyFont="1" applyFill="1" applyBorder="1" applyAlignment="1">
      <alignment horizontal="center" vertical="center" wrapText="1" readingOrder="1"/>
    </xf>
    <xf numFmtId="0" fontId="19" fillId="12" borderId="25" xfId="0" applyFont="1" applyFill="1" applyBorder="1" applyAlignment="1">
      <alignment horizontal="center" vertical="center" wrapText="1" readingOrder="1"/>
    </xf>
    <xf numFmtId="0" fontId="19" fillId="12" borderId="26" xfId="0" applyFont="1" applyFill="1" applyBorder="1" applyAlignment="1">
      <alignment horizontal="center" vertical="center" wrapText="1" readingOrder="1"/>
    </xf>
    <xf numFmtId="0" fontId="19" fillId="12" borderId="27" xfId="0" applyFont="1" applyFill="1" applyBorder="1" applyAlignment="1">
      <alignment horizontal="center" vertical="center" wrapText="1" readingOrder="1"/>
    </xf>
    <xf numFmtId="0" fontId="19" fillId="11" borderId="20" xfId="0" applyFont="1" applyFill="1" applyBorder="1" applyAlignment="1">
      <alignment horizontal="center" vertical="center" wrapText="1" readingOrder="1"/>
    </xf>
    <xf numFmtId="0" fontId="19" fillId="11" borderId="21" xfId="0" applyFont="1" applyFill="1" applyBorder="1" applyAlignment="1">
      <alignment horizontal="center" vertical="center" wrapText="1" readingOrder="1"/>
    </xf>
    <xf numFmtId="0" fontId="19" fillId="11" borderId="22" xfId="0" applyFont="1" applyFill="1" applyBorder="1" applyAlignment="1">
      <alignment horizontal="center" vertical="center" wrapText="1" readingOrder="1"/>
    </xf>
    <xf numFmtId="0" fontId="19" fillId="11" borderId="23" xfId="0" applyFont="1" applyFill="1" applyBorder="1" applyAlignment="1">
      <alignment horizontal="center" vertical="center" wrapText="1" readingOrder="1"/>
    </xf>
    <xf numFmtId="0" fontId="19" fillId="11" borderId="0" xfId="0" applyFont="1" applyFill="1" applyBorder="1" applyAlignment="1">
      <alignment horizontal="center" vertical="center" wrapText="1" readingOrder="1"/>
    </xf>
    <xf numFmtId="0" fontId="19" fillId="11" borderId="24" xfId="0" applyFont="1" applyFill="1" applyBorder="1" applyAlignment="1">
      <alignment horizontal="center" vertical="center" wrapText="1" readingOrder="1"/>
    </xf>
    <xf numFmtId="0" fontId="19" fillId="11" borderId="25" xfId="0" applyFont="1" applyFill="1" applyBorder="1" applyAlignment="1">
      <alignment horizontal="center" vertical="center" wrapText="1" readingOrder="1"/>
    </xf>
    <xf numFmtId="0" fontId="19" fillId="11" borderId="26" xfId="0" applyFont="1" applyFill="1" applyBorder="1" applyAlignment="1">
      <alignment horizontal="center" vertical="center" wrapText="1" readingOrder="1"/>
    </xf>
    <xf numFmtId="0" fontId="19" fillId="11" borderId="27" xfId="0" applyFont="1" applyFill="1" applyBorder="1" applyAlignment="1">
      <alignment horizontal="center" vertical="center" wrapText="1" readingOrder="1"/>
    </xf>
    <xf numFmtId="0" fontId="19" fillId="13" borderId="20" xfId="0" applyFont="1" applyFill="1" applyBorder="1" applyAlignment="1">
      <alignment horizontal="center" vertical="center" wrapText="1" readingOrder="1"/>
    </xf>
    <xf numFmtId="0" fontId="19" fillId="13" borderId="21" xfId="0" applyFont="1" applyFill="1" applyBorder="1" applyAlignment="1">
      <alignment horizontal="center" vertical="center" wrapText="1" readingOrder="1"/>
    </xf>
    <xf numFmtId="0" fontId="19" fillId="13" borderId="22" xfId="0" applyFont="1" applyFill="1" applyBorder="1" applyAlignment="1">
      <alignment horizontal="center" vertical="center" wrapText="1" readingOrder="1"/>
    </xf>
    <xf numFmtId="0" fontId="19" fillId="13" borderId="23" xfId="0" applyFont="1" applyFill="1" applyBorder="1" applyAlignment="1">
      <alignment horizontal="center" vertical="center" wrapText="1" readingOrder="1"/>
    </xf>
    <xf numFmtId="0" fontId="19" fillId="13" borderId="0" xfId="0" applyFont="1" applyFill="1" applyBorder="1" applyAlignment="1">
      <alignment horizontal="center" vertical="center" wrapText="1" readingOrder="1"/>
    </xf>
    <xf numFmtId="0" fontId="19" fillId="13" borderId="24" xfId="0" applyFont="1" applyFill="1" applyBorder="1" applyAlignment="1">
      <alignment horizontal="center" vertical="center" wrapText="1" readingOrder="1"/>
    </xf>
    <xf numFmtId="0" fontId="19" fillId="13" borderId="25" xfId="0" applyFont="1" applyFill="1" applyBorder="1" applyAlignment="1">
      <alignment horizontal="center" vertical="center" wrapText="1" readingOrder="1"/>
    </xf>
    <xf numFmtId="0" fontId="19" fillId="13" borderId="26" xfId="0" applyFont="1" applyFill="1" applyBorder="1" applyAlignment="1">
      <alignment horizontal="center" vertical="center" wrapText="1" readingOrder="1"/>
    </xf>
    <xf numFmtId="0" fontId="19" fillId="13" borderId="27" xfId="0" applyFont="1" applyFill="1" applyBorder="1" applyAlignment="1">
      <alignment horizontal="center" vertical="center" wrapText="1" readingOrder="1"/>
    </xf>
    <xf numFmtId="0" fontId="19" fillId="5" borderId="20" xfId="0" applyFont="1" applyFill="1" applyBorder="1" applyAlignment="1">
      <alignment horizontal="center" vertical="center" wrapText="1" readingOrder="1"/>
    </xf>
    <xf numFmtId="0" fontId="19" fillId="5" borderId="21" xfId="0" applyFont="1" applyFill="1" applyBorder="1" applyAlignment="1">
      <alignment horizontal="center" vertical="center" wrapText="1" readingOrder="1"/>
    </xf>
    <xf numFmtId="0" fontId="19" fillId="5" borderId="22" xfId="0" applyFont="1" applyFill="1" applyBorder="1" applyAlignment="1">
      <alignment horizontal="center" vertical="center" wrapText="1" readingOrder="1"/>
    </xf>
    <xf numFmtId="0" fontId="19" fillId="5" borderId="23" xfId="0" applyFont="1" applyFill="1" applyBorder="1" applyAlignment="1">
      <alignment horizontal="center" vertical="center" wrapText="1" readingOrder="1"/>
    </xf>
    <xf numFmtId="0" fontId="19" fillId="5" borderId="0" xfId="0" applyFont="1" applyFill="1" applyBorder="1" applyAlignment="1">
      <alignment horizontal="center" vertical="center" wrapText="1" readingOrder="1"/>
    </xf>
    <xf numFmtId="0" fontId="19" fillId="5" borderId="24" xfId="0" applyFont="1" applyFill="1" applyBorder="1" applyAlignment="1">
      <alignment horizontal="center" vertical="center" wrapText="1" readingOrder="1"/>
    </xf>
    <xf numFmtId="0" fontId="19" fillId="5" borderId="25" xfId="0" applyFont="1" applyFill="1" applyBorder="1" applyAlignment="1">
      <alignment horizontal="center" vertical="center" wrapText="1" readingOrder="1"/>
    </xf>
    <xf numFmtId="0" fontId="19" fillId="5" borderId="26" xfId="0" applyFont="1" applyFill="1" applyBorder="1" applyAlignment="1">
      <alignment horizontal="center" vertical="center" wrapText="1" readingOrder="1"/>
    </xf>
    <xf numFmtId="0" fontId="19" fillId="5" borderId="27" xfId="0" applyFont="1" applyFill="1" applyBorder="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8" xfId="0" applyFont="1" applyBorder="1" applyAlignment="1">
      <alignment horizontal="center" vertical="center"/>
    </xf>
    <xf numFmtId="0" fontId="15" fillId="0" borderId="17" xfId="0" applyFont="1" applyBorder="1" applyAlignment="1">
      <alignment horizontal="center" vertical="center"/>
    </xf>
    <xf numFmtId="0" fontId="18" fillId="11" borderId="0" xfId="0" applyFont="1" applyFill="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6" fillId="10" borderId="0" xfId="0" applyFont="1" applyFill="1" applyAlignment="1">
      <alignment horizontal="center" vertical="center" wrapText="1" readingOrder="1"/>
    </xf>
    <xf numFmtId="0" fontId="15" fillId="0" borderId="0" xfId="0" applyFont="1" applyBorder="1" applyAlignment="1">
      <alignment horizontal="center" vertical="center"/>
    </xf>
    <xf numFmtId="0" fontId="15" fillId="0" borderId="19" xfId="0" applyFont="1" applyBorder="1" applyAlignment="1">
      <alignment horizontal="center" vertical="center" wrapText="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23" fillId="0" borderId="0" xfId="0" applyFont="1" applyAlignment="1">
      <alignment horizontal="center" vertical="center" wrapText="1"/>
    </xf>
    <xf numFmtId="0" fontId="32" fillId="11" borderId="20" xfId="0" applyFont="1" applyFill="1" applyBorder="1" applyAlignment="1">
      <alignment horizontal="center" vertical="center" wrapText="1" readingOrder="1"/>
    </xf>
    <xf numFmtId="0" fontId="32" fillId="11" borderId="21" xfId="0" applyFont="1" applyFill="1" applyBorder="1" applyAlignment="1">
      <alignment horizontal="center" vertical="center" wrapText="1" readingOrder="1"/>
    </xf>
    <xf numFmtId="0" fontId="32" fillId="11" borderId="22" xfId="0" applyFont="1" applyFill="1" applyBorder="1" applyAlignment="1">
      <alignment horizontal="center" vertical="center" wrapText="1" readingOrder="1"/>
    </xf>
    <xf numFmtId="0" fontId="32" fillId="11" borderId="23" xfId="0" applyFont="1" applyFill="1" applyBorder="1" applyAlignment="1">
      <alignment horizontal="center" vertical="center" wrapText="1" readingOrder="1"/>
    </xf>
    <xf numFmtId="0" fontId="32" fillId="11" borderId="0" xfId="0" applyFont="1" applyFill="1" applyBorder="1" applyAlignment="1">
      <alignment horizontal="center" vertical="center" wrapText="1" readingOrder="1"/>
    </xf>
    <xf numFmtId="0" fontId="32" fillId="11" borderId="24" xfId="0" applyFont="1" applyFill="1" applyBorder="1" applyAlignment="1">
      <alignment horizontal="center" vertical="center" wrapText="1" readingOrder="1"/>
    </xf>
    <xf numFmtId="0" fontId="32" fillId="11" borderId="25" xfId="0" applyFont="1" applyFill="1" applyBorder="1" applyAlignment="1">
      <alignment horizontal="center" vertical="center" wrapText="1" readingOrder="1"/>
    </xf>
    <xf numFmtId="0" fontId="32" fillId="11" borderId="26" xfId="0" applyFont="1" applyFill="1" applyBorder="1" applyAlignment="1">
      <alignment horizontal="center" vertical="center" wrapText="1" readingOrder="1"/>
    </xf>
    <xf numFmtId="0" fontId="32" fillId="11" borderId="27" xfId="0" applyFont="1" applyFill="1" applyBorder="1" applyAlignment="1">
      <alignment horizontal="center" vertical="center" wrapText="1" readingOrder="1"/>
    </xf>
    <xf numFmtId="0" fontId="33" fillId="0" borderId="12" xfId="0" applyFont="1" applyBorder="1" applyAlignment="1">
      <alignment horizontal="center" vertical="center" wrapText="1"/>
    </xf>
    <xf numFmtId="0" fontId="33" fillId="0" borderId="19" xfId="0" applyFont="1" applyBorder="1" applyAlignment="1">
      <alignment horizontal="center" vertical="center"/>
    </xf>
    <xf numFmtId="0" fontId="33" fillId="0" borderId="14" xfId="0" applyFont="1" applyBorder="1" applyAlignment="1">
      <alignment horizontal="center" vertical="center" wrapText="1"/>
    </xf>
    <xf numFmtId="0" fontId="33" fillId="0" borderId="0" xfId="0" applyFont="1" applyBorder="1" applyAlignment="1">
      <alignment horizontal="center" vertical="center"/>
    </xf>
    <xf numFmtId="0" fontId="33" fillId="0" borderId="14" xfId="0" applyFont="1" applyBorder="1" applyAlignment="1">
      <alignment horizontal="center" vertical="center"/>
    </xf>
    <xf numFmtId="0" fontId="33" fillId="0" borderId="0" xfId="0" applyFont="1" applyAlignment="1">
      <alignment horizontal="center" vertical="center"/>
    </xf>
    <xf numFmtId="0" fontId="33" fillId="0" borderId="16" xfId="0" applyFont="1" applyBorder="1" applyAlignment="1">
      <alignment horizontal="center" vertical="center"/>
    </xf>
    <xf numFmtId="0" fontId="33" fillId="0" borderId="18" xfId="0" applyFont="1" applyBorder="1" applyAlignment="1">
      <alignment horizontal="center" vertical="center"/>
    </xf>
    <xf numFmtId="0" fontId="32" fillId="12" borderId="20" xfId="0" applyFont="1" applyFill="1" applyBorder="1" applyAlignment="1">
      <alignment horizontal="center" vertical="center" wrapText="1" readingOrder="1"/>
    </xf>
    <xf numFmtId="0" fontId="32" fillId="12" borderId="21" xfId="0" applyFont="1" applyFill="1" applyBorder="1" applyAlignment="1">
      <alignment horizontal="center" vertical="center" wrapText="1" readingOrder="1"/>
    </xf>
    <xf numFmtId="0" fontId="32" fillId="12" borderId="22" xfId="0" applyFont="1" applyFill="1" applyBorder="1" applyAlignment="1">
      <alignment horizontal="center" vertical="center" wrapText="1" readingOrder="1"/>
    </xf>
    <xf numFmtId="0" fontId="32" fillId="12" borderId="23" xfId="0" applyFont="1" applyFill="1" applyBorder="1" applyAlignment="1">
      <alignment horizontal="center" vertical="center" wrapText="1" readingOrder="1"/>
    </xf>
    <xf numFmtId="0" fontId="32" fillId="12" borderId="0" xfId="0" applyFont="1" applyFill="1" applyBorder="1" applyAlignment="1">
      <alignment horizontal="center" vertical="center" wrapText="1" readingOrder="1"/>
    </xf>
    <xf numFmtId="0" fontId="32" fillId="12" borderId="24" xfId="0" applyFont="1" applyFill="1" applyBorder="1" applyAlignment="1">
      <alignment horizontal="center" vertical="center" wrapText="1" readingOrder="1"/>
    </xf>
    <xf numFmtId="0" fontId="32" fillId="12" borderId="25" xfId="0" applyFont="1" applyFill="1" applyBorder="1" applyAlignment="1">
      <alignment horizontal="center" vertical="center" wrapText="1" readingOrder="1"/>
    </xf>
    <xf numFmtId="0" fontId="32" fillId="12" borderId="26" xfId="0" applyFont="1" applyFill="1" applyBorder="1" applyAlignment="1">
      <alignment horizontal="center" vertical="center" wrapText="1" readingOrder="1"/>
    </xf>
    <xf numFmtId="0" fontId="32" fillId="12" borderId="27" xfId="0" applyFont="1" applyFill="1" applyBorder="1" applyAlignment="1">
      <alignment horizontal="center" vertical="center" wrapText="1" readingOrder="1"/>
    </xf>
    <xf numFmtId="0" fontId="31" fillId="0" borderId="0" xfId="0" applyFont="1" applyAlignment="1">
      <alignment horizontal="center" vertical="center" wrapText="1"/>
    </xf>
    <xf numFmtId="0" fontId="20" fillId="0" borderId="0" xfId="0" applyFont="1" applyAlignment="1">
      <alignment horizontal="center" vertical="center" wrapText="1"/>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7" xfId="0" applyFont="1" applyBorder="1" applyAlignment="1">
      <alignment horizontal="center" vertical="center"/>
    </xf>
    <xf numFmtId="0" fontId="32" fillId="5" borderId="20" xfId="0" applyFont="1" applyFill="1" applyBorder="1" applyAlignment="1">
      <alignment horizontal="center" vertical="center" wrapText="1" readingOrder="1"/>
    </xf>
    <xf numFmtId="0" fontId="32" fillId="5" borderId="21" xfId="0" applyFont="1" applyFill="1" applyBorder="1" applyAlignment="1">
      <alignment horizontal="center" vertical="center" wrapText="1" readingOrder="1"/>
    </xf>
    <xf numFmtId="0" fontId="32" fillId="5" borderId="22" xfId="0" applyFont="1" applyFill="1" applyBorder="1" applyAlignment="1">
      <alignment horizontal="center" vertical="center" wrapText="1" readingOrder="1"/>
    </xf>
    <xf numFmtId="0" fontId="32" fillId="5" borderId="23" xfId="0" applyFont="1" applyFill="1" applyBorder="1" applyAlignment="1">
      <alignment horizontal="center" vertical="center" wrapText="1" readingOrder="1"/>
    </xf>
    <xf numFmtId="0" fontId="32" fillId="5" borderId="0" xfId="0" applyFont="1" applyFill="1" applyBorder="1" applyAlignment="1">
      <alignment horizontal="center" vertical="center" wrapText="1" readingOrder="1"/>
    </xf>
    <xf numFmtId="0" fontId="32" fillId="5" borderId="24" xfId="0" applyFont="1" applyFill="1" applyBorder="1" applyAlignment="1">
      <alignment horizontal="center" vertical="center" wrapText="1" readingOrder="1"/>
    </xf>
    <xf numFmtId="0" fontId="32" fillId="5" borderId="25" xfId="0" applyFont="1" applyFill="1" applyBorder="1" applyAlignment="1">
      <alignment horizontal="center" vertical="center" wrapText="1" readingOrder="1"/>
    </xf>
    <xf numFmtId="0" fontId="32" fillId="5" borderId="26" xfId="0" applyFont="1" applyFill="1" applyBorder="1" applyAlignment="1">
      <alignment horizontal="center" vertical="center" wrapText="1" readingOrder="1"/>
    </xf>
    <xf numFmtId="0" fontId="32" fillId="5" borderId="27" xfId="0" applyFont="1" applyFill="1" applyBorder="1" applyAlignment="1">
      <alignment horizontal="center" vertical="center" wrapText="1" readingOrder="1"/>
    </xf>
    <xf numFmtId="0" fontId="32" fillId="13" borderId="20" xfId="0" applyFont="1" applyFill="1" applyBorder="1" applyAlignment="1">
      <alignment horizontal="center" vertical="center" wrapText="1" readingOrder="1"/>
    </xf>
    <xf numFmtId="0" fontId="32" fillId="13" borderId="21" xfId="0" applyFont="1" applyFill="1" applyBorder="1" applyAlignment="1">
      <alignment horizontal="center" vertical="center" wrapText="1" readingOrder="1"/>
    </xf>
    <xf numFmtId="0" fontId="32" fillId="13" borderId="22" xfId="0" applyFont="1" applyFill="1" applyBorder="1" applyAlignment="1">
      <alignment horizontal="center" vertical="center" wrapText="1" readingOrder="1"/>
    </xf>
    <xf numFmtId="0" fontId="32" fillId="13" borderId="23" xfId="0" applyFont="1" applyFill="1" applyBorder="1" applyAlignment="1">
      <alignment horizontal="center" vertical="center" wrapText="1" readingOrder="1"/>
    </xf>
    <xf numFmtId="0" fontId="32" fillId="13" borderId="0" xfId="0" applyFont="1" applyFill="1" applyBorder="1" applyAlignment="1">
      <alignment horizontal="center" vertical="center" wrapText="1" readingOrder="1"/>
    </xf>
    <xf numFmtId="0" fontId="32" fillId="13" borderId="24" xfId="0" applyFont="1" applyFill="1" applyBorder="1" applyAlignment="1">
      <alignment horizontal="center" vertical="center" wrapText="1" readingOrder="1"/>
    </xf>
    <xf numFmtId="0" fontId="32" fillId="13" borderId="25" xfId="0" applyFont="1" applyFill="1" applyBorder="1" applyAlignment="1">
      <alignment horizontal="center" vertical="center" wrapText="1" readingOrder="1"/>
    </xf>
    <xf numFmtId="0" fontId="32" fillId="13" borderId="26" xfId="0" applyFont="1" applyFill="1" applyBorder="1" applyAlignment="1">
      <alignment horizontal="center" vertical="center" wrapText="1" readingOrder="1"/>
    </xf>
    <xf numFmtId="0" fontId="32" fillId="13" borderId="27" xfId="0" applyFont="1" applyFill="1" applyBorder="1" applyAlignment="1">
      <alignment horizontal="center" vertical="center" wrapText="1" readingOrder="1"/>
    </xf>
    <xf numFmtId="0" fontId="33" fillId="0" borderId="19" xfId="0" applyFont="1" applyBorder="1" applyAlignment="1">
      <alignment horizontal="center" vertical="center" wrapText="1"/>
    </xf>
    <xf numFmtId="0" fontId="22" fillId="0" borderId="0" xfId="0" applyFont="1" applyAlignment="1">
      <alignment horizontal="center" vertical="center"/>
    </xf>
    <xf numFmtId="0" fontId="47" fillId="0" borderId="0" xfId="0" applyFont="1" applyAlignment="1">
      <alignment horizontal="center" vertical="center"/>
    </xf>
    <xf numFmtId="0" fontId="30" fillId="15" borderId="35" xfId="0" applyFont="1" applyFill="1" applyBorder="1" applyAlignment="1">
      <alignment horizontal="center" vertical="center" wrapText="1" readingOrder="1"/>
    </xf>
    <xf numFmtId="0" fontId="30" fillId="15" borderId="36" xfId="0" applyFont="1" applyFill="1" applyBorder="1" applyAlignment="1">
      <alignment horizontal="center" vertical="center" wrapText="1" readingOrder="1"/>
    </xf>
    <xf numFmtId="0" fontId="30" fillId="15" borderId="47" xfId="0" applyFont="1" applyFill="1" applyBorder="1" applyAlignment="1">
      <alignment horizontal="center" vertical="center" wrapText="1" readingOrder="1"/>
    </xf>
    <xf numFmtId="0" fontId="25" fillId="3" borderId="0" xfId="0" applyFont="1" applyFill="1" applyBorder="1" applyAlignment="1">
      <alignment horizontal="justify" vertical="center" wrapText="1"/>
    </xf>
    <xf numFmtId="0" fontId="27" fillId="15" borderId="44" xfId="0" applyFont="1" applyFill="1" applyBorder="1" applyAlignment="1">
      <alignment horizontal="center" vertical="center" wrapText="1" readingOrder="1"/>
    </xf>
    <xf numFmtId="0" fontId="27" fillId="15" borderId="45" xfId="0" applyFont="1" applyFill="1" applyBorder="1" applyAlignment="1">
      <alignment horizontal="center" vertical="center" wrapText="1" readingOrder="1"/>
    </xf>
    <xf numFmtId="0" fontId="27" fillId="3" borderId="42" xfId="0" applyFont="1" applyFill="1" applyBorder="1" applyAlignment="1">
      <alignment horizontal="center" vertical="center" wrapText="1" readingOrder="1"/>
    </xf>
    <xf numFmtId="0" fontId="27" fillId="3" borderId="37" xfId="0" applyFont="1" applyFill="1" applyBorder="1" applyAlignment="1">
      <alignment horizontal="center" vertical="center" wrapText="1" readingOrder="1"/>
    </xf>
    <xf numFmtId="0" fontId="27" fillId="3" borderId="34" xfId="0" applyFont="1" applyFill="1" applyBorder="1" applyAlignment="1">
      <alignment horizontal="center" vertical="center" wrapText="1" readingOrder="1"/>
    </xf>
    <xf numFmtId="0" fontId="27" fillId="3" borderId="33" xfId="0" applyFont="1" applyFill="1" applyBorder="1" applyAlignment="1">
      <alignment horizontal="center" vertical="center" wrapText="1" readingOrder="1"/>
    </xf>
    <xf numFmtId="0" fontId="27" fillId="3" borderId="39" xfId="0" applyFont="1" applyFill="1" applyBorder="1" applyAlignment="1">
      <alignment horizontal="center" vertical="center" wrapText="1" readingOrder="1"/>
    </xf>
    <xf numFmtId="0" fontId="27" fillId="3" borderId="40" xfId="0" applyFont="1" applyFill="1" applyBorder="1" applyAlignment="1">
      <alignment horizontal="center" vertical="center" wrapText="1" readingOrder="1"/>
    </xf>
    <xf numFmtId="0" fontId="38" fillId="3" borderId="75" xfId="0" applyFont="1" applyFill="1" applyBorder="1" applyAlignment="1" applyProtection="1">
      <alignment horizontal="center" vertical="top"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31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OME" refreshedDate="44504.576682754632"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workbookViewId="0"/>
  </sheetViews>
  <sheetFormatPr baseColWidth="10" defaultColWidth="11.44140625" defaultRowHeight="14.4" x14ac:dyDescent="0.3"/>
  <cols>
    <col min="1" max="1" width="2.88671875" style="54" customWidth="1"/>
    <col min="2" max="3" width="24.6640625" style="54" customWidth="1"/>
    <col min="4" max="4" width="16" style="54" customWidth="1"/>
    <col min="5" max="5" width="24.6640625" style="54" customWidth="1"/>
    <col min="6" max="6" width="27.6640625" style="54" customWidth="1"/>
    <col min="7" max="8" width="24.6640625" style="54" customWidth="1"/>
    <col min="9" max="16384" width="11.44140625" style="54"/>
  </cols>
  <sheetData>
    <row r="1" spans="2:8" ht="15" thickBot="1" x14ac:dyDescent="0.35"/>
    <row r="2" spans="2:8" ht="18" x14ac:dyDescent="0.3">
      <c r="B2" s="182" t="s">
        <v>154</v>
      </c>
      <c r="C2" s="183"/>
      <c r="D2" s="183"/>
      <c r="E2" s="183"/>
      <c r="F2" s="183"/>
      <c r="G2" s="183"/>
      <c r="H2" s="184"/>
    </row>
    <row r="3" spans="2:8" x14ac:dyDescent="0.3">
      <c r="B3" s="55"/>
      <c r="C3" s="56"/>
      <c r="D3" s="56"/>
      <c r="E3" s="56"/>
      <c r="F3" s="56"/>
      <c r="G3" s="56"/>
      <c r="H3" s="57"/>
    </row>
    <row r="4" spans="2:8" ht="63" customHeight="1" x14ac:dyDescent="0.3">
      <c r="B4" s="185" t="s">
        <v>197</v>
      </c>
      <c r="C4" s="186"/>
      <c r="D4" s="186"/>
      <c r="E4" s="186"/>
      <c r="F4" s="186"/>
      <c r="G4" s="186"/>
      <c r="H4" s="187"/>
    </row>
    <row r="5" spans="2:8" ht="63" customHeight="1" x14ac:dyDescent="0.3">
      <c r="B5" s="188"/>
      <c r="C5" s="189"/>
      <c r="D5" s="189"/>
      <c r="E5" s="189"/>
      <c r="F5" s="189"/>
      <c r="G5" s="189"/>
      <c r="H5" s="190"/>
    </row>
    <row r="6" spans="2:8" x14ac:dyDescent="0.3">
      <c r="B6" s="191" t="s">
        <v>152</v>
      </c>
      <c r="C6" s="192"/>
      <c r="D6" s="192"/>
      <c r="E6" s="192"/>
      <c r="F6" s="192"/>
      <c r="G6" s="192"/>
      <c r="H6" s="193"/>
    </row>
    <row r="7" spans="2:8" ht="95.25" customHeight="1" x14ac:dyDescent="0.3">
      <c r="B7" s="201" t="s">
        <v>157</v>
      </c>
      <c r="C7" s="202"/>
      <c r="D7" s="202"/>
      <c r="E7" s="202"/>
      <c r="F7" s="202"/>
      <c r="G7" s="202"/>
      <c r="H7" s="203"/>
    </row>
    <row r="8" spans="2:8" x14ac:dyDescent="0.3">
      <c r="B8" s="90"/>
      <c r="C8" s="91"/>
      <c r="D8" s="91"/>
      <c r="E8" s="91"/>
      <c r="F8" s="91"/>
      <c r="G8" s="91"/>
      <c r="H8" s="92"/>
    </row>
    <row r="9" spans="2:8" ht="16.5" customHeight="1" x14ac:dyDescent="0.3">
      <c r="B9" s="194" t="s">
        <v>190</v>
      </c>
      <c r="C9" s="195"/>
      <c r="D9" s="195"/>
      <c r="E9" s="195"/>
      <c r="F9" s="195"/>
      <c r="G9" s="195"/>
      <c r="H9" s="196"/>
    </row>
    <row r="10" spans="2:8" ht="44.25" customHeight="1" x14ac:dyDescent="0.3">
      <c r="B10" s="194"/>
      <c r="C10" s="195"/>
      <c r="D10" s="195"/>
      <c r="E10" s="195"/>
      <c r="F10" s="195"/>
      <c r="G10" s="195"/>
      <c r="H10" s="196"/>
    </row>
    <row r="11" spans="2:8" ht="15" thickBot="1" x14ac:dyDescent="0.35">
      <c r="B11" s="78"/>
      <c r="C11" s="81"/>
      <c r="D11" s="86"/>
      <c r="E11" s="87"/>
      <c r="F11" s="87"/>
      <c r="G11" s="88"/>
      <c r="H11" s="89"/>
    </row>
    <row r="12" spans="2:8" ht="15" thickTop="1" x14ac:dyDescent="0.3">
      <c r="B12" s="78"/>
      <c r="C12" s="197" t="s">
        <v>153</v>
      </c>
      <c r="D12" s="198"/>
      <c r="E12" s="199" t="s">
        <v>191</v>
      </c>
      <c r="F12" s="200"/>
      <c r="G12" s="81"/>
      <c r="H12" s="82"/>
    </row>
    <row r="13" spans="2:8" ht="35.25" customHeight="1" x14ac:dyDescent="0.3">
      <c r="B13" s="78"/>
      <c r="C13" s="169" t="s">
        <v>184</v>
      </c>
      <c r="D13" s="170"/>
      <c r="E13" s="171" t="s">
        <v>189</v>
      </c>
      <c r="F13" s="172"/>
      <c r="G13" s="81"/>
      <c r="H13" s="82"/>
    </row>
    <row r="14" spans="2:8" ht="17.25" customHeight="1" x14ac:dyDescent="0.3">
      <c r="B14" s="78"/>
      <c r="C14" s="169" t="s">
        <v>185</v>
      </c>
      <c r="D14" s="170"/>
      <c r="E14" s="171" t="s">
        <v>187</v>
      </c>
      <c r="F14" s="172"/>
      <c r="G14" s="81"/>
      <c r="H14" s="82"/>
    </row>
    <row r="15" spans="2:8" ht="19.5" customHeight="1" x14ac:dyDescent="0.3">
      <c r="B15" s="78"/>
      <c r="C15" s="169" t="s">
        <v>186</v>
      </c>
      <c r="D15" s="170"/>
      <c r="E15" s="171" t="s">
        <v>188</v>
      </c>
      <c r="F15" s="172"/>
      <c r="G15" s="81"/>
      <c r="H15" s="82"/>
    </row>
    <row r="16" spans="2:8" ht="69.75" customHeight="1" x14ac:dyDescent="0.3">
      <c r="B16" s="78"/>
      <c r="C16" s="169" t="s">
        <v>155</v>
      </c>
      <c r="D16" s="170"/>
      <c r="E16" s="171" t="s">
        <v>156</v>
      </c>
      <c r="F16" s="172"/>
      <c r="G16" s="81"/>
      <c r="H16" s="82"/>
    </row>
    <row r="17" spans="2:8" ht="34.5" customHeight="1" x14ac:dyDescent="0.3">
      <c r="B17" s="78"/>
      <c r="C17" s="173" t="s">
        <v>2</v>
      </c>
      <c r="D17" s="174"/>
      <c r="E17" s="165" t="s">
        <v>198</v>
      </c>
      <c r="F17" s="166"/>
      <c r="G17" s="81"/>
      <c r="H17" s="82"/>
    </row>
    <row r="18" spans="2:8" ht="27.75" customHeight="1" x14ac:dyDescent="0.3">
      <c r="B18" s="78"/>
      <c r="C18" s="173" t="s">
        <v>3</v>
      </c>
      <c r="D18" s="174"/>
      <c r="E18" s="165" t="s">
        <v>199</v>
      </c>
      <c r="F18" s="166"/>
      <c r="G18" s="81"/>
      <c r="H18" s="82"/>
    </row>
    <row r="19" spans="2:8" ht="28.5" customHeight="1" x14ac:dyDescent="0.3">
      <c r="B19" s="78"/>
      <c r="C19" s="173" t="s">
        <v>42</v>
      </c>
      <c r="D19" s="174"/>
      <c r="E19" s="165" t="s">
        <v>200</v>
      </c>
      <c r="F19" s="166"/>
      <c r="G19" s="81"/>
      <c r="H19" s="82"/>
    </row>
    <row r="20" spans="2:8" ht="72.75" customHeight="1" x14ac:dyDescent="0.3">
      <c r="B20" s="78"/>
      <c r="C20" s="173" t="s">
        <v>1</v>
      </c>
      <c r="D20" s="174"/>
      <c r="E20" s="165" t="s">
        <v>201</v>
      </c>
      <c r="F20" s="166"/>
      <c r="G20" s="81"/>
      <c r="H20" s="82"/>
    </row>
    <row r="21" spans="2:8" ht="64.5" customHeight="1" x14ac:dyDescent="0.3">
      <c r="B21" s="78"/>
      <c r="C21" s="173" t="s">
        <v>50</v>
      </c>
      <c r="D21" s="174"/>
      <c r="E21" s="165" t="s">
        <v>159</v>
      </c>
      <c r="F21" s="166"/>
      <c r="G21" s="81"/>
      <c r="H21" s="82"/>
    </row>
    <row r="22" spans="2:8" ht="71.25" customHeight="1" x14ac:dyDescent="0.3">
      <c r="B22" s="78"/>
      <c r="C22" s="173" t="s">
        <v>158</v>
      </c>
      <c r="D22" s="174"/>
      <c r="E22" s="165" t="s">
        <v>160</v>
      </c>
      <c r="F22" s="166"/>
      <c r="G22" s="81"/>
      <c r="H22" s="82"/>
    </row>
    <row r="23" spans="2:8" ht="55.5" customHeight="1" x14ac:dyDescent="0.3">
      <c r="B23" s="78"/>
      <c r="C23" s="167" t="s">
        <v>161</v>
      </c>
      <c r="D23" s="168"/>
      <c r="E23" s="165" t="s">
        <v>162</v>
      </c>
      <c r="F23" s="166"/>
      <c r="G23" s="81"/>
      <c r="H23" s="82"/>
    </row>
    <row r="24" spans="2:8" ht="42" customHeight="1" x14ac:dyDescent="0.3">
      <c r="B24" s="78"/>
      <c r="C24" s="167" t="s">
        <v>48</v>
      </c>
      <c r="D24" s="168"/>
      <c r="E24" s="165" t="s">
        <v>163</v>
      </c>
      <c r="F24" s="166"/>
      <c r="G24" s="81"/>
      <c r="H24" s="82"/>
    </row>
    <row r="25" spans="2:8" ht="59.25" customHeight="1" x14ac:dyDescent="0.3">
      <c r="B25" s="78"/>
      <c r="C25" s="167" t="s">
        <v>151</v>
      </c>
      <c r="D25" s="168"/>
      <c r="E25" s="165" t="s">
        <v>164</v>
      </c>
      <c r="F25" s="166"/>
      <c r="G25" s="81"/>
      <c r="H25" s="82"/>
    </row>
    <row r="26" spans="2:8" ht="23.25" customHeight="1" x14ac:dyDescent="0.3">
      <c r="B26" s="78"/>
      <c r="C26" s="167" t="s">
        <v>12</v>
      </c>
      <c r="D26" s="168"/>
      <c r="E26" s="165" t="s">
        <v>165</v>
      </c>
      <c r="F26" s="166"/>
      <c r="G26" s="81"/>
      <c r="H26" s="82"/>
    </row>
    <row r="27" spans="2:8" ht="30.75" customHeight="1" x14ac:dyDescent="0.3">
      <c r="B27" s="78"/>
      <c r="C27" s="167" t="s">
        <v>169</v>
      </c>
      <c r="D27" s="168"/>
      <c r="E27" s="165" t="s">
        <v>166</v>
      </c>
      <c r="F27" s="166"/>
      <c r="G27" s="81"/>
      <c r="H27" s="82"/>
    </row>
    <row r="28" spans="2:8" ht="35.25" customHeight="1" x14ac:dyDescent="0.3">
      <c r="B28" s="78"/>
      <c r="C28" s="167" t="s">
        <v>170</v>
      </c>
      <c r="D28" s="168"/>
      <c r="E28" s="165" t="s">
        <v>167</v>
      </c>
      <c r="F28" s="166"/>
      <c r="G28" s="81"/>
      <c r="H28" s="82"/>
    </row>
    <row r="29" spans="2:8" ht="33" customHeight="1" x14ac:dyDescent="0.3">
      <c r="B29" s="78"/>
      <c r="C29" s="167" t="s">
        <v>170</v>
      </c>
      <c r="D29" s="168"/>
      <c r="E29" s="165" t="s">
        <v>167</v>
      </c>
      <c r="F29" s="166"/>
      <c r="G29" s="81"/>
      <c r="H29" s="82"/>
    </row>
    <row r="30" spans="2:8" ht="30" customHeight="1" x14ac:dyDescent="0.3">
      <c r="B30" s="78"/>
      <c r="C30" s="167" t="s">
        <v>171</v>
      </c>
      <c r="D30" s="168"/>
      <c r="E30" s="165" t="s">
        <v>168</v>
      </c>
      <c r="F30" s="166"/>
      <c r="G30" s="81"/>
      <c r="H30" s="82"/>
    </row>
    <row r="31" spans="2:8" ht="35.25" customHeight="1" x14ac:dyDescent="0.3">
      <c r="B31" s="78"/>
      <c r="C31" s="167" t="s">
        <v>172</v>
      </c>
      <c r="D31" s="168"/>
      <c r="E31" s="165" t="s">
        <v>173</v>
      </c>
      <c r="F31" s="166"/>
      <c r="G31" s="81"/>
      <c r="H31" s="82"/>
    </row>
    <row r="32" spans="2:8" ht="31.5" customHeight="1" x14ac:dyDescent="0.3">
      <c r="B32" s="78"/>
      <c r="C32" s="167" t="s">
        <v>174</v>
      </c>
      <c r="D32" s="168"/>
      <c r="E32" s="165" t="s">
        <v>175</v>
      </c>
      <c r="F32" s="166"/>
      <c r="G32" s="81"/>
      <c r="H32" s="82"/>
    </row>
    <row r="33" spans="2:8" ht="35.25" customHeight="1" x14ac:dyDescent="0.3">
      <c r="B33" s="78"/>
      <c r="C33" s="167" t="s">
        <v>176</v>
      </c>
      <c r="D33" s="168"/>
      <c r="E33" s="165" t="s">
        <v>177</v>
      </c>
      <c r="F33" s="166"/>
      <c r="G33" s="81"/>
      <c r="H33" s="82"/>
    </row>
    <row r="34" spans="2:8" ht="59.25" customHeight="1" x14ac:dyDescent="0.3">
      <c r="B34" s="78"/>
      <c r="C34" s="167" t="s">
        <v>178</v>
      </c>
      <c r="D34" s="168"/>
      <c r="E34" s="165" t="s">
        <v>179</v>
      </c>
      <c r="F34" s="166"/>
      <c r="G34" s="81"/>
      <c r="H34" s="82"/>
    </row>
    <row r="35" spans="2:8" ht="29.25" customHeight="1" x14ac:dyDescent="0.3">
      <c r="B35" s="78"/>
      <c r="C35" s="167" t="s">
        <v>29</v>
      </c>
      <c r="D35" s="168"/>
      <c r="E35" s="165" t="s">
        <v>180</v>
      </c>
      <c r="F35" s="166"/>
      <c r="G35" s="81"/>
      <c r="H35" s="82"/>
    </row>
    <row r="36" spans="2:8" ht="82.5" customHeight="1" x14ac:dyDescent="0.3">
      <c r="B36" s="78"/>
      <c r="C36" s="167" t="s">
        <v>182</v>
      </c>
      <c r="D36" s="168"/>
      <c r="E36" s="165" t="s">
        <v>181</v>
      </c>
      <c r="F36" s="166"/>
      <c r="G36" s="81"/>
      <c r="H36" s="82"/>
    </row>
    <row r="37" spans="2:8" ht="46.5" customHeight="1" x14ac:dyDescent="0.3">
      <c r="B37" s="78"/>
      <c r="C37" s="167" t="s">
        <v>39</v>
      </c>
      <c r="D37" s="168"/>
      <c r="E37" s="165" t="s">
        <v>183</v>
      </c>
      <c r="F37" s="166"/>
      <c r="G37" s="81"/>
      <c r="H37" s="82"/>
    </row>
    <row r="38" spans="2:8" ht="6.75" customHeight="1" thickBot="1" x14ac:dyDescent="0.35">
      <c r="B38" s="78"/>
      <c r="C38" s="178"/>
      <c r="D38" s="179"/>
      <c r="E38" s="180"/>
      <c r="F38" s="181"/>
      <c r="G38" s="81"/>
      <c r="H38" s="82"/>
    </row>
    <row r="39" spans="2:8" ht="15" thickTop="1" x14ac:dyDescent="0.3">
      <c r="B39" s="78"/>
      <c r="C39" s="79"/>
      <c r="D39" s="79"/>
      <c r="E39" s="80"/>
      <c r="F39" s="80"/>
      <c r="G39" s="81"/>
      <c r="H39" s="82"/>
    </row>
    <row r="40" spans="2:8" ht="21" customHeight="1" x14ac:dyDescent="0.3">
      <c r="B40" s="175" t="s">
        <v>192</v>
      </c>
      <c r="C40" s="176"/>
      <c r="D40" s="176"/>
      <c r="E40" s="176"/>
      <c r="F40" s="176"/>
      <c r="G40" s="176"/>
      <c r="H40" s="177"/>
    </row>
    <row r="41" spans="2:8" ht="20.25" customHeight="1" x14ac:dyDescent="0.3">
      <c r="B41" s="175" t="s">
        <v>193</v>
      </c>
      <c r="C41" s="176"/>
      <c r="D41" s="176"/>
      <c r="E41" s="176"/>
      <c r="F41" s="176"/>
      <c r="G41" s="176"/>
      <c r="H41" s="177"/>
    </row>
    <row r="42" spans="2:8" ht="20.25" customHeight="1" x14ac:dyDescent="0.3">
      <c r="B42" s="175" t="s">
        <v>194</v>
      </c>
      <c r="C42" s="176"/>
      <c r="D42" s="176"/>
      <c r="E42" s="176"/>
      <c r="F42" s="176"/>
      <c r="G42" s="176"/>
      <c r="H42" s="177"/>
    </row>
    <row r="43" spans="2:8" ht="20.25" customHeight="1" x14ac:dyDescent="0.3">
      <c r="B43" s="175" t="s">
        <v>195</v>
      </c>
      <c r="C43" s="176"/>
      <c r="D43" s="176"/>
      <c r="E43" s="176"/>
      <c r="F43" s="176"/>
      <c r="G43" s="176"/>
      <c r="H43" s="177"/>
    </row>
    <row r="44" spans="2:8" x14ac:dyDescent="0.3">
      <c r="B44" s="175" t="s">
        <v>196</v>
      </c>
      <c r="C44" s="176"/>
      <c r="D44" s="176"/>
      <c r="E44" s="176"/>
      <c r="F44" s="176"/>
      <c r="G44" s="176"/>
      <c r="H44" s="177"/>
    </row>
    <row r="45" spans="2:8" ht="15" thickBot="1" x14ac:dyDescent="0.35">
      <c r="B45" s="83"/>
      <c r="C45" s="84"/>
      <c r="D45" s="84"/>
      <c r="E45" s="84"/>
      <c r="F45" s="84"/>
      <c r="G45" s="84"/>
      <c r="H45" s="85"/>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R61"/>
  <sheetViews>
    <sheetView tabSelected="1" topLeftCell="A7" zoomScale="55" zoomScaleNormal="55" workbookViewId="0">
      <pane xSplit="1" ySplit="3" topLeftCell="B10" activePane="bottomRight" state="frozenSplit"/>
      <selection activeCell="A7" sqref="A7"/>
      <selection pane="topRight" activeCell="B7" sqref="B7"/>
      <selection pane="bottomLeft" activeCell="A10" sqref="A10"/>
      <selection pane="bottomRight" activeCell="H29" sqref="H29:H34"/>
    </sheetView>
  </sheetViews>
  <sheetFormatPr baseColWidth="10" defaultColWidth="11.44140625" defaultRowHeight="13.8" x14ac:dyDescent="0.3"/>
  <cols>
    <col min="1" max="1" width="4" style="163" bestFit="1" customWidth="1"/>
    <col min="2" max="2" width="14.109375" style="163" customWidth="1"/>
    <col min="3" max="3" width="16.5546875" style="163" customWidth="1"/>
    <col min="4" max="4" width="16.109375" style="163" customWidth="1"/>
    <col min="5" max="5" width="30.33203125" style="163" customWidth="1"/>
    <col min="6" max="7" width="35" style="114" customWidth="1"/>
    <col min="8" max="8" width="18.109375" style="164" customWidth="1"/>
    <col min="9" max="9" width="14.33203125" style="114" customWidth="1"/>
    <col min="10" max="10" width="12" style="114" customWidth="1"/>
    <col min="11" max="11" width="6.33203125" style="114" customWidth="1"/>
    <col min="12" max="12" width="24.44140625" style="114" customWidth="1"/>
    <col min="13" max="13" width="28.33203125" style="114" customWidth="1"/>
    <col min="14" max="14" width="17.5546875" style="114" customWidth="1"/>
    <col min="15" max="15" width="6.33203125" style="114" customWidth="1"/>
    <col min="16" max="16" width="16" style="114" customWidth="1"/>
    <col min="17" max="17" width="5.88671875" style="114" customWidth="1"/>
    <col min="18" max="18" width="55" style="114" customWidth="1"/>
    <col min="19" max="19" width="15.109375" style="114" customWidth="1"/>
    <col min="20" max="20" width="6.88671875" style="114" customWidth="1"/>
    <col min="21" max="21" width="5" style="114" customWidth="1"/>
    <col min="22" max="22" width="5.5546875" style="114" customWidth="1"/>
    <col min="23" max="23" width="7.109375" style="114" customWidth="1"/>
    <col min="24" max="24" width="6.6640625" style="114" customWidth="1"/>
    <col min="25" max="25" width="4.6640625" style="114" customWidth="1"/>
    <col min="26" max="26" width="38.5546875" style="114" customWidth="1"/>
    <col min="27" max="27" width="8.6640625" style="114" customWidth="1"/>
    <col min="28" max="28" width="10.44140625" style="114" customWidth="1"/>
    <col min="29" max="29" width="9.33203125" style="114" customWidth="1"/>
    <col min="30" max="30" width="9.109375" style="114" customWidth="1"/>
    <col min="31" max="31" width="8.44140625" style="114" customWidth="1"/>
    <col min="32" max="32" width="7.33203125" style="114" customWidth="1"/>
    <col min="33" max="33" width="28.6640625" style="114" customWidth="1"/>
    <col min="34" max="34" width="18.88671875" style="114" customWidth="1"/>
    <col min="35" max="35" width="16.88671875" style="114" customWidth="1"/>
    <col min="36" max="36" width="14.88671875" style="114" customWidth="1"/>
    <col min="37" max="37" width="18.5546875" style="114" customWidth="1"/>
    <col min="38" max="38" width="21" style="114" customWidth="1"/>
    <col min="39" max="16384" width="11.44140625" style="114"/>
  </cols>
  <sheetData>
    <row r="1" spans="1:70" ht="16.5" customHeight="1" x14ac:dyDescent="0.3">
      <c r="A1" s="209" t="s">
        <v>138</v>
      </c>
      <c r="B1" s="210"/>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1"/>
      <c r="AM1" s="113"/>
      <c r="AN1" s="113"/>
      <c r="AO1" s="113"/>
      <c r="AP1" s="113"/>
      <c r="AQ1" s="113"/>
      <c r="AR1" s="113"/>
      <c r="AS1" s="113"/>
      <c r="AT1" s="113"/>
      <c r="AU1" s="113"/>
      <c r="AV1" s="113"/>
      <c r="AW1" s="113"/>
      <c r="AX1" s="113"/>
      <c r="AY1" s="113"/>
      <c r="AZ1" s="113"/>
      <c r="BA1" s="113"/>
      <c r="BB1" s="113"/>
      <c r="BC1" s="113"/>
      <c r="BD1" s="113"/>
      <c r="BE1" s="113"/>
      <c r="BF1" s="113"/>
      <c r="BG1" s="113"/>
      <c r="BH1" s="113"/>
      <c r="BI1" s="113"/>
      <c r="BJ1" s="113"/>
      <c r="BK1" s="113"/>
      <c r="BL1" s="113"/>
      <c r="BM1" s="113"/>
      <c r="BN1" s="113"/>
      <c r="BO1" s="113"/>
      <c r="BP1" s="113"/>
      <c r="BQ1" s="113"/>
      <c r="BR1" s="113"/>
    </row>
    <row r="2" spans="1:70" ht="24" customHeight="1" x14ac:dyDescent="0.3">
      <c r="A2" s="212"/>
      <c r="B2" s="213"/>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4"/>
      <c r="AM2" s="113"/>
      <c r="AN2" s="113"/>
      <c r="AO2" s="113"/>
      <c r="AP2" s="113"/>
      <c r="AQ2" s="113"/>
      <c r="AR2" s="113"/>
      <c r="AS2" s="113"/>
      <c r="AT2" s="113"/>
      <c r="AU2" s="113"/>
      <c r="AV2" s="113"/>
      <c r="AW2" s="113"/>
      <c r="AX2" s="113"/>
      <c r="AY2" s="113"/>
      <c r="AZ2" s="113"/>
      <c r="BA2" s="113"/>
      <c r="BB2" s="113"/>
      <c r="BC2" s="113"/>
      <c r="BD2" s="113"/>
      <c r="BE2" s="113"/>
      <c r="BF2" s="113"/>
      <c r="BG2" s="113"/>
      <c r="BH2" s="113"/>
      <c r="BI2" s="113"/>
      <c r="BJ2" s="113"/>
      <c r="BK2" s="113"/>
      <c r="BL2" s="113"/>
      <c r="BM2" s="113"/>
      <c r="BN2" s="113"/>
      <c r="BO2" s="113"/>
      <c r="BP2" s="113"/>
      <c r="BQ2" s="113"/>
      <c r="BR2" s="113"/>
    </row>
    <row r="3" spans="1:70" x14ac:dyDescent="0.3">
      <c r="A3" s="115"/>
      <c r="B3" s="116"/>
      <c r="C3" s="115"/>
      <c r="D3" s="115"/>
      <c r="E3" s="115"/>
      <c r="F3" s="113"/>
      <c r="G3" s="113"/>
      <c r="H3" s="117"/>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c r="BA3" s="113"/>
      <c r="BB3" s="113"/>
      <c r="BC3" s="113"/>
      <c r="BD3" s="113"/>
      <c r="BE3" s="113"/>
      <c r="BF3" s="113"/>
      <c r="BG3" s="113"/>
      <c r="BH3" s="113"/>
      <c r="BI3" s="113"/>
      <c r="BJ3" s="113"/>
      <c r="BK3" s="113"/>
      <c r="BL3" s="113"/>
      <c r="BM3" s="113"/>
      <c r="BN3" s="113"/>
      <c r="BO3" s="113"/>
      <c r="BP3" s="113"/>
      <c r="BQ3" s="113"/>
      <c r="BR3" s="113"/>
    </row>
    <row r="4" spans="1:70" ht="26.25" customHeight="1" x14ac:dyDescent="0.3">
      <c r="A4" s="280" t="s">
        <v>43</v>
      </c>
      <c r="B4" s="281"/>
      <c r="C4" s="207" t="s">
        <v>232</v>
      </c>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c r="AH4" s="207"/>
      <c r="AI4" s="207"/>
      <c r="AJ4" s="207"/>
      <c r="AK4" s="207"/>
      <c r="AL4" s="207"/>
      <c r="AM4" s="113"/>
      <c r="AN4" s="113"/>
      <c r="AO4" s="113"/>
      <c r="AP4" s="113"/>
      <c r="AQ4" s="113"/>
      <c r="AR4" s="113"/>
      <c r="AS4" s="113"/>
      <c r="AT4" s="113"/>
      <c r="AU4" s="113"/>
      <c r="AV4" s="113"/>
      <c r="AW4" s="113"/>
      <c r="AX4" s="113"/>
      <c r="AY4" s="113"/>
      <c r="AZ4" s="113"/>
      <c r="BA4" s="113"/>
      <c r="BB4" s="113"/>
      <c r="BC4" s="113"/>
      <c r="BD4" s="113"/>
      <c r="BE4" s="113"/>
      <c r="BF4" s="113"/>
      <c r="BG4" s="113"/>
      <c r="BH4" s="113"/>
      <c r="BI4" s="113"/>
      <c r="BJ4" s="113"/>
      <c r="BK4" s="113"/>
      <c r="BL4" s="113"/>
      <c r="BM4" s="113"/>
      <c r="BN4" s="113"/>
      <c r="BO4" s="113"/>
      <c r="BP4" s="113"/>
      <c r="BQ4" s="113"/>
      <c r="BR4" s="113"/>
    </row>
    <row r="5" spans="1:70" ht="30" customHeight="1" x14ac:dyDescent="0.3">
      <c r="A5" s="280" t="s">
        <v>125</v>
      </c>
      <c r="B5" s="281"/>
      <c r="C5" s="208" t="s">
        <v>231</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113"/>
      <c r="AN5" s="113"/>
      <c r="AO5" s="113"/>
      <c r="AP5" s="113"/>
      <c r="AQ5" s="113"/>
      <c r="AR5" s="113"/>
      <c r="AS5" s="113"/>
      <c r="AT5" s="113"/>
      <c r="AU5" s="113"/>
      <c r="AV5" s="113"/>
      <c r="AW5" s="113"/>
      <c r="AX5" s="113"/>
      <c r="AY5" s="113"/>
      <c r="AZ5" s="113"/>
      <c r="BA5" s="113"/>
      <c r="BB5" s="113"/>
      <c r="BC5" s="113"/>
      <c r="BD5" s="113"/>
      <c r="BE5" s="113"/>
      <c r="BF5" s="113"/>
      <c r="BG5" s="113"/>
      <c r="BH5" s="113"/>
      <c r="BI5" s="113"/>
      <c r="BJ5" s="113"/>
      <c r="BK5" s="113"/>
      <c r="BL5" s="113"/>
      <c r="BM5" s="113"/>
      <c r="BN5" s="113"/>
      <c r="BO5" s="113"/>
      <c r="BP5" s="113"/>
      <c r="BQ5" s="113"/>
      <c r="BR5" s="113"/>
    </row>
    <row r="6" spans="1:70" ht="49.5" customHeight="1" x14ac:dyDescent="0.3">
      <c r="A6" s="280" t="s">
        <v>44</v>
      </c>
      <c r="B6" s="281"/>
      <c r="C6" s="208" t="s">
        <v>233</v>
      </c>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113"/>
      <c r="AN6" s="113"/>
      <c r="AO6" s="113"/>
      <c r="AP6" s="113"/>
      <c r="AQ6" s="113"/>
      <c r="AR6" s="113"/>
      <c r="AS6" s="113"/>
      <c r="AT6" s="113"/>
      <c r="AU6" s="113"/>
      <c r="AV6" s="113"/>
      <c r="AW6" s="113"/>
      <c r="AX6" s="113"/>
      <c r="AY6" s="113"/>
      <c r="AZ6" s="113"/>
      <c r="BA6" s="113"/>
      <c r="BB6" s="113"/>
      <c r="BC6" s="113"/>
      <c r="BD6" s="113"/>
      <c r="BE6" s="113"/>
      <c r="BF6" s="113"/>
      <c r="BG6" s="113"/>
      <c r="BH6" s="113"/>
      <c r="BI6" s="113"/>
      <c r="BJ6" s="113"/>
      <c r="BK6" s="113"/>
      <c r="BL6" s="113"/>
      <c r="BM6" s="113"/>
      <c r="BN6" s="113"/>
      <c r="BO6" s="113"/>
      <c r="BP6" s="113"/>
      <c r="BQ6" s="113"/>
      <c r="BR6" s="113"/>
    </row>
    <row r="7" spans="1:70" x14ac:dyDescent="0.3">
      <c r="A7" s="215" t="s">
        <v>133</v>
      </c>
      <c r="B7" s="216"/>
      <c r="C7" s="213"/>
      <c r="D7" s="213"/>
      <c r="E7" s="213"/>
      <c r="F7" s="213"/>
      <c r="G7" s="213"/>
      <c r="H7" s="213"/>
      <c r="I7" s="214"/>
      <c r="J7" s="212" t="s">
        <v>134</v>
      </c>
      <c r="K7" s="213"/>
      <c r="L7" s="213"/>
      <c r="M7" s="213"/>
      <c r="N7" s="213"/>
      <c r="O7" s="213"/>
      <c r="P7" s="214"/>
      <c r="Q7" s="212" t="s">
        <v>135</v>
      </c>
      <c r="R7" s="213"/>
      <c r="S7" s="213"/>
      <c r="T7" s="213"/>
      <c r="U7" s="213"/>
      <c r="V7" s="213"/>
      <c r="W7" s="213"/>
      <c r="X7" s="213"/>
      <c r="Y7" s="214"/>
      <c r="Z7" s="212" t="s">
        <v>136</v>
      </c>
      <c r="AA7" s="213"/>
      <c r="AB7" s="213"/>
      <c r="AC7" s="213"/>
      <c r="AD7" s="213"/>
      <c r="AE7" s="213"/>
      <c r="AF7" s="214"/>
      <c r="AG7" s="212" t="s">
        <v>34</v>
      </c>
      <c r="AH7" s="213"/>
      <c r="AI7" s="213"/>
      <c r="AJ7" s="213"/>
      <c r="AK7" s="213"/>
      <c r="AL7" s="214"/>
      <c r="AM7" s="113"/>
      <c r="AN7" s="113"/>
      <c r="AO7" s="113"/>
      <c r="AP7" s="113"/>
      <c r="AQ7" s="113"/>
      <c r="AR7" s="113"/>
      <c r="AS7" s="113"/>
      <c r="AT7" s="113"/>
      <c r="AU7" s="113"/>
      <c r="AV7" s="113"/>
      <c r="AW7" s="113"/>
      <c r="AX7" s="113"/>
      <c r="AY7" s="113"/>
      <c r="AZ7" s="113"/>
      <c r="BA7" s="113"/>
      <c r="BB7" s="113"/>
      <c r="BC7" s="113"/>
      <c r="BD7" s="113"/>
      <c r="BE7" s="113"/>
      <c r="BF7" s="113"/>
      <c r="BG7" s="113"/>
      <c r="BH7" s="113"/>
      <c r="BI7" s="113"/>
      <c r="BJ7" s="113"/>
      <c r="BK7" s="113"/>
      <c r="BL7" s="113"/>
      <c r="BM7" s="113"/>
      <c r="BN7" s="113"/>
      <c r="BO7" s="113"/>
      <c r="BP7" s="113"/>
      <c r="BQ7" s="113"/>
      <c r="BR7" s="113"/>
    </row>
    <row r="8" spans="1:70" ht="16.5" customHeight="1" x14ac:dyDescent="0.3">
      <c r="A8" s="282" t="s">
        <v>0</v>
      </c>
      <c r="B8" s="291" t="s">
        <v>2</v>
      </c>
      <c r="C8" s="279" t="s">
        <v>3</v>
      </c>
      <c r="D8" s="279" t="s">
        <v>42</v>
      </c>
      <c r="E8" s="272" t="s">
        <v>202</v>
      </c>
      <c r="F8" s="284" t="s">
        <v>1</v>
      </c>
      <c r="G8" s="118"/>
      <c r="H8" s="272" t="s">
        <v>50</v>
      </c>
      <c r="I8" s="279" t="s">
        <v>129</v>
      </c>
      <c r="J8" s="273" t="s">
        <v>33</v>
      </c>
      <c r="K8" s="289" t="s">
        <v>5</v>
      </c>
      <c r="L8" s="272" t="s">
        <v>86</v>
      </c>
      <c r="M8" s="272" t="s">
        <v>91</v>
      </c>
      <c r="N8" s="290" t="s">
        <v>45</v>
      </c>
      <c r="O8" s="289" t="s">
        <v>5</v>
      </c>
      <c r="P8" s="279" t="s">
        <v>48</v>
      </c>
      <c r="Q8" s="286" t="s">
        <v>11</v>
      </c>
      <c r="R8" s="278" t="s">
        <v>151</v>
      </c>
      <c r="S8" s="272" t="s">
        <v>12</v>
      </c>
      <c r="T8" s="278" t="s">
        <v>8</v>
      </c>
      <c r="U8" s="278"/>
      <c r="V8" s="278"/>
      <c r="W8" s="278"/>
      <c r="X8" s="278"/>
      <c r="Y8" s="278"/>
      <c r="Z8" s="288" t="s">
        <v>132</v>
      </c>
      <c r="AA8" s="288" t="s">
        <v>46</v>
      </c>
      <c r="AB8" s="288" t="s">
        <v>5</v>
      </c>
      <c r="AC8" s="288" t="s">
        <v>47</v>
      </c>
      <c r="AD8" s="288" t="s">
        <v>5</v>
      </c>
      <c r="AE8" s="288" t="s">
        <v>49</v>
      </c>
      <c r="AF8" s="286" t="s">
        <v>29</v>
      </c>
      <c r="AG8" s="278" t="s">
        <v>34</v>
      </c>
      <c r="AH8" s="278" t="s">
        <v>35</v>
      </c>
      <c r="AI8" s="278" t="s">
        <v>36</v>
      </c>
      <c r="AJ8" s="278" t="s">
        <v>38</v>
      </c>
      <c r="AK8" s="278" t="s">
        <v>37</v>
      </c>
      <c r="AL8" s="278" t="s">
        <v>39</v>
      </c>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c r="BN8" s="113"/>
      <c r="BO8" s="113"/>
      <c r="BP8" s="113"/>
      <c r="BQ8" s="113"/>
      <c r="BR8" s="113"/>
    </row>
    <row r="9" spans="1:70" s="121" customFormat="1" ht="55.2" customHeight="1" x14ac:dyDescent="0.3">
      <c r="A9" s="283"/>
      <c r="B9" s="291"/>
      <c r="C9" s="278"/>
      <c r="D9" s="278"/>
      <c r="E9" s="273"/>
      <c r="F9" s="285"/>
      <c r="G9" s="118" t="s">
        <v>203</v>
      </c>
      <c r="H9" s="279"/>
      <c r="I9" s="278"/>
      <c r="J9" s="279"/>
      <c r="K9" s="212"/>
      <c r="L9" s="279"/>
      <c r="M9" s="279"/>
      <c r="N9" s="212"/>
      <c r="O9" s="212"/>
      <c r="P9" s="278"/>
      <c r="Q9" s="287"/>
      <c r="R9" s="278"/>
      <c r="S9" s="279"/>
      <c r="T9" s="119" t="s">
        <v>13</v>
      </c>
      <c r="U9" s="119" t="s">
        <v>17</v>
      </c>
      <c r="V9" s="119" t="s">
        <v>28</v>
      </c>
      <c r="W9" s="119" t="s">
        <v>18</v>
      </c>
      <c r="X9" s="119" t="s">
        <v>21</v>
      </c>
      <c r="Y9" s="119" t="s">
        <v>24</v>
      </c>
      <c r="Z9" s="288"/>
      <c r="AA9" s="288"/>
      <c r="AB9" s="288"/>
      <c r="AC9" s="288"/>
      <c r="AD9" s="288"/>
      <c r="AE9" s="288"/>
      <c r="AF9" s="287"/>
      <c r="AG9" s="278"/>
      <c r="AH9" s="278"/>
      <c r="AI9" s="278"/>
      <c r="AJ9" s="278"/>
      <c r="AK9" s="278"/>
      <c r="AL9" s="278"/>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row>
    <row r="10" spans="1:70" s="134" customFormat="1" ht="73.5" customHeight="1" x14ac:dyDescent="0.3">
      <c r="A10" s="217">
        <v>1</v>
      </c>
      <c r="B10" s="219" t="s">
        <v>126</v>
      </c>
      <c r="C10" s="219" t="s">
        <v>218</v>
      </c>
      <c r="D10" s="221" t="s">
        <v>214</v>
      </c>
      <c r="E10" s="122" t="s">
        <v>234</v>
      </c>
      <c r="F10" s="223" t="s">
        <v>217</v>
      </c>
      <c r="G10" s="223" t="s">
        <v>236</v>
      </c>
      <c r="H10" s="224" t="s">
        <v>118</v>
      </c>
      <c r="I10" s="226">
        <v>280</v>
      </c>
      <c r="J10" s="228" t="str">
        <f>IF(I10&lt;=0,"",IF(I10&lt;=2,"Muy Baja",IF(I10&lt;=24,"Baja",IF(I10&lt;=500,"Media",IF(I10&lt;=5000,"Alta","Muy Alta")))))</f>
        <v>Media</v>
      </c>
      <c r="K10" s="230">
        <f>IF(J10="","",IF(J10="Muy Baja",0.2,IF(J10="Baja",0.4,IF(J10="Media",0.6,IF(J10="Alta",0.8,IF(J10="Muy Alta",1,))))))</f>
        <v>0.6</v>
      </c>
      <c r="L10" s="232" t="s">
        <v>145</v>
      </c>
      <c r="M10" s="234"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8" t="str">
        <f ca="1">IF(OR(M10='Tabla Impacto'!$C$11,M10='Tabla Impacto'!$D$11),"Leve",IF(OR(M10='Tabla Impacto'!$C$12,M10='Tabla Impacto'!$D$12),"Menor",IF(OR(M10='Tabla Impacto'!$C$13,M10='Tabla Impacto'!$D$13),"Moderado",IF(OR(M10='Tabla Impacto'!$C$14,M10='Tabla Impacto'!$D$14),"Mayor",IF(OR(M10='Tabla Impacto'!$C$15,M10='Tabla Impacto'!$D$15),"Catastrófico","")))))</f>
        <v>Mayor</v>
      </c>
      <c r="O10" s="230">
        <f ca="1">IF(N10="","",IF(N10="Leve",0.2,IF(N10="Menor",0.4,IF(N10="Moderado",0.6,IF(N10="Mayor",0.8,IF(N10="Catastrófico",1,))))))</f>
        <v>0.8</v>
      </c>
      <c r="P10" s="270"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3">
        <v>1</v>
      </c>
      <c r="R10" s="111" t="s">
        <v>237</v>
      </c>
      <c r="S10" s="124" t="str">
        <f>IF(OR(T10="Preventivo",T10="Detectivo"),"Probabilidad",IF(T10="Correctivo","Impacto",""))</f>
        <v>Probabilidad</v>
      </c>
      <c r="T10" s="125" t="s">
        <v>15</v>
      </c>
      <c r="U10" s="125" t="s">
        <v>9</v>
      </c>
      <c r="V10" s="126" t="str">
        <f>IF(AND(T10="Preventivo",U10="Automático"),"50%",IF(AND(T10="Preventivo",U10="Manual"),"40%",IF(AND(T10="Detectivo",U10="Automático"),"40%",IF(AND(T10="Detectivo",U10="Manual"),"30%",IF(AND(T10="Correctivo",U10="Automático"),"35%",IF(AND(T10="Correctivo",U10="Manual"),"25%",""))))))</f>
        <v>30%</v>
      </c>
      <c r="W10" s="125" t="s">
        <v>20</v>
      </c>
      <c r="X10" s="125" t="s">
        <v>22</v>
      </c>
      <c r="Y10" s="125" t="s">
        <v>114</v>
      </c>
      <c r="Z10" s="127">
        <f>IFERROR(IF(S10="Probabilidad",(K10-(+K10*V10)),IF(S10="Impacto",K10,"")),"")</f>
        <v>0.42</v>
      </c>
      <c r="AA10" s="128" t="str">
        <f>IFERROR(IF(Z10="","",IF(Z10&lt;=0.2,"Muy Baja",IF(Z10&lt;=0.4,"Baja",IF(Z10&lt;=0.6,"Media",IF(Z10&lt;=0.8,"Alta","Muy Alta"))))),"")</f>
        <v>Media</v>
      </c>
      <c r="AB10" s="129">
        <f>+Z10</f>
        <v>0.42</v>
      </c>
      <c r="AC10" s="128" t="str">
        <f ca="1">IFERROR(IF(AD10="","",IF(AD10&lt;=0.2,"Leve",IF(AD10&lt;=0.4,"Menor",IF(AD10&lt;=0.6,"Moderado",IF(AD10&lt;=0.8,"Mayor","Catastrófico"))))),"")</f>
        <v>Mayor</v>
      </c>
      <c r="AD10" s="129">
        <f ca="1">IFERROR(IF(S10="Impacto",(O10-(+O10*V10)),IF(S10="Probabilidad",O10,"")),"")</f>
        <v>0.8</v>
      </c>
      <c r="AE10" s="130"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204" t="s">
        <v>130</v>
      </c>
      <c r="AG10" s="219" t="s">
        <v>242</v>
      </c>
      <c r="AH10" s="219" t="s">
        <v>243</v>
      </c>
      <c r="AI10" s="275" t="s">
        <v>244</v>
      </c>
      <c r="AJ10" s="131"/>
      <c r="AK10" s="112"/>
      <c r="AL10" s="132"/>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row>
    <row r="11" spans="1:70" ht="69" x14ac:dyDescent="0.3">
      <c r="A11" s="218"/>
      <c r="B11" s="220"/>
      <c r="C11" s="220"/>
      <c r="D11" s="222"/>
      <c r="E11" s="122" t="s">
        <v>215</v>
      </c>
      <c r="F11" s="223"/>
      <c r="G11" s="223"/>
      <c r="H11" s="225"/>
      <c r="I11" s="227"/>
      <c r="J11" s="229"/>
      <c r="K11" s="231"/>
      <c r="L11" s="233"/>
      <c r="M11" s="235">
        <f ca="1">IF(NOT(ISERROR(MATCH(L11,_xlfn.ANCHORARRAY(#REF!),0))),#REF!&amp;"Por favor no seleccionar los criterios de impacto",L11)</f>
        <v>0</v>
      </c>
      <c r="N11" s="229"/>
      <c r="O11" s="231"/>
      <c r="P11" s="271"/>
      <c r="Q11" s="123">
        <v>2</v>
      </c>
      <c r="R11" s="111" t="s">
        <v>241</v>
      </c>
      <c r="S11" s="124" t="str">
        <f>IF(OR(T11="Preventivo",T11="Detectivo"),"Probabilidad",IF(T11="Correctivo","Impacto",""))</f>
        <v>Probabilidad</v>
      </c>
      <c r="T11" s="125" t="s">
        <v>14</v>
      </c>
      <c r="U11" s="125" t="s">
        <v>9</v>
      </c>
      <c r="V11" s="126" t="str">
        <f t="shared" ref="V11" si="0">IF(AND(T11="Preventivo",U11="Automático"),"50%",IF(AND(T11="Preventivo",U11="Manual"),"40%",IF(AND(T11="Detectivo",U11="Automático"),"40%",IF(AND(T11="Detectivo",U11="Manual"),"30%",IF(AND(T11="Correctivo",U11="Automático"),"35%",IF(AND(T11="Correctivo",U11="Manual"),"25%",""))))))</f>
        <v>40%</v>
      </c>
      <c r="W11" s="125" t="s">
        <v>19</v>
      </c>
      <c r="X11" s="125" t="s">
        <v>22</v>
      </c>
      <c r="Y11" s="125" t="s">
        <v>114</v>
      </c>
      <c r="Z11" s="127">
        <f>IFERROR(IF(AND(S10="Probabilidad",S11="Probabilidad"),(AB10-(+AB10*V11)),IF(AND(S10="Impacto",S11="Probabilidad"),(K10-(+K10*V11)),IF(S11="Impacto",AB10,""))),"")</f>
        <v>0.252</v>
      </c>
      <c r="AA11" s="128" t="str">
        <f t="shared" ref="AA11" si="1">IFERROR(IF(Z11="","",IF(Z11&lt;=0.2,"Muy Baja",IF(Z11&lt;=0.4,"Baja",IF(Z11&lt;=0.6,"Media",IF(Z11&lt;=0.8,"Alta","Muy Alta"))))),"")</f>
        <v>Baja</v>
      </c>
      <c r="AB11" s="129">
        <f>+Z11</f>
        <v>0.252</v>
      </c>
      <c r="AC11" s="128" t="str">
        <f t="shared" ref="AC11" ca="1" si="2">IFERROR(IF(AD11="","",IF(AD11&lt;=0.2,"Leve",IF(AD11&lt;=0.4,"Menor",IF(AD11&lt;=0.6,"Moderado",IF(AD11&lt;=0.8,"Mayor","Catastrófico"))))),"")</f>
        <v>Mayor</v>
      </c>
      <c r="AD11" s="135">
        <f ca="1">IFERROR(IF(AND(S10="Impacto",S11="Impacto"),(AD10-(+AD10*V11)),IF(AND(S10="Probabilidad",S11="Impacto"),(O10-(+O10*V11)),IF(S11="Probabilidad",AD10,""))),"")</f>
        <v>0.8</v>
      </c>
      <c r="AE11" s="130" t="str">
        <f t="shared" ref="AE11" ca="1" si="3">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205"/>
      <c r="AG11" s="220"/>
      <c r="AH11" s="220"/>
      <c r="AI11" s="276"/>
      <c r="AJ11" s="131"/>
      <c r="AK11" s="112"/>
      <c r="AL11" s="132"/>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c r="BK11" s="113"/>
      <c r="BL11" s="113"/>
      <c r="BM11" s="113"/>
      <c r="BN11" s="113"/>
      <c r="BO11" s="113"/>
      <c r="BP11" s="113"/>
      <c r="BQ11" s="113"/>
      <c r="BR11" s="113"/>
    </row>
    <row r="12" spans="1:70" ht="69" x14ac:dyDescent="0.3">
      <c r="A12" s="218"/>
      <c r="B12" s="220"/>
      <c r="C12" s="220"/>
      <c r="D12" s="222"/>
      <c r="E12" s="122" t="s">
        <v>219</v>
      </c>
      <c r="F12" s="223"/>
      <c r="G12" s="223"/>
      <c r="H12" s="225"/>
      <c r="I12" s="227"/>
      <c r="J12" s="229"/>
      <c r="K12" s="231"/>
      <c r="L12" s="233"/>
      <c r="M12" s="235">
        <f ca="1">IF(NOT(ISERROR(MATCH(L12,_xlfn.ANCHORARRAY(#REF!),0))),#REF!&amp;"Por favor no seleccionar los criterios de impacto",L12)</f>
        <v>0</v>
      </c>
      <c r="N12" s="229"/>
      <c r="O12" s="231"/>
      <c r="P12" s="271"/>
      <c r="Q12" s="123">
        <v>3</v>
      </c>
      <c r="R12" s="136" t="s">
        <v>238</v>
      </c>
      <c r="S12" s="124" t="str">
        <f t="shared" ref="S12:S14" si="4">IF(OR(T12="Preventivo",T12="Detectivo"),"Probabilidad",IF(T12="Correctivo","Impacto",""))</f>
        <v>Probabilidad</v>
      </c>
      <c r="T12" s="125" t="s">
        <v>14</v>
      </c>
      <c r="U12" s="125" t="s">
        <v>9</v>
      </c>
      <c r="V12" s="126" t="str">
        <f t="shared" ref="V12:V14" si="5">IF(AND(T12="Preventivo",U12="Automático"),"50%",IF(AND(T12="Preventivo",U12="Manual"),"40%",IF(AND(T12="Detectivo",U12="Automático"),"40%",IF(AND(T12="Detectivo",U12="Manual"),"30%",IF(AND(T12="Correctivo",U12="Automático"),"35%",IF(AND(T12="Correctivo",U12="Manual"),"25%",""))))))</f>
        <v>40%</v>
      </c>
      <c r="W12" s="125" t="s">
        <v>19</v>
      </c>
      <c r="X12" s="125" t="s">
        <v>22</v>
      </c>
      <c r="Y12" s="125" t="s">
        <v>114</v>
      </c>
      <c r="Z12" s="127">
        <f>IFERROR(IF(AND(S11="Probabilidad",S12="Probabilidad"),(AB11-(+AB11*V12)),IF(AND(S11="Impacto",S12="Probabilidad"),(AB10-(+AB10*V12)),IF(S12="Impacto",AB11,""))),"")</f>
        <v>0.1512</v>
      </c>
      <c r="AA12" s="128" t="str">
        <f t="shared" ref="AA12:AA14" si="6">IFERROR(IF(Z12="","",IF(Z12&lt;=0.2,"Muy Baja",IF(Z12&lt;=0.4,"Baja",IF(Z12&lt;=0.6,"Media",IF(Z12&lt;=0.8,"Alta","Muy Alta"))))),"")</f>
        <v>Muy Baja</v>
      </c>
      <c r="AB12" s="129">
        <f t="shared" ref="AB12:AB14" si="7">+Z12</f>
        <v>0.1512</v>
      </c>
      <c r="AC12" s="128" t="str">
        <f t="shared" ref="AC12:AC14" ca="1" si="8">IFERROR(IF(AD12="","",IF(AD12&lt;=0.2,"Leve",IF(AD12&lt;=0.4,"Menor",IF(AD12&lt;=0.6,"Moderado",IF(AD12&lt;=0.8,"Mayor","Catastrófico"))))),"")</f>
        <v>Mayor</v>
      </c>
      <c r="AD12" s="135">
        <f t="shared" ref="AD12:AD14" ca="1" si="9">IFERROR(IF(AND(S11="Impacto",S12="Impacto"),(AD11-(+AD11*V12)),IF(AND(S11="Probabilidad",S12="Impacto"),(AD10-(+AD10*V12)),IF(S12="Probabilidad",AD11,""))),"")</f>
        <v>0.8</v>
      </c>
      <c r="AE12" s="130" t="str">
        <f t="shared" ref="AE12:AE14" ca="1" si="10">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205"/>
      <c r="AG12" s="220"/>
      <c r="AH12" s="220"/>
      <c r="AI12" s="276"/>
      <c r="AJ12" s="131"/>
      <c r="AK12" s="112"/>
      <c r="AL12" s="132"/>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row>
    <row r="13" spans="1:70" ht="57" x14ac:dyDescent="0.3">
      <c r="A13" s="218"/>
      <c r="B13" s="220"/>
      <c r="C13" s="220"/>
      <c r="D13" s="222"/>
      <c r="E13" s="122" t="s">
        <v>235</v>
      </c>
      <c r="F13" s="223"/>
      <c r="G13" s="223"/>
      <c r="H13" s="225"/>
      <c r="I13" s="227"/>
      <c r="J13" s="229"/>
      <c r="K13" s="231"/>
      <c r="L13" s="233"/>
      <c r="M13" s="235">
        <f ca="1">IF(NOT(ISERROR(MATCH(L13,_xlfn.ANCHORARRAY(#REF!),0))),#REF!&amp;"Por favor no seleccionar los criterios de impacto",L13)</f>
        <v>0</v>
      </c>
      <c r="N13" s="229"/>
      <c r="O13" s="231"/>
      <c r="P13" s="271"/>
      <c r="Q13" s="123">
        <v>4</v>
      </c>
      <c r="R13" s="111" t="s">
        <v>239</v>
      </c>
      <c r="S13" s="124" t="str">
        <f t="shared" si="4"/>
        <v>Probabilidad</v>
      </c>
      <c r="T13" s="125" t="s">
        <v>14</v>
      </c>
      <c r="U13" s="125" t="s">
        <v>9</v>
      </c>
      <c r="V13" s="126" t="str">
        <f t="shared" si="5"/>
        <v>40%</v>
      </c>
      <c r="W13" s="125" t="s">
        <v>19</v>
      </c>
      <c r="X13" s="125" t="s">
        <v>22</v>
      </c>
      <c r="Y13" s="125" t="s">
        <v>114</v>
      </c>
      <c r="Z13" s="127">
        <f t="shared" ref="Z13:Z14" si="11">IFERROR(IF(AND(S12="Probabilidad",S13="Probabilidad"),(AB12-(+AB12*V13)),IF(AND(S12="Impacto",S13="Probabilidad"),(AB11-(+AB11*V13)),IF(S13="Impacto",AB12,""))),"")</f>
        <v>9.0719999999999995E-2</v>
      </c>
      <c r="AA13" s="128" t="str">
        <f t="shared" si="6"/>
        <v>Muy Baja</v>
      </c>
      <c r="AB13" s="129">
        <f t="shared" si="7"/>
        <v>9.0719999999999995E-2</v>
      </c>
      <c r="AC13" s="128" t="str">
        <f t="shared" ca="1" si="8"/>
        <v>Mayor</v>
      </c>
      <c r="AD13" s="135">
        <f t="shared" ca="1" si="9"/>
        <v>0.8</v>
      </c>
      <c r="AE13" s="130" t="str">
        <f t="shared" ca="1" si="10"/>
        <v>Alto</v>
      </c>
      <c r="AF13" s="205"/>
      <c r="AG13" s="220"/>
      <c r="AH13" s="220"/>
      <c r="AI13" s="276"/>
      <c r="AJ13" s="131"/>
      <c r="AK13" s="112"/>
      <c r="AL13" s="132"/>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row>
    <row r="14" spans="1:70" ht="57" x14ac:dyDescent="0.3">
      <c r="A14" s="218"/>
      <c r="B14" s="220"/>
      <c r="C14" s="220"/>
      <c r="D14" s="222"/>
      <c r="E14" s="122" t="s">
        <v>220</v>
      </c>
      <c r="F14" s="223"/>
      <c r="G14" s="223"/>
      <c r="H14" s="225"/>
      <c r="I14" s="227"/>
      <c r="J14" s="229"/>
      <c r="K14" s="231"/>
      <c r="L14" s="233"/>
      <c r="M14" s="235">
        <f ca="1">IF(NOT(ISERROR(MATCH(L14,_xlfn.ANCHORARRAY(#REF!),0))),#REF!&amp;"Por favor no seleccionar los criterios de impacto",L14)</f>
        <v>0</v>
      </c>
      <c r="N14" s="229"/>
      <c r="O14" s="231"/>
      <c r="P14" s="271"/>
      <c r="Q14" s="123">
        <v>5</v>
      </c>
      <c r="R14" s="111" t="s">
        <v>240</v>
      </c>
      <c r="S14" s="124" t="str">
        <f t="shared" si="4"/>
        <v>Probabilidad</v>
      </c>
      <c r="T14" s="125" t="s">
        <v>15</v>
      </c>
      <c r="U14" s="125" t="s">
        <v>9</v>
      </c>
      <c r="V14" s="126" t="str">
        <f t="shared" si="5"/>
        <v>30%</v>
      </c>
      <c r="W14" s="125" t="s">
        <v>19</v>
      </c>
      <c r="X14" s="125" t="s">
        <v>22</v>
      </c>
      <c r="Y14" s="125" t="s">
        <v>114</v>
      </c>
      <c r="Z14" s="127">
        <f t="shared" si="11"/>
        <v>6.3504000000000005E-2</v>
      </c>
      <c r="AA14" s="128" t="str">
        <f t="shared" si="6"/>
        <v>Muy Baja</v>
      </c>
      <c r="AB14" s="129">
        <f t="shared" si="7"/>
        <v>6.3504000000000005E-2</v>
      </c>
      <c r="AC14" s="128" t="str">
        <f t="shared" ca="1" si="8"/>
        <v>Mayor</v>
      </c>
      <c r="AD14" s="135">
        <f t="shared" ca="1" si="9"/>
        <v>0.8</v>
      </c>
      <c r="AE14" s="130" t="str">
        <f t="shared" ca="1" si="10"/>
        <v>Alto</v>
      </c>
      <c r="AF14" s="206"/>
      <c r="AG14" s="274"/>
      <c r="AH14" s="274"/>
      <c r="AI14" s="277"/>
      <c r="AJ14" s="131"/>
      <c r="AK14" s="112"/>
      <c r="AL14" s="132"/>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c r="BJ14" s="113"/>
      <c r="BK14" s="113"/>
      <c r="BL14" s="113"/>
      <c r="BM14" s="113"/>
      <c r="BN14" s="113"/>
      <c r="BO14" s="113"/>
      <c r="BP14" s="113"/>
      <c r="BQ14" s="113"/>
      <c r="BR14" s="113"/>
    </row>
    <row r="15" spans="1:70" ht="71.25" customHeight="1" x14ac:dyDescent="0.3">
      <c r="A15" s="217">
        <v>2</v>
      </c>
      <c r="B15" s="219" t="s">
        <v>128</v>
      </c>
      <c r="C15" s="219" t="s">
        <v>221</v>
      </c>
      <c r="D15" s="221" t="s">
        <v>263</v>
      </c>
      <c r="E15" s="122" t="s">
        <v>257</v>
      </c>
      <c r="F15" s="223" t="s">
        <v>260</v>
      </c>
      <c r="G15" s="268" t="s">
        <v>262</v>
      </c>
      <c r="H15" s="224" t="s">
        <v>118</v>
      </c>
      <c r="I15" s="226">
        <v>720</v>
      </c>
      <c r="J15" s="228" t="str">
        <f>IF(I15&lt;=0,"",IF(I15&lt;=2,"Muy Baja",IF(I15&lt;=24,"Baja",IF(I15&lt;=500,"Media",IF(I15&lt;=5000,"Alta","Muy Alta")))))</f>
        <v>Alta</v>
      </c>
      <c r="K15" s="230">
        <f>IF(J15="","",IF(J15="Muy Baja",0.2,IF(J15="Baja",0.4,IF(J15="Media",0.6,IF(J15="Alta",0.8,IF(J15="Muy Alta",1,))))))</f>
        <v>0.8</v>
      </c>
      <c r="L15" s="232" t="s">
        <v>145</v>
      </c>
      <c r="M15" s="230" t="str">
        <f ca="1">IF(NOT(ISERROR(MATCH(L15,'Tabla Impacto'!$B$221:$B$223,0))),'Tabla Impacto'!$F$223&amp;"Por favor no seleccionar los criterios de impacto(Afectación Económica o presupuestal y Pérdida Reputacional)",L15)</f>
        <v xml:space="preserve">     El riesgo afecta la imagen de de la entidad con efecto publicitario sostenido a nivel de sector administrativo, nivel departamental o municipal</v>
      </c>
      <c r="N15" s="228" t="str">
        <f ca="1">IF(OR(M15='Tabla Impacto'!$C$11,M15='Tabla Impacto'!$D$11),"Leve",IF(OR(M15='Tabla Impacto'!$C$12,M15='Tabla Impacto'!$D$12),"Menor",IF(OR(M15='Tabla Impacto'!$C$13,M15='Tabla Impacto'!$D$13),"Moderado",IF(OR(M15='Tabla Impacto'!$C$14,M15='Tabla Impacto'!$D$14),"Mayor",IF(OR(M15='Tabla Impacto'!$C$15,M15='Tabla Impacto'!$D$15),"Catastrófico","")))))</f>
        <v>Mayor</v>
      </c>
      <c r="O15" s="230">
        <f ca="1">IF(N15="","",IF(N15="Leve",0.2,IF(N15="Menor",0.4,IF(N15="Moderado",0.6,IF(N15="Mayor",0.8,IF(N15="Catastrófico",1,))))))</f>
        <v>0.8</v>
      </c>
      <c r="P15" s="270" t="str">
        <f ca="1">IF(OR(AND(J15="Muy Baja",N15="Leve"),AND(J15="Muy Baja",N15="Menor"),AND(J15="Baja",N15="Leve")),"Bajo",IF(OR(AND(J15="Muy baja",N15="Moderado"),AND(J15="Baja",N15="Menor"),AND(J15="Baja",N15="Moderado"),AND(J15="Media",N15="Leve"),AND(J15="Media",N15="Menor"),AND(J15="Media",N15="Moderado"),AND(J15="Alta",N15="Leve"),AND(J15="Alta",N15="Menor")),"Moderado",IF(OR(AND(J15="Muy Baja",N15="Mayor"),AND(J15="Baja",N15="Mayor"),AND(J15="Media",N15="Mayor"),AND(J15="Alta",N15="Moderado"),AND(J15="Alta",N15="Mayor"),AND(J15="Muy Alta",N15="Leve"),AND(J15="Muy Alta",N15="Menor"),AND(J15="Muy Alta",N15="Moderado"),AND(J15="Muy Alta",N15="Mayor")),"Alto",IF(OR(AND(J15="Muy Baja",N15="Catastrófico"),AND(J15="Baja",N15="Catastrófico"),AND(J15="Media",N15="Catastrófico"),AND(J15="Alta",N15="Catastrófico"),AND(J15="Muy Alta",N15="Catastrófico")),"Extremo",""))))</f>
        <v>Alto</v>
      </c>
      <c r="Q15" s="123">
        <v>1</v>
      </c>
      <c r="R15" s="111" t="s">
        <v>264</v>
      </c>
      <c r="S15" s="124" t="str">
        <f>IF(OR(T15="Preventivo",T15="Detectivo"),"Probabilidad",IF(T15="Correctivo","Impacto",""))</f>
        <v>Probabilidad</v>
      </c>
      <c r="T15" s="125" t="s">
        <v>14</v>
      </c>
      <c r="U15" s="125" t="s">
        <v>9</v>
      </c>
      <c r="V15" s="126" t="str">
        <f>IF(AND(T15="Preventivo",U15="Automático"),"50%",IF(AND(T15="Preventivo",U15="Manual"),"40%",IF(AND(T15="Detectivo",U15="Automático"),"40%",IF(AND(T15="Detectivo",U15="Manual"),"30%",IF(AND(T15="Correctivo",U15="Automático"),"35%",IF(AND(T15="Correctivo",U15="Manual"),"25%",""))))))</f>
        <v>40%</v>
      </c>
      <c r="W15" s="125" t="s">
        <v>20</v>
      </c>
      <c r="X15" s="125" t="s">
        <v>22</v>
      </c>
      <c r="Y15" s="125" t="s">
        <v>114</v>
      </c>
      <c r="Z15" s="140">
        <f>IFERROR(IF(S15="Probabilidad",(K15-(+K15*V15)),IF(S15="Impacto",K15,"")),"")</f>
        <v>0.48</v>
      </c>
      <c r="AA15" s="141" t="str">
        <f>IFERROR(IF(Z15="","",IF(Z15&lt;=0.2,"Muy Baja",IF(Z15&lt;=0.4,"Baja",IF(Z15&lt;=0.6,"Media",IF(Z15&lt;=0.8,"Alta","Muy Alta"))))),"")</f>
        <v>Media</v>
      </c>
      <c r="AB15" s="142">
        <f t="shared" ref="AB15:AB20" si="12">+Z15</f>
        <v>0.48</v>
      </c>
      <c r="AC15" s="141" t="str">
        <f ca="1">IFERROR(IF(AD15="","",IF(AD15&lt;=0.2,"Leve",IF(AD15&lt;=0.4,"Menor",IF(AD15&lt;=0.6,"Moderado",IF(AD15&lt;=0.8,"Mayor","Catastrófico"))))),"")</f>
        <v>Mayor</v>
      </c>
      <c r="AD15" s="142">
        <f ca="1">IFERROR(IF(S15="Impacto",(O15-(+O15*V15)),IF(S15="Probabilidad",O15,"")),"")</f>
        <v>0.8</v>
      </c>
      <c r="AE15" s="143" t="str">
        <f ca="1">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Alto</v>
      </c>
      <c r="AF15" s="204" t="s">
        <v>130</v>
      </c>
      <c r="AG15" s="219" t="s">
        <v>270</v>
      </c>
      <c r="AH15" s="219" t="s">
        <v>271</v>
      </c>
      <c r="AI15" s="275" t="s">
        <v>259</v>
      </c>
      <c r="AJ15" s="131"/>
      <c r="AK15" s="112"/>
      <c r="AL15" s="132"/>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row>
    <row r="16" spans="1:70" ht="85.8" customHeight="1" x14ac:dyDescent="0.3">
      <c r="A16" s="218"/>
      <c r="B16" s="220"/>
      <c r="C16" s="220"/>
      <c r="D16" s="222"/>
      <c r="E16" s="122" t="s">
        <v>265</v>
      </c>
      <c r="F16" s="223"/>
      <c r="G16" s="269"/>
      <c r="H16" s="225"/>
      <c r="I16" s="227"/>
      <c r="J16" s="229"/>
      <c r="K16" s="231"/>
      <c r="L16" s="233"/>
      <c r="M16" s="231">
        <f ca="1">IF(NOT(ISERROR(MATCH(L16,_xlfn.ANCHORARRAY(F15),0))),K21&amp;"Por favor no seleccionar los criterios de impacto",L16)</f>
        <v>0</v>
      </c>
      <c r="N16" s="229"/>
      <c r="O16" s="231"/>
      <c r="P16" s="271"/>
      <c r="Q16" s="123">
        <v>2</v>
      </c>
      <c r="R16" s="111" t="s">
        <v>266</v>
      </c>
      <c r="S16" s="124" t="str">
        <f>IF(OR(T16="Preventivo",T16="Detectivo"),"Probabilidad",IF(T16="Correctivo","Impacto",""))</f>
        <v>Probabilidad</v>
      </c>
      <c r="T16" s="125" t="s">
        <v>14</v>
      </c>
      <c r="U16" s="125" t="s">
        <v>9</v>
      </c>
      <c r="V16" s="126" t="str">
        <f t="shared" ref="V16" si="13">IF(AND(T16="Preventivo",U16="Automático"),"50%",IF(AND(T16="Preventivo",U16="Manual"),"40%",IF(AND(T16="Detectivo",U16="Automático"),"40%",IF(AND(T16="Detectivo",U16="Manual"),"30%",IF(AND(T16="Correctivo",U16="Automático"),"35%",IF(AND(T16="Correctivo",U16="Manual"),"25%",""))))))</f>
        <v>40%</v>
      </c>
      <c r="W16" s="125" t="s">
        <v>20</v>
      </c>
      <c r="X16" s="125" t="s">
        <v>23</v>
      </c>
      <c r="Y16" s="125" t="s">
        <v>114</v>
      </c>
      <c r="Z16" s="140">
        <f>IFERROR(IF(AND(S15="Probabilidad",S16="Probabilidad"),(AB15-(+AB15*V16)),IF(AND(S15="Impacto",S16="Probabilidad"),(K15-(+K15*V16)),IF(S16="Impacto",AB15,""))),"")</f>
        <v>0.28799999999999998</v>
      </c>
      <c r="AA16" s="141" t="str">
        <f t="shared" ref="AA16" si="14">IFERROR(IF(Z16="","",IF(Z16&lt;=0.2,"Muy Baja",IF(Z16&lt;=0.4,"Baja",IF(Z16&lt;=0.6,"Media",IF(Z16&lt;=0.8,"Alta","Muy Alta"))))),"")</f>
        <v>Baja</v>
      </c>
      <c r="AB16" s="142">
        <f t="shared" si="12"/>
        <v>0.28799999999999998</v>
      </c>
      <c r="AC16" s="141" t="str">
        <f t="shared" ref="AC16" ca="1" si="15">IFERROR(IF(AD16="","",IF(AD16&lt;=0.2,"Leve",IF(AD16&lt;=0.4,"Menor",IF(AD16&lt;=0.6,"Moderado",IF(AD16&lt;=0.8,"Mayor","Catastrófico"))))),"")</f>
        <v>Mayor</v>
      </c>
      <c r="AD16" s="146">
        <f ca="1">IFERROR(IF(AND(S15="Impacto",S16="Impacto"),(AD15-(+AD15*V16)),IF(AND(S15="Probabilidad",S16="Impacto"),(O15-(+O15*V16)),IF(S16="Probabilidad",AD15,""))),"")</f>
        <v>0.8</v>
      </c>
      <c r="AE16" s="143" t="str">
        <f t="shared" ref="AE16" ca="1" si="16">IFERROR(IF(OR(AND(AA16="Muy Baja",AC16="Leve"),AND(AA16="Muy Baja",AC16="Menor"),AND(AA16="Baja",AC16="Leve")),"Bajo",IF(OR(AND(AA16="Muy baja",AC16="Moderado"),AND(AA16="Baja",AC16="Menor"),AND(AA16="Baja",AC16="Moderado"),AND(AA16="Media",AC16="Leve"),AND(AA16="Media",AC16="Menor"),AND(AA16="Media",AC16="Moderado"),AND(AA16="Alta",AC16="Leve"),AND(AA16="Alta",AC16="Menor")),"Moderado",IF(OR(AND(AA16="Muy Baja",AC16="Mayor"),AND(AA16="Baja",AC16="Mayor"),AND(AA16="Media",AC16="Mayor"),AND(AA16="Alta",AC16="Moderado"),AND(AA16="Alta",AC16="Mayor"),AND(AA16="Muy Alta",AC16="Leve"),AND(AA16="Muy Alta",AC16="Menor"),AND(AA16="Muy Alta",AC16="Moderado"),AND(AA16="Muy Alta",AC16="Mayor")),"Alto",IF(OR(AND(AA16="Muy Baja",AC16="Catastrófico"),AND(AA16="Baja",AC16="Catastrófico"),AND(AA16="Media",AC16="Catastrófico"),AND(AA16="Alta",AC16="Catastrófico"),AND(AA16="Muy Alta",AC16="Catastrófico")),"Extremo","")))),"")</f>
        <v>Alto</v>
      </c>
      <c r="AF16" s="205"/>
      <c r="AG16" s="220"/>
      <c r="AH16" s="220"/>
      <c r="AI16" s="276"/>
      <c r="AJ16" s="131"/>
      <c r="AK16" s="112"/>
      <c r="AL16" s="132"/>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row>
    <row r="17" spans="1:70" ht="69.599999999999994" customHeight="1" x14ac:dyDescent="0.3">
      <c r="A17" s="218"/>
      <c r="B17" s="220"/>
      <c r="C17" s="220"/>
      <c r="D17" s="222"/>
      <c r="E17" s="122" t="s">
        <v>267</v>
      </c>
      <c r="F17" s="223"/>
      <c r="G17" s="269"/>
      <c r="H17" s="225"/>
      <c r="I17" s="227"/>
      <c r="J17" s="229"/>
      <c r="K17" s="231"/>
      <c r="L17" s="233"/>
      <c r="M17" s="231"/>
      <c r="N17" s="229"/>
      <c r="O17" s="231"/>
      <c r="P17" s="271"/>
      <c r="Q17" s="123">
        <v>3</v>
      </c>
      <c r="R17" s="136" t="s">
        <v>268</v>
      </c>
      <c r="S17" s="124" t="str">
        <f t="shared" ref="S17:S18" si="17">IF(OR(T17="Preventivo",T17="Detectivo"),"Probabilidad",IF(T17="Correctivo","Impacto",""))</f>
        <v>Probabilidad</v>
      </c>
      <c r="T17" s="125" t="s">
        <v>15</v>
      </c>
      <c r="U17" s="125" t="s">
        <v>10</v>
      </c>
      <c r="V17" s="126" t="str">
        <f t="shared" ref="V17:V18" si="18">IF(AND(T17="Preventivo",U17="Automático"),"50%",IF(AND(T17="Preventivo",U17="Manual"),"40%",IF(AND(T17="Detectivo",U17="Automático"),"40%",IF(AND(T17="Detectivo",U17="Manual"),"30%",IF(AND(T17="Correctivo",U17="Automático"),"35%",IF(AND(T17="Correctivo",U17="Manual"),"25%",""))))))</f>
        <v>40%</v>
      </c>
      <c r="W17" s="125" t="s">
        <v>19</v>
      </c>
      <c r="X17" s="125" t="s">
        <v>22</v>
      </c>
      <c r="Y17" s="125" t="s">
        <v>114</v>
      </c>
      <c r="Z17" s="140">
        <f>IFERROR(IF(AND(S16="Probabilidad",S17="Probabilidad"),(AB16-(+AB16*V17)),IF(AND(S16="Impacto",S17="Probabilidad"),(K16-(+K16*V17)),IF(S17="Impacto",AB16,""))),"")</f>
        <v>0.17279999999999998</v>
      </c>
      <c r="AA17" s="141" t="str">
        <f t="shared" ref="AA17" si="19">IFERROR(IF(Z17="","",IF(Z17&lt;=0.2,"Muy Baja",IF(Z17&lt;=0.4,"Baja",IF(Z17&lt;=0.6,"Media",IF(Z17&lt;=0.8,"Alta","Muy Alta"))))),"")</f>
        <v>Muy Baja</v>
      </c>
      <c r="AB17" s="142">
        <f t="shared" si="12"/>
        <v>0.17279999999999998</v>
      </c>
      <c r="AC17" s="141" t="str">
        <f t="shared" ref="AC17" ca="1" si="20">IFERROR(IF(AD17="","",IF(AD17&lt;=0.2,"Leve",IF(AD17&lt;=0.4,"Menor",IF(AD17&lt;=0.6,"Moderado",IF(AD17&lt;=0.8,"Mayor","Catastrófico"))))),"")</f>
        <v>Mayor</v>
      </c>
      <c r="AD17" s="146">
        <f ca="1">IFERROR(IF(AND(S16="Impacto",S17="Impacto"),(AD16-(+AD16*V17)),IF(AND(S16="Probabilidad",S17="Impacto"),(O16-(+O16*V17)),IF(S17="Probabilidad",AD16,""))),"")</f>
        <v>0.8</v>
      </c>
      <c r="AE17" s="143" t="str">
        <f t="shared" ref="AE17" ca="1" si="21">IFERROR(IF(OR(AND(AA17="Muy Baja",AC17="Leve"),AND(AA17="Muy Baja",AC17="Menor"),AND(AA17="Baja",AC17="Leve")),"Bajo",IF(OR(AND(AA17="Muy baja",AC17="Moderado"),AND(AA17="Baja",AC17="Menor"),AND(AA17="Baja",AC17="Moderado"),AND(AA17="Media",AC17="Leve"),AND(AA17="Media",AC17="Menor"),AND(AA17="Media",AC17="Moderado"),AND(AA17="Alta",AC17="Leve"),AND(AA17="Alta",AC17="Menor")),"Moderado",IF(OR(AND(AA17="Muy Baja",AC17="Mayor"),AND(AA17="Baja",AC17="Mayor"),AND(AA17="Media",AC17="Mayor"),AND(AA17="Alta",AC17="Moderado"),AND(AA17="Alta",AC17="Mayor"),AND(AA17="Muy Alta",AC17="Leve"),AND(AA17="Muy Alta",AC17="Menor"),AND(AA17="Muy Alta",AC17="Moderado"),AND(AA17="Muy Alta",AC17="Mayor")),"Alto",IF(OR(AND(AA17="Muy Baja",AC17="Catastrófico"),AND(AA17="Baja",AC17="Catastrófico"),AND(AA17="Media",AC17="Catastrófico"),AND(AA17="Alta",AC17="Catastrófico"),AND(AA17="Muy Alta",AC17="Catastrófico")),"Extremo","")))),"")</f>
        <v>Alto</v>
      </c>
      <c r="AF17" s="205"/>
      <c r="AG17" s="220"/>
      <c r="AH17" s="220"/>
      <c r="AI17" s="276"/>
      <c r="AJ17" s="131"/>
      <c r="AK17" s="112"/>
      <c r="AL17" s="132"/>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row>
    <row r="18" spans="1:70" ht="69.599999999999994" customHeight="1" x14ac:dyDescent="0.3">
      <c r="A18" s="218"/>
      <c r="B18" s="220"/>
      <c r="C18" s="220"/>
      <c r="D18" s="222"/>
      <c r="E18" s="122" t="s">
        <v>261</v>
      </c>
      <c r="F18" s="223"/>
      <c r="G18" s="269"/>
      <c r="H18" s="225"/>
      <c r="I18" s="227"/>
      <c r="J18" s="229"/>
      <c r="K18" s="231"/>
      <c r="L18" s="233"/>
      <c r="M18" s="231"/>
      <c r="N18" s="229"/>
      <c r="O18" s="231"/>
      <c r="P18" s="271"/>
      <c r="Q18" s="123">
        <v>4</v>
      </c>
      <c r="R18" s="136" t="s">
        <v>269</v>
      </c>
      <c r="S18" s="124" t="str">
        <f t="shared" si="17"/>
        <v>Probabilidad</v>
      </c>
      <c r="T18" s="125" t="s">
        <v>14</v>
      </c>
      <c r="U18" s="125" t="s">
        <v>9</v>
      </c>
      <c r="V18" s="126" t="str">
        <f t="shared" si="18"/>
        <v>40%</v>
      </c>
      <c r="W18" s="125" t="s">
        <v>20</v>
      </c>
      <c r="X18" s="125" t="s">
        <v>23</v>
      </c>
      <c r="Y18" s="125" t="s">
        <v>114</v>
      </c>
      <c r="Z18" s="140">
        <f>IFERROR(IF(AND(S17="Probabilidad",S18="Probabilidad"),(AB17-(+AB17*V18)),IF(AND(S17="Impacto",S18="Probabilidad"),(K17-(+K17*V18)),IF(S18="Impacto",AB17,""))),"")</f>
        <v>0.10367999999999998</v>
      </c>
      <c r="AA18" s="141" t="str">
        <f t="shared" ref="AA18" si="22">IFERROR(IF(Z18="","",IF(Z18&lt;=0.2,"Muy Baja",IF(Z18&lt;=0.4,"Baja",IF(Z18&lt;=0.6,"Media",IF(Z18&lt;=0.8,"Alta","Muy Alta"))))),"")</f>
        <v>Muy Baja</v>
      </c>
      <c r="AB18" s="142">
        <f t="shared" si="12"/>
        <v>0.10367999999999998</v>
      </c>
      <c r="AC18" s="141" t="str">
        <f t="shared" ref="AC18" ca="1" si="23">IFERROR(IF(AD18="","",IF(AD18&lt;=0.2,"Leve",IF(AD18&lt;=0.4,"Menor",IF(AD18&lt;=0.6,"Moderado",IF(AD18&lt;=0.8,"Mayor","Catastrófico"))))),"")</f>
        <v>Mayor</v>
      </c>
      <c r="AD18" s="146">
        <f ca="1">IFERROR(IF(AND(S17="Impacto",S18="Impacto"),(AD17-(+AD17*V18)),IF(AND(S17="Probabilidad",S18="Impacto"),(O17-(+O17*V18)),IF(S18="Probabilidad",AD17,""))),"")</f>
        <v>0.8</v>
      </c>
      <c r="AE18" s="143" t="str">
        <f t="shared" ref="AE18" ca="1" si="24">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Alto</v>
      </c>
      <c r="AF18" s="205"/>
      <c r="AG18" s="220"/>
      <c r="AH18" s="220"/>
      <c r="AI18" s="276"/>
      <c r="AJ18" s="131"/>
      <c r="AK18" s="112"/>
      <c r="AL18" s="132"/>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row>
    <row r="19" spans="1:70" ht="82.8" x14ac:dyDescent="0.3">
      <c r="A19" s="217">
        <v>3</v>
      </c>
      <c r="B19" s="219" t="s">
        <v>126</v>
      </c>
      <c r="C19" s="219" t="s">
        <v>221</v>
      </c>
      <c r="D19" s="221" t="s">
        <v>222</v>
      </c>
      <c r="E19" s="122" t="s">
        <v>223</v>
      </c>
      <c r="F19" s="266" t="s">
        <v>226</v>
      </c>
      <c r="G19" s="268" t="s">
        <v>225</v>
      </c>
      <c r="H19" s="224" t="s">
        <v>118</v>
      </c>
      <c r="I19" s="226">
        <f>360*114</f>
        <v>41040</v>
      </c>
      <c r="J19" s="228" t="str">
        <f t="shared" ref="J19" si="25">IF(I19&lt;=0,"",IF(I19&lt;=2,"Muy Baja",IF(I19&lt;=24,"Baja",IF(I19&lt;=500,"Media",IF(I19&lt;=5000,"Alta","Muy Alta")))))</f>
        <v>Muy Alta</v>
      </c>
      <c r="K19" s="230">
        <f t="shared" ref="K19" si="26">IF(J19="","",IF(J19="Muy Baja",0.2,IF(J19="Baja",0.4,IF(J19="Media",0.6,IF(J19="Alta",0.8,IF(J19="Muy Alta",1,))))))</f>
        <v>1</v>
      </c>
      <c r="L19" s="232" t="s">
        <v>146</v>
      </c>
      <c r="M19" s="234" t="str">
        <f ca="1">IF(NOT(ISERROR(MATCH(L19,'Tabla Impacto'!$B$221:$B$223,0))),'Tabla Impacto'!$F$223&amp;"Por favor no seleccionar los criterios de impacto(Afectación Económica o presupuestal y Pérdida Reputacional)",L19)</f>
        <v xml:space="preserve">     El riesgo afecta la imagen de la entidad a nivel nacional, con efecto publicitarios sostenible a nivel país</v>
      </c>
      <c r="N19" s="236" t="str">
        <f ca="1">IF(OR(M19='Tabla Impacto'!$C$11,M19='Tabla Impacto'!$D$11),"Leve",IF(OR(M19='Tabla Impacto'!$C$12,M19='Tabla Impacto'!$D$12),"Menor",IF(OR(M19='Tabla Impacto'!$C$13,M19='Tabla Impacto'!$D$13),"Moderado",IF(OR(M19='Tabla Impacto'!$C$14,M19='Tabla Impacto'!$D$14),"Mayor",IF(OR(M19='Tabla Impacto'!$C$15,M19='Tabla Impacto'!$D$15),"Catastrófico","")))))</f>
        <v>Catastrófico</v>
      </c>
      <c r="O19" s="234">
        <f t="shared" ref="O19" ca="1" si="27">IF(N19="","",IF(N19="Leve",0.2,IF(N19="Menor",0.4,IF(N19="Moderado",0.6,IF(N19="Mayor",0.8,IF(N19="Catastrófico",1,))))))</f>
        <v>1</v>
      </c>
      <c r="P19" s="242" t="str">
        <f t="shared" ref="P19" ca="1" si="28">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Extremo</v>
      </c>
      <c r="Q19" s="137">
        <v>1</v>
      </c>
      <c r="R19" s="111" t="s">
        <v>227</v>
      </c>
      <c r="S19" s="148" t="str">
        <f>IF(OR(T19="Preventivo",T19="Detectivo"),"Probabilidad",IF(T19="Correctivo","Impacto",""))</f>
        <v>Probabilidad</v>
      </c>
      <c r="T19" s="149" t="s">
        <v>14</v>
      </c>
      <c r="U19" s="149" t="s">
        <v>9</v>
      </c>
      <c r="V19" s="126" t="str">
        <f>IF(AND(T19="Preventivo",U19="Automático"),"50%",IF(AND(T19="Preventivo",U19="Manual"),"40%",IF(AND(T19="Detectivo",U19="Automático"),"40%",IF(AND(T19="Detectivo",U19="Manual"),"30%",IF(AND(T19="Correctivo",U19="Automático"),"35%",IF(AND(T19="Correctivo",U19="Manual"),"25%",""))))))</f>
        <v>40%</v>
      </c>
      <c r="W19" s="149" t="s">
        <v>19</v>
      </c>
      <c r="X19" s="149" t="s">
        <v>23</v>
      </c>
      <c r="Y19" s="149" t="s">
        <v>114</v>
      </c>
      <c r="Z19" s="140">
        <f>IFERROR(IF(S19="Probabilidad",(K19-(+K19*V19)),IF(S19="Impacto",K19,"")),"")</f>
        <v>0.6</v>
      </c>
      <c r="AA19" s="141" t="str">
        <f>IFERROR(IF(Z19="","",IF(Z19&lt;=0.2,"Muy Baja",IF(Z19&lt;=0.4,"Baja",IF(Z19&lt;=0.6,"Media",IF(Z19&lt;=0.8,"Alta","Muy Alta"))))),"")</f>
        <v>Media</v>
      </c>
      <c r="AB19" s="142">
        <f t="shared" si="12"/>
        <v>0.6</v>
      </c>
      <c r="AC19" s="141" t="str">
        <f ca="1">IFERROR(IF(AD19="","",IF(AD19&lt;=0.2,"Leve",IF(AD19&lt;=0.4,"Menor",IF(AD19&lt;=0.6,"Moderado",IF(AD19&lt;=0.8,"Mayor","Catastrófico"))))),"")</f>
        <v>Catastrófico</v>
      </c>
      <c r="AD19" s="142">
        <f ca="1">IFERROR(IF(S19="Impacto",(O19-(+O19*V19)),IF(S19="Probabilidad",O19,"")),"")</f>
        <v>1</v>
      </c>
      <c r="AE19" s="143" t="str">
        <f ca="1">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Extremo</v>
      </c>
      <c r="AF19" s="204" t="s">
        <v>130</v>
      </c>
      <c r="AG19" s="93" t="s">
        <v>245</v>
      </c>
      <c r="AH19" s="150" t="s">
        <v>246</v>
      </c>
      <c r="AI19" s="151" t="s">
        <v>247</v>
      </c>
      <c r="AJ19" s="131"/>
      <c r="AK19" s="112"/>
      <c r="AL19" s="132"/>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row>
    <row r="20" spans="1:70" ht="82.8" x14ac:dyDescent="0.3">
      <c r="A20" s="218"/>
      <c r="B20" s="220"/>
      <c r="C20" s="220"/>
      <c r="D20" s="222"/>
      <c r="E20" s="122" t="s">
        <v>224</v>
      </c>
      <c r="F20" s="267"/>
      <c r="G20" s="269"/>
      <c r="H20" s="225"/>
      <c r="I20" s="227"/>
      <c r="J20" s="229"/>
      <c r="K20" s="231"/>
      <c r="L20" s="233"/>
      <c r="M20" s="235">
        <f ca="1">IF(NOT(ISERROR(MATCH(L20,_xlfn.ANCHORARRAY(F29),0))),K31&amp;"Por favor no seleccionar los criterios de impacto",L20)</f>
        <v>0</v>
      </c>
      <c r="N20" s="237"/>
      <c r="O20" s="235"/>
      <c r="P20" s="243"/>
      <c r="Q20" s="137">
        <v>2</v>
      </c>
      <c r="R20" s="111" t="s">
        <v>228</v>
      </c>
      <c r="S20" s="148" t="str">
        <f>IF(OR(T20="Preventivo",T20="Detectivo"),"Probabilidad",IF(T20="Correctivo","Impacto",""))</f>
        <v>Probabilidad</v>
      </c>
      <c r="T20" s="149" t="s">
        <v>14</v>
      </c>
      <c r="U20" s="149" t="s">
        <v>9</v>
      </c>
      <c r="V20" s="126" t="str">
        <f t="shared" ref="V20:V22" si="29">IF(AND(T20="Preventivo",U20="Automático"),"50%",IF(AND(T20="Preventivo",U20="Manual"),"40%",IF(AND(T20="Detectivo",U20="Automático"),"40%",IF(AND(T20="Detectivo",U20="Manual"),"30%",IF(AND(T20="Correctivo",U20="Automático"),"35%",IF(AND(T20="Correctivo",U20="Manual"),"25%",""))))))</f>
        <v>40%</v>
      </c>
      <c r="W20" s="149" t="s">
        <v>19</v>
      </c>
      <c r="X20" s="149" t="s">
        <v>22</v>
      </c>
      <c r="Y20" s="149" t="s">
        <v>114</v>
      </c>
      <c r="Z20" s="140">
        <f>IFERROR(IF(AND(S19="Probabilidad",S20="Probabilidad"),(AB19-(+AB19*V20)),IF(AND(S19="Impacto",S20="Probabilidad"),(K19-(+K19*V20)),IF(S20="Impacto",AB19,""))),"")</f>
        <v>0.36</v>
      </c>
      <c r="AA20" s="141" t="str">
        <f t="shared" ref="AA20:AA22" si="30">IFERROR(IF(Z20="","",IF(Z20&lt;=0.2,"Muy Baja",IF(Z20&lt;=0.4,"Baja",IF(Z20&lt;=0.6,"Media",IF(Z20&lt;=0.8,"Alta","Muy Alta"))))),"")</f>
        <v>Baja</v>
      </c>
      <c r="AB20" s="142">
        <f t="shared" si="12"/>
        <v>0.36</v>
      </c>
      <c r="AC20" s="141" t="str">
        <f t="shared" ref="AC20:AC22" ca="1" si="31">IFERROR(IF(AD20="","",IF(AD20&lt;=0.2,"Leve",IF(AD20&lt;=0.4,"Menor",IF(AD20&lt;=0.6,"Moderado",IF(AD20&lt;=0.8,"Mayor","Catastrófico"))))),"")</f>
        <v>Catastrófico</v>
      </c>
      <c r="AD20" s="146">
        <f ca="1">IFERROR(IF(AND(S19="Impacto",S20="Impacto"),(AD19-(+AD19*V20)),IF(AND(S19="Probabilidad",S20="Impacto"),(O19-(+O19*V20)),IF(S20="Probabilidad",AD19,""))),"")</f>
        <v>1</v>
      </c>
      <c r="AE20" s="143" t="str">
        <f t="shared" ref="AE20:AE22" ca="1" si="32">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Extremo</v>
      </c>
      <c r="AF20" s="205"/>
      <c r="AG20" s="111" t="s">
        <v>248</v>
      </c>
      <c r="AH20" s="111" t="s">
        <v>249</v>
      </c>
      <c r="AI20" s="152" t="s">
        <v>250</v>
      </c>
      <c r="AJ20" s="131"/>
      <c r="AK20" s="112"/>
      <c r="AL20" s="132"/>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row>
    <row r="21" spans="1:70" ht="57" x14ac:dyDescent="0.3">
      <c r="A21" s="218"/>
      <c r="B21" s="220"/>
      <c r="C21" s="220"/>
      <c r="D21" s="222"/>
      <c r="E21" s="122" t="s">
        <v>229</v>
      </c>
      <c r="F21" s="267"/>
      <c r="G21" s="269"/>
      <c r="H21" s="225"/>
      <c r="I21" s="227"/>
      <c r="J21" s="229"/>
      <c r="K21" s="231"/>
      <c r="L21" s="233"/>
      <c r="M21" s="235">
        <f ca="1">IF(NOT(ISERROR(MATCH(L21,_xlfn.ANCHORARRAY(F30),0))),K32&amp;"Por favor no seleccionar los criterios de impacto",L21)</f>
        <v>0</v>
      </c>
      <c r="N21" s="237"/>
      <c r="O21" s="235"/>
      <c r="P21" s="243"/>
      <c r="Q21" s="137">
        <v>3</v>
      </c>
      <c r="R21" s="111" t="s">
        <v>230</v>
      </c>
      <c r="S21" s="148" t="str">
        <f t="shared" ref="S21:S22" si="33">IF(OR(T21="Preventivo",T21="Detectivo"),"Probabilidad",IF(T21="Correctivo","Impacto",""))</f>
        <v>Probabilidad</v>
      </c>
      <c r="T21" s="149" t="s">
        <v>14</v>
      </c>
      <c r="U21" s="149" t="s">
        <v>9</v>
      </c>
      <c r="V21" s="126" t="str">
        <f t="shared" si="29"/>
        <v>40%</v>
      </c>
      <c r="W21" s="149" t="s">
        <v>19</v>
      </c>
      <c r="X21" s="149" t="s">
        <v>22</v>
      </c>
      <c r="Y21" s="149" t="s">
        <v>114</v>
      </c>
      <c r="Z21" s="140">
        <f>IFERROR(IF(AND(S20="Probabilidad",S21="Probabilidad"),(AB20-(+AB20*V21)),IF(AND(S20="Impacto",S21="Probabilidad"),(AB19-(+AB19*V21)),IF(S21="Impacto",AB20,""))),"")</f>
        <v>0.216</v>
      </c>
      <c r="AA21" s="141" t="str">
        <f t="shared" si="30"/>
        <v>Baja</v>
      </c>
      <c r="AB21" s="142">
        <f t="shared" ref="AB21:AB22" si="34">+Z21</f>
        <v>0.216</v>
      </c>
      <c r="AC21" s="141" t="str">
        <f t="shared" ca="1" si="31"/>
        <v>Catastrófico</v>
      </c>
      <c r="AD21" s="146">
        <f t="shared" ref="AD21:AD22" ca="1" si="35">IFERROR(IF(AND(S20="Impacto",S21="Impacto"),(AD20-(+AD20*V21)),IF(AND(S20="Probabilidad",S21="Impacto"),(AD19-(+AD19*V21)),IF(S21="Probabilidad",AD20,""))),"")</f>
        <v>1</v>
      </c>
      <c r="AE21" s="143" t="str">
        <f t="shared" ca="1" si="32"/>
        <v>Extremo</v>
      </c>
      <c r="AF21" s="205"/>
      <c r="AG21" s="153" t="s">
        <v>251</v>
      </c>
      <c r="AH21" s="150" t="s">
        <v>246</v>
      </c>
      <c r="AI21" s="152" t="s">
        <v>256</v>
      </c>
      <c r="AJ21" s="131"/>
      <c r="AK21" s="112"/>
      <c r="AL21" s="132"/>
      <c r="AM21" s="113"/>
      <c r="AN21" s="113"/>
      <c r="AO21" s="113"/>
      <c r="AP21" s="113"/>
      <c r="AQ21" s="113"/>
      <c r="AR21" s="113"/>
      <c r="AS21" s="113"/>
      <c r="AT21" s="113"/>
      <c r="AU21" s="113"/>
      <c r="AV21" s="113"/>
      <c r="AW21" s="113"/>
      <c r="AX21" s="113"/>
      <c r="AY21" s="113"/>
      <c r="AZ21" s="113"/>
      <c r="BA21" s="113"/>
      <c r="BB21" s="113"/>
      <c r="BC21" s="113"/>
      <c r="BD21" s="113"/>
      <c r="BE21" s="113"/>
      <c r="BF21" s="113"/>
      <c r="BG21" s="113"/>
      <c r="BH21" s="113"/>
      <c r="BI21" s="113"/>
      <c r="BJ21" s="113"/>
      <c r="BK21" s="113"/>
      <c r="BL21" s="113"/>
      <c r="BM21" s="113"/>
      <c r="BN21" s="113"/>
      <c r="BO21" s="113"/>
      <c r="BP21" s="113"/>
      <c r="BQ21" s="113"/>
      <c r="BR21" s="113"/>
    </row>
    <row r="22" spans="1:70" ht="69" x14ac:dyDescent="0.3">
      <c r="A22" s="218"/>
      <c r="B22" s="220"/>
      <c r="C22" s="220"/>
      <c r="D22" s="222"/>
      <c r="E22" s="122" t="s">
        <v>216</v>
      </c>
      <c r="F22" s="267"/>
      <c r="G22" s="269"/>
      <c r="H22" s="225"/>
      <c r="I22" s="227"/>
      <c r="J22" s="229"/>
      <c r="K22" s="231"/>
      <c r="L22" s="233"/>
      <c r="M22" s="235">
        <f ca="1">IF(NOT(ISERROR(MATCH(L22,_xlfn.ANCHORARRAY(F31),0))),K33&amp;"Por favor no seleccionar los criterios de impacto",L22)</f>
        <v>0</v>
      </c>
      <c r="N22" s="237"/>
      <c r="O22" s="235"/>
      <c r="P22" s="243"/>
      <c r="Q22" s="137">
        <v>4</v>
      </c>
      <c r="R22" s="111" t="s">
        <v>252</v>
      </c>
      <c r="S22" s="148" t="str">
        <f t="shared" si="33"/>
        <v>Probabilidad</v>
      </c>
      <c r="T22" s="138" t="s">
        <v>15</v>
      </c>
      <c r="U22" s="138" t="s">
        <v>9</v>
      </c>
      <c r="V22" s="139" t="str">
        <f t="shared" si="29"/>
        <v>30%</v>
      </c>
      <c r="W22" s="138" t="s">
        <v>19</v>
      </c>
      <c r="X22" s="138" t="s">
        <v>22</v>
      </c>
      <c r="Y22" s="138" t="s">
        <v>114</v>
      </c>
      <c r="Z22" s="140">
        <f t="shared" ref="Z22" si="36">IFERROR(IF(AND(S21="Probabilidad",S22="Probabilidad"),(AB21-(+AB21*V22)),IF(AND(S21="Impacto",S22="Probabilidad"),(AB20-(+AB20*V22)),IF(S22="Impacto",AB21,""))),"")</f>
        <v>0.1512</v>
      </c>
      <c r="AA22" s="141" t="str">
        <f t="shared" si="30"/>
        <v>Muy Baja</v>
      </c>
      <c r="AB22" s="142">
        <f t="shared" si="34"/>
        <v>0.1512</v>
      </c>
      <c r="AC22" s="141" t="str">
        <f t="shared" ca="1" si="31"/>
        <v>Catastrófico</v>
      </c>
      <c r="AD22" s="146">
        <f t="shared" ca="1" si="35"/>
        <v>1</v>
      </c>
      <c r="AE22" s="143" t="str">
        <f t="shared" ca="1" si="32"/>
        <v>Extremo</v>
      </c>
      <c r="AF22" s="206"/>
      <c r="AG22" s="112" t="s">
        <v>253</v>
      </c>
      <c r="AH22" s="153" t="s">
        <v>254</v>
      </c>
      <c r="AI22" s="151" t="s">
        <v>255</v>
      </c>
      <c r="AJ22" s="131"/>
      <c r="AK22" s="112"/>
      <c r="AL22" s="132"/>
      <c r="AM22" s="113"/>
      <c r="AN22" s="113"/>
      <c r="AO22" s="113"/>
      <c r="AP22" s="113"/>
      <c r="AQ22" s="113"/>
      <c r="AR22" s="113"/>
      <c r="AS22" s="113"/>
      <c r="AT22" s="113"/>
      <c r="AU22" s="113"/>
      <c r="AV22" s="113"/>
      <c r="AW22" s="113"/>
      <c r="AX22" s="113"/>
      <c r="AY22" s="113"/>
      <c r="AZ22" s="113"/>
      <c r="BA22" s="113"/>
      <c r="BB22" s="113"/>
      <c r="BC22" s="113"/>
      <c r="BD22" s="113"/>
      <c r="BE22" s="113"/>
      <c r="BF22" s="113"/>
      <c r="BG22" s="113"/>
      <c r="BH22" s="113"/>
      <c r="BI22" s="113"/>
      <c r="BJ22" s="113"/>
      <c r="BK22" s="113"/>
      <c r="BL22" s="113"/>
      <c r="BM22" s="113"/>
      <c r="BN22" s="113"/>
      <c r="BO22" s="113"/>
      <c r="BP22" s="113"/>
      <c r="BQ22" s="113"/>
      <c r="BR22" s="113"/>
    </row>
    <row r="23" spans="1:70" ht="26.25" customHeight="1" x14ac:dyDescent="0.3">
      <c r="A23" s="217">
        <v>5</v>
      </c>
      <c r="B23" s="246"/>
      <c r="C23" s="246"/>
      <c r="D23" s="259"/>
      <c r="E23" s="145"/>
      <c r="F23" s="444"/>
      <c r="G23" s="154"/>
      <c r="H23" s="263"/>
      <c r="I23" s="252"/>
      <c r="J23" s="236" t="str">
        <f t="shared" ref="J23" si="37">IF(I23&lt;=0,"",IF(I23&lt;=2,"Muy Baja",IF(I23&lt;=24,"Baja",IF(I23&lt;=500,"Media",IF(I23&lt;=5000,"Alta","Muy Alta")))))</f>
        <v/>
      </c>
      <c r="K23" s="234" t="str">
        <f t="shared" ref="K23" si="38">IF(J23="","",IF(J23="Muy Baja",0.2,IF(J23="Baja",0.4,IF(J23="Media",0.6,IF(J23="Alta",0.8,IF(J23="Muy Alta",1,))))))</f>
        <v/>
      </c>
      <c r="L23" s="256"/>
      <c r="M23" s="234">
        <f ca="1">IF(NOT(ISERROR(MATCH(L23,'Tabla Impacto'!$B$221:$B$223,0))),'Tabla Impacto'!$F$223&amp;"Por favor no seleccionar los criterios de impacto(Afectación Económica o presupuestal y Pérdida Reputacional)",L23)</f>
        <v>0</v>
      </c>
      <c r="N23" s="236" t="str">
        <f ca="1">IF(OR(M23='Tabla Impacto'!$C$11,M23='Tabla Impacto'!$D$11),"Leve",IF(OR(M23='Tabla Impacto'!$C$12,M23='Tabla Impacto'!$D$12),"Menor",IF(OR(M23='Tabla Impacto'!$C$13,M23='Tabla Impacto'!$D$13),"Moderado",IF(OR(M23='Tabla Impacto'!$C$14,M23='Tabla Impacto'!$D$14),"Mayor",IF(OR(M23='Tabla Impacto'!$C$15,M23='Tabla Impacto'!$D$15),"Catastrófico","")))))</f>
        <v/>
      </c>
      <c r="O23" s="234" t="str">
        <f t="shared" ref="O23" ca="1" si="39">IF(N23="","",IF(N23="Leve",0.2,IF(N23="Menor",0.4,IF(N23="Moderado",0.6,IF(N23="Mayor",0.8,IF(N23="Catastrófico",1,))))))</f>
        <v/>
      </c>
      <c r="P23" s="242" t="str">
        <f t="shared" ref="P23" ca="1" si="40">IF(OR(AND(J23="Muy Baja",N23="Leve"),AND(J23="Muy Baja",N23="Menor"),AND(J23="Baja",N23="Leve")),"Bajo",IF(OR(AND(J23="Muy baja",N23="Moderado"),AND(J23="Baja",N23="Menor"),AND(J23="Baja",N23="Moderado"),AND(J23="Media",N23="Leve"),AND(J23="Media",N23="Menor"),AND(J23="Media",N23="Moderado"),AND(J23="Alta",N23="Leve"),AND(J23="Alta",N23="Menor")),"Moderado",IF(OR(AND(J23="Muy Baja",N23="Mayor"),AND(J23="Baja",N23="Mayor"),AND(J23="Media",N23="Mayor"),AND(J23="Alta",N23="Moderado"),AND(J23="Alta",N23="Mayor"),AND(J23="Muy Alta",N23="Leve"),AND(J23="Muy Alta",N23="Menor"),AND(J23="Muy Alta",N23="Moderado"),AND(J23="Muy Alta",N23="Mayor")),"Alto",IF(OR(AND(J23="Muy Baja",N23="Catastrófico"),AND(J23="Baja",N23="Catastrófico"),AND(J23="Media",N23="Catastrófico"),AND(J23="Alta",N23="Catastrófico"),AND(J23="Muy Alta",N23="Catastrófico")),"Extremo",""))))</f>
        <v/>
      </c>
      <c r="Q23" s="137">
        <v>1</v>
      </c>
      <c r="R23" s="93"/>
      <c r="S23" s="148" t="str">
        <f>IF(OR(T23="Preventivo",T23="Detectivo"),"Probabilidad",IF(T23="Correctivo","Impacto",""))</f>
        <v/>
      </c>
      <c r="T23" s="138"/>
      <c r="U23" s="138"/>
      <c r="V23" s="139" t="str">
        <f>IF(AND(T23="Preventivo",U23="Automático"),"50%",IF(AND(T23="Preventivo",U23="Manual"),"40%",IF(AND(T23="Detectivo",U23="Automático"),"40%",IF(AND(T23="Detectivo",U23="Manual"),"30%",IF(AND(T23="Correctivo",U23="Automático"),"35%",IF(AND(T23="Correctivo",U23="Manual"),"25%",""))))))</f>
        <v/>
      </c>
      <c r="W23" s="138"/>
      <c r="X23" s="138"/>
      <c r="Y23" s="138"/>
      <c r="Z23" s="140" t="str">
        <f>IFERROR(IF(S23="Probabilidad",(K23-(+K23*V23)),IF(S23="Impacto",K23,"")),"")</f>
        <v/>
      </c>
      <c r="AA23" s="141" t="str">
        <f>IFERROR(IF(Z23="","",IF(Z23&lt;=0.2,"Muy Baja",IF(Z23&lt;=0.4,"Baja",IF(Z23&lt;=0.6,"Media",IF(Z23&lt;=0.8,"Alta","Muy Alta"))))),"")</f>
        <v/>
      </c>
      <c r="AB23" s="142" t="str">
        <f>+Z23</f>
        <v/>
      </c>
      <c r="AC23" s="141" t="str">
        <f>IFERROR(IF(AD23="","",IF(AD23&lt;=0.2,"Leve",IF(AD23&lt;=0.4,"Menor",IF(AD23&lt;=0.6,"Moderado",IF(AD23&lt;=0.8,"Mayor","Catastrófico"))))),"")</f>
        <v/>
      </c>
      <c r="AD23" s="142" t="str">
        <f>IFERROR(IF(S23="Impacto",(O23-(+O23*V23)),IF(S23="Probabilidad",O23,"")),"")</f>
        <v/>
      </c>
      <c r="AE23" s="143" t="str">
        <f>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44"/>
      <c r="AG23" s="112"/>
      <c r="AH23" s="132"/>
      <c r="AI23" s="131"/>
      <c r="AJ23" s="131"/>
      <c r="AK23" s="112"/>
      <c r="AL23" s="132"/>
      <c r="AM23" s="113"/>
      <c r="AN23" s="113"/>
      <c r="AO23" s="113"/>
      <c r="AP23" s="113"/>
      <c r="AQ23" s="113"/>
      <c r="AR23" s="113"/>
      <c r="AS23" s="113"/>
      <c r="AT23" s="113"/>
      <c r="AU23" s="113"/>
      <c r="AV23" s="113"/>
      <c r="AW23" s="113"/>
      <c r="AX23" s="113"/>
      <c r="AY23" s="113"/>
      <c r="AZ23" s="113"/>
      <c r="BA23" s="113"/>
      <c r="BB23" s="113"/>
      <c r="BC23" s="113"/>
      <c r="BD23" s="113"/>
      <c r="BE23" s="113"/>
      <c r="BF23" s="113"/>
      <c r="BG23" s="113"/>
      <c r="BH23" s="113"/>
      <c r="BI23" s="113"/>
      <c r="BJ23" s="113"/>
      <c r="BK23" s="113"/>
      <c r="BL23" s="113"/>
      <c r="BM23" s="113"/>
      <c r="BN23" s="113"/>
      <c r="BO23" s="113"/>
      <c r="BP23" s="113"/>
      <c r="BQ23" s="113"/>
      <c r="BR23" s="113"/>
    </row>
    <row r="24" spans="1:70" ht="26.25" customHeight="1" x14ac:dyDescent="0.3">
      <c r="A24" s="218"/>
      <c r="B24" s="247"/>
      <c r="C24" s="247"/>
      <c r="D24" s="260"/>
      <c r="E24" s="145"/>
      <c r="F24" s="444"/>
      <c r="G24" s="154"/>
      <c r="H24" s="264"/>
      <c r="I24" s="253"/>
      <c r="J24" s="237"/>
      <c r="K24" s="235"/>
      <c r="L24" s="257"/>
      <c r="M24" s="235">
        <f ca="1">IF(NOT(ISERROR(MATCH(L24,_xlfn.ANCHORARRAY(F35),0))),K37&amp;"Por favor no seleccionar los criterios de impacto",L24)</f>
        <v>0</v>
      </c>
      <c r="N24" s="237"/>
      <c r="O24" s="235"/>
      <c r="P24" s="243"/>
      <c r="Q24" s="137">
        <v>2</v>
      </c>
      <c r="R24" s="93"/>
      <c r="S24" s="148" t="str">
        <f>IF(OR(T24="Preventivo",T24="Detectivo"),"Probabilidad",IF(T24="Correctivo","Impacto",""))</f>
        <v/>
      </c>
      <c r="T24" s="138"/>
      <c r="U24" s="138"/>
      <c r="V24" s="139" t="str">
        <f t="shared" ref="V24:V28" si="41">IF(AND(T24="Preventivo",U24="Automático"),"50%",IF(AND(T24="Preventivo",U24="Manual"),"40%",IF(AND(T24="Detectivo",U24="Automático"),"40%",IF(AND(T24="Detectivo",U24="Manual"),"30%",IF(AND(T24="Correctivo",U24="Automático"),"35%",IF(AND(T24="Correctivo",U24="Manual"),"25%",""))))))</f>
        <v/>
      </c>
      <c r="W24" s="138"/>
      <c r="X24" s="138"/>
      <c r="Y24" s="138"/>
      <c r="Z24" s="140" t="str">
        <f>IFERROR(IF(AND(S23="Probabilidad",S24="Probabilidad"),(AB23-(+AB23*V24)),IF(AND(S23="Impacto",S24="Probabilidad"),(K23-(+K23*V24)),IF(S24="Impacto",AB23,""))),"")</f>
        <v/>
      </c>
      <c r="AA24" s="141" t="str">
        <f t="shared" ref="AA24:AA28" si="42">IFERROR(IF(Z24="","",IF(Z24&lt;=0.2,"Muy Baja",IF(Z24&lt;=0.4,"Baja",IF(Z24&lt;=0.6,"Media",IF(Z24&lt;=0.8,"Alta","Muy Alta"))))),"")</f>
        <v/>
      </c>
      <c r="AB24" s="142" t="str">
        <f>+Z24</f>
        <v/>
      </c>
      <c r="AC24" s="141" t="str">
        <f t="shared" ref="AC24:AC28" si="43">IFERROR(IF(AD24="","",IF(AD24&lt;=0.2,"Leve",IF(AD24&lt;=0.4,"Menor",IF(AD24&lt;=0.6,"Moderado",IF(AD24&lt;=0.8,"Mayor","Catastrófico"))))),"")</f>
        <v/>
      </c>
      <c r="AD24" s="146" t="str">
        <f>IFERROR(IF(AND(S23="Impacto",S24="Impacto"),(AD23-(+AD23*V24)),IF(AND(S23="Probabilidad",S24="Impacto"),(O23-(+O23*V24)),IF(S24="Probabilidad",AD23,""))),"")</f>
        <v/>
      </c>
      <c r="AE24" s="143" t="str">
        <f t="shared" ref="AE24:AE28" si="44">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44"/>
      <c r="AG24" s="112"/>
      <c r="AH24" s="132"/>
      <c r="AI24" s="131"/>
      <c r="AJ24" s="131"/>
      <c r="AK24" s="112"/>
      <c r="AL24" s="132"/>
      <c r="AM24" s="113"/>
      <c r="AN24" s="113"/>
      <c r="AO24" s="113"/>
      <c r="AP24" s="113"/>
      <c r="AQ24" s="113"/>
      <c r="AR24" s="113"/>
      <c r="AS24" s="113"/>
      <c r="AT24" s="113"/>
      <c r="AU24" s="113"/>
      <c r="AV24" s="113"/>
      <c r="AW24" s="113"/>
      <c r="AX24" s="113"/>
      <c r="AY24" s="113"/>
      <c r="AZ24" s="113"/>
      <c r="BA24" s="113"/>
      <c r="BB24" s="113"/>
      <c r="BC24" s="113"/>
      <c r="BD24" s="113"/>
      <c r="BE24" s="113"/>
      <c r="BF24" s="113"/>
      <c r="BG24" s="113"/>
      <c r="BH24" s="113"/>
      <c r="BI24" s="113"/>
      <c r="BJ24" s="113"/>
      <c r="BK24" s="113"/>
      <c r="BL24" s="113"/>
      <c r="BM24" s="113"/>
      <c r="BN24" s="113"/>
      <c r="BO24" s="113"/>
      <c r="BP24" s="113"/>
      <c r="BQ24" s="113"/>
      <c r="BR24" s="113"/>
    </row>
    <row r="25" spans="1:70" ht="26.25" customHeight="1" x14ac:dyDescent="0.3">
      <c r="A25" s="218"/>
      <c r="B25" s="247"/>
      <c r="C25" s="247"/>
      <c r="D25" s="260"/>
      <c r="E25" s="145"/>
      <c r="F25" s="444"/>
      <c r="G25" s="154"/>
      <c r="H25" s="264"/>
      <c r="I25" s="253"/>
      <c r="J25" s="237"/>
      <c r="K25" s="235"/>
      <c r="L25" s="257"/>
      <c r="M25" s="235">
        <f ca="1">IF(NOT(ISERROR(MATCH(L25,_xlfn.ANCHORARRAY(F36),0))),K38&amp;"Por favor no seleccionar los criterios de impacto",L25)</f>
        <v>0</v>
      </c>
      <c r="N25" s="237"/>
      <c r="O25" s="235"/>
      <c r="P25" s="243"/>
      <c r="Q25" s="137">
        <v>3</v>
      </c>
      <c r="R25" s="147"/>
      <c r="S25" s="148" t="str">
        <f t="shared" ref="S25:S28" si="45">IF(OR(T25="Preventivo",T25="Detectivo"),"Probabilidad",IF(T25="Correctivo","Impacto",""))</f>
        <v/>
      </c>
      <c r="T25" s="138"/>
      <c r="U25" s="138"/>
      <c r="V25" s="139" t="str">
        <f t="shared" si="41"/>
        <v/>
      </c>
      <c r="W25" s="138"/>
      <c r="X25" s="138"/>
      <c r="Y25" s="138"/>
      <c r="Z25" s="140" t="str">
        <f>IFERROR(IF(AND(S24="Probabilidad",S25="Probabilidad"),(AB24-(+AB24*V25)),IF(AND(S24="Impacto",S25="Probabilidad"),(AB23-(+AB23*V25)),IF(S25="Impacto",AB24,""))),"")</f>
        <v/>
      </c>
      <c r="AA25" s="141" t="str">
        <f t="shared" si="42"/>
        <v/>
      </c>
      <c r="AB25" s="142" t="str">
        <f t="shared" ref="AB25:AB28" si="46">+Z25</f>
        <v/>
      </c>
      <c r="AC25" s="141" t="str">
        <f t="shared" si="43"/>
        <v/>
      </c>
      <c r="AD25" s="146" t="str">
        <f t="shared" ref="AD25:AD28" si="47">IFERROR(IF(AND(S24="Impacto",S25="Impacto"),(AD24-(+AD24*V25)),IF(AND(S24="Probabilidad",S25="Impacto"),(AD23-(+AD23*V25)),IF(S25="Probabilidad",AD24,""))),"")</f>
        <v/>
      </c>
      <c r="AE25" s="143" t="str">
        <f t="shared" si="44"/>
        <v/>
      </c>
      <c r="AF25" s="144"/>
      <c r="AG25" s="112"/>
      <c r="AH25" s="132"/>
      <c r="AI25" s="131"/>
      <c r="AJ25" s="131"/>
      <c r="AK25" s="112"/>
      <c r="AL25" s="132"/>
      <c r="AM25" s="113"/>
      <c r="AN25" s="113"/>
      <c r="AO25" s="113"/>
      <c r="AP25" s="113"/>
      <c r="AQ25" s="113"/>
      <c r="AR25" s="113"/>
      <c r="AS25" s="113"/>
      <c r="AT25" s="113"/>
      <c r="AU25" s="113"/>
      <c r="AV25" s="113"/>
      <c r="AW25" s="113"/>
      <c r="AX25" s="113"/>
      <c r="AY25" s="113"/>
      <c r="AZ25" s="113"/>
      <c r="BA25" s="113"/>
      <c r="BB25" s="113"/>
      <c r="BC25" s="113"/>
      <c r="BD25" s="113"/>
      <c r="BE25" s="113"/>
      <c r="BF25" s="113"/>
      <c r="BG25" s="113"/>
      <c r="BH25" s="113"/>
      <c r="BI25" s="113"/>
      <c r="BJ25" s="113"/>
      <c r="BK25" s="113"/>
      <c r="BL25" s="113"/>
      <c r="BM25" s="113"/>
      <c r="BN25" s="113"/>
      <c r="BO25" s="113"/>
      <c r="BP25" s="113"/>
      <c r="BQ25" s="113"/>
      <c r="BR25" s="113"/>
    </row>
    <row r="26" spans="1:70" ht="26.25" customHeight="1" x14ac:dyDescent="0.3">
      <c r="A26" s="218"/>
      <c r="B26" s="247"/>
      <c r="C26" s="247"/>
      <c r="D26" s="260"/>
      <c r="E26" s="145"/>
      <c r="F26" s="444"/>
      <c r="G26" s="154"/>
      <c r="H26" s="264"/>
      <c r="I26" s="253"/>
      <c r="J26" s="237"/>
      <c r="K26" s="235"/>
      <c r="L26" s="257"/>
      <c r="M26" s="235">
        <f ca="1">IF(NOT(ISERROR(MATCH(L26,_xlfn.ANCHORARRAY(F37),0))),K39&amp;"Por favor no seleccionar los criterios de impacto",L26)</f>
        <v>0</v>
      </c>
      <c r="N26" s="237"/>
      <c r="O26" s="235"/>
      <c r="P26" s="243"/>
      <c r="Q26" s="137">
        <v>4</v>
      </c>
      <c r="R26" s="93"/>
      <c r="S26" s="148" t="str">
        <f t="shared" si="45"/>
        <v/>
      </c>
      <c r="T26" s="138"/>
      <c r="U26" s="138"/>
      <c r="V26" s="139" t="str">
        <f t="shared" si="41"/>
        <v/>
      </c>
      <c r="W26" s="138"/>
      <c r="X26" s="138"/>
      <c r="Y26" s="138"/>
      <c r="Z26" s="140" t="str">
        <f t="shared" ref="Z26:Z28" si="48">IFERROR(IF(AND(S25="Probabilidad",S26="Probabilidad"),(AB25-(+AB25*V26)),IF(AND(S25="Impacto",S26="Probabilidad"),(AB24-(+AB24*V26)),IF(S26="Impacto",AB25,""))),"")</f>
        <v/>
      </c>
      <c r="AA26" s="141" t="str">
        <f t="shared" si="42"/>
        <v/>
      </c>
      <c r="AB26" s="142" t="str">
        <f t="shared" si="46"/>
        <v/>
      </c>
      <c r="AC26" s="141" t="str">
        <f t="shared" si="43"/>
        <v/>
      </c>
      <c r="AD26" s="146" t="str">
        <f t="shared" si="47"/>
        <v/>
      </c>
      <c r="AE26" s="143" t="str">
        <f t="shared" si="44"/>
        <v/>
      </c>
      <c r="AF26" s="144"/>
      <c r="AG26" s="112"/>
      <c r="AH26" s="132"/>
      <c r="AI26" s="131"/>
      <c r="AJ26" s="131"/>
      <c r="AK26" s="112"/>
      <c r="AL26" s="132"/>
      <c r="AM26" s="113"/>
      <c r="AN26" s="113"/>
      <c r="AO26" s="113"/>
      <c r="AP26" s="113"/>
      <c r="AQ26" s="113"/>
      <c r="AR26" s="113"/>
      <c r="AS26" s="113"/>
      <c r="AT26" s="113"/>
      <c r="AU26" s="113"/>
      <c r="AV26" s="113"/>
      <c r="AW26" s="113"/>
      <c r="AX26" s="113"/>
      <c r="AY26" s="113"/>
      <c r="AZ26" s="113"/>
      <c r="BA26" s="113"/>
      <c r="BB26" s="113"/>
      <c r="BC26" s="113"/>
      <c r="BD26" s="113"/>
      <c r="BE26" s="113"/>
      <c r="BF26" s="113"/>
      <c r="BG26" s="113"/>
      <c r="BH26" s="113"/>
      <c r="BI26" s="113"/>
      <c r="BJ26" s="113"/>
      <c r="BK26" s="113"/>
      <c r="BL26" s="113"/>
      <c r="BM26" s="113"/>
      <c r="BN26" s="113"/>
      <c r="BO26" s="113"/>
      <c r="BP26" s="113"/>
      <c r="BQ26" s="113"/>
      <c r="BR26" s="113"/>
    </row>
    <row r="27" spans="1:70" ht="26.25" customHeight="1" x14ac:dyDescent="0.3">
      <c r="A27" s="218"/>
      <c r="B27" s="247"/>
      <c r="C27" s="247"/>
      <c r="D27" s="260"/>
      <c r="E27" s="145"/>
      <c r="F27" s="444"/>
      <c r="G27" s="154"/>
      <c r="H27" s="264"/>
      <c r="I27" s="253"/>
      <c r="J27" s="237"/>
      <c r="K27" s="235"/>
      <c r="L27" s="257"/>
      <c r="M27" s="235">
        <f ca="1">IF(NOT(ISERROR(MATCH(L27,_xlfn.ANCHORARRAY(F38),0))),K40&amp;"Por favor no seleccionar los criterios de impacto",L27)</f>
        <v>0</v>
      </c>
      <c r="N27" s="237"/>
      <c r="O27" s="235"/>
      <c r="P27" s="243"/>
      <c r="Q27" s="137">
        <v>5</v>
      </c>
      <c r="R27" s="93"/>
      <c r="S27" s="148" t="str">
        <f t="shared" si="45"/>
        <v/>
      </c>
      <c r="T27" s="138"/>
      <c r="U27" s="138"/>
      <c r="V27" s="139" t="str">
        <f t="shared" si="41"/>
        <v/>
      </c>
      <c r="W27" s="138"/>
      <c r="X27" s="138"/>
      <c r="Y27" s="138"/>
      <c r="Z27" s="140" t="str">
        <f t="shared" si="48"/>
        <v/>
      </c>
      <c r="AA27" s="141" t="str">
        <f t="shared" si="42"/>
        <v/>
      </c>
      <c r="AB27" s="142" t="str">
        <f t="shared" si="46"/>
        <v/>
      </c>
      <c r="AC27" s="141" t="str">
        <f t="shared" si="43"/>
        <v/>
      </c>
      <c r="AD27" s="146" t="str">
        <f t="shared" si="47"/>
        <v/>
      </c>
      <c r="AE27" s="143" t="str">
        <f t="shared" si="44"/>
        <v/>
      </c>
      <c r="AF27" s="144"/>
      <c r="AG27" s="112"/>
      <c r="AH27" s="132"/>
      <c r="AI27" s="131"/>
      <c r="AJ27" s="131"/>
      <c r="AK27" s="112"/>
      <c r="AL27" s="132"/>
      <c r="AM27" s="113"/>
      <c r="AN27" s="113"/>
      <c r="AO27" s="113"/>
      <c r="AP27" s="113"/>
      <c r="AQ27" s="113"/>
      <c r="AR27" s="113"/>
      <c r="AS27" s="113"/>
      <c r="AT27" s="113"/>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113"/>
    </row>
    <row r="28" spans="1:70" ht="26.25" customHeight="1" x14ac:dyDescent="0.3">
      <c r="A28" s="245"/>
      <c r="B28" s="248"/>
      <c r="C28" s="248"/>
      <c r="D28" s="261"/>
      <c r="E28" s="145"/>
      <c r="F28" s="444"/>
      <c r="G28" s="154"/>
      <c r="H28" s="265"/>
      <c r="I28" s="254"/>
      <c r="J28" s="255"/>
      <c r="K28" s="241"/>
      <c r="L28" s="258"/>
      <c r="M28" s="241">
        <f ca="1">IF(NOT(ISERROR(MATCH(L28,_xlfn.ANCHORARRAY(F39),0))),K41&amp;"Por favor no seleccionar los criterios de impacto",L28)</f>
        <v>0</v>
      </c>
      <c r="N28" s="255"/>
      <c r="O28" s="241"/>
      <c r="P28" s="244"/>
      <c r="Q28" s="137">
        <v>6</v>
      </c>
      <c r="R28" s="93"/>
      <c r="S28" s="148" t="str">
        <f t="shared" si="45"/>
        <v/>
      </c>
      <c r="T28" s="138"/>
      <c r="U28" s="138"/>
      <c r="V28" s="139" t="str">
        <f t="shared" si="41"/>
        <v/>
      </c>
      <c r="W28" s="138"/>
      <c r="X28" s="138"/>
      <c r="Y28" s="138"/>
      <c r="Z28" s="140" t="str">
        <f t="shared" si="48"/>
        <v/>
      </c>
      <c r="AA28" s="141" t="str">
        <f t="shared" si="42"/>
        <v/>
      </c>
      <c r="AB28" s="142" t="str">
        <f t="shared" si="46"/>
        <v/>
      </c>
      <c r="AC28" s="141" t="str">
        <f t="shared" si="43"/>
        <v/>
      </c>
      <c r="AD28" s="146" t="str">
        <f t="shared" si="47"/>
        <v/>
      </c>
      <c r="AE28" s="143" t="str">
        <f t="shared" si="44"/>
        <v/>
      </c>
      <c r="AF28" s="144"/>
      <c r="AG28" s="112"/>
      <c r="AH28" s="132"/>
      <c r="AI28" s="131"/>
      <c r="AJ28" s="131"/>
      <c r="AK28" s="112"/>
      <c r="AL28" s="132"/>
      <c r="AM28" s="113"/>
      <c r="AN28" s="113"/>
      <c r="AO28" s="113"/>
      <c r="AP28" s="113"/>
      <c r="AQ28" s="113"/>
      <c r="AR28" s="113"/>
      <c r="AS28" s="113"/>
      <c r="AT28" s="113"/>
      <c r="AU28" s="113"/>
      <c r="AV28" s="113"/>
      <c r="AW28" s="113"/>
      <c r="AX28" s="113"/>
      <c r="AY28" s="113"/>
      <c r="AZ28" s="113"/>
      <c r="BA28" s="113"/>
      <c r="BB28" s="113"/>
      <c r="BC28" s="113"/>
      <c r="BD28" s="113"/>
      <c r="BE28" s="113"/>
      <c r="BF28" s="113"/>
      <c r="BG28" s="113"/>
      <c r="BH28" s="113"/>
      <c r="BI28" s="113"/>
      <c r="BJ28" s="113"/>
      <c r="BK28" s="113"/>
      <c r="BL28" s="113"/>
      <c r="BM28" s="113"/>
      <c r="BN28" s="113"/>
      <c r="BO28" s="113"/>
      <c r="BP28" s="113"/>
      <c r="BQ28" s="113"/>
      <c r="BR28" s="113"/>
    </row>
    <row r="29" spans="1:70" ht="26.25" customHeight="1" x14ac:dyDescent="0.3">
      <c r="A29" s="217">
        <v>6</v>
      </c>
      <c r="B29" s="246"/>
      <c r="C29" s="246"/>
      <c r="D29" s="259"/>
      <c r="E29" s="145"/>
      <c r="F29" s="262"/>
      <c r="G29" s="154"/>
      <c r="H29" s="263"/>
      <c r="I29" s="252"/>
      <c r="J29" s="236" t="str">
        <f t="shared" ref="J29" si="49">IF(I29&lt;=0,"",IF(I29&lt;=2,"Muy Baja",IF(I29&lt;=24,"Baja",IF(I29&lt;=500,"Media",IF(I29&lt;=5000,"Alta","Muy Alta")))))</f>
        <v/>
      </c>
      <c r="K29" s="234" t="str">
        <f t="shared" ref="K29" si="50">IF(J29="","",IF(J29="Muy Baja",0.2,IF(J29="Baja",0.4,IF(J29="Media",0.6,IF(J29="Alta",0.8,IF(J29="Muy Alta",1,))))))</f>
        <v/>
      </c>
      <c r="L29" s="256"/>
      <c r="M29" s="234">
        <f ca="1">IF(NOT(ISERROR(MATCH(L29,'Tabla Impacto'!$B$221:$B$223,0))),'Tabla Impacto'!$F$223&amp;"Por favor no seleccionar los criterios de impacto(Afectación Económica o presupuestal y Pérdida Reputacional)",L29)</f>
        <v>0</v>
      </c>
      <c r="N29" s="236" t="str">
        <f ca="1">IF(OR(M29='Tabla Impacto'!$C$11,M29='Tabla Impacto'!$D$11),"Leve",IF(OR(M29='Tabla Impacto'!$C$12,M29='Tabla Impacto'!$D$12),"Menor",IF(OR(M29='Tabla Impacto'!$C$13,M29='Tabla Impacto'!$D$13),"Moderado",IF(OR(M29='Tabla Impacto'!$C$14,M29='Tabla Impacto'!$D$14),"Mayor",IF(OR(M29='Tabla Impacto'!$C$15,M29='Tabla Impacto'!$D$15),"Catastrófico","")))))</f>
        <v/>
      </c>
      <c r="O29" s="234" t="str">
        <f t="shared" ref="O29" ca="1" si="51">IF(N29="","",IF(N29="Leve",0.2,IF(N29="Menor",0.4,IF(N29="Moderado",0.6,IF(N29="Mayor",0.8,IF(N29="Catastrófico",1,))))))</f>
        <v/>
      </c>
      <c r="P29" s="242" t="str">
        <f t="shared" ref="P29" ca="1" si="52">IF(OR(AND(J29="Muy Baja",N29="Leve"),AND(J29="Muy Baja",N29="Menor"),AND(J29="Baja",N29="Leve")),"Bajo",IF(OR(AND(J29="Muy baja",N29="Moderado"),AND(J29="Baja",N29="Menor"),AND(J29="Baja",N29="Moderado"),AND(J29="Media",N29="Leve"),AND(J29="Media",N29="Menor"),AND(J29="Media",N29="Moderado"),AND(J29="Alta",N29="Leve"),AND(J29="Alta",N29="Menor")),"Moderado",IF(OR(AND(J29="Muy Baja",N29="Mayor"),AND(J29="Baja",N29="Mayor"),AND(J29="Media",N29="Mayor"),AND(J29="Alta",N29="Moderado"),AND(J29="Alta",N29="Mayor"),AND(J29="Muy Alta",N29="Leve"),AND(J29="Muy Alta",N29="Menor"),AND(J29="Muy Alta",N29="Moderado"),AND(J29="Muy Alta",N29="Mayor")),"Alto",IF(OR(AND(J29="Muy Baja",N29="Catastrófico"),AND(J29="Baja",N29="Catastrófico"),AND(J29="Media",N29="Catastrófico"),AND(J29="Alta",N29="Catastrófico"),AND(J29="Muy Alta",N29="Catastrófico")),"Extremo",""))))</f>
        <v/>
      </c>
      <c r="Q29" s="137">
        <v>1</v>
      </c>
      <c r="R29" s="93"/>
      <c r="S29" s="148" t="str">
        <f>IF(OR(T29="Preventivo",T29="Detectivo"),"Probabilidad",IF(T29="Correctivo","Impacto",""))</f>
        <v/>
      </c>
      <c r="T29" s="138"/>
      <c r="U29" s="138"/>
      <c r="V29" s="139" t="str">
        <f>IF(AND(T29="Preventivo",U29="Automático"),"50%",IF(AND(T29="Preventivo",U29="Manual"),"40%",IF(AND(T29="Detectivo",U29="Automático"),"40%",IF(AND(T29="Detectivo",U29="Manual"),"30%",IF(AND(T29="Correctivo",U29="Automático"),"35%",IF(AND(T29="Correctivo",U29="Manual"),"25%",""))))))</f>
        <v/>
      </c>
      <c r="W29" s="138"/>
      <c r="X29" s="138"/>
      <c r="Y29" s="138"/>
      <c r="Z29" s="140" t="str">
        <f>IFERROR(IF(S29="Probabilidad",(K29-(+K29*V29)),IF(S29="Impacto",K29,"")),"")</f>
        <v/>
      </c>
      <c r="AA29" s="141" t="str">
        <f>IFERROR(IF(Z29="","",IF(Z29&lt;=0.2,"Muy Baja",IF(Z29&lt;=0.4,"Baja",IF(Z29&lt;=0.6,"Media",IF(Z29&lt;=0.8,"Alta","Muy Alta"))))),"")</f>
        <v/>
      </c>
      <c r="AB29" s="142" t="str">
        <f>+Z29</f>
        <v/>
      </c>
      <c r="AC29" s="141" t="str">
        <f>IFERROR(IF(AD29="","",IF(AD29&lt;=0.2,"Leve",IF(AD29&lt;=0.4,"Menor",IF(AD29&lt;=0.6,"Moderado",IF(AD29&lt;=0.8,"Mayor","Catastrófico"))))),"")</f>
        <v/>
      </c>
      <c r="AD29" s="142" t="str">
        <f>IFERROR(IF(S29="Impacto",(O29-(+O29*V29)),IF(S29="Probabilidad",O29,"")),"")</f>
        <v/>
      </c>
      <c r="AE29" s="143" t="str">
        <f>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44"/>
      <c r="AG29" s="112"/>
      <c r="AH29" s="132"/>
      <c r="AI29" s="131"/>
      <c r="AJ29" s="131"/>
      <c r="AK29" s="112"/>
      <c r="AL29" s="132"/>
      <c r="AM29" s="113"/>
      <c r="AN29" s="113"/>
      <c r="AO29" s="113"/>
      <c r="AP29" s="113"/>
      <c r="AQ29" s="113"/>
      <c r="AR29" s="113"/>
      <c r="AS29" s="113"/>
      <c r="AT29" s="113"/>
      <c r="AU29" s="113"/>
      <c r="AV29" s="113"/>
      <c r="AW29" s="113"/>
      <c r="AX29" s="113"/>
      <c r="AY29" s="113"/>
      <c r="AZ29" s="113"/>
      <c r="BA29" s="113"/>
      <c r="BB29" s="113"/>
      <c r="BC29" s="113"/>
      <c r="BD29" s="113"/>
      <c r="BE29" s="113"/>
      <c r="BF29" s="113"/>
      <c r="BG29" s="113"/>
      <c r="BH29" s="113"/>
      <c r="BI29" s="113"/>
      <c r="BJ29" s="113"/>
      <c r="BK29" s="113"/>
      <c r="BL29" s="113"/>
      <c r="BM29" s="113"/>
      <c r="BN29" s="113"/>
      <c r="BO29" s="113"/>
      <c r="BP29" s="113"/>
      <c r="BQ29" s="113"/>
      <c r="BR29" s="113"/>
    </row>
    <row r="30" spans="1:70" ht="26.25" customHeight="1" x14ac:dyDescent="0.3">
      <c r="A30" s="218"/>
      <c r="B30" s="247"/>
      <c r="C30" s="247"/>
      <c r="D30" s="260"/>
      <c r="E30" s="145"/>
      <c r="F30" s="262"/>
      <c r="G30" s="154"/>
      <c r="H30" s="264"/>
      <c r="I30" s="253"/>
      <c r="J30" s="237"/>
      <c r="K30" s="235"/>
      <c r="L30" s="257"/>
      <c r="M30" s="235">
        <f ca="1">IF(NOT(ISERROR(MATCH(L30,_xlfn.ANCHORARRAY(F41),0))),K43&amp;"Por favor no seleccionar los criterios de impacto",L30)</f>
        <v>0</v>
      </c>
      <c r="N30" s="237"/>
      <c r="O30" s="235"/>
      <c r="P30" s="243"/>
      <c r="Q30" s="137">
        <v>2</v>
      </c>
      <c r="R30" s="93"/>
      <c r="S30" s="148" t="str">
        <f>IF(OR(T30="Preventivo",T30="Detectivo"),"Probabilidad",IF(T30="Correctivo","Impacto",""))</f>
        <v/>
      </c>
      <c r="T30" s="138"/>
      <c r="U30" s="138"/>
      <c r="V30" s="139" t="str">
        <f t="shared" ref="V30:V34" si="53">IF(AND(T30="Preventivo",U30="Automático"),"50%",IF(AND(T30="Preventivo",U30="Manual"),"40%",IF(AND(T30="Detectivo",U30="Automático"),"40%",IF(AND(T30="Detectivo",U30="Manual"),"30%",IF(AND(T30="Correctivo",U30="Automático"),"35%",IF(AND(T30="Correctivo",U30="Manual"),"25%",""))))))</f>
        <v/>
      </c>
      <c r="W30" s="138"/>
      <c r="X30" s="138"/>
      <c r="Y30" s="138"/>
      <c r="Z30" s="140" t="str">
        <f>IFERROR(IF(AND(S29="Probabilidad",S30="Probabilidad"),(AB29-(+AB29*V30)),IF(AND(S29="Impacto",S30="Probabilidad"),(K29-(+K29*V30)),IF(S30="Impacto",AB29,""))),"")</f>
        <v/>
      </c>
      <c r="AA30" s="141" t="str">
        <f t="shared" ref="AA30:AA34" si="54">IFERROR(IF(Z30="","",IF(Z30&lt;=0.2,"Muy Baja",IF(Z30&lt;=0.4,"Baja",IF(Z30&lt;=0.6,"Media",IF(Z30&lt;=0.8,"Alta","Muy Alta"))))),"")</f>
        <v/>
      </c>
      <c r="AB30" s="142" t="str">
        <f>+Z30</f>
        <v/>
      </c>
      <c r="AC30" s="141" t="str">
        <f t="shared" ref="AC30:AC34" si="55">IFERROR(IF(AD30="","",IF(AD30&lt;=0.2,"Leve",IF(AD30&lt;=0.4,"Menor",IF(AD30&lt;=0.6,"Moderado",IF(AD30&lt;=0.8,"Mayor","Catastrófico"))))),"")</f>
        <v/>
      </c>
      <c r="AD30" s="146" t="str">
        <f>IFERROR(IF(AND(S29="Impacto",S30="Impacto"),(AD29-(+AD29*V30)),IF(AND(S29="Probabilidad",S30="Impacto"),(O29-(+O29*V30)),IF(S30="Probabilidad",AD29,""))),"")</f>
        <v/>
      </c>
      <c r="AE30" s="143" t="str">
        <f t="shared" ref="AE30:AE34" si="56">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44"/>
      <c r="AG30" s="112"/>
      <c r="AH30" s="132"/>
      <c r="AI30" s="131"/>
      <c r="AJ30" s="131"/>
      <c r="AK30" s="112"/>
      <c r="AL30" s="132"/>
      <c r="AM30" s="113"/>
      <c r="AN30" s="113"/>
      <c r="AO30" s="113"/>
      <c r="AP30" s="113"/>
      <c r="AQ30" s="113"/>
      <c r="AR30" s="113"/>
      <c r="AS30" s="113"/>
      <c r="AT30" s="113"/>
      <c r="AU30" s="113"/>
      <c r="AV30" s="113"/>
      <c r="AW30" s="113"/>
      <c r="AX30" s="113"/>
      <c r="AY30" s="113"/>
      <c r="AZ30" s="113"/>
      <c r="BA30" s="113"/>
      <c r="BB30" s="113"/>
      <c r="BC30" s="113"/>
      <c r="BD30" s="113"/>
      <c r="BE30" s="113"/>
      <c r="BF30" s="113"/>
      <c r="BG30" s="113"/>
      <c r="BH30" s="113"/>
      <c r="BI30" s="113"/>
      <c r="BJ30" s="113"/>
      <c r="BK30" s="113"/>
      <c r="BL30" s="113"/>
      <c r="BM30" s="113"/>
      <c r="BN30" s="113"/>
      <c r="BO30" s="113"/>
      <c r="BP30" s="113"/>
      <c r="BQ30" s="113"/>
      <c r="BR30" s="113"/>
    </row>
    <row r="31" spans="1:70" ht="26.25" customHeight="1" x14ac:dyDescent="0.3">
      <c r="A31" s="218"/>
      <c r="B31" s="247"/>
      <c r="C31" s="247"/>
      <c r="D31" s="260"/>
      <c r="E31" s="145"/>
      <c r="F31" s="262"/>
      <c r="G31" s="154"/>
      <c r="H31" s="264"/>
      <c r="I31" s="253"/>
      <c r="J31" s="237"/>
      <c r="K31" s="235"/>
      <c r="L31" s="257"/>
      <c r="M31" s="235">
        <f ca="1">IF(NOT(ISERROR(MATCH(L31,_xlfn.ANCHORARRAY(F42),0))),K44&amp;"Por favor no seleccionar los criterios de impacto",L31)</f>
        <v>0</v>
      </c>
      <c r="N31" s="237"/>
      <c r="O31" s="235"/>
      <c r="P31" s="243"/>
      <c r="Q31" s="137">
        <v>3</v>
      </c>
      <c r="R31" s="147"/>
      <c r="S31" s="148" t="str">
        <f t="shared" ref="S31:S34" si="57">IF(OR(T31="Preventivo",T31="Detectivo"),"Probabilidad",IF(T31="Correctivo","Impacto",""))</f>
        <v/>
      </c>
      <c r="T31" s="138"/>
      <c r="U31" s="138"/>
      <c r="V31" s="139" t="str">
        <f t="shared" si="53"/>
        <v/>
      </c>
      <c r="W31" s="138"/>
      <c r="X31" s="138"/>
      <c r="Y31" s="138"/>
      <c r="Z31" s="140" t="str">
        <f>IFERROR(IF(AND(S30="Probabilidad",S31="Probabilidad"),(AB30-(+AB30*V31)),IF(AND(S30="Impacto",S31="Probabilidad"),(AB29-(+AB29*V31)),IF(S31="Impacto",AB30,""))),"")</f>
        <v/>
      </c>
      <c r="AA31" s="141" t="str">
        <f t="shared" si="54"/>
        <v/>
      </c>
      <c r="AB31" s="142" t="str">
        <f t="shared" ref="AB31:AB34" si="58">+Z31</f>
        <v/>
      </c>
      <c r="AC31" s="141" t="str">
        <f t="shared" si="55"/>
        <v/>
      </c>
      <c r="AD31" s="146" t="str">
        <f t="shared" ref="AD31:AD34" si="59">IFERROR(IF(AND(S30="Impacto",S31="Impacto"),(AD30-(+AD30*V31)),IF(AND(S30="Probabilidad",S31="Impacto"),(AD29-(+AD29*V31)),IF(S31="Probabilidad",AD30,""))),"")</f>
        <v/>
      </c>
      <c r="AE31" s="143" t="str">
        <f t="shared" si="56"/>
        <v/>
      </c>
      <c r="AF31" s="144"/>
      <c r="AG31" s="112"/>
      <c r="AH31" s="132"/>
      <c r="AI31" s="131"/>
      <c r="AJ31" s="131"/>
      <c r="AK31" s="112"/>
      <c r="AL31" s="132"/>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13"/>
      <c r="BM31" s="113"/>
      <c r="BN31" s="113"/>
      <c r="BO31" s="113"/>
      <c r="BP31" s="113"/>
      <c r="BQ31" s="113"/>
      <c r="BR31" s="113"/>
    </row>
    <row r="32" spans="1:70" ht="26.25" customHeight="1" x14ac:dyDescent="0.3">
      <c r="A32" s="218"/>
      <c r="B32" s="247"/>
      <c r="C32" s="247"/>
      <c r="D32" s="260"/>
      <c r="E32" s="145"/>
      <c r="F32" s="262"/>
      <c r="G32" s="154"/>
      <c r="H32" s="264"/>
      <c r="I32" s="253"/>
      <c r="J32" s="237"/>
      <c r="K32" s="235"/>
      <c r="L32" s="257"/>
      <c r="M32" s="235">
        <f ca="1">IF(NOT(ISERROR(MATCH(L32,_xlfn.ANCHORARRAY(F43),0))),K45&amp;"Por favor no seleccionar los criterios de impacto",L32)</f>
        <v>0</v>
      </c>
      <c r="N32" s="237"/>
      <c r="O32" s="235"/>
      <c r="P32" s="243"/>
      <c r="Q32" s="137">
        <v>4</v>
      </c>
      <c r="R32" s="93"/>
      <c r="S32" s="148" t="str">
        <f t="shared" si="57"/>
        <v/>
      </c>
      <c r="T32" s="138"/>
      <c r="U32" s="138"/>
      <c r="V32" s="139" t="str">
        <f t="shared" si="53"/>
        <v/>
      </c>
      <c r="W32" s="138"/>
      <c r="X32" s="138"/>
      <c r="Y32" s="138"/>
      <c r="Z32" s="140" t="str">
        <f t="shared" ref="Z32:Z34" si="60">IFERROR(IF(AND(S31="Probabilidad",S32="Probabilidad"),(AB31-(+AB31*V32)),IF(AND(S31="Impacto",S32="Probabilidad"),(AB30-(+AB30*V32)),IF(S32="Impacto",AB31,""))),"")</f>
        <v/>
      </c>
      <c r="AA32" s="141" t="str">
        <f t="shared" si="54"/>
        <v/>
      </c>
      <c r="AB32" s="142" t="str">
        <f t="shared" si="58"/>
        <v/>
      </c>
      <c r="AC32" s="141" t="str">
        <f t="shared" si="55"/>
        <v/>
      </c>
      <c r="AD32" s="146" t="str">
        <f t="shared" si="59"/>
        <v/>
      </c>
      <c r="AE32" s="143" t="str">
        <f t="shared" si="56"/>
        <v/>
      </c>
      <c r="AF32" s="144"/>
      <c r="AG32" s="112"/>
      <c r="AH32" s="132"/>
      <c r="AI32" s="131"/>
      <c r="AJ32" s="131"/>
      <c r="AK32" s="112"/>
      <c r="AL32" s="132"/>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13"/>
      <c r="BM32" s="113"/>
      <c r="BN32" s="113"/>
      <c r="BO32" s="113"/>
      <c r="BP32" s="113"/>
      <c r="BQ32" s="113"/>
      <c r="BR32" s="113"/>
    </row>
    <row r="33" spans="1:70" ht="26.25" customHeight="1" x14ac:dyDescent="0.3">
      <c r="A33" s="218"/>
      <c r="B33" s="247"/>
      <c r="C33" s="247"/>
      <c r="D33" s="260"/>
      <c r="E33" s="145"/>
      <c r="F33" s="262"/>
      <c r="G33" s="154"/>
      <c r="H33" s="264"/>
      <c r="I33" s="253"/>
      <c r="J33" s="237"/>
      <c r="K33" s="235"/>
      <c r="L33" s="257"/>
      <c r="M33" s="235">
        <f ca="1">IF(NOT(ISERROR(MATCH(L33,_xlfn.ANCHORARRAY(F44),0))),K46&amp;"Por favor no seleccionar los criterios de impacto",L33)</f>
        <v>0</v>
      </c>
      <c r="N33" s="237"/>
      <c r="O33" s="235"/>
      <c r="P33" s="243"/>
      <c r="Q33" s="137">
        <v>5</v>
      </c>
      <c r="R33" s="93"/>
      <c r="S33" s="148" t="str">
        <f t="shared" si="57"/>
        <v/>
      </c>
      <c r="T33" s="138"/>
      <c r="U33" s="138"/>
      <c r="V33" s="139" t="str">
        <f t="shared" si="53"/>
        <v/>
      </c>
      <c r="W33" s="138"/>
      <c r="X33" s="138"/>
      <c r="Y33" s="138"/>
      <c r="Z33" s="140" t="str">
        <f t="shared" si="60"/>
        <v/>
      </c>
      <c r="AA33" s="141" t="str">
        <f t="shared" si="54"/>
        <v/>
      </c>
      <c r="AB33" s="142" t="str">
        <f t="shared" si="58"/>
        <v/>
      </c>
      <c r="AC33" s="141" t="str">
        <f t="shared" si="55"/>
        <v/>
      </c>
      <c r="AD33" s="146" t="str">
        <f t="shared" si="59"/>
        <v/>
      </c>
      <c r="AE33" s="143" t="str">
        <f t="shared" si="56"/>
        <v/>
      </c>
      <c r="AF33" s="144"/>
      <c r="AG33" s="112"/>
      <c r="AH33" s="132"/>
      <c r="AI33" s="131"/>
      <c r="AJ33" s="131"/>
      <c r="AK33" s="112"/>
      <c r="AL33" s="132"/>
      <c r="AM33" s="113"/>
      <c r="AN33" s="113"/>
      <c r="AO33" s="113"/>
      <c r="AP33" s="113"/>
      <c r="AQ33" s="113"/>
      <c r="AR33" s="113"/>
      <c r="AS33" s="113"/>
      <c r="AT33" s="113"/>
      <c r="AU33" s="113"/>
      <c r="AV33" s="113"/>
      <c r="AW33" s="113"/>
      <c r="AX33" s="113"/>
      <c r="AY33" s="113"/>
      <c r="AZ33" s="113"/>
      <c r="BA33" s="113"/>
      <c r="BB33" s="113"/>
      <c r="BC33" s="113"/>
      <c r="BD33" s="113"/>
      <c r="BE33" s="113"/>
      <c r="BF33" s="113"/>
      <c r="BG33" s="113"/>
      <c r="BH33" s="113"/>
      <c r="BI33" s="113"/>
      <c r="BJ33" s="113"/>
      <c r="BK33" s="113"/>
      <c r="BL33" s="113"/>
      <c r="BM33" s="113"/>
      <c r="BN33" s="113"/>
      <c r="BO33" s="113"/>
      <c r="BP33" s="113"/>
      <c r="BQ33" s="113"/>
      <c r="BR33" s="113"/>
    </row>
    <row r="34" spans="1:70" ht="26.25" customHeight="1" x14ac:dyDescent="0.3">
      <c r="A34" s="245"/>
      <c r="B34" s="248"/>
      <c r="C34" s="248"/>
      <c r="D34" s="261"/>
      <c r="E34" s="145"/>
      <c r="F34" s="262"/>
      <c r="G34" s="154"/>
      <c r="H34" s="265"/>
      <c r="I34" s="254"/>
      <c r="J34" s="255"/>
      <c r="K34" s="241"/>
      <c r="L34" s="258"/>
      <c r="M34" s="241">
        <f ca="1">IF(NOT(ISERROR(MATCH(L34,_xlfn.ANCHORARRAY(F45),0))),K47&amp;"Por favor no seleccionar los criterios de impacto",L34)</f>
        <v>0</v>
      </c>
      <c r="N34" s="255"/>
      <c r="O34" s="241"/>
      <c r="P34" s="244"/>
      <c r="Q34" s="137">
        <v>6</v>
      </c>
      <c r="R34" s="93"/>
      <c r="S34" s="148" t="str">
        <f t="shared" si="57"/>
        <v/>
      </c>
      <c r="T34" s="138"/>
      <c r="U34" s="138"/>
      <c r="V34" s="139" t="str">
        <f t="shared" si="53"/>
        <v/>
      </c>
      <c r="W34" s="138"/>
      <c r="X34" s="138"/>
      <c r="Y34" s="138"/>
      <c r="Z34" s="140" t="str">
        <f t="shared" si="60"/>
        <v/>
      </c>
      <c r="AA34" s="141" t="str">
        <f t="shared" si="54"/>
        <v/>
      </c>
      <c r="AB34" s="142" t="str">
        <f t="shared" si="58"/>
        <v/>
      </c>
      <c r="AC34" s="141" t="str">
        <f t="shared" si="55"/>
        <v/>
      </c>
      <c r="AD34" s="146" t="str">
        <f t="shared" si="59"/>
        <v/>
      </c>
      <c r="AE34" s="143" t="str">
        <f t="shared" si="56"/>
        <v/>
      </c>
      <c r="AF34" s="144"/>
      <c r="AG34" s="112"/>
      <c r="AH34" s="132"/>
      <c r="AI34" s="131"/>
      <c r="AJ34" s="131"/>
      <c r="AK34" s="112"/>
      <c r="AL34" s="132"/>
      <c r="AM34" s="113"/>
      <c r="AN34" s="113"/>
      <c r="AO34" s="113"/>
      <c r="AP34" s="113"/>
      <c r="AQ34" s="113"/>
      <c r="AR34" s="113"/>
      <c r="AS34" s="113"/>
      <c r="AT34" s="113"/>
      <c r="AU34" s="113"/>
      <c r="AV34" s="113"/>
      <c r="AW34" s="113"/>
      <c r="AX34" s="113"/>
      <c r="AY34" s="113"/>
      <c r="AZ34" s="113"/>
      <c r="BA34" s="113"/>
      <c r="BB34" s="113"/>
      <c r="BC34" s="113"/>
      <c r="BD34" s="113"/>
      <c r="BE34" s="113"/>
      <c r="BF34" s="113"/>
      <c r="BG34" s="113"/>
      <c r="BH34" s="113"/>
      <c r="BI34" s="113"/>
      <c r="BJ34" s="113"/>
      <c r="BK34" s="113"/>
      <c r="BL34" s="113"/>
      <c r="BM34" s="113"/>
      <c r="BN34" s="113"/>
      <c r="BO34" s="113"/>
      <c r="BP34" s="113"/>
      <c r="BQ34" s="113"/>
      <c r="BR34" s="113"/>
    </row>
    <row r="35" spans="1:70" ht="26.25" customHeight="1" x14ac:dyDescent="0.3">
      <c r="A35" s="217">
        <v>7</v>
      </c>
      <c r="B35" s="246"/>
      <c r="C35" s="246"/>
      <c r="D35" s="246"/>
      <c r="E35" s="155"/>
      <c r="F35" s="250"/>
      <c r="G35" s="156"/>
      <c r="H35" s="246"/>
      <c r="I35" s="252"/>
      <c r="J35" s="236" t="str">
        <f t="shared" ref="J35" si="61">IF(I35&lt;=0,"",IF(I35&lt;=2,"Muy Baja",IF(I35&lt;=24,"Baja",IF(I35&lt;=500,"Media",IF(I35&lt;=5000,"Alta","Muy Alta")))))</f>
        <v/>
      </c>
      <c r="K35" s="234" t="str">
        <f t="shared" ref="K35" si="62">IF(J35="","",IF(J35="Muy Baja",0.2,IF(J35="Baja",0.4,IF(J35="Media",0.6,IF(J35="Alta",0.8,IF(J35="Muy Alta",1,))))))</f>
        <v/>
      </c>
      <c r="L35" s="256"/>
      <c r="M35" s="234">
        <f ca="1">IF(NOT(ISERROR(MATCH(L35,'Tabla Impacto'!$B$221:$B$223,0))),'Tabla Impacto'!$F$223&amp;"Por favor no seleccionar los criterios de impacto(Afectación Económica o presupuestal y Pérdida Reputacional)",L35)</f>
        <v>0</v>
      </c>
      <c r="N35" s="236" t="str">
        <f ca="1">IF(OR(M35='Tabla Impacto'!$C$11,M35='Tabla Impacto'!$D$11),"Leve",IF(OR(M35='Tabla Impacto'!$C$12,M35='Tabla Impacto'!$D$12),"Menor",IF(OR(M35='Tabla Impacto'!$C$13,M35='Tabla Impacto'!$D$13),"Moderado",IF(OR(M35='Tabla Impacto'!$C$14,M35='Tabla Impacto'!$D$14),"Mayor",IF(OR(M35='Tabla Impacto'!$C$15,M35='Tabla Impacto'!$D$15),"Catastrófico","")))))</f>
        <v/>
      </c>
      <c r="O35" s="234" t="str">
        <f t="shared" ref="O35" ca="1" si="63">IF(N35="","",IF(N35="Leve",0.2,IF(N35="Menor",0.4,IF(N35="Moderado",0.6,IF(N35="Mayor",0.8,IF(N35="Catastrófico",1,))))))</f>
        <v/>
      </c>
      <c r="P35" s="242" t="str">
        <f t="shared" ref="P35" ca="1" si="64">IF(OR(AND(J35="Muy Baja",N35="Leve"),AND(J35="Muy Baja",N35="Menor"),AND(J35="Baja",N35="Leve")),"Bajo",IF(OR(AND(J35="Muy baja",N35="Moderado"),AND(J35="Baja",N35="Menor"),AND(J35="Baja",N35="Moderado"),AND(J35="Media",N35="Leve"),AND(J35="Media",N35="Menor"),AND(J35="Media",N35="Moderado"),AND(J35="Alta",N35="Leve"),AND(J35="Alta",N35="Menor")),"Moderado",IF(OR(AND(J35="Muy Baja",N35="Mayor"),AND(J35="Baja",N35="Mayor"),AND(J35="Media",N35="Mayor"),AND(J35="Alta",N35="Moderado"),AND(J35="Alta",N35="Mayor"),AND(J35="Muy Alta",N35="Leve"),AND(J35="Muy Alta",N35="Menor"),AND(J35="Muy Alta",N35="Moderado"),AND(J35="Muy Alta",N35="Mayor")),"Alto",IF(OR(AND(J35="Muy Baja",N35="Catastrófico"),AND(J35="Baja",N35="Catastrófico"),AND(J35="Media",N35="Catastrófico"),AND(J35="Alta",N35="Catastrófico"),AND(J35="Muy Alta",N35="Catastrófico")),"Extremo",""))))</f>
        <v/>
      </c>
      <c r="Q35" s="137">
        <v>1</v>
      </c>
      <c r="R35" s="93"/>
      <c r="S35" s="148" t="str">
        <f>IF(OR(T35="Preventivo",T35="Detectivo"),"Probabilidad",IF(T35="Correctivo","Impacto",""))</f>
        <v/>
      </c>
      <c r="T35" s="138"/>
      <c r="U35" s="138"/>
      <c r="V35" s="139" t="str">
        <f>IF(AND(T35="Preventivo",U35="Automático"),"50%",IF(AND(T35="Preventivo",U35="Manual"),"40%",IF(AND(T35="Detectivo",U35="Automático"),"40%",IF(AND(T35="Detectivo",U35="Manual"),"30%",IF(AND(T35="Correctivo",U35="Automático"),"35%",IF(AND(T35="Correctivo",U35="Manual"),"25%",""))))))</f>
        <v/>
      </c>
      <c r="W35" s="138"/>
      <c r="X35" s="138"/>
      <c r="Y35" s="138"/>
      <c r="Z35" s="140" t="str">
        <f>IFERROR(IF(S35="Probabilidad",(K35-(+K35*V35)),IF(S35="Impacto",K35,"")),"")</f>
        <v/>
      </c>
      <c r="AA35" s="141" t="str">
        <f>IFERROR(IF(Z35="","",IF(Z35&lt;=0.2,"Muy Baja",IF(Z35&lt;=0.4,"Baja",IF(Z35&lt;=0.6,"Media",IF(Z35&lt;=0.8,"Alta","Muy Alta"))))),"")</f>
        <v/>
      </c>
      <c r="AB35" s="142" t="str">
        <f>+Z35</f>
        <v/>
      </c>
      <c r="AC35" s="141" t="str">
        <f>IFERROR(IF(AD35="","",IF(AD35&lt;=0.2,"Leve",IF(AD35&lt;=0.4,"Menor",IF(AD35&lt;=0.6,"Moderado",IF(AD35&lt;=0.8,"Mayor","Catastrófico"))))),"")</f>
        <v/>
      </c>
      <c r="AD35" s="142" t="str">
        <f>IFERROR(IF(S35="Impacto",(O35-(+O35*V35)),IF(S35="Probabilidad",O35,"")),"")</f>
        <v/>
      </c>
      <c r="AE35" s="143" t="str">
        <f>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44"/>
      <c r="AG35" s="112"/>
      <c r="AH35" s="132"/>
      <c r="AI35" s="131"/>
      <c r="AJ35" s="131"/>
      <c r="AK35" s="112"/>
      <c r="AL35" s="132"/>
      <c r="AM35" s="113"/>
      <c r="AN35" s="113"/>
      <c r="AO35" s="113"/>
      <c r="AP35" s="113"/>
      <c r="AQ35" s="113"/>
      <c r="AR35" s="113"/>
      <c r="AS35" s="113"/>
      <c r="AT35" s="113"/>
      <c r="AU35" s="113"/>
      <c r="AV35" s="113"/>
      <c r="AW35" s="113"/>
      <c r="AX35" s="113"/>
      <c r="AY35" s="113"/>
      <c r="AZ35" s="113"/>
      <c r="BA35" s="113"/>
      <c r="BB35" s="113"/>
      <c r="BC35" s="113"/>
      <c r="BD35" s="113"/>
      <c r="BE35" s="113"/>
      <c r="BF35" s="113"/>
      <c r="BG35" s="113"/>
      <c r="BH35" s="113"/>
      <c r="BI35" s="113"/>
      <c r="BJ35" s="113"/>
      <c r="BK35" s="113"/>
      <c r="BL35" s="113"/>
      <c r="BM35" s="113"/>
      <c r="BN35" s="113"/>
      <c r="BO35" s="113"/>
      <c r="BP35" s="113"/>
      <c r="BQ35" s="113"/>
      <c r="BR35" s="113"/>
    </row>
    <row r="36" spans="1:70" ht="26.25" customHeight="1" x14ac:dyDescent="0.3">
      <c r="A36" s="218"/>
      <c r="B36" s="247"/>
      <c r="C36" s="247"/>
      <c r="D36" s="247"/>
      <c r="E36" s="155"/>
      <c r="F36" s="250"/>
      <c r="G36" s="156"/>
      <c r="H36" s="247"/>
      <c r="I36" s="253"/>
      <c r="J36" s="237"/>
      <c r="K36" s="235"/>
      <c r="L36" s="257"/>
      <c r="M36" s="235">
        <f ca="1">IF(NOT(ISERROR(MATCH(L36,_xlfn.ANCHORARRAY(F47),0))),K49&amp;"Por favor no seleccionar los criterios de impacto",L36)</f>
        <v>0</v>
      </c>
      <c r="N36" s="237"/>
      <c r="O36" s="235"/>
      <c r="P36" s="243"/>
      <c r="Q36" s="137">
        <v>2</v>
      </c>
      <c r="R36" s="93"/>
      <c r="S36" s="148" t="str">
        <f>IF(OR(T36="Preventivo",T36="Detectivo"),"Probabilidad",IF(T36="Correctivo","Impacto",""))</f>
        <v/>
      </c>
      <c r="T36" s="138"/>
      <c r="U36" s="138"/>
      <c r="V36" s="139" t="str">
        <f t="shared" ref="V36:V40" si="65">IF(AND(T36="Preventivo",U36="Automático"),"50%",IF(AND(T36="Preventivo",U36="Manual"),"40%",IF(AND(T36="Detectivo",U36="Automático"),"40%",IF(AND(T36="Detectivo",U36="Manual"),"30%",IF(AND(T36="Correctivo",U36="Automático"),"35%",IF(AND(T36="Correctivo",U36="Manual"),"25%",""))))))</f>
        <v/>
      </c>
      <c r="W36" s="138"/>
      <c r="X36" s="138"/>
      <c r="Y36" s="138"/>
      <c r="Z36" s="140" t="str">
        <f>IFERROR(IF(AND(S35="Probabilidad",S36="Probabilidad"),(AB35-(+AB35*V36)),IF(AND(S35="Impacto",S36="Probabilidad"),(K35-(+K35*V36)),IF(S36="Impacto",AB35,""))),"")</f>
        <v/>
      </c>
      <c r="AA36" s="141" t="str">
        <f t="shared" ref="AA36:AA40" si="66">IFERROR(IF(Z36="","",IF(Z36&lt;=0.2,"Muy Baja",IF(Z36&lt;=0.4,"Baja",IF(Z36&lt;=0.6,"Media",IF(Z36&lt;=0.8,"Alta","Muy Alta"))))),"")</f>
        <v/>
      </c>
      <c r="AB36" s="142" t="str">
        <f>+Z36</f>
        <v/>
      </c>
      <c r="AC36" s="141" t="str">
        <f t="shared" ref="AC36:AC40" si="67">IFERROR(IF(AD36="","",IF(AD36&lt;=0.2,"Leve",IF(AD36&lt;=0.4,"Menor",IF(AD36&lt;=0.6,"Moderado",IF(AD36&lt;=0.8,"Mayor","Catastrófico"))))),"")</f>
        <v/>
      </c>
      <c r="AD36" s="146" t="str">
        <f>IFERROR(IF(AND(S35="Impacto",S36="Impacto"),(AD35-(+AD35*V36)),IF(AND(S35="Probabilidad",S36="Impacto"),(O35-(+O35*V36)),IF(S36="Probabilidad",AD35,""))),"")</f>
        <v/>
      </c>
      <c r="AE36" s="143" t="str">
        <f t="shared" ref="AE36:AE40" si="68">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44"/>
      <c r="AG36" s="112"/>
      <c r="AH36" s="132"/>
      <c r="AI36" s="131"/>
      <c r="AJ36" s="131"/>
      <c r="AK36" s="112"/>
      <c r="AL36" s="132"/>
      <c r="AM36" s="113"/>
      <c r="AN36" s="113"/>
      <c r="AO36" s="113"/>
      <c r="AP36" s="113"/>
      <c r="AQ36" s="113"/>
      <c r="AR36" s="113"/>
      <c r="AS36" s="113"/>
      <c r="AT36" s="113"/>
      <c r="AU36" s="113"/>
      <c r="AV36" s="113"/>
      <c r="AW36" s="113"/>
      <c r="AX36" s="113"/>
      <c r="AY36" s="113"/>
      <c r="AZ36" s="113"/>
      <c r="BA36" s="113"/>
      <c r="BB36" s="113"/>
      <c r="BC36" s="113"/>
      <c r="BD36" s="113"/>
      <c r="BE36" s="113"/>
      <c r="BF36" s="113"/>
      <c r="BG36" s="113"/>
      <c r="BH36" s="113"/>
      <c r="BI36" s="113"/>
      <c r="BJ36" s="113"/>
      <c r="BK36" s="113"/>
      <c r="BL36" s="113"/>
      <c r="BM36" s="113"/>
      <c r="BN36" s="113"/>
      <c r="BO36" s="113"/>
      <c r="BP36" s="113"/>
      <c r="BQ36" s="113"/>
      <c r="BR36" s="113"/>
    </row>
    <row r="37" spans="1:70" ht="26.25" customHeight="1" x14ac:dyDescent="0.3">
      <c r="A37" s="218"/>
      <c r="B37" s="247"/>
      <c r="C37" s="247"/>
      <c r="D37" s="247"/>
      <c r="E37" s="155"/>
      <c r="F37" s="250"/>
      <c r="G37" s="156"/>
      <c r="H37" s="247"/>
      <c r="I37" s="253"/>
      <c r="J37" s="237"/>
      <c r="K37" s="235"/>
      <c r="L37" s="257"/>
      <c r="M37" s="235">
        <f ca="1">IF(NOT(ISERROR(MATCH(L37,_xlfn.ANCHORARRAY(F48),0))),K50&amp;"Por favor no seleccionar los criterios de impacto",L37)</f>
        <v>0</v>
      </c>
      <c r="N37" s="237"/>
      <c r="O37" s="235"/>
      <c r="P37" s="243"/>
      <c r="Q37" s="137">
        <v>3</v>
      </c>
      <c r="R37" s="147"/>
      <c r="S37" s="148" t="str">
        <f t="shared" ref="S37:S40" si="69">IF(OR(T37="Preventivo",T37="Detectivo"),"Probabilidad",IF(T37="Correctivo","Impacto",""))</f>
        <v/>
      </c>
      <c r="T37" s="138"/>
      <c r="U37" s="138"/>
      <c r="V37" s="139" t="str">
        <f t="shared" si="65"/>
        <v/>
      </c>
      <c r="W37" s="138"/>
      <c r="X37" s="138"/>
      <c r="Y37" s="138"/>
      <c r="Z37" s="140" t="str">
        <f>IFERROR(IF(AND(S36="Probabilidad",S37="Probabilidad"),(AB36-(+AB36*V37)),IF(AND(S36="Impacto",S37="Probabilidad"),(AB35-(+AB35*V37)),IF(S37="Impacto",AB36,""))),"")</f>
        <v/>
      </c>
      <c r="AA37" s="141" t="str">
        <f t="shared" si="66"/>
        <v/>
      </c>
      <c r="AB37" s="142" t="str">
        <f t="shared" ref="AB37:AB40" si="70">+Z37</f>
        <v/>
      </c>
      <c r="AC37" s="141" t="str">
        <f t="shared" si="67"/>
        <v/>
      </c>
      <c r="AD37" s="146" t="str">
        <f t="shared" ref="AD37:AD40" si="71">IFERROR(IF(AND(S36="Impacto",S37="Impacto"),(AD36-(+AD36*V37)),IF(AND(S36="Probabilidad",S37="Impacto"),(AD35-(+AD35*V37)),IF(S37="Probabilidad",AD36,""))),"")</f>
        <v/>
      </c>
      <c r="AE37" s="143" t="str">
        <f t="shared" si="68"/>
        <v/>
      </c>
      <c r="AF37" s="144"/>
      <c r="AG37" s="112"/>
      <c r="AH37" s="132"/>
      <c r="AI37" s="131"/>
      <c r="AJ37" s="131"/>
      <c r="AK37" s="112"/>
      <c r="AL37" s="132"/>
      <c r="AM37" s="113"/>
      <c r="AN37" s="113"/>
      <c r="AO37" s="113"/>
      <c r="AP37" s="113"/>
      <c r="AQ37" s="113"/>
      <c r="AR37" s="113"/>
      <c r="AS37" s="113"/>
      <c r="AT37" s="113"/>
      <c r="AU37" s="113"/>
      <c r="AV37" s="113"/>
      <c r="AW37" s="113"/>
      <c r="AX37" s="113"/>
      <c r="AY37" s="113"/>
      <c r="AZ37" s="113"/>
      <c r="BA37" s="113"/>
      <c r="BB37" s="113"/>
      <c r="BC37" s="113"/>
      <c r="BD37" s="113"/>
      <c r="BE37" s="113"/>
      <c r="BF37" s="113"/>
      <c r="BG37" s="113"/>
      <c r="BH37" s="113"/>
      <c r="BI37" s="113"/>
      <c r="BJ37" s="113"/>
      <c r="BK37" s="113"/>
      <c r="BL37" s="113"/>
      <c r="BM37" s="113"/>
      <c r="BN37" s="113"/>
      <c r="BO37" s="113"/>
      <c r="BP37" s="113"/>
      <c r="BQ37" s="113"/>
      <c r="BR37" s="113"/>
    </row>
    <row r="38" spans="1:70" ht="26.25" customHeight="1" x14ac:dyDescent="0.3">
      <c r="A38" s="218"/>
      <c r="B38" s="247"/>
      <c r="C38" s="247"/>
      <c r="D38" s="247"/>
      <c r="E38" s="155"/>
      <c r="F38" s="250"/>
      <c r="G38" s="156"/>
      <c r="H38" s="247"/>
      <c r="I38" s="253"/>
      <c r="J38" s="237"/>
      <c r="K38" s="235"/>
      <c r="L38" s="257"/>
      <c r="M38" s="235">
        <f ca="1">IF(NOT(ISERROR(MATCH(L38,_xlfn.ANCHORARRAY(F49),0))),K51&amp;"Por favor no seleccionar los criterios de impacto",L38)</f>
        <v>0</v>
      </c>
      <c r="N38" s="237"/>
      <c r="O38" s="235"/>
      <c r="P38" s="243"/>
      <c r="Q38" s="137">
        <v>4</v>
      </c>
      <c r="R38" s="93"/>
      <c r="S38" s="148" t="str">
        <f t="shared" si="69"/>
        <v/>
      </c>
      <c r="T38" s="138"/>
      <c r="U38" s="138"/>
      <c r="V38" s="139" t="str">
        <f t="shared" si="65"/>
        <v/>
      </c>
      <c r="W38" s="138"/>
      <c r="X38" s="138"/>
      <c r="Y38" s="138"/>
      <c r="Z38" s="140" t="str">
        <f t="shared" ref="Z38:Z40" si="72">IFERROR(IF(AND(S37="Probabilidad",S38="Probabilidad"),(AB37-(+AB37*V38)),IF(AND(S37="Impacto",S38="Probabilidad"),(AB36-(+AB36*V38)),IF(S38="Impacto",AB37,""))),"")</f>
        <v/>
      </c>
      <c r="AA38" s="141" t="str">
        <f t="shared" si="66"/>
        <v/>
      </c>
      <c r="AB38" s="142" t="str">
        <f t="shared" si="70"/>
        <v/>
      </c>
      <c r="AC38" s="141" t="str">
        <f t="shared" si="67"/>
        <v/>
      </c>
      <c r="AD38" s="146" t="str">
        <f t="shared" si="71"/>
        <v/>
      </c>
      <c r="AE38" s="143" t="str">
        <f t="shared" si="68"/>
        <v/>
      </c>
      <c r="AF38" s="144"/>
      <c r="AG38" s="112"/>
      <c r="AH38" s="132"/>
      <c r="AI38" s="131"/>
      <c r="AJ38" s="131"/>
      <c r="AK38" s="112"/>
      <c r="AL38" s="132"/>
      <c r="AM38" s="113"/>
      <c r="AN38" s="113"/>
      <c r="AO38" s="113"/>
      <c r="AP38" s="113"/>
      <c r="AQ38" s="113"/>
      <c r="AR38" s="113"/>
      <c r="AS38" s="113"/>
      <c r="AT38" s="113"/>
      <c r="AU38" s="113"/>
      <c r="AV38" s="113"/>
      <c r="AW38" s="113"/>
      <c r="AX38" s="113"/>
      <c r="AY38" s="113"/>
      <c r="AZ38" s="113"/>
      <c r="BA38" s="113"/>
      <c r="BB38" s="113"/>
      <c r="BC38" s="113"/>
      <c r="BD38" s="113"/>
      <c r="BE38" s="113"/>
      <c r="BF38" s="113"/>
      <c r="BG38" s="113"/>
      <c r="BH38" s="113"/>
      <c r="BI38" s="113"/>
      <c r="BJ38" s="113"/>
      <c r="BK38" s="113"/>
      <c r="BL38" s="113"/>
      <c r="BM38" s="113"/>
      <c r="BN38" s="113"/>
      <c r="BO38" s="113"/>
      <c r="BP38" s="113"/>
      <c r="BQ38" s="113"/>
      <c r="BR38" s="113"/>
    </row>
    <row r="39" spans="1:70" ht="26.25" customHeight="1" x14ac:dyDescent="0.3">
      <c r="A39" s="218"/>
      <c r="B39" s="247"/>
      <c r="C39" s="247"/>
      <c r="D39" s="247"/>
      <c r="E39" s="155"/>
      <c r="F39" s="250"/>
      <c r="G39" s="156"/>
      <c r="H39" s="247"/>
      <c r="I39" s="253"/>
      <c r="J39" s="237"/>
      <c r="K39" s="235"/>
      <c r="L39" s="257"/>
      <c r="M39" s="235">
        <f ca="1">IF(NOT(ISERROR(MATCH(L39,_xlfn.ANCHORARRAY(F50),0))),K52&amp;"Por favor no seleccionar los criterios de impacto",L39)</f>
        <v>0</v>
      </c>
      <c r="N39" s="237"/>
      <c r="O39" s="235"/>
      <c r="P39" s="243"/>
      <c r="Q39" s="137">
        <v>5</v>
      </c>
      <c r="R39" s="93"/>
      <c r="S39" s="148" t="str">
        <f t="shared" si="69"/>
        <v/>
      </c>
      <c r="T39" s="138"/>
      <c r="U39" s="138"/>
      <c r="V39" s="139" t="str">
        <f t="shared" si="65"/>
        <v/>
      </c>
      <c r="W39" s="138"/>
      <c r="X39" s="138"/>
      <c r="Y39" s="138"/>
      <c r="Z39" s="140" t="str">
        <f t="shared" si="72"/>
        <v/>
      </c>
      <c r="AA39" s="141" t="str">
        <f t="shared" si="66"/>
        <v/>
      </c>
      <c r="AB39" s="142" t="str">
        <f t="shared" si="70"/>
        <v/>
      </c>
      <c r="AC39" s="141" t="str">
        <f t="shared" si="67"/>
        <v/>
      </c>
      <c r="AD39" s="146" t="str">
        <f t="shared" si="71"/>
        <v/>
      </c>
      <c r="AE39" s="143" t="str">
        <f t="shared" si="68"/>
        <v/>
      </c>
      <c r="AF39" s="144"/>
      <c r="AG39" s="112"/>
      <c r="AH39" s="132"/>
      <c r="AI39" s="131"/>
      <c r="AJ39" s="131"/>
      <c r="AK39" s="112"/>
      <c r="AL39" s="132"/>
      <c r="AM39" s="113"/>
      <c r="AN39" s="113"/>
      <c r="AO39" s="113"/>
      <c r="AP39" s="113"/>
      <c r="AQ39" s="113"/>
      <c r="AR39" s="113"/>
      <c r="AS39" s="113"/>
      <c r="AT39" s="113"/>
      <c r="AU39" s="113"/>
      <c r="AV39" s="113"/>
      <c r="AW39" s="113"/>
      <c r="AX39" s="113"/>
      <c r="AY39" s="113"/>
      <c r="AZ39" s="113"/>
      <c r="BA39" s="113"/>
      <c r="BB39" s="113"/>
      <c r="BC39" s="113"/>
      <c r="BD39" s="113"/>
      <c r="BE39" s="113"/>
      <c r="BF39" s="113"/>
      <c r="BG39" s="113"/>
      <c r="BH39" s="113"/>
      <c r="BI39" s="113"/>
      <c r="BJ39" s="113"/>
      <c r="BK39" s="113"/>
      <c r="BL39" s="113"/>
      <c r="BM39" s="113"/>
      <c r="BN39" s="113"/>
      <c r="BO39" s="113"/>
      <c r="BP39" s="113"/>
      <c r="BQ39" s="113"/>
      <c r="BR39" s="113"/>
    </row>
    <row r="40" spans="1:70" ht="26.25" customHeight="1" x14ac:dyDescent="0.3">
      <c r="A40" s="245"/>
      <c r="B40" s="248"/>
      <c r="C40" s="248"/>
      <c r="D40" s="248"/>
      <c r="E40" s="157"/>
      <c r="F40" s="251"/>
      <c r="G40" s="158"/>
      <c r="H40" s="248"/>
      <c r="I40" s="254"/>
      <c r="J40" s="255"/>
      <c r="K40" s="241"/>
      <c r="L40" s="258"/>
      <c r="M40" s="241">
        <f ca="1">IF(NOT(ISERROR(MATCH(L40,_xlfn.ANCHORARRAY(F51),0))),K53&amp;"Por favor no seleccionar los criterios de impacto",L40)</f>
        <v>0</v>
      </c>
      <c r="N40" s="255"/>
      <c r="O40" s="241"/>
      <c r="P40" s="244"/>
      <c r="Q40" s="137">
        <v>6</v>
      </c>
      <c r="R40" s="93"/>
      <c r="S40" s="148" t="str">
        <f t="shared" si="69"/>
        <v/>
      </c>
      <c r="T40" s="138"/>
      <c r="U40" s="138"/>
      <c r="V40" s="139" t="str">
        <f t="shared" si="65"/>
        <v/>
      </c>
      <c r="W40" s="138"/>
      <c r="X40" s="138"/>
      <c r="Y40" s="138"/>
      <c r="Z40" s="140" t="str">
        <f t="shared" si="72"/>
        <v/>
      </c>
      <c r="AA40" s="141" t="str">
        <f t="shared" si="66"/>
        <v/>
      </c>
      <c r="AB40" s="142" t="str">
        <f t="shared" si="70"/>
        <v/>
      </c>
      <c r="AC40" s="141" t="str">
        <f t="shared" si="67"/>
        <v/>
      </c>
      <c r="AD40" s="146" t="str">
        <f t="shared" si="71"/>
        <v/>
      </c>
      <c r="AE40" s="143" t="str">
        <f t="shared" si="68"/>
        <v/>
      </c>
      <c r="AF40" s="144"/>
      <c r="AG40" s="112"/>
      <c r="AH40" s="132"/>
      <c r="AI40" s="131"/>
      <c r="AJ40" s="131"/>
      <c r="AK40" s="112"/>
      <c r="AL40" s="132"/>
      <c r="AM40" s="113"/>
      <c r="AN40" s="113"/>
      <c r="AO40" s="113"/>
      <c r="AP40" s="113"/>
      <c r="AQ40" s="113"/>
      <c r="AR40" s="113"/>
      <c r="AS40" s="113"/>
      <c r="AT40" s="113"/>
      <c r="AU40" s="113"/>
      <c r="AV40" s="113"/>
      <c r="AW40" s="113"/>
      <c r="AX40" s="113"/>
      <c r="AY40" s="113"/>
      <c r="AZ40" s="113"/>
      <c r="BA40" s="113"/>
      <c r="BB40" s="113"/>
      <c r="BC40" s="113"/>
      <c r="BD40" s="113"/>
      <c r="BE40" s="113"/>
      <c r="BF40" s="113"/>
      <c r="BG40" s="113"/>
      <c r="BH40" s="113"/>
      <c r="BI40" s="113"/>
      <c r="BJ40" s="113"/>
      <c r="BK40" s="113"/>
      <c r="BL40" s="113"/>
      <c r="BM40" s="113"/>
      <c r="BN40" s="113"/>
      <c r="BO40" s="113"/>
      <c r="BP40" s="113"/>
      <c r="BQ40" s="113"/>
      <c r="BR40" s="113"/>
    </row>
    <row r="41" spans="1:70" ht="26.25" customHeight="1" x14ac:dyDescent="0.3">
      <c r="A41" s="217">
        <v>8</v>
      </c>
      <c r="B41" s="246"/>
      <c r="C41" s="246"/>
      <c r="D41" s="246"/>
      <c r="E41" s="159"/>
      <c r="F41" s="249"/>
      <c r="G41" s="160"/>
      <c r="H41" s="246"/>
      <c r="I41" s="252"/>
      <c r="J41" s="236" t="str">
        <f t="shared" ref="J41" si="73">IF(I41&lt;=0,"",IF(I41&lt;=2,"Muy Baja",IF(I41&lt;=24,"Baja",IF(I41&lt;=500,"Media",IF(I41&lt;=5000,"Alta","Muy Alta")))))</f>
        <v/>
      </c>
      <c r="K41" s="234" t="str">
        <f t="shared" ref="K41" si="74">IF(J41="","",IF(J41="Muy Baja",0.2,IF(J41="Baja",0.4,IF(J41="Media",0.6,IF(J41="Alta",0.8,IF(J41="Muy Alta",1,))))))</f>
        <v/>
      </c>
      <c r="L41" s="256"/>
      <c r="M41" s="234">
        <f ca="1">IF(NOT(ISERROR(MATCH(L41,'Tabla Impacto'!$B$221:$B$223,0))),'Tabla Impacto'!$F$223&amp;"Por favor no seleccionar los criterios de impacto(Afectación Económica o presupuestal y Pérdida Reputacional)",L41)</f>
        <v>0</v>
      </c>
      <c r="N41" s="236" t="str">
        <f ca="1">IF(OR(M41='Tabla Impacto'!$C$11,M41='Tabla Impacto'!$D$11),"Leve",IF(OR(M41='Tabla Impacto'!$C$12,M41='Tabla Impacto'!$D$12),"Menor",IF(OR(M41='Tabla Impacto'!$C$13,M41='Tabla Impacto'!$D$13),"Moderado",IF(OR(M41='Tabla Impacto'!$C$14,M41='Tabla Impacto'!$D$14),"Mayor",IF(OR(M41='Tabla Impacto'!$C$15,M41='Tabla Impacto'!$D$15),"Catastrófico","")))))</f>
        <v/>
      </c>
      <c r="O41" s="234" t="str">
        <f t="shared" ref="O41" ca="1" si="75">IF(N41="","",IF(N41="Leve",0.2,IF(N41="Menor",0.4,IF(N41="Moderado",0.6,IF(N41="Mayor",0.8,IF(N41="Catastrófico",1,))))))</f>
        <v/>
      </c>
      <c r="P41" s="242" t="str">
        <f t="shared" ref="P41" ca="1" si="76">IF(OR(AND(J41="Muy Baja",N41="Leve"),AND(J41="Muy Baja",N41="Menor"),AND(J41="Baja",N41="Leve")),"Bajo",IF(OR(AND(J41="Muy baja",N41="Moderado"),AND(J41="Baja",N41="Menor"),AND(J41="Baja",N41="Moderado"),AND(J41="Media",N41="Leve"),AND(J41="Media",N41="Menor"),AND(J41="Media",N41="Moderado"),AND(J41="Alta",N41="Leve"),AND(J41="Alta",N41="Menor")),"Moderado",IF(OR(AND(J41="Muy Baja",N41="Mayor"),AND(J41="Baja",N41="Mayor"),AND(J41="Media",N41="Mayor"),AND(J41="Alta",N41="Moderado"),AND(J41="Alta",N41="Mayor"),AND(J41="Muy Alta",N41="Leve"),AND(J41="Muy Alta",N41="Menor"),AND(J41="Muy Alta",N41="Moderado"),AND(J41="Muy Alta",N41="Mayor")),"Alto",IF(OR(AND(J41="Muy Baja",N41="Catastrófico"),AND(J41="Baja",N41="Catastrófico"),AND(J41="Media",N41="Catastrófico"),AND(J41="Alta",N41="Catastrófico"),AND(J41="Muy Alta",N41="Catastrófico")),"Extremo",""))))</f>
        <v/>
      </c>
      <c r="Q41" s="137">
        <v>1</v>
      </c>
      <c r="R41" s="93"/>
      <c r="S41" s="148" t="str">
        <f>IF(OR(T41="Preventivo",T41="Detectivo"),"Probabilidad",IF(T41="Correctivo","Impacto",""))</f>
        <v/>
      </c>
      <c r="T41" s="138"/>
      <c r="U41" s="138"/>
      <c r="V41" s="139" t="str">
        <f>IF(AND(T41="Preventivo",U41="Automático"),"50%",IF(AND(T41="Preventivo",U41="Manual"),"40%",IF(AND(T41="Detectivo",U41="Automático"),"40%",IF(AND(T41="Detectivo",U41="Manual"),"30%",IF(AND(T41="Correctivo",U41="Automático"),"35%",IF(AND(T41="Correctivo",U41="Manual"),"25%",""))))))</f>
        <v/>
      </c>
      <c r="W41" s="138"/>
      <c r="X41" s="138"/>
      <c r="Y41" s="138"/>
      <c r="Z41" s="140" t="str">
        <f>IFERROR(IF(S41="Probabilidad",(K41-(+K41*V41)),IF(S41="Impacto",K41,"")),"")</f>
        <v/>
      </c>
      <c r="AA41" s="141" t="str">
        <f>IFERROR(IF(Z41="","",IF(Z41&lt;=0.2,"Muy Baja",IF(Z41&lt;=0.4,"Baja",IF(Z41&lt;=0.6,"Media",IF(Z41&lt;=0.8,"Alta","Muy Alta"))))),"")</f>
        <v/>
      </c>
      <c r="AB41" s="142" t="str">
        <f>+Z41</f>
        <v/>
      </c>
      <c r="AC41" s="141" t="str">
        <f>IFERROR(IF(AD41="","",IF(AD41&lt;=0.2,"Leve",IF(AD41&lt;=0.4,"Menor",IF(AD41&lt;=0.6,"Moderado",IF(AD41&lt;=0.8,"Mayor","Catastrófico"))))),"")</f>
        <v/>
      </c>
      <c r="AD41" s="142" t="str">
        <f>IFERROR(IF(S41="Impacto",(O41-(+O41*V41)),IF(S41="Probabilidad",O41,"")),"")</f>
        <v/>
      </c>
      <c r="AE41" s="143"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44"/>
      <c r="AG41" s="112"/>
      <c r="AH41" s="132"/>
      <c r="AI41" s="131"/>
      <c r="AJ41" s="131"/>
      <c r="AK41" s="112"/>
      <c r="AL41" s="132"/>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row>
    <row r="42" spans="1:70" ht="26.25" customHeight="1" x14ac:dyDescent="0.3">
      <c r="A42" s="218"/>
      <c r="B42" s="247"/>
      <c r="C42" s="247"/>
      <c r="D42" s="247"/>
      <c r="E42" s="155"/>
      <c r="F42" s="250"/>
      <c r="G42" s="156"/>
      <c r="H42" s="247"/>
      <c r="I42" s="253"/>
      <c r="J42" s="237"/>
      <c r="K42" s="235"/>
      <c r="L42" s="257"/>
      <c r="M42" s="235">
        <f ca="1">IF(NOT(ISERROR(MATCH(L42,_xlfn.ANCHORARRAY(F53),0))),K55&amp;"Por favor no seleccionar los criterios de impacto",L42)</f>
        <v>0</v>
      </c>
      <c r="N42" s="237"/>
      <c r="O42" s="235"/>
      <c r="P42" s="243"/>
      <c r="Q42" s="137">
        <v>2</v>
      </c>
      <c r="R42" s="93"/>
      <c r="S42" s="148" t="str">
        <f>IF(OR(T42="Preventivo",T42="Detectivo"),"Probabilidad",IF(T42="Correctivo","Impacto",""))</f>
        <v/>
      </c>
      <c r="T42" s="138"/>
      <c r="U42" s="138"/>
      <c r="V42" s="139" t="str">
        <f t="shared" ref="V42:V46" si="77">IF(AND(T42="Preventivo",U42="Automático"),"50%",IF(AND(T42="Preventivo",U42="Manual"),"40%",IF(AND(T42="Detectivo",U42="Automático"),"40%",IF(AND(T42="Detectivo",U42="Manual"),"30%",IF(AND(T42="Correctivo",U42="Automático"),"35%",IF(AND(T42="Correctivo",U42="Manual"),"25%",""))))))</f>
        <v/>
      </c>
      <c r="W42" s="138"/>
      <c r="X42" s="138"/>
      <c r="Y42" s="138"/>
      <c r="Z42" s="140" t="str">
        <f>IFERROR(IF(AND(S41="Probabilidad",S42="Probabilidad"),(AB41-(+AB41*V42)),IF(AND(S41="Impacto",S42="Probabilidad"),(K41-(+K41*V42)),IF(S42="Impacto",AB41,""))),"")</f>
        <v/>
      </c>
      <c r="AA42" s="141" t="str">
        <f t="shared" ref="AA42:AA46" si="78">IFERROR(IF(Z42="","",IF(Z42&lt;=0.2,"Muy Baja",IF(Z42&lt;=0.4,"Baja",IF(Z42&lt;=0.6,"Media",IF(Z42&lt;=0.8,"Alta","Muy Alta"))))),"")</f>
        <v/>
      </c>
      <c r="AB42" s="142" t="str">
        <f>+Z42</f>
        <v/>
      </c>
      <c r="AC42" s="141" t="str">
        <f t="shared" ref="AC42:AC46" si="79">IFERROR(IF(AD42="","",IF(AD42&lt;=0.2,"Leve",IF(AD42&lt;=0.4,"Menor",IF(AD42&lt;=0.6,"Moderado",IF(AD42&lt;=0.8,"Mayor","Catastrófico"))))),"")</f>
        <v/>
      </c>
      <c r="AD42" s="146" t="str">
        <f>IFERROR(IF(AND(S41="Impacto",S42="Impacto"),(AD41-(+AD41*V42)),IF(AND(S41="Probabilidad",S42="Impacto"),(O41-(+O41*V42)),IF(S42="Probabilidad",AD41,""))),"")</f>
        <v/>
      </c>
      <c r="AE42" s="143" t="str">
        <f t="shared" ref="AE42:AE46" si="80">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44"/>
      <c r="AG42" s="112"/>
      <c r="AH42" s="132"/>
      <c r="AI42" s="131"/>
      <c r="AJ42" s="131"/>
      <c r="AK42" s="112"/>
      <c r="AL42" s="132"/>
      <c r="AM42" s="113"/>
      <c r="AN42" s="113"/>
      <c r="AO42" s="113"/>
      <c r="AP42" s="113"/>
      <c r="AQ42" s="113"/>
      <c r="AR42" s="113"/>
      <c r="AS42" s="113"/>
      <c r="AT42" s="113"/>
      <c r="AU42" s="113"/>
      <c r="AV42" s="113"/>
      <c r="AW42" s="113"/>
      <c r="AX42" s="113"/>
      <c r="AY42" s="113"/>
      <c r="AZ42" s="113"/>
      <c r="BA42" s="113"/>
      <c r="BB42" s="113"/>
      <c r="BC42" s="113"/>
      <c r="BD42" s="113"/>
      <c r="BE42" s="113"/>
      <c r="BF42" s="113"/>
      <c r="BG42" s="113"/>
      <c r="BH42" s="113"/>
      <c r="BI42" s="113"/>
      <c r="BJ42" s="113"/>
      <c r="BK42" s="113"/>
      <c r="BL42" s="113"/>
      <c r="BM42" s="113"/>
      <c r="BN42" s="113"/>
      <c r="BO42" s="113"/>
      <c r="BP42" s="113"/>
      <c r="BQ42" s="113"/>
      <c r="BR42" s="113"/>
    </row>
    <row r="43" spans="1:70" ht="26.25" customHeight="1" x14ac:dyDescent="0.3">
      <c r="A43" s="218"/>
      <c r="B43" s="247"/>
      <c r="C43" s="247"/>
      <c r="D43" s="247"/>
      <c r="E43" s="155"/>
      <c r="F43" s="250"/>
      <c r="G43" s="156"/>
      <c r="H43" s="247"/>
      <c r="I43" s="253"/>
      <c r="J43" s="237"/>
      <c r="K43" s="235"/>
      <c r="L43" s="257"/>
      <c r="M43" s="235">
        <f ca="1">IF(NOT(ISERROR(MATCH(L43,_xlfn.ANCHORARRAY(F54),0))),K56&amp;"Por favor no seleccionar los criterios de impacto",L43)</f>
        <v>0</v>
      </c>
      <c r="N43" s="237"/>
      <c r="O43" s="235"/>
      <c r="P43" s="243"/>
      <c r="Q43" s="137">
        <v>3</v>
      </c>
      <c r="R43" s="147"/>
      <c r="S43" s="148" t="str">
        <f t="shared" ref="S43:S46" si="81">IF(OR(T43="Preventivo",T43="Detectivo"),"Probabilidad",IF(T43="Correctivo","Impacto",""))</f>
        <v/>
      </c>
      <c r="T43" s="138"/>
      <c r="U43" s="138"/>
      <c r="V43" s="139" t="str">
        <f t="shared" si="77"/>
        <v/>
      </c>
      <c r="W43" s="138"/>
      <c r="X43" s="138"/>
      <c r="Y43" s="138"/>
      <c r="Z43" s="140" t="str">
        <f>IFERROR(IF(AND(S42="Probabilidad",S43="Probabilidad"),(AB42-(+AB42*V43)),IF(AND(S42="Impacto",S43="Probabilidad"),(AB41-(+AB41*V43)),IF(S43="Impacto",AB42,""))),"")</f>
        <v/>
      </c>
      <c r="AA43" s="141" t="str">
        <f t="shared" si="78"/>
        <v/>
      </c>
      <c r="AB43" s="142" t="str">
        <f t="shared" ref="AB43:AB46" si="82">+Z43</f>
        <v/>
      </c>
      <c r="AC43" s="141" t="str">
        <f t="shared" si="79"/>
        <v/>
      </c>
      <c r="AD43" s="146" t="str">
        <f t="shared" ref="AD43:AD46" si="83">IFERROR(IF(AND(S42="Impacto",S43="Impacto"),(AD42-(+AD42*V43)),IF(AND(S42="Probabilidad",S43="Impacto"),(AD41-(+AD41*V43)),IF(S43="Probabilidad",AD42,""))),"")</f>
        <v/>
      </c>
      <c r="AE43" s="143" t="str">
        <f t="shared" si="80"/>
        <v/>
      </c>
      <c r="AF43" s="144"/>
      <c r="AG43" s="112"/>
      <c r="AH43" s="132"/>
      <c r="AI43" s="131"/>
      <c r="AJ43" s="131"/>
      <c r="AK43" s="112"/>
      <c r="AL43" s="132"/>
      <c r="AM43" s="113"/>
      <c r="AN43" s="113"/>
      <c r="AO43" s="113"/>
      <c r="AP43" s="113"/>
      <c r="AQ43" s="113"/>
      <c r="AR43" s="113"/>
      <c r="AS43" s="113"/>
      <c r="AT43" s="113"/>
      <c r="AU43" s="113"/>
      <c r="AV43" s="113"/>
      <c r="AW43" s="113"/>
      <c r="AX43" s="113"/>
      <c r="AY43" s="113"/>
      <c r="AZ43" s="113"/>
      <c r="BA43" s="113"/>
      <c r="BB43" s="113"/>
      <c r="BC43" s="113"/>
      <c r="BD43" s="113"/>
      <c r="BE43" s="113"/>
      <c r="BF43" s="113"/>
      <c r="BG43" s="113"/>
      <c r="BH43" s="113"/>
      <c r="BI43" s="113"/>
      <c r="BJ43" s="113"/>
      <c r="BK43" s="113"/>
      <c r="BL43" s="113"/>
      <c r="BM43" s="113"/>
      <c r="BN43" s="113"/>
      <c r="BO43" s="113"/>
      <c r="BP43" s="113"/>
      <c r="BQ43" s="113"/>
      <c r="BR43" s="113"/>
    </row>
    <row r="44" spans="1:70" ht="26.25" customHeight="1" x14ac:dyDescent="0.3">
      <c r="A44" s="218"/>
      <c r="B44" s="247"/>
      <c r="C44" s="247"/>
      <c r="D44" s="247"/>
      <c r="E44" s="155"/>
      <c r="F44" s="250"/>
      <c r="G44" s="156"/>
      <c r="H44" s="247"/>
      <c r="I44" s="253"/>
      <c r="J44" s="237"/>
      <c r="K44" s="235"/>
      <c r="L44" s="257"/>
      <c r="M44" s="235">
        <f ca="1">IF(NOT(ISERROR(MATCH(L44,_xlfn.ANCHORARRAY(F55),0))),K57&amp;"Por favor no seleccionar los criterios de impacto",L44)</f>
        <v>0</v>
      </c>
      <c r="N44" s="237"/>
      <c r="O44" s="235"/>
      <c r="P44" s="243"/>
      <c r="Q44" s="137">
        <v>4</v>
      </c>
      <c r="R44" s="93"/>
      <c r="S44" s="148" t="str">
        <f t="shared" si="81"/>
        <v/>
      </c>
      <c r="T44" s="138"/>
      <c r="U44" s="138"/>
      <c r="V44" s="139" t="str">
        <f t="shared" si="77"/>
        <v/>
      </c>
      <c r="W44" s="138"/>
      <c r="X44" s="138"/>
      <c r="Y44" s="138"/>
      <c r="Z44" s="140" t="str">
        <f t="shared" ref="Z44:Z46" si="84">IFERROR(IF(AND(S43="Probabilidad",S44="Probabilidad"),(AB43-(+AB43*V44)),IF(AND(S43="Impacto",S44="Probabilidad"),(AB42-(+AB42*V44)),IF(S44="Impacto",AB43,""))),"")</f>
        <v/>
      </c>
      <c r="AA44" s="141" t="str">
        <f t="shared" si="78"/>
        <v/>
      </c>
      <c r="AB44" s="142" t="str">
        <f t="shared" si="82"/>
        <v/>
      </c>
      <c r="AC44" s="141" t="str">
        <f t="shared" si="79"/>
        <v/>
      </c>
      <c r="AD44" s="146" t="str">
        <f t="shared" si="83"/>
        <v/>
      </c>
      <c r="AE44" s="143" t="str">
        <f t="shared" si="80"/>
        <v/>
      </c>
      <c r="AF44" s="144"/>
      <c r="AG44" s="112"/>
      <c r="AH44" s="132"/>
      <c r="AI44" s="131"/>
      <c r="AJ44" s="131"/>
      <c r="AK44" s="112"/>
      <c r="AL44" s="132"/>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c r="BO44" s="113"/>
      <c r="BP44" s="113"/>
      <c r="BQ44" s="113"/>
      <c r="BR44" s="113"/>
    </row>
    <row r="45" spans="1:70" ht="26.25" customHeight="1" x14ac:dyDescent="0.3">
      <c r="A45" s="218"/>
      <c r="B45" s="247"/>
      <c r="C45" s="247"/>
      <c r="D45" s="247"/>
      <c r="E45" s="155"/>
      <c r="F45" s="250"/>
      <c r="G45" s="156"/>
      <c r="H45" s="247"/>
      <c r="I45" s="253"/>
      <c r="J45" s="237"/>
      <c r="K45" s="235"/>
      <c r="L45" s="257"/>
      <c r="M45" s="235">
        <f ca="1">IF(NOT(ISERROR(MATCH(L45,_xlfn.ANCHORARRAY(F56),0))),K58&amp;"Por favor no seleccionar los criterios de impacto",L45)</f>
        <v>0</v>
      </c>
      <c r="N45" s="237"/>
      <c r="O45" s="235"/>
      <c r="P45" s="243"/>
      <c r="Q45" s="137">
        <v>5</v>
      </c>
      <c r="R45" s="93"/>
      <c r="S45" s="148" t="str">
        <f t="shared" si="81"/>
        <v/>
      </c>
      <c r="T45" s="138"/>
      <c r="U45" s="138"/>
      <c r="V45" s="139" t="str">
        <f t="shared" si="77"/>
        <v/>
      </c>
      <c r="W45" s="138"/>
      <c r="X45" s="138"/>
      <c r="Y45" s="138"/>
      <c r="Z45" s="140" t="str">
        <f t="shared" si="84"/>
        <v/>
      </c>
      <c r="AA45" s="141" t="str">
        <f t="shared" si="78"/>
        <v/>
      </c>
      <c r="AB45" s="142" t="str">
        <f t="shared" si="82"/>
        <v/>
      </c>
      <c r="AC45" s="141" t="str">
        <f t="shared" si="79"/>
        <v/>
      </c>
      <c r="AD45" s="146" t="str">
        <f t="shared" si="83"/>
        <v/>
      </c>
      <c r="AE45" s="143" t="str">
        <f t="shared" si="80"/>
        <v/>
      </c>
      <c r="AF45" s="144"/>
      <c r="AG45" s="112"/>
      <c r="AH45" s="132"/>
      <c r="AI45" s="131"/>
      <c r="AJ45" s="131"/>
      <c r="AK45" s="112"/>
      <c r="AL45" s="132"/>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c r="BO45" s="113"/>
      <c r="BP45" s="113"/>
      <c r="BQ45" s="113"/>
      <c r="BR45" s="113"/>
    </row>
    <row r="46" spans="1:70" ht="26.25" customHeight="1" x14ac:dyDescent="0.3">
      <c r="A46" s="245"/>
      <c r="B46" s="248"/>
      <c r="C46" s="248"/>
      <c r="D46" s="248"/>
      <c r="E46" s="157"/>
      <c r="F46" s="251"/>
      <c r="G46" s="158"/>
      <c r="H46" s="248"/>
      <c r="I46" s="254"/>
      <c r="J46" s="255"/>
      <c r="K46" s="241"/>
      <c r="L46" s="258"/>
      <c r="M46" s="241">
        <f ca="1">IF(NOT(ISERROR(MATCH(L46,_xlfn.ANCHORARRAY(F57),0))),K59&amp;"Por favor no seleccionar los criterios de impacto",L46)</f>
        <v>0</v>
      </c>
      <c r="N46" s="255"/>
      <c r="O46" s="241"/>
      <c r="P46" s="244"/>
      <c r="Q46" s="137">
        <v>6</v>
      </c>
      <c r="R46" s="93"/>
      <c r="S46" s="148" t="str">
        <f t="shared" si="81"/>
        <v/>
      </c>
      <c r="T46" s="138"/>
      <c r="U46" s="138"/>
      <c r="V46" s="139" t="str">
        <f t="shared" si="77"/>
        <v/>
      </c>
      <c r="W46" s="138"/>
      <c r="X46" s="138"/>
      <c r="Y46" s="138"/>
      <c r="Z46" s="140" t="str">
        <f t="shared" si="84"/>
        <v/>
      </c>
      <c r="AA46" s="141" t="str">
        <f t="shared" si="78"/>
        <v/>
      </c>
      <c r="AB46" s="142" t="str">
        <f t="shared" si="82"/>
        <v/>
      </c>
      <c r="AC46" s="141" t="str">
        <f t="shared" si="79"/>
        <v/>
      </c>
      <c r="AD46" s="146" t="str">
        <f t="shared" si="83"/>
        <v/>
      </c>
      <c r="AE46" s="143" t="str">
        <f t="shared" si="80"/>
        <v/>
      </c>
      <c r="AF46" s="144"/>
      <c r="AG46" s="112"/>
      <c r="AH46" s="132"/>
      <c r="AI46" s="131"/>
      <c r="AJ46" s="131"/>
      <c r="AK46" s="112"/>
      <c r="AL46" s="132"/>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c r="BO46" s="113"/>
      <c r="BP46" s="113"/>
      <c r="BQ46" s="113"/>
      <c r="BR46" s="113"/>
    </row>
    <row r="47" spans="1:70" ht="26.25" customHeight="1" x14ac:dyDescent="0.3">
      <c r="A47" s="217">
        <v>9</v>
      </c>
      <c r="B47" s="246"/>
      <c r="C47" s="246"/>
      <c r="D47" s="246"/>
      <c r="E47" s="159"/>
      <c r="F47" s="249"/>
      <c r="G47" s="160"/>
      <c r="H47" s="246"/>
      <c r="I47" s="252"/>
      <c r="J47" s="236" t="str">
        <f t="shared" ref="J47" si="85">IF(I47&lt;=0,"",IF(I47&lt;=2,"Muy Baja",IF(I47&lt;=24,"Baja",IF(I47&lt;=500,"Media",IF(I47&lt;=5000,"Alta","Muy Alta")))))</f>
        <v/>
      </c>
      <c r="K47" s="234" t="str">
        <f t="shared" ref="K47" si="86">IF(J47="","",IF(J47="Muy Baja",0.2,IF(J47="Baja",0.4,IF(J47="Media",0.6,IF(J47="Alta",0.8,IF(J47="Muy Alta",1,))))))</f>
        <v/>
      </c>
      <c r="L47" s="256"/>
      <c r="M47" s="234">
        <f ca="1">IF(NOT(ISERROR(MATCH(L47,'Tabla Impacto'!$B$221:$B$223,0))),'Tabla Impacto'!$F$223&amp;"Por favor no seleccionar los criterios de impacto(Afectación Económica o presupuestal y Pérdida Reputacional)",L47)</f>
        <v>0</v>
      </c>
      <c r="N47" s="236" t="str">
        <f ca="1">IF(OR(M47='Tabla Impacto'!$C$11,M47='Tabla Impacto'!$D$11),"Leve",IF(OR(M47='Tabla Impacto'!$C$12,M47='Tabla Impacto'!$D$12),"Menor",IF(OR(M47='Tabla Impacto'!$C$13,M47='Tabla Impacto'!$D$13),"Moderado",IF(OR(M47='Tabla Impacto'!$C$14,M47='Tabla Impacto'!$D$14),"Mayor",IF(OR(M47='Tabla Impacto'!$C$15,M47='Tabla Impacto'!$D$15),"Catastrófico","")))))</f>
        <v/>
      </c>
      <c r="O47" s="234" t="str">
        <f t="shared" ref="O47" ca="1" si="87">IF(N47="","",IF(N47="Leve",0.2,IF(N47="Menor",0.4,IF(N47="Moderado",0.6,IF(N47="Mayor",0.8,IF(N47="Catastrófico",1,))))))</f>
        <v/>
      </c>
      <c r="P47" s="242" t="str">
        <f t="shared" ref="P47" ca="1" si="88">IF(OR(AND(J47="Muy Baja",N47="Leve"),AND(J47="Muy Baja",N47="Menor"),AND(J47="Baja",N47="Leve")),"Bajo",IF(OR(AND(J47="Muy baja",N47="Moderado"),AND(J47="Baja",N47="Menor"),AND(J47="Baja",N47="Moderado"),AND(J47="Media",N47="Leve"),AND(J47="Media",N47="Menor"),AND(J47="Media",N47="Moderado"),AND(J47="Alta",N47="Leve"),AND(J47="Alta",N47="Menor")),"Moderado",IF(OR(AND(J47="Muy Baja",N47="Mayor"),AND(J47="Baja",N47="Mayor"),AND(J47="Media",N47="Mayor"),AND(J47="Alta",N47="Moderado"),AND(J47="Alta",N47="Mayor"),AND(J47="Muy Alta",N47="Leve"),AND(J47="Muy Alta",N47="Menor"),AND(J47="Muy Alta",N47="Moderado"),AND(J47="Muy Alta",N47="Mayor")),"Alto",IF(OR(AND(J47="Muy Baja",N47="Catastrófico"),AND(J47="Baja",N47="Catastrófico"),AND(J47="Media",N47="Catastrófico"),AND(J47="Alta",N47="Catastrófico"),AND(J47="Muy Alta",N47="Catastrófico")),"Extremo",""))))</f>
        <v/>
      </c>
      <c r="Q47" s="137">
        <v>1</v>
      </c>
      <c r="R47" s="93"/>
      <c r="S47" s="148" t="str">
        <f>IF(OR(T47="Preventivo",T47="Detectivo"),"Probabilidad",IF(T47="Correctivo","Impacto",""))</f>
        <v/>
      </c>
      <c r="T47" s="138"/>
      <c r="U47" s="138"/>
      <c r="V47" s="139" t="str">
        <f>IF(AND(T47="Preventivo",U47="Automático"),"50%",IF(AND(T47="Preventivo",U47="Manual"),"40%",IF(AND(T47="Detectivo",U47="Automático"),"40%",IF(AND(T47="Detectivo",U47="Manual"),"30%",IF(AND(T47="Correctivo",U47="Automático"),"35%",IF(AND(T47="Correctivo",U47="Manual"),"25%",""))))))</f>
        <v/>
      </c>
      <c r="W47" s="138"/>
      <c r="X47" s="138"/>
      <c r="Y47" s="138"/>
      <c r="Z47" s="140" t="str">
        <f>IFERROR(IF(S47="Probabilidad",(K47-(+K47*V47)),IF(S47="Impacto",K47,"")),"")</f>
        <v/>
      </c>
      <c r="AA47" s="141" t="str">
        <f>IFERROR(IF(Z47="","",IF(Z47&lt;=0.2,"Muy Baja",IF(Z47&lt;=0.4,"Baja",IF(Z47&lt;=0.6,"Media",IF(Z47&lt;=0.8,"Alta","Muy Alta"))))),"")</f>
        <v/>
      </c>
      <c r="AB47" s="142" t="str">
        <f>+Z47</f>
        <v/>
      </c>
      <c r="AC47" s="141" t="str">
        <f>IFERROR(IF(AD47="","",IF(AD47&lt;=0.2,"Leve",IF(AD47&lt;=0.4,"Menor",IF(AD47&lt;=0.6,"Moderado",IF(AD47&lt;=0.8,"Mayor","Catastrófico"))))),"")</f>
        <v/>
      </c>
      <c r="AD47" s="142" t="str">
        <f>IFERROR(IF(S47="Impacto",(O47-(+O47*V47)),IF(S47="Probabilidad",O47,"")),"")</f>
        <v/>
      </c>
      <c r="AE47" s="143" t="str">
        <f>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44"/>
      <c r="AG47" s="112"/>
      <c r="AH47" s="132"/>
      <c r="AI47" s="131"/>
      <c r="AJ47" s="131"/>
      <c r="AK47" s="112"/>
      <c r="AL47" s="132"/>
      <c r="AM47" s="113"/>
      <c r="AN47" s="113"/>
      <c r="AO47" s="113"/>
      <c r="AP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c r="BO47" s="113"/>
      <c r="BP47" s="113"/>
      <c r="BQ47" s="113"/>
      <c r="BR47" s="113"/>
    </row>
    <row r="48" spans="1:70" ht="26.25" customHeight="1" x14ac:dyDescent="0.3">
      <c r="A48" s="218"/>
      <c r="B48" s="247"/>
      <c r="C48" s="247"/>
      <c r="D48" s="247"/>
      <c r="E48" s="155"/>
      <c r="F48" s="250"/>
      <c r="G48" s="156"/>
      <c r="H48" s="247"/>
      <c r="I48" s="253"/>
      <c r="J48" s="237"/>
      <c r="K48" s="235"/>
      <c r="L48" s="257"/>
      <c r="M48" s="235">
        <f ca="1">IF(NOT(ISERROR(MATCH(L48,_xlfn.ANCHORARRAY(F59),0))),K61&amp;"Por favor no seleccionar los criterios de impacto",L48)</f>
        <v>0</v>
      </c>
      <c r="N48" s="237"/>
      <c r="O48" s="235"/>
      <c r="P48" s="243"/>
      <c r="Q48" s="137">
        <v>2</v>
      </c>
      <c r="R48" s="93"/>
      <c r="S48" s="148" t="str">
        <f>IF(OR(T48="Preventivo",T48="Detectivo"),"Probabilidad",IF(T48="Correctivo","Impacto",""))</f>
        <v/>
      </c>
      <c r="T48" s="138"/>
      <c r="U48" s="138"/>
      <c r="V48" s="139" t="str">
        <f t="shared" ref="V48:V52" si="89">IF(AND(T48="Preventivo",U48="Automático"),"50%",IF(AND(T48="Preventivo",U48="Manual"),"40%",IF(AND(T48="Detectivo",U48="Automático"),"40%",IF(AND(T48="Detectivo",U48="Manual"),"30%",IF(AND(T48="Correctivo",U48="Automático"),"35%",IF(AND(T48="Correctivo",U48="Manual"),"25%",""))))))</f>
        <v/>
      </c>
      <c r="W48" s="138"/>
      <c r="X48" s="138"/>
      <c r="Y48" s="138"/>
      <c r="Z48" s="140" t="str">
        <f>IFERROR(IF(AND(S47="Probabilidad",S48="Probabilidad"),(AB47-(+AB47*V48)),IF(AND(S47="Impacto",S48="Probabilidad"),(K47-(+K47*V48)),IF(S48="Impacto",AB47,""))),"")</f>
        <v/>
      </c>
      <c r="AA48" s="141" t="str">
        <f t="shared" ref="AA48:AA52" si="90">IFERROR(IF(Z48="","",IF(Z48&lt;=0.2,"Muy Baja",IF(Z48&lt;=0.4,"Baja",IF(Z48&lt;=0.6,"Media",IF(Z48&lt;=0.8,"Alta","Muy Alta"))))),"")</f>
        <v/>
      </c>
      <c r="AB48" s="142" t="str">
        <f>+Z48</f>
        <v/>
      </c>
      <c r="AC48" s="141" t="str">
        <f t="shared" ref="AC48:AC52" si="91">IFERROR(IF(AD48="","",IF(AD48&lt;=0.2,"Leve",IF(AD48&lt;=0.4,"Menor",IF(AD48&lt;=0.6,"Moderado",IF(AD48&lt;=0.8,"Mayor","Catastrófico"))))),"")</f>
        <v/>
      </c>
      <c r="AD48" s="146" t="str">
        <f>IFERROR(IF(AND(S47="Impacto",S48="Impacto"),(AD47-(+AD47*V48)),IF(AND(S47="Probabilidad",S48="Impacto"),(O47-(+O47*V48)),IF(S48="Probabilidad",AD47,""))),"")</f>
        <v/>
      </c>
      <c r="AE48" s="143" t="str">
        <f t="shared" ref="AE48:AE52" si="92">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44"/>
      <c r="AG48" s="112"/>
      <c r="AH48" s="132"/>
      <c r="AI48" s="131"/>
      <c r="AJ48" s="131"/>
      <c r="AK48" s="112"/>
      <c r="AL48" s="132"/>
      <c r="AM48" s="113"/>
      <c r="AN48" s="113"/>
      <c r="AO48" s="113"/>
      <c r="AP48" s="113"/>
      <c r="AQ48" s="113"/>
      <c r="AR48" s="113"/>
      <c r="AS48" s="113"/>
      <c r="AT48" s="113"/>
      <c r="AU48" s="113"/>
      <c r="AV48" s="113"/>
      <c r="AW48" s="113"/>
      <c r="AX48" s="113"/>
      <c r="AY48" s="113"/>
      <c r="AZ48" s="113"/>
      <c r="BA48" s="113"/>
      <c r="BB48" s="113"/>
      <c r="BC48" s="113"/>
      <c r="BD48" s="113"/>
      <c r="BE48" s="113"/>
      <c r="BF48" s="113"/>
      <c r="BG48" s="113"/>
      <c r="BH48" s="113"/>
      <c r="BI48" s="113"/>
      <c r="BJ48" s="113"/>
      <c r="BK48" s="113"/>
      <c r="BL48" s="113"/>
      <c r="BM48" s="113"/>
      <c r="BN48" s="113"/>
      <c r="BO48" s="113"/>
      <c r="BP48" s="113"/>
      <c r="BQ48" s="113"/>
      <c r="BR48" s="113"/>
    </row>
    <row r="49" spans="1:70" ht="26.25" customHeight="1" x14ac:dyDescent="0.3">
      <c r="A49" s="218"/>
      <c r="B49" s="247"/>
      <c r="C49" s="247"/>
      <c r="D49" s="247"/>
      <c r="E49" s="155"/>
      <c r="F49" s="250"/>
      <c r="G49" s="156"/>
      <c r="H49" s="247"/>
      <c r="I49" s="253"/>
      <c r="J49" s="237"/>
      <c r="K49" s="235"/>
      <c r="L49" s="257"/>
      <c r="M49" s="235">
        <f ca="1">IF(NOT(ISERROR(MATCH(L49,_xlfn.ANCHORARRAY(F60),0))),K62&amp;"Por favor no seleccionar los criterios de impacto",L49)</f>
        <v>0</v>
      </c>
      <c r="N49" s="237"/>
      <c r="O49" s="235"/>
      <c r="P49" s="243"/>
      <c r="Q49" s="137">
        <v>3</v>
      </c>
      <c r="R49" s="147"/>
      <c r="S49" s="148" t="str">
        <f t="shared" ref="S49:S52" si="93">IF(OR(T49="Preventivo",T49="Detectivo"),"Probabilidad",IF(T49="Correctivo","Impacto",""))</f>
        <v/>
      </c>
      <c r="T49" s="138"/>
      <c r="U49" s="138"/>
      <c r="V49" s="139" t="str">
        <f t="shared" si="89"/>
        <v/>
      </c>
      <c r="W49" s="138"/>
      <c r="X49" s="138"/>
      <c r="Y49" s="138"/>
      <c r="Z49" s="140" t="str">
        <f>IFERROR(IF(AND(S48="Probabilidad",S49="Probabilidad"),(AB48-(+AB48*V49)),IF(AND(S48="Impacto",S49="Probabilidad"),(AB47-(+AB47*V49)),IF(S49="Impacto",AB48,""))),"")</f>
        <v/>
      </c>
      <c r="AA49" s="141" t="str">
        <f t="shared" si="90"/>
        <v/>
      </c>
      <c r="AB49" s="142" t="str">
        <f t="shared" ref="AB49:AB52" si="94">+Z49</f>
        <v/>
      </c>
      <c r="AC49" s="141" t="str">
        <f t="shared" si="91"/>
        <v/>
      </c>
      <c r="AD49" s="146" t="str">
        <f t="shared" ref="AD49:AD52" si="95">IFERROR(IF(AND(S48="Impacto",S49="Impacto"),(AD48-(+AD48*V49)),IF(AND(S48="Probabilidad",S49="Impacto"),(AD47-(+AD47*V49)),IF(S49="Probabilidad",AD48,""))),"")</f>
        <v/>
      </c>
      <c r="AE49" s="143" t="str">
        <f t="shared" si="92"/>
        <v/>
      </c>
      <c r="AF49" s="144"/>
      <c r="AG49" s="112"/>
      <c r="AH49" s="132"/>
      <c r="AI49" s="131"/>
      <c r="AJ49" s="131"/>
      <c r="AK49" s="112"/>
      <c r="AL49" s="132"/>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row>
    <row r="50" spans="1:70" ht="26.25" customHeight="1" x14ac:dyDescent="0.3">
      <c r="A50" s="218"/>
      <c r="B50" s="247"/>
      <c r="C50" s="247"/>
      <c r="D50" s="247"/>
      <c r="E50" s="155"/>
      <c r="F50" s="250"/>
      <c r="G50" s="156"/>
      <c r="H50" s="247"/>
      <c r="I50" s="253"/>
      <c r="J50" s="237"/>
      <c r="K50" s="235"/>
      <c r="L50" s="257"/>
      <c r="M50" s="235">
        <f ca="1">IF(NOT(ISERROR(MATCH(L50,_xlfn.ANCHORARRAY(F61),0))),K63&amp;"Por favor no seleccionar los criterios de impacto",L50)</f>
        <v>0</v>
      </c>
      <c r="N50" s="237"/>
      <c r="O50" s="235"/>
      <c r="P50" s="243"/>
      <c r="Q50" s="137">
        <v>4</v>
      </c>
      <c r="R50" s="93"/>
      <c r="S50" s="148" t="str">
        <f t="shared" si="93"/>
        <v/>
      </c>
      <c r="T50" s="138"/>
      <c r="U50" s="138"/>
      <c r="V50" s="139" t="str">
        <f t="shared" si="89"/>
        <v/>
      </c>
      <c r="W50" s="138"/>
      <c r="X50" s="138"/>
      <c r="Y50" s="138"/>
      <c r="Z50" s="140" t="str">
        <f t="shared" ref="Z50:Z52" si="96">IFERROR(IF(AND(S49="Probabilidad",S50="Probabilidad"),(AB49-(+AB49*V50)),IF(AND(S49="Impacto",S50="Probabilidad"),(AB48-(+AB48*V50)),IF(S50="Impacto",AB49,""))),"")</f>
        <v/>
      </c>
      <c r="AA50" s="141" t="str">
        <f t="shared" si="90"/>
        <v/>
      </c>
      <c r="AB50" s="142" t="str">
        <f t="shared" si="94"/>
        <v/>
      </c>
      <c r="AC50" s="141" t="str">
        <f t="shared" si="91"/>
        <v/>
      </c>
      <c r="AD50" s="146" t="str">
        <f t="shared" si="95"/>
        <v/>
      </c>
      <c r="AE50" s="143" t="str">
        <f t="shared" si="92"/>
        <v/>
      </c>
      <c r="AF50" s="144"/>
      <c r="AG50" s="112"/>
      <c r="AH50" s="132"/>
      <c r="AI50" s="131"/>
      <c r="AJ50" s="131"/>
      <c r="AK50" s="112"/>
      <c r="AL50" s="132"/>
      <c r="AM50" s="113"/>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3"/>
      <c r="BQ50" s="113"/>
      <c r="BR50" s="113"/>
    </row>
    <row r="51" spans="1:70" ht="26.25" customHeight="1" x14ac:dyDescent="0.3">
      <c r="A51" s="218"/>
      <c r="B51" s="247"/>
      <c r="C51" s="247"/>
      <c r="D51" s="247"/>
      <c r="E51" s="155"/>
      <c r="F51" s="250"/>
      <c r="G51" s="156"/>
      <c r="H51" s="247"/>
      <c r="I51" s="253"/>
      <c r="J51" s="237"/>
      <c r="K51" s="235"/>
      <c r="L51" s="257"/>
      <c r="M51" s="235">
        <f ca="1">IF(NOT(ISERROR(MATCH(L51,_xlfn.ANCHORARRAY(F62),0))),K64&amp;"Por favor no seleccionar los criterios de impacto",L51)</f>
        <v>0</v>
      </c>
      <c r="N51" s="237"/>
      <c r="O51" s="235"/>
      <c r="P51" s="243"/>
      <c r="Q51" s="137">
        <v>5</v>
      </c>
      <c r="R51" s="93"/>
      <c r="S51" s="148" t="str">
        <f t="shared" si="93"/>
        <v/>
      </c>
      <c r="T51" s="138"/>
      <c r="U51" s="138"/>
      <c r="V51" s="139" t="str">
        <f t="shared" si="89"/>
        <v/>
      </c>
      <c r="W51" s="138"/>
      <c r="X51" s="138"/>
      <c r="Y51" s="138"/>
      <c r="Z51" s="140" t="str">
        <f t="shared" si="96"/>
        <v/>
      </c>
      <c r="AA51" s="141" t="str">
        <f t="shared" si="90"/>
        <v/>
      </c>
      <c r="AB51" s="142" t="str">
        <f t="shared" si="94"/>
        <v/>
      </c>
      <c r="AC51" s="141" t="str">
        <f t="shared" si="91"/>
        <v/>
      </c>
      <c r="AD51" s="146" t="str">
        <f t="shared" si="95"/>
        <v/>
      </c>
      <c r="AE51" s="143" t="str">
        <f t="shared" si="92"/>
        <v/>
      </c>
      <c r="AF51" s="144"/>
      <c r="AG51" s="112"/>
      <c r="AH51" s="132"/>
      <c r="AI51" s="131"/>
      <c r="AJ51" s="131"/>
      <c r="AK51" s="112"/>
      <c r="AL51" s="132"/>
      <c r="AM51" s="113"/>
      <c r="AN51" s="113"/>
      <c r="AO51" s="113"/>
      <c r="AP51" s="113"/>
      <c r="AQ51" s="113"/>
      <c r="AR51" s="113"/>
      <c r="AS51" s="113"/>
      <c r="AT51" s="113"/>
      <c r="AU51" s="113"/>
      <c r="AV51" s="113"/>
      <c r="AW51" s="113"/>
      <c r="AX51" s="113"/>
      <c r="AY51" s="113"/>
      <c r="AZ51" s="113"/>
      <c r="BA51" s="113"/>
      <c r="BB51" s="113"/>
      <c r="BC51" s="113"/>
      <c r="BD51" s="113"/>
      <c r="BE51" s="113"/>
      <c r="BF51" s="113"/>
      <c r="BG51" s="113"/>
      <c r="BH51" s="113"/>
      <c r="BI51" s="113"/>
      <c r="BJ51" s="113"/>
      <c r="BK51" s="113"/>
      <c r="BL51" s="113"/>
      <c r="BM51" s="113"/>
      <c r="BN51" s="113"/>
      <c r="BO51" s="113"/>
      <c r="BP51" s="113"/>
      <c r="BQ51" s="113"/>
      <c r="BR51" s="113"/>
    </row>
    <row r="52" spans="1:70" ht="26.25" customHeight="1" x14ac:dyDescent="0.3">
      <c r="A52" s="245"/>
      <c r="B52" s="248"/>
      <c r="C52" s="248"/>
      <c r="D52" s="248"/>
      <c r="E52" s="157"/>
      <c r="F52" s="251"/>
      <c r="G52" s="158"/>
      <c r="H52" s="248"/>
      <c r="I52" s="254"/>
      <c r="J52" s="255"/>
      <c r="K52" s="241"/>
      <c r="L52" s="258"/>
      <c r="M52" s="241">
        <f ca="1">IF(NOT(ISERROR(MATCH(L52,_xlfn.ANCHORARRAY(F63),0))),K65&amp;"Por favor no seleccionar los criterios de impacto",L52)</f>
        <v>0</v>
      </c>
      <c r="N52" s="255"/>
      <c r="O52" s="241"/>
      <c r="P52" s="244"/>
      <c r="Q52" s="137">
        <v>6</v>
      </c>
      <c r="R52" s="93"/>
      <c r="S52" s="148" t="str">
        <f t="shared" si="93"/>
        <v/>
      </c>
      <c r="T52" s="138"/>
      <c r="U52" s="138"/>
      <c r="V52" s="139" t="str">
        <f t="shared" si="89"/>
        <v/>
      </c>
      <c r="W52" s="138"/>
      <c r="X52" s="138"/>
      <c r="Y52" s="138"/>
      <c r="Z52" s="140" t="str">
        <f t="shared" si="96"/>
        <v/>
      </c>
      <c r="AA52" s="141" t="str">
        <f t="shared" si="90"/>
        <v/>
      </c>
      <c r="AB52" s="142" t="str">
        <f t="shared" si="94"/>
        <v/>
      </c>
      <c r="AC52" s="141" t="str">
        <f t="shared" si="91"/>
        <v/>
      </c>
      <c r="AD52" s="146" t="str">
        <f t="shared" si="95"/>
        <v/>
      </c>
      <c r="AE52" s="143" t="str">
        <f t="shared" si="92"/>
        <v/>
      </c>
      <c r="AF52" s="144"/>
      <c r="AG52" s="112"/>
      <c r="AH52" s="132"/>
      <c r="AI52" s="131"/>
      <c r="AJ52" s="131"/>
      <c r="AK52" s="112"/>
      <c r="AL52" s="132"/>
      <c r="AM52" s="113"/>
      <c r="AN52" s="113"/>
      <c r="AO52" s="113"/>
      <c r="AP52" s="113"/>
      <c r="AQ52" s="113"/>
      <c r="AR52" s="113"/>
      <c r="AS52" s="113"/>
      <c r="AT52" s="113"/>
      <c r="AU52" s="113"/>
      <c r="AV52" s="113"/>
      <c r="AW52" s="113"/>
      <c r="AX52" s="113"/>
      <c r="AY52" s="113"/>
      <c r="AZ52" s="113"/>
      <c r="BA52" s="113"/>
      <c r="BB52" s="113"/>
      <c r="BC52" s="113"/>
      <c r="BD52" s="113"/>
      <c r="BE52" s="113"/>
      <c r="BF52" s="113"/>
      <c r="BG52" s="113"/>
      <c r="BH52" s="113"/>
      <c r="BI52" s="113"/>
      <c r="BJ52" s="113"/>
      <c r="BK52" s="113"/>
      <c r="BL52" s="113"/>
      <c r="BM52" s="113"/>
      <c r="BN52" s="113"/>
      <c r="BO52" s="113"/>
      <c r="BP52" s="113"/>
      <c r="BQ52" s="113"/>
      <c r="BR52" s="113"/>
    </row>
    <row r="53" spans="1:70" ht="19.5" customHeight="1" x14ac:dyDescent="0.3">
      <c r="A53" s="217">
        <v>10</v>
      </c>
      <c r="B53" s="246"/>
      <c r="C53" s="246"/>
      <c r="D53" s="246"/>
      <c r="E53" s="159"/>
      <c r="F53" s="249"/>
      <c r="G53" s="160"/>
      <c r="H53" s="246"/>
      <c r="I53" s="252"/>
      <c r="J53" s="236" t="str">
        <f t="shared" ref="J53" si="97">IF(I53&lt;=0,"",IF(I53&lt;=2,"Muy Baja",IF(I53&lt;=24,"Baja",IF(I53&lt;=500,"Media",IF(I53&lt;=5000,"Alta","Muy Alta")))))</f>
        <v/>
      </c>
      <c r="K53" s="234" t="str">
        <f t="shared" ref="K53" si="98">IF(J53="","",IF(J53="Muy Baja",0.2,IF(J53="Baja",0.4,IF(J53="Media",0.6,IF(J53="Alta",0.8,IF(J53="Muy Alta",1,))))))</f>
        <v/>
      </c>
      <c r="L53" s="256"/>
      <c r="M53" s="234">
        <f ca="1">IF(NOT(ISERROR(MATCH(L53,'Tabla Impacto'!$B$221:$B$223,0))),'Tabla Impacto'!$F$223&amp;"Por favor no seleccionar los criterios de impacto(Afectación Económica o presupuestal y Pérdida Reputacional)",L53)</f>
        <v>0</v>
      </c>
      <c r="N53" s="236" t="str">
        <f ca="1">IF(OR(M53='Tabla Impacto'!$C$11,M53='Tabla Impacto'!$D$11),"Leve",IF(OR(M53='Tabla Impacto'!$C$12,M53='Tabla Impacto'!$D$12),"Menor",IF(OR(M53='Tabla Impacto'!$C$13,M53='Tabla Impacto'!$D$13),"Moderado",IF(OR(M53='Tabla Impacto'!$C$14,M53='Tabla Impacto'!$D$14),"Mayor",IF(OR(M53='Tabla Impacto'!$C$15,M53='Tabla Impacto'!$D$15),"Catastrófico","")))))</f>
        <v/>
      </c>
      <c r="O53" s="234" t="str">
        <f t="shared" ref="O53" ca="1" si="99">IF(N53="","",IF(N53="Leve",0.2,IF(N53="Menor",0.4,IF(N53="Moderado",0.6,IF(N53="Mayor",0.8,IF(N53="Catastrófico",1,))))))</f>
        <v/>
      </c>
      <c r="P53" s="242" t="str">
        <f t="shared" ref="P53" ca="1" si="100">IF(OR(AND(J53="Muy Baja",N53="Leve"),AND(J53="Muy Baja",N53="Menor"),AND(J53="Baja",N53="Leve")),"Bajo",IF(OR(AND(J53="Muy baja",N53="Moderado"),AND(J53="Baja",N53="Menor"),AND(J53="Baja",N53="Moderado"),AND(J53="Media",N53="Leve"),AND(J53="Media",N53="Menor"),AND(J53="Media",N53="Moderado"),AND(J53="Alta",N53="Leve"),AND(J53="Alta",N53="Menor")),"Moderado",IF(OR(AND(J53="Muy Baja",N53="Mayor"),AND(J53="Baja",N53="Mayor"),AND(J53="Media",N53="Mayor"),AND(J53="Alta",N53="Moderado"),AND(J53="Alta",N53="Mayor"),AND(J53="Muy Alta",N53="Leve"),AND(J53="Muy Alta",N53="Menor"),AND(J53="Muy Alta",N53="Moderado"),AND(J53="Muy Alta",N53="Mayor")),"Alto",IF(OR(AND(J53="Muy Baja",N53="Catastrófico"),AND(J53="Baja",N53="Catastrófico"),AND(J53="Media",N53="Catastrófico"),AND(J53="Alta",N53="Catastrófico"),AND(J53="Muy Alta",N53="Catastrófico")),"Extremo",""))))</f>
        <v/>
      </c>
      <c r="Q53" s="137">
        <v>1</v>
      </c>
      <c r="R53" s="93"/>
      <c r="S53" s="148" t="str">
        <f>IF(OR(T53="Preventivo",T53="Detectivo"),"Probabilidad",IF(T53="Correctivo","Impacto",""))</f>
        <v/>
      </c>
      <c r="T53" s="138"/>
      <c r="U53" s="138"/>
      <c r="V53" s="139" t="str">
        <f>IF(AND(T53="Preventivo",U53="Automático"),"50%",IF(AND(T53="Preventivo",U53="Manual"),"40%",IF(AND(T53="Detectivo",U53="Automático"),"40%",IF(AND(T53="Detectivo",U53="Manual"),"30%",IF(AND(T53="Correctivo",U53="Automático"),"35%",IF(AND(T53="Correctivo",U53="Manual"),"25%",""))))))</f>
        <v/>
      </c>
      <c r="W53" s="138"/>
      <c r="X53" s="138"/>
      <c r="Y53" s="138"/>
      <c r="Z53" s="140" t="str">
        <f>IFERROR(IF(S53="Probabilidad",(K53-(+K53*V53)),IF(S53="Impacto",K53,"")),"")</f>
        <v/>
      </c>
      <c r="AA53" s="141" t="str">
        <f>IFERROR(IF(Z53="","",IF(Z53&lt;=0.2,"Muy Baja",IF(Z53&lt;=0.4,"Baja",IF(Z53&lt;=0.6,"Media",IF(Z53&lt;=0.8,"Alta","Muy Alta"))))),"")</f>
        <v/>
      </c>
      <c r="AB53" s="142" t="str">
        <f>+Z53</f>
        <v/>
      </c>
      <c r="AC53" s="141" t="str">
        <f>IFERROR(IF(AD53="","",IF(AD53&lt;=0.2,"Leve",IF(AD53&lt;=0.4,"Menor",IF(AD53&lt;=0.6,"Moderado",IF(AD53&lt;=0.8,"Mayor","Catastrófico"))))),"")</f>
        <v/>
      </c>
      <c r="AD53" s="142" t="str">
        <f>IFERROR(IF(S53="Impacto",(O53-(+O53*V53)),IF(S53="Probabilidad",O53,"")),"")</f>
        <v/>
      </c>
      <c r="AE53" s="143" t="str">
        <f>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44"/>
      <c r="AG53" s="112"/>
      <c r="AH53" s="132"/>
      <c r="AI53" s="131"/>
      <c r="AJ53" s="131"/>
      <c r="AK53" s="112"/>
      <c r="AL53" s="132"/>
      <c r="AM53" s="113"/>
      <c r="AN53" s="113"/>
      <c r="AO53" s="113"/>
      <c r="AP53" s="113"/>
      <c r="AQ53" s="113"/>
      <c r="AR53" s="113"/>
      <c r="AS53" s="113"/>
      <c r="AT53" s="113"/>
      <c r="AU53" s="113"/>
      <c r="AV53" s="113"/>
      <c r="AW53" s="113"/>
      <c r="AX53" s="113"/>
      <c r="AY53" s="113"/>
      <c r="AZ53" s="113"/>
      <c r="BA53" s="113"/>
      <c r="BB53" s="113"/>
      <c r="BC53" s="113"/>
      <c r="BD53" s="113"/>
      <c r="BE53" s="113"/>
      <c r="BF53" s="113"/>
      <c r="BG53" s="113"/>
      <c r="BH53" s="113"/>
      <c r="BI53" s="113"/>
      <c r="BJ53" s="113"/>
      <c r="BK53" s="113"/>
      <c r="BL53" s="113"/>
      <c r="BM53" s="113"/>
      <c r="BN53" s="113"/>
      <c r="BO53" s="113"/>
      <c r="BP53" s="113"/>
      <c r="BQ53" s="113"/>
      <c r="BR53" s="113"/>
    </row>
    <row r="54" spans="1:70" ht="19.5" customHeight="1" x14ac:dyDescent="0.3">
      <c r="A54" s="218"/>
      <c r="B54" s="247"/>
      <c r="C54" s="247"/>
      <c r="D54" s="247"/>
      <c r="E54" s="155"/>
      <c r="F54" s="250"/>
      <c r="G54" s="156"/>
      <c r="H54" s="247"/>
      <c r="I54" s="253"/>
      <c r="J54" s="237"/>
      <c r="K54" s="235"/>
      <c r="L54" s="257"/>
      <c r="M54" s="235">
        <f ca="1">IF(NOT(ISERROR(MATCH(L54,_xlfn.ANCHORARRAY(F65),0))),K67&amp;"Por favor no seleccionar los criterios de impacto",L54)</f>
        <v>0</v>
      </c>
      <c r="N54" s="237"/>
      <c r="O54" s="235"/>
      <c r="P54" s="243"/>
      <c r="Q54" s="137">
        <v>2</v>
      </c>
      <c r="R54" s="93"/>
      <c r="S54" s="148" t="str">
        <f>IF(OR(T54="Preventivo",T54="Detectivo"),"Probabilidad",IF(T54="Correctivo","Impacto",""))</f>
        <v/>
      </c>
      <c r="T54" s="138"/>
      <c r="U54" s="138"/>
      <c r="V54" s="139" t="str">
        <f t="shared" ref="V54:V58" si="101">IF(AND(T54="Preventivo",U54="Automático"),"50%",IF(AND(T54="Preventivo",U54="Manual"),"40%",IF(AND(T54="Detectivo",U54="Automático"),"40%",IF(AND(T54="Detectivo",U54="Manual"),"30%",IF(AND(T54="Correctivo",U54="Automático"),"35%",IF(AND(T54="Correctivo",U54="Manual"),"25%",""))))))</f>
        <v/>
      </c>
      <c r="W54" s="138"/>
      <c r="X54" s="138"/>
      <c r="Y54" s="138"/>
      <c r="Z54" s="140" t="str">
        <f>IFERROR(IF(AND(S53="Probabilidad",S54="Probabilidad"),(AB53-(+AB53*V54)),IF(AND(S53="Impacto",S54="Probabilidad"),(K53-(+K53*V54)),IF(S54="Impacto",AB53,""))),"")</f>
        <v/>
      </c>
      <c r="AA54" s="141" t="str">
        <f t="shared" ref="AA54:AA58" si="102">IFERROR(IF(Z54="","",IF(Z54&lt;=0.2,"Muy Baja",IF(Z54&lt;=0.4,"Baja",IF(Z54&lt;=0.6,"Media",IF(Z54&lt;=0.8,"Alta","Muy Alta"))))),"")</f>
        <v/>
      </c>
      <c r="AB54" s="142" t="str">
        <f>+Z54</f>
        <v/>
      </c>
      <c r="AC54" s="141" t="str">
        <f t="shared" ref="AC54:AC58" si="103">IFERROR(IF(AD54="","",IF(AD54&lt;=0.2,"Leve",IF(AD54&lt;=0.4,"Menor",IF(AD54&lt;=0.6,"Moderado",IF(AD54&lt;=0.8,"Mayor","Catastrófico"))))),"")</f>
        <v/>
      </c>
      <c r="AD54" s="146" t="str">
        <f>IFERROR(IF(AND(S53="Impacto",S54="Impacto"),(AD53-(+AD53*V54)),IF(AND(S53="Probabilidad",S54="Impacto"),(O53-(+O53*V54)),IF(S54="Probabilidad",AD53,""))),"")</f>
        <v/>
      </c>
      <c r="AE54" s="143" t="str">
        <f t="shared" ref="AE54:AE58" si="104">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44"/>
      <c r="AG54" s="112"/>
      <c r="AH54" s="132"/>
      <c r="AI54" s="131"/>
      <c r="AJ54" s="131"/>
      <c r="AK54" s="112"/>
      <c r="AL54" s="132"/>
    </row>
    <row r="55" spans="1:70" ht="19.5" customHeight="1" x14ac:dyDescent="0.3">
      <c r="A55" s="218"/>
      <c r="B55" s="247"/>
      <c r="C55" s="247"/>
      <c r="D55" s="247"/>
      <c r="E55" s="155"/>
      <c r="F55" s="250"/>
      <c r="G55" s="156"/>
      <c r="H55" s="247"/>
      <c r="I55" s="253"/>
      <c r="J55" s="237"/>
      <c r="K55" s="235"/>
      <c r="L55" s="257"/>
      <c r="M55" s="235">
        <f ca="1">IF(NOT(ISERROR(MATCH(L55,_xlfn.ANCHORARRAY(F66),0))),K68&amp;"Por favor no seleccionar los criterios de impacto",L55)</f>
        <v>0</v>
      </c>
      <c r="N55" s="237"/>
      <c r="O55" s="235"/>
      <c r="P55" s="243"/>
      <c r="Q55" s="137">
        <v>3</v>
      </c>
      <c r="R55" s="147"/>
      <c r="S55" s="148" t="str">
        <f t="shared" ref="S55:S58" si="105">IF(OR(T55="Preventivo",T55="Detectivo"),"Probabilidad",IF(T55="Correctivo","Impacto",""))</f>
        <v/>
      </c>
      <c r="T55" s="138"/>
      <c r="U55" s="138"/>
      <c r="V55" s="139" t="str">
        <f t="shared" si="101"/>
        <v/>
      </c>
      <c r="W55" s="138"/>
      <c r="X55" s="138"/>
      <c r="Y55" s="138"/>
      <c r="Z55" s="140" t="str">
        <f>IFERROR(IF(AND(S54="Probabilidad",S55="Probabilidad"),(AB54-(+AB54*V55)),IF(AND(S54="Impacto",S55="Probabilidad"),(AB53-(+AB53*V55)),IF(S55="Impacto",AB54,""))),"")</f>
        <v/>
      </c>
      <c r="AA55" s="141" t="str">
        <f t="shared" si="102"/>
        <v/>
      </c>
      <c r="AB55" s="142" t="str">
        <f t="shared" ref="AB55:AB58" si="106">+Z55</f>
        <v/>
      </c>
      <c r="AC55" s="141" t="str">
        <f t="shared" si="103"/>
        <v/>
      </c>
      <c r="AD55" s="146" t="str">
        <f t="shared" ref="AD55:AD58" si="107">IFERROR(IF(AND(S54="Impacto",S55="Impacto"),(AD54-(+AD54*V55)),IF(AND(S54="Probabilidad",S55="Impacto"),(AD53-(+AD53*V55)),IF(S55="Probabilidad",AD54,""))),"")</f>
        <v/>
      </c>
      <c r="AE55" s="143" t="str">
        <f t="shared" si="104"/>
        <v/>
      </c>
      <c r="AF55" s="144"/>
      <c r="AG55" s="112"/>
      <c r="AH55" s="132"/>
      <c r="AI55" s="131"/>
      <c r="AJ55" s="131"/>
      <c r="AK55" s="112"/>
      <c r="AL55" s="132"/>
    </row>
    <row r="56" spans="1:70" ht="19.5" customHeight="1" x14ac:dyDescent="0.3">
      <c r="A56" s="218"/>
      <c r="B56" s="247"/>
      <c r="C56" s="247"/>
      <c r="D56" s="247"/>
      <c r="E56" s="155"/>
      <c r="F56" s="250"/>
      <c r="G56" s="156"/>
      <c r="H56" s="247"/>
      <c r="I56" s="253"/>
      <c r="J56" s="237"/>
      <c r="K56" s="235"/>
      <c r="L56" s="257"/>
      <c r="M56" s="235">
        <f ca="1">IF(NOT(ISERROR(MATCH(L56,_xlfn.ANCHORARRAY(F67),0))),K69&amp;"Por favor no seleccionar los criterios de impacto",L56)</f>
        <v>0</v>
      </c>
      <c r="N56" s="237"/>
      <c r="O56" s="235"/>
      <c r="P56" s="243"/>
      <c r="Q56" s="137">
        <v>4</v>
      </c>
      <c r="R56" s="93"/>
      <c r="S56" s="148" t="str">
        <f t="shared" si="105"/>
        <v/>
      </c>
      <c r="T56" s="138"/>
      <c r="U56" s="138"/>
      <c r="V56" s="139" t="str">
        <f t="shared" si="101"/>
        <v/>
      </c>
      <c r="W56" s="138"/>
      <c r="X56" s="138"/>
      <c r="Y56" s="138"/>
      <c r="Z56" s="140" t="str">
        <f t="shared" ref="Z56:Z58" si="108">IFERROR(IF(AND(S55="Probabilidad",S56="Probabilidad"),(AB55-(+AB55*V56)),IF(AND(S55="Impacto",S56="Probabilidad"),(AB54-(+AB54*V56)),IF(S56="Impacto",AB55,""))),"")</f>
        <v/>
      </c>
      <c r="AA56" s="141" t="str">
        <f t="shared" si="102"/>
        <v/>
      </c>
      <c r="AB56" s="142" t="str">
        <f t="shared" si="106"/>
        <v/>
      </c>
      <c r="AC56" s="141" t="str">
        <f t="shared" si="103"/>
        <v/>
      </c>
      <c r="AD56" s="146" t="str">
        <f t="shared" si="107"/>
        <v/>
      </c>
      <c r="AE56" s="143" t="str">
        <f t="shared" si="104"/>
        <v/>
      </c>
      <c r="AF56" s="144"/>
      <c r="AG56" s="112"/>
      <c r="AH56" s="132"/>
      <c r="AI56" s="131"/>
      <c r="AJ56" s="131"/>
      <c r="AK56" s="112"/>
      <c r="AL56" s="132"/>
    </row>
    <row r="57" spans="1:70" ht="19.5" customHeight="1" x14ac:dyDescent="0.3">
      <c r="A57" s="218"/>
      <c r="B57" s="247"/>
      <c r="C57" s="247"/>
      <c r="D57" s="247"/>
      <c r="E57" s="155"/>
      <c r="F57" s="250"/>
      <c r="G57" s="156"/>
      <c r="H57" s="247"/>
      <c r="I57" s="253"/>
      <c r="J57" s="237"/>
      <c r="K57" s="235"/>
      <c r="L57" s="257"/>
      <c r="M57" s="235">
        <f ca="1">IF(NOT(ISERROR(MATCH(L57,_xlfn.ANCHORARRAY(F68),0))),K70&amp;"Por favor no seleccionar los criterios de impacto",L57)</f>
        <v>0</v>
      </c>
      <c r="N57" s="237"/>
      <c r="O57" s="235"/>
      <c r="P57" s="243"/>
      <c r="Q57" s="137">
        <v>5</v>
      </c>
      <c r="R57" s="93"/>
      <c r="S57" s="148" t="str">
        <f t="shared" si="105"/>
        <v/>
      </c>
      <c r="T57" s="138"/>
      <c r="U57" s="138"/>
      <c r="V57" s="139" t="str">
        <f t="shared" si="101"/>
        <v/>
      </c>
      <c r="W57" s="138"/>
      <c r="X57" s="138"/>
      <c r="Y57" s="138"/>
      <c r="Z57" s="140" t="str">
        <f t="shared" si="108"/>
        <v/>
      </c>
      <c r="AA57" s="141" t="str">
        <f t="shared" si="102"/>
        <v/>
      </c>
      <c r="AB57" s="142" t="str">
        <f t="shared" si="106"/>
        <v/>
      </c>
      <c r="AC57" s="141" t="str">
        <f t="shared" si="103"/>
        <v/>
      </c>
      <c r="AD57" s="146" t="str">
        <f t="shared" si="107"/>
        <v/>
      </c>
      <c r="AE57" s="143" t="str">
        <f t="shared" si="104"/>
        <v/>
      </c>
      <c r="AF57" s="144"/>
      <c r="AG57" s="112"/>
      <c r="AH57" s="132"/>
      <c r="AI57" s="131"/>
      <c r="AJ57" s="131"/>
      <c r="AK57" s="112"/>
      <c r="AL57" s="132"/>
    </row>
    <row r="58" spans="1:70" ht="19.5" customHeight="1" x14ac:dyDescent="0.3">
      <c r="A58" s="245"/>
      <c r="B58" s="248"/>
      <c r="C58" s="248"/>
      <c r="D58" s="248"/>
      <c r="E58" s="157"/>
      <c r="F58" s="251"/>
      <c r="G58" s="158"/>
      <c r="H58" s="248"/>
      <c r="I58" s="254"/>
      <c r="J58" s="255"/>
      <c r="K58" s="241"/>
      <c r="L58" s="258"/>
      <c r="M58" s="241">
        <f ca="1">IF(NOT(ISERROR(MATCH(L58,_xlfn.ANCHORARRAY(F69),0))),K71&amp;"Por favor no seleccionar los criterios de impacto",L58)</f>
        <v>0</v>
      </c>
      <c r="N58" s="255"/>
      <c r="O58" s="241"/>
      <c r="P58" s="244"/>
      <c r="Q58" s="137">
        <v>6</v>
      </c>
      <c r="R58" s="93"/>
      <c r="S58" s="148" t="str">
        <f t="shared" si="105"/>
        <v/>
      </c>
      <c r="T58" s="138"/>
      <c r="U58" s="138"/>
      <c r="V58" s="139" t="str">
        <f t="shared" si="101"/>
        <v/>
      </c>
      <c r="W58" s="138"/>
      <c r="X58" s="138"/>
      <c r="Y58" s="138"/>
      <c r="Z58" s="140" t="str">
        <f t="shared" si="108"/>
        <v/>
      </c>
      <c r="AA58" s="141" t="str">
        <f t="shared" si="102"/>
        <v/>
      </c>
      <c r="AB58" s="142" t="str">
        <f t="shared" si="106"/>
        <v/>
      </c>
      <c r="AC58" s="141" t="str">
        <f t="shared" si="103"/>
        <v/>
      </c>
      <c r="AD58" s="146" t="str">
        <f t="shared" si="107"/>
        <v/>
      </c>
      <c r="AE58" s="143" t="str">
        <f t="shared" si="104"/>
        <v/>
      </c>
      <c r="AF58" s="144"/>
      <c r="AG58" s="112"/>
      <c r="AH58" s="132"/>
      <c r="AI58" s="131"/>
      <c r="AJ58" s="131"/>
      <c r="AK58" s="112"/>
      <c r="AL58" s="132"/>
    </row>
    <row r="59" spans="1:70" ht="49.5" customHeight="1" x14ac:dyDescent="0.3">
      <c r="A59" s="161"/>
      <c r="B59" s="238" t="s">
        <v>258</v>
      </c>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40"/>
    </row>
    <row r="61" spans="1:70" x14ac:dyDescent="0.3">
      <c r="A61" s="114"/>
      <c r="B61" s="162" t="s">
        <v>137</v>
      </c>
      <c r="C61" s="114"/>
      <c r="D61" s="114"/>
      <c r="E61" s="114"/>
      <c r="H61" s="114"/>
    </row>
  </sheetData>
  <dataConsolidate/>
  <mergeCells count="183">
    <mergeCell ref="B15:B18"/>
    <mergeCell ref="C15:C18"/>
    <mergeCell ref="D15:D18"/>
    <mergeCell ref="A10:A14"/>
    <mergeCell ref="B10:B14"/>
    <mergeCell ref="C10:C14"/>
    <mergeCell ref="D10:D14"/>
    <mergeCell ref="F10:F14"/>
    <mergeCell ref="P10:P14"/>
    <mergeCell ref="K10:K14"/>
    <mergeCell ref="L10:L14"/>
    <mergeCell ref="M10:M14"/>
    <mergeCell ref="N10:N14"/>
    <mergeCell ref="O10:O14"/>
    <mergeCell ref="G10:G14"/>
    <mergeCell ref="A4:B4"/>
    <mergeCell ref="A5:B5"/>
    <mergeCell ref="A6:B6"/>
    <mergeCell ref="A8:A9"/>
    <mergeCell ref="H8:H9"/>
    <mergeCell ref="F8:F9"/>
    <mergeCell ref="D8:D9"/>
    <mergeCell ref="C8:C9"/>
    <mergeCell ref="AF8:AF9"/>
    <mergeCell ref="Q8:Q9"/>
    <mergeCell ref="AE8:AE9"/>
    <mergeCell ref="AD8:AD9"/>
    <mergeCell ref="Z8:Z9"/>
    <mergeCell ref="R8:R9"/>
    <mergeCell ref="AC8:AC9"/>
    <mergeCell ref="AA8:AA9"/>
    <mergeCell ref="AB8:AB9"/>
    <mergeCell ref="I8:I9"/>
    <mergeCell ref="J8:J9"/>
    <mergeCell ref="K8:K9"/>
    <mergeCell ref="N8:N9"/>
    <mergeCell ref="O8:O9"/>
    <mergeCell ref="B8:B9"/>
    <mergeCell ref="P8:P9"/>
    <mergeCell ref="AL8:AL9"/>
    <mergeCell ref="AK8:AK9"/>
    <mergeCell ref="AJ8:AJ9"/>
    <mergeCell ref="AI8:AI9"/>
    <mergeCell ref="AH8:AH9"/>
    <mergeCell ref="M15:M18"/>
    <mergeCell ref="L8:L9"/>
    <mergeCell ref="M8:M9"/>
    <mergeCell ref="S8:S9"/>
    <mergeCell ref="T8:Y8"/>
    <mergeCell ref="AG15:AG18"/>
    <mergeCell ref="AH15:AH18"/>
    <mergeCell ref="AI15:AI18"/>
    <mergeCell ref="E8:E9"/>
    <mergeCell ref="H10:H14"/>
    <mergeCell ref="I10:I14"/>
    <mergeCell ref="J10:J14"/>
    <mergeCell ref="AF10:AF14"/>
    <mergeCell ref="AG10:AG14"/>
    <mergeCell ref="AH10:AH14"/>
    <mergeCell ref="AI10:AI14"/>
    <mergeCell ref="G15:G18"/>
    <mergeCell ref="AF15:AF18"/>
    <mergeCell ref="AG8:AG9"/>
    <mergeCell ref="P19:P22"/>
    <mergeCell ref="F19:F22"/>
    <mergeCell ref="G19:G22"/>
    <mergeCell ref="N15:N18"/>
    <mergeCell ref="O15:O18"/>
    <mergeCell ref="P15:P18"/>
    <mergeCell ref="H15:H18"/>
    <mergeCell ref="I15:I18"/>
    <mergeCell ref="J15:J18"/>
    <mergeCell ref="K15:K18"/>
    <mergeCell ref="L15:L18"/>
    <mergeCell ref="O23:O28"/>
    <mergeCell ref="P23:P28"/>
    <mergeCell ref="O29:O34"/>
    <mergeCell ref="P29:P34"/>
    <mergeCell ref="L35:L40"/>
    <mergeCell ref="M35:M40"/>
    <mergeCell ref="N35:N40"/>
    <mergeCell ref="A23:A28"/>
    <mergeCell ref="B23:B28"/>
    <mergeCell ref="C23:C28"/>
    <mergeCell ref="A29:A34"/>
    <mergeCell ref="B29:B34"/>
    <mergeCell ref="C29:C34"/>
    <mergeCell ref="D29:D34"/>
    <mergeCell ref="F29:F34"/>
    <mergeCell ref="H29:H34"/>
    <mergeCell ref="D23:D28"/>
    <mergeCell ref="F23:F28"/>
    <mergeCell ref="L29:L34"/>
    <mergeCell ref="M29:M34"/>
    <mergeCell ref="N29:N34"/>
    <mergeCell ref="H23:H28"/>
    <mergeCell ref="I23:I28"/>
    <mergeCell ref="J23:J28"/>
    <mergeCell ref="K23:K28"/>
    <mergeCell ref="L23:L28"/>
    <mergeCell ref="I29:I34"/>
    <mergeCell ref="J29:J34"/>
    <mergeCell ref="K29:K34"/>
    <mergeCell ref="M23:M28"/>
    <mergeCell ref="N23:N28"/>
    <mergeCell ref="A41:A46"/>
    <mergeCell ref="B41:B46"/>
    <mergeCell ref="C41:C46"/>
    <mergeCell ref="D41:D46"/>
    <mergeCell ref="F41:F46"/>
    <mergeCell ref="A35:A40"/>
    <mergeCell ref="B35:B40"/>
    <mergeCell ref="C35:C40"/>
    <mergeCell ref="D35:D40"/>
    <mergeCell ref="F35:F40"/>
    <mergeCell ref="F47:F52"/>
    <mergeCell ref="H47:H52"/>
    <mergeCell ref="I47:I52"/>
    <mergeCell ref="J47:J52"/>
    <mergeCell ref="K47:K52"/>
    <mergeCell ref="O35:O40"/>
    <mergeCell ref="P35:P40"/>
    <mergeCell ref="H41:H46"/>
    <mergeCell ref="I41:I46"/>
    <mergeCell ref="J41:J46"/>
    <mergeCell ref="K41:K46"/>
    <mergeCell ref="L41:L46"/>
    <mergeCell ref="H35:H40"/>
    <mergeCell ref="I35:I40"/>
    <mergeCell ref="J35:J40"/>
    <mergeCell ref="K35:K40"/>
    <mergeCell ref="M41:M46"/>
    <mergeCell ref="N41:N46"/>
    <mergeCell ref="O41:O46"/>
    <mergeCell ref="P41:P46"/>
    <mergeCell ref="B59:AL59"/>
    <mergeCell ref="O47:O52"/>
    <mergeCell ref="P47:P52"/>
    <mergeCell ref="A53:A58"/>
    <mergeCell ref="B53:B58"/>
    <mergeCell ref="C53:C58"/>
    <mergeCell ref="D53:D58"/>
    <mergeCell ref="F53:F58"/>
    <mergeCell ref="H53:H58"/>
    <mergeCell ref="I53:I58"/>
    <mergeCell ref="J53:J58"/>
    <mergeCell ref="K53:K58"/>
    <mergeCell ref="L53:L58"/>
    <mergeCell ref="M53:M58"/>
    <mergeCell ref="N53:N58"/>
    <mergeCell ref="O53:O58"/>
    <mergeCell ref="P53:P58"/>
    <mergeCell ref="L47:L52"/>
    <mergeCell ref="M47:M52"/>
    <mergeCell ref="N47:N52"/>
    <mergeCell ref="A47:A52"/>
    <mergeCell ref="B47:B52"/>
    <mergeCell ref="C47:C52"/>
    <mergeCell ref="D47:D52"/>
    <mergeCell ref="AF19:AF22"/>
    <mergeCell ref="C4:AL4"/>
    <mergeCell ref="C5:AL5"/>
    <mergeCell ref="C6:AL6"/>
    <mergeCell ref="A1:AL2"/>
    <mergeCell ref="A7:I7"/>
    <mergeCell ref="J7:P7"/>
    <mergeCell ref="Q7:Y7"/>
    <mergeCell ref="Z7:AF7"/>
    <mergeCell ref="AG7:AL7"/>
    <mergeCell ref="A19:A22"/>
    <mergeCell ref="B19:B22"/>
    <mergeCell ref="C19:C22"/>
    <mergeCell ref="D19:D22"/>
    <mergeCell ref="F15:F18"/>
    <mergeCell ref="H19:H22"/>
    <mergeCell ref="I19:I22"/>
    <mergeCell ref="J19:J22"/>
    <mergeCell ref="K19:K22"/>
    <mergeCell ref="L19:L22"/>
    <mergeCell ref="M19:M22"/>
    <mergeCell ref="N19:N22"/>
    <mergeCell ref="O19:O22"/>
    <mergeCell ref="A15:A18"/>
  </mergeCells>
  <conditionalFormatting sqref="J10 J15 J19 J23 J29 J35 J41 J47 J53">
    <cfRule type="cellIs" dxfId="314" priority="683" operator="equal">
      <formula>"Muy Alta"</formula>
    </cfRule>
    <cfRule type="cellIs" dxfId="313" priority="684" operator="equal">
      <formula>"Alta"</formula>
    </cfRule>
    <cfRule type="cellIs" dxfId="312" priority="685" operator="equal">
      <formula>"Media"</formula>
    </cfRule>
    <cfRule type="cellIs" dxfId="311" priority="686" operator="equal">
      <formula>"Baja"</formula>
    </cfRule>
    <cfRule type="cellIs" dxfId="310" priority="687" operator="equal">
      <formula>"Muy Baja"</formula>
    </cfRule>
  </conditionalFormatting>
  <conditionalFormatting sqref="N10 N15 N19 N23 N29 N35 N41 N47 N53">
    <cfRule type="cellIs" dxfId="309" priority="678" operator="equal">
      <formula>"Catastrófico"</formula>
    </cfRule>
    <cfRule type="cellIs" dxfId="308" priority="679" operator="equal">
      <formula>"Mayor"</formula>
    </cfRule>
    <cfRule type="cellIs" dxfId="307" priority="680" operator="equal">
      <formula>"Moderado"</formula>
    </cfRule>
    <cfRule type="cellIs" dxfId="306" priority="681" operator="equal">
      <formula>"Menor"</formula>
    </cfRule>
    <cfRule type="cellIs" dxfId="305" priority="682" operator="equal">
      <formula>"Leve"</formula>
    </cfRule>
  </conditionalFormatting>
  <conditionalFormatting sqref="P10">
    <cfRule type="cellIs" dxfId="304" priority="674" operator="equal">
      <formula>"Extremo"</formula>
    </cfRule>
    <cfRule type="cellIs" dxfId="303" priority="675" operator="equal">
      <formula>"Alto"</formula>
    </cfRule>
    <cfRule type="cellIs" dxfId="302" priority="676" operator="equal">
      <formula>"Moderado"</formula>
    </cfRule>
    <cfRule type="cellIs" dxfId="301" priority="677" operator="equal">
      <formula>"Bajo"</formula>
    </cfRule>
  </conditionalFormatting>
  <conditionalFormatting sqref="AA10">
    <cfRule type="cellIs" dxfId="300" priority="669" operator="equal">
      <formula>"Muy Alta"</formula>
    </cfRule>
    <cfRule type="cellIs" dxfId="299" priority="670" operator="equal">
      <formula>"Alta"</formula>
    </cfRule>
    <cfRule type="cellIs" dxfId="298" priority="671" operator="equal">
      <formula>"Media"</formula>
    </cfRule>
    <cfRule type="cellIs" dxfId="297" priority="672" operator="equal">
      <formula>"Baja"</formula>
    </cfRule>
    <cfRule type="cellIs" dxfId="296" priority="673" operator="equal">
      <formula>"Muy Baja"</formula>
    </cfRule>
  </conditionalFormatting>
  <conditionalFormatting sqref="AC10">
    <cfRule type="cellIs" dxfId="295" priority="664" operator="equal">
      <formula>"Catastrófico"</formula>
    </cfRule>
    <cfRule type="cellIs" dxfId="294" priority="665" operator="equal">
      <formula>"Mayor"</formula>
    </cfRule>
    <cfRule type="cellIs" dxfId="293" priority="666" operator="equal">
      <formula>"Moderado"</formula>
    </cfRule>
    <cfRule type="cellIs" dxfId="292" priority="667" operator="equal">
      <formula>"Menor"</formula>
    </cfRule>
    <cfRule type="cellIs" dxfId="291" priority="668" operator="equal">
      <formula>"Leve"</formula>
    </cfRule>
  </conditionalFormatting>
  <conditionalFormatting sqref="AE10">
    <cfRule type="cellIs" dxfId="290" priority="660" operator="equal">
      <formula>"Extremo"</formula>
    </cfRule>
    <cfRule type="cellIs" dxfId="289" priority="661" operator="equal">
      <formula>"Alto"</formula>
    </cfRule>
    <cfRule type="cellIs" dxfId="288" priority="662" operator="equal">
      <formula>"Moderado"</formula>
    </cfRule>
    <cfRule type="cellIs" dxfId="287" priority="663" operator="equal">
      <formula>"Bajo"</formula>
    </cfRule>
  </conditionalFormatting>
  <conditionalFormatting sqref="P15 P19 P23 P29 P35 P41 P47 P53">
    <cfRule type="cellIs" dxfId="286" priority="604" operator="equal">
      <formula>"Extremo"</formula>
    </cfRule>
    <cfRule type="cellIs" dxfId="285" priority="605" operator="equal">
      <formula>"Alto"</formula>
    </cfRule>
    <cfRule type="cellIs" dxfId="284" priority="606" operator="equal">
      <formula>"Moderado"</formula>
    </cfRule>
    <cfRule type="cellIs" dxfId="283" priority="607" operator="equal">
      <formula>"Bajo"</formula>
    </cfRule>
  </conditionalFormatting>
  <conditionalFormatting sqref="M10:M58">
    <cfRule type="containsText" dxfId="282" priority="365" operator="containsText" text="❌">
      <formula>NOT(ISERROR(SEARCH("❌",M10)))</formula>
    </cfRule>
  </conditionalFormatting>
  <conditionalFormatting sqref="AA11:AA14">
    <cfRule type="cellIs" dxfId="281" priority="360" operator="equal">
      <formula>"Muy Alta"</formula>
    </cfRule>
    <cfRule type="cellIs" dxfId="280" priority="361" operator="equal">
      <formula>"Alta"</formula>
    </cfRule>
    <cfRule type="cellIs" dxfId="279" priority="362" operator="equal">
      <formula>"Media"</formula>
    </cfRule>
    <cfRule type="cellIs" dxfId="278" priority="363" operator="equal">
      <formula>"Baja"</formula>
    </cfRule>
    <cfRule type="cellIs" dxfId="277" priority="364" operator="equal">
      <formula>"Muy Baja"</formula>
    </cfRule>
  </conditionalFormatting>
  <conditionalFormatting sqref="AC11:AC14">
    <cfRule type="cellIs" dxfId="276" priority="355" operator="equal">
      <formula>"Catastrófico"</formula>
    </cfRule>
    <cfRule type="cellIs" dxfId="275" priority="356" operator="equal">
      <formula>"Mayor"</formula>
    </cfRule>
    <cfRule type="cellIs" dxfId="274" priority="357" operator="equal">
      <formula>"Moderado"</formula>
    </cfRule>
    <cfRule type="cellIs" dxfId="273" priority="358" operator="equal">
      <formula>"Menor"</formula>
    </cfRule>
    <cfRule type="cellIs" dxfId="272" priority="359" operator="equal">
      <formula>"Leve"</formula>
    </cfRule>
  </conditionalFormatting>
  <conditionalFormatting sqref="AE11:AE14">
    <cfRule type="cellIs" dxfId="271" priority="351" operator="equal">
      <formula>"Extremo"</formula>
    </cfRule>
    <cfRule type="cellIs" dxfId="270" priority="352" operator="equal">
      <formula>"Alto"</formula>
    </cfRule>
    <cfRule type="cellIs" dxfId="269" priority="353" operator="equal">
      <formula>"Moderado"</formula>
    </cfRule>
    <cfRule type="cellIs" dxfId="268" priority="354" operator="equal">
      <formula>"Bajo"</formula>
    </cfRule>
  </conditionalFormatting>
  <conditionalFormatting sqref="AA15">
    <cfRule type="cellIs" dxfId="267" priority="318" operator="equal">
      <formula>"Muy Alta"</formula>
    </cfRule>
    <cfRule type="cellIs" dxfId="266" priority="319" operator="equal">
      <formula>"Alta"</formula>
    </cfRule>
    <cfRule type="cellIs" dxfId="265" priority="320" operator="equal">
      <formula>"Media"</formula>
    </cfRule>
    <cfRule type="cellIs" dxfId="264" priority="321" operator="equal">
      <formula>"Baja"</formula>
    </cfRule>
    <cfRule type="cellIs" dxfId="263" priority="322" operator="equal">
      <formula>"Muy Baja"</formula>
    </cfRule>
  </conditionalFormatting>
  <conditionalFormatting sqref="AC15">
    <cfRule type="cellIs" dxfId="262" priority="313" operator="equal">
      <formula>"Catastrófico"</formula>
    </cfRule>
    <cfRule type="cellIs" dxfId="261" priority="314" operator="equal">
      <formula>"Mayor"</formula>
    </cfRule>
    <cfRule type="cellIs" dxfId="260" priority="315" operator="equal">
      <formula>"Moderado"</formula>
    </cfRule>
    <cfRule type="cellIs" dxfId="259" priority="316" operator="equal">
      <formula>"Menor"</formula>
    </cfRule>
    <cfRule type="cellIs" dxfId="258" priority="317" operator="equal">
      <formula>"Leve"</formula>
    </cfRule>
  </conditionalFormatting>
  <conditionalFormatting sqref="AE15">
    <cfRule type="cellIs" dxfId="257" priority="309" operator="equal">
      <formula>"Extremo"</formula>
    </cfRule>
    <cfRule type="cellIs" dxfId="256" priority="310" operator="equal">
      <formula>"Alto"</formula>
    </cfRule>
    <cfRule type="cellIs" dxfId="255" priority="311" operator="equal">
      <formula>"Moderado"</formula>
    </cfRule>
    <cfRule type="cellIs" dxfId="254" priority="312" operator="equal">
      <formula>"Bajo"</formula>
    </cfRule>
  </conditionalFormatting>
  <conditionalFormatting sqref="AA16">
    <cfRule type="cellIs" dxfId="253" priority="304" operator="equal">
      <formula>"Muy Alta"</formula>
    </cfRule>
    <cfRule type="cellIs" dxfId="252" priority="305" operator="equal">
      <formula>"Alta"</formula>
    </cfRule>
    <cfRule type="cellIs" dxfId="251" priority="306" operator="equal">
      <formula>"Media"</formula>
    </cfRule>
    <cfRule type="cellIs" dxfId="250" priority="307" operator="equal">
      <formula>"Baja"</formula>
    </cfRule>
    <cfRule type="cellIs" dxfId="249" priority="308" operator="equal">
      <formula>"Muy Baja"</formula>
    </cfRule>
  </conditionalFormatting>
  <conditionalFormatting sqref="AC16">
    <cfRule type="cellIs" dxfId="248" priority="299" operator="equal">
      <formula>"Catastrófico"</formula>
    </cfRule>
    <cfRule type="cellIs" dxfId="247" priority="300" operator="equal">
      <formula>"Mayor"</formula>
    </cfRule>
    <cfRule type="cellIs" dxfId="246" priority="301" operator="equal">
      <formula>"Moderado"</formula>
    </cfRule>
    <cfRule type="cellIs" dxfId="245" priority="302" operator="equal">
      <formula>"Menor"</formula>
    </cfRule>
    <cfRule type="cellIs" dxfId="244" priority="303" operator="equal">
      <formula>"Leve"</formula>
    </cfRule>
  </conditionalFormatting>
  <conditionalFormatting sqref="AE16">
    <cfRule type="cellIs" dxfId="243" priority="295" operator="equal">
      <formula>"Extremo"</formula>
    </cfRule>
    <cfRule type="cellIs" dxfId="242" priority="296" operator="equal">
      <formula>"Alto"</formula>
    </cfRule>
    <cfRule type="cellIs" dxfId="241" priority="297" operator="equal">
      <formula>"Moderado"</formula>
    </cfRule>
    <cfRule type="cellIs" dxfId="240" priority="298" operator="equal">
      <formula>"Bajo"</formula>
    </cfRule>
  </conditionalFormatting>
  <conditionalFormatting sqref="AA19">
    <cfRule type="cellIs" dxfId="239" priority="234" operator="equal">
      <formula>"Muy Alta"</formula>
    </cfRule>
    <cfRule type="cellIs" dxfId="238" priority="235" operator="equal">
      <formula>"Alta"</formula>
    </cfRule>
    <cfRule type="cellIs" dxfId="237" priority="236" operator="equal">
      <formula>"Media"</formula>
    </cfRule>
    <cfRule type="cellIs" dxfId="236" priority="237" operator="equal">
      <formula>"Baja"</formula>
    </cfRule>
    <cfRule type="cellIs" dxfId="235" priority="238" operator="equal">
      <formula>"Muy Baja"</formula>
    </cfRule>
  </conditionalFormatting>
  <conditionalFormatting sqref="AC19">
    <cfRule type="cellIs" dxfId="234" priority="229" operator="equal">
      <formula>"Catastrófico"</formula>
    </cfRule>
    <cfRule type="cellIs" dxfId="233" priority="230" operator="equal">
      <formula>"Mayor"</formula>
    </cfRule>
    <cfRule type="cellIs" dxfId="232" priority="231" operator="equal">
      <formula>"Moderado"</formula>
    </cfRule>
    <cfRule type="cellIs" dxfId="231" priority="232" operator="equal">
      <formula>"Menor"</formula>
    </cfRule>
    <cfRule type="cellIs" dxfId="230" priority="233" operator="equal">
      <formula>"Leve"</formula>
    </cfRule>
  </conditionalFormatting>
  <conditionalFormatting sqref="AE19">
    <cfRule type="cellIs" dxfId="229" priority="225" operator="equal">
      <formula>"Extremo"</formula>
    </cfRule>
    <cfRule type="cellIs" dxfId="228" priority="226" operator="equal">
      <formula>"Alto"</formula>
    </cfRule>
    <cfRule type="cellIs" dxfId="227" priority="227" operator="equal">
      <formula>"Moderado"</formula>
    </cfRule>
    <cfRule type="cellIs" dxfId="226" priority="228" operator="equal">
      <formula>"Bajo"</formula>
    </cfRule>
  </conditionalFormatting>
  <conditionalFormatting sqref="AA20:AA22">
    <cfRule type="cellIs" dxfId="225" priority="220" operator="equal">
      <formula>"Muy Alta"</formula>
    </cfRule>
    <cfRule type="cellIs" dxfId="224" priority="221" operator="equal">
      <formula>"Alta"</formula>
    </cfRule>
    <cfRule type="cellIs" dxfId="223" priority="222" operator="equal">
      <formula>"Media"</formula>
    </cfRule>
    <cfRule type="cellIs" dxfId="222" priority="223" operator="equal">
      <formula>"Baja"</formula>
    </cfRule>
    <cfRule type="cellIs" dxfId="221" priority="224" operator="equal">
      <formula>"Muy Baja"</formula>
    </cfRule>
  </conditionalFormatting>
  <conditionalFormatting sqref="AC20:AC22">
    <cfRule type="cellIs" dxfId="220" priority="215" operator="equal">
      <formula>"Catastrófico"</formula>
    </cfRule>
    <cfRule type="cellIs" dxfId="219" priority="216" operator="equal">
      <formula>"Mayor"</formula>
    </cfRule>
    <cfRule type="cellIs" dxfId="218" priority="217" operator="equal">
      <formula>"Moderado"</formula>
    </cfRule>
    <cfRule type="cellIs" dxfId="217" priority="218" operator="equal">
      <formula>"Menor"</formula>
    </cfRule>
    <cfRule type="cellIs" dxfId="216" priority="219" operator="equal">
      <formula>"Leve"</formula>
    </cfRule>
  </conditionalFormatting>
  <conditionalFormatting sqref="AE20:AE22">
    <cfRule type="cellIs" dxfId="215" priority="211" operator="equal">
      <formula>"Extremo"</formula>
    </cfRule>
    <cfRule type="cellIs" dxfId="214" priority="212" operator="equal">
      <formula>"Alto"</formula>
    </cfRule>
    <cfRule type="cellIs" dxfId="213" priority="213" operator="equal">
      <formula>"Moderado"</formula>
    </cfRule>
    <cfRule type="cellIs" dxfId="212" priority="214" operator="equal">
      <formula>"Bajo"</formula>
    </cfRule>
  </conditionalFormatting>
  <conditionalFormatting sqref="AA23">
    <cfRule type="cellIs" dxfId="211" priority="206" operator="equal">
      <formula>"Muy Alta"</formula>
    </cfRule>
    <cfRule type="cellIs" dxfId="210" priority="207" operator="equal">
      <formula>"Alta"</formula>
    </cfRule>
    <cfRule type="cellIs" dxfId="209" priority="208" operator="equal">
      <formula>"Media"</formula>
    </cfRule>
    <cfRule type="cellIs" dxfId="208" priority="209" operator="equal">
      <formula>"Baja"</formula>
    </cfRule>
    <cfRule type="cellIs" dxfId="207" priority="210" operator="equal">
      <formula>"Muy Baja"</formula>
    </cfRule>
  </conditionalFormatting>
  <conditionalFormatting sqref="AC23">
    <cfRule type="cellIs" dxfId="206" priority="201" operator="equal">
      <formula>"Catastrófico"</formula>
    </cfRule>
    <cfRule type="cellIs" dxfId="205" priority="202" operator="equal">
      <formula>"Mayor"</formula>
    </cfRule>
    <cfRule type="cellIs" dxfId="204" priority="203" operator="equal">
      <formula>"Moderado"</formula>
    </cfRule>
    <cfRule type="cellIs" dxfId="203" priority="204" operator="equal">
      <formula>"Menor"</formula>
    </cfRule>
    <cfRule type="cellIs" dxfId="202" priority="205" operator="equal">
      <formula>"Leve"</formula>
    </cfRule>
  </conditionalFormatting>
  <conditionalFormatting sqref="AE23">
    <cfRule type="cellIs" dxfId="201" priority="197" operator="equal">
      <formula>"Extremo"</formula>
    </cfRule>
    <cfRule type="cellIs" dxfId="200" priority="198" operator="equal">
      <formula>"Alto"</formula>
    </cfRule>
    <cfRule type="cellIs" dxfId="199" priority="199" operator="equal">
      <formula>"Moderado"</formula>
    </cfRule>
    <cfRule type="cellIs" dxfId="198" priority="200" operator="equal">
      <formula>"Bajo"</formula>
    </cfRule>
  </conditionalFormatting>
  <conditionalFormatting sqref="AA24:AA28">
    <cfRule type="cellIs" dxfId="197" priority="192" operator="equal">
      <formula>"Muy Alta"</formula>
    </cfRule>
    <cfRule type="cellIs" dxfId="196" priority="193" operator="equal">
      <formula>"Alta"</formula>
    </cfRule>
    <cfRule type="cellIs" dxfId="195" priority="194" operator="equal">
      <formula>"Media"</formula>
    </cfRule>
    <cfRule type="cellIs" dxfId="194" priority="195" operator="equal">
      <formula>"Baja"</formula>
    </cfRule>
    <cfRule type="cellIs" dxfId="193" priority="196" operator="equal">
      <formula>"Muy Baja"</formula>
    </cfRule>
  </conditionalFormatting>
  <conditionalFormatting sqref="AC24:AC28">
    <cfRule type="cellIs" dxfId="192" priority="187" operator="equal">
      <formula>"Catastrófico"</formula>
    </cfRule>
    <cfRule type="cellIs" dxfId="191" priority="188" operator="equal">
      <formula>"Mayor"</formula>
    </cfRule>
    <cfRule type="cellIs" dxfId="190" priority="189" operator="equal">
      <formula>"Moderado"</formula>
    </cfRule>
    <cfRule type="cellIs" dxfId="189" priority="190" operator="equal">
      <formula>"Menor"</formula>
    </cfRule>
    <cfRule type="cellIs" dxfId="188" priority="191" operator="equal">
      <formula>"Leve"</formula>
    </cfRule>
  </conditionalFormatting>
  <conditionalFormatting sqref="AE24:AE28">
    <cfRule type="cellIs" dxfId="187" priority="183" operator="equal">
      <formula>"Extremo"</formula>
    </cfRule>
    <cfRule type="cellIs" dxfId="186" priority="184" operator="equal">
      <formula>"Alto"</formula>
    </cfRule>
    <cfRule type="cellIs" dxfId="185" priority="185" operator="equal">
      <formula>"Moderado"</formula>
    </cfRule>
    <cfRule type="cellIs" dxfId="184" priority="186" operator="equal">
      <formula>"Bajo"</formula>
    </cfRule>
  </conditionalFormatting>
  <conditionalFormatting sqref="AA29">
    <cfRule type="cellIs" dxfId="183" priority="178" operator="equal">
      <formula>"Muy Alta"</formula>
    </cfRule>
    <cfRule type="cellIs" dxfId="182" priority="179" operator="equal">
      <formula>"Alta"</formula>
    </cfRule>
    <cfRule type="cellIs" dxfId="181" priority="180" operator="equal">
      <formula>"Media"</formula>
    </cfRule>
    <cfRule type="cellIs" dxfId="180" priority="181" operator="equal">
      <formula>"Baja"</formula>
    </cfRule>
    <cfRule type="cellIs" dxfId="179" priority="182" operator="equal">
      <formula>"Muy Baja"</formula>
    </cfRule>
  </conditionalFormatting>
  <conditionalFormatting sqref="AC29">
    <cfRule type="cellIs" dxfId="178" priority="173" operator="equal">
      <formula>"Catastrófico"</formula>
    </cfRule>
    <cfRule type="cellIs" dxfId="177" priority="174" operator="equal">
      <formula>"Mayor"</formula>
    </cfRule>
    <cfRule type="cellIs" dxfId="176" priority="175" operator="equal">
      <formula>"Moderado"</formula>
    </cfRule>
    <cfRule type="cellIs" dxfId="175" priority="176" operator="equal">
      <formula>"Menor"</formula>
    </cfRule>
    <cfRule type="cellIs" dxfId="174" priority="177" operator="equal">
      <formula>"Leve"</formula>
    </cfRule>
  </conditionalFormatting>
  <conditionalFormatting sqref="AE29">
    <cfRule type="cellIs" dxfId="173" priority="169" operator="equal">
      <formula>"Extremo"</formula>
    </cfRule>
    <cfRule type="cellIs" dxfId="172" priority="170" operator="equal">
      <formula>"Alto"</formula>
    </cfRule>
    <cfRule type="cellIs" dxfId="171" priority="171" operator="equal">
      <formula>"Moderado"</formula>
    </cfRule>
    <cfRule type="cellIs" dxfId="170" priority="172" operator="equal">
      <formula>"Bajo"</formula>
    </cfRule>
  </conditionalFormatting>
  <conditionalFormatting sqref="AA30:AA34">
    <cfRule type="cellIs" dxfId="169" priority="164" operator="equal">
      <formula>"Muy Alta"</formula>
    </cfRule>
    <cfRule type="cellIs" dxfId="168" priority="165" operator="equal">
      <formula>"Alta"</formula>
    </cfRule>
    <cfRule type="cellIs" dxfId="167" priority="166" operator="equal">
      <formula>"Media"</formula>
    </cfRule>
    <cfRule type="cellIs" dxfId="166" priority="167" operator="equal">
      <formula>"Baja"</formula>
    </cfRule>
    <cfRule type="cellIs" dxfId="165" priority="168" operator="equal">
      <formula>"Muy Baja"</formula>
    </cfRule>
  </conditionalFormatting>
  <conditionalFormatting sqref="AC30:AC34">
    <cfRule type="cellIs" dxfId="164" priority="159" operator="equal">
      <formula>"Catastrófico"</formula>
    </cfRule>
    <cfRule type="cellIs" dxfId="163" priority="160" operator="equal">
      <formula>"Mayor"</formula>
    </cfRule>
    <cfRule type="cellIs" dxfId="162" priority="161" operator="equal">
      <formula>"Moderado"</formula>
    </cfRule>
    <cfRule type="cellIs" dxfId="161" priority="162" operator="equal">
      <formula>"Menor"</formula>
    </cfRule>
    <cfRule type="cellIs" dxfId="160" priority="163" operator="equal">
      <formula>"Leve"</formula>
    </cfRule>
  </conditionalFormatting>
  <conditionalFormatting sqref="AE30:AE34">
    <cfRule type="cellIs" dxfId="159" priority="155" operator="equal">
      <formula>"Extremo"</formula>
    </cfRule>
    <cfRule type="cellIs" dxfId="158" priority="156" operator="equal">
      <formula>"Alto"</formula>
    </cfRule>
    <cfRule type="cellIs" dxfId="157" priority="157" operator="equal">
      <formula>"Moderado"</formula>
    </cfRule>
    <cfRule type="cellIs" dxfId="156" priority="158" operator="equal">
      <formula>"Bajo"</formula>
    </cfRule>
  </conditionalFormatting>
  <conditionalFormatting sqref="AA35">
    <cfRule type="cellIs" dxfId="155" priority="150" operator="equal">
      <formula>"Muy Alta"</formula>
    </cfRule>
    <cfRule type="cellIs" dxfId="154" priority="151" operator="equal">
      <formula>"Alta"</formula>
    </cfRule>
    <cfRule type="cellIs" dxfId="153" priority="152" operator="equal">
      <formula>"Media"</formula>
    </cfRule>
    <cfRule type="cellIs" dxfId="152" priority="153" operator="equal">
      <formula>"Baja"</formula>
    </cfRule>
    <cfRule type="cellIs" dxfId="151" priority="154" operator="equal">
      <formula>"Muy Baja"</formula>
    </cfRule>
  </conditionalFormatting>
  <conditionalFormatting sqref="AC35">
    <cfRule type="cellIs" dxfId="150" priority="145" operator="equal">
      <formula>"Catastrófico"</formula>
    </cfRule>
    <cfRule type="cellIs" dxfId="149" priority="146" operator="equal">
      <formula>"Mayor"</formula>
    </cfRule>
    <cfRule type="cellIs" dxfId="148" priority="147" operator="equal">
      <formula>"Moderado"</formula>
    </cfRule>
    <cfRule type="cellIs" dxfId="147" priority="148" operator="equal">
      <formula>"Menor"</formula>
    </cfRule>
    <cfRule type="cellIs" dxfId="146" priority="149" operator="equal">
      <formula>"Leve"</formula>
    </cfRule>
  </conditionalFormatting>
  <conditionalFormatting sqref="AE35">
    <cfRule type="cellIs" dxfId="145" priority="141" operator="equal">
      <formula>"Extremo"</formula>
    </cfRule>
    <cfRule type="cellIs" dxfId="144" priority="142" operator="equal">
      <formula>"Alto"</formula>
    </cfRule>
    <cfRule type="cellIs" dxfId="143" priority="143" operator="equal">
      <formula>"Moderado"</formula>
    </cfRule>
    <cfRule type="cellIs" dxfId="142" priority="144" operator="equal">
      <formula>"Bajo"</formula>
    </cfRule>
  </conditionalFormatting>
  <conditionalFormatting sqref="AA36:AA40">
    <cfRule type="cellIs" dxfId="141" priority="136" operator="equal">
      <formula>"Muy Alta"</formula>
    </cfRule>
    <cfRule type="cellIs" dxfId="140" priority="137" operator="equal">
      <formula>"Alta"</formula>
    </cfRule>
    <cfRule type="cellIs" dxfId="139" priority="138" operator="equal">
      <formula>"Media"</formula>
    </cfRule>
    <cfRule type="cellIs" dxfId="138" priority="139" operator="equal">
      <formula>"Baja"</formula>
    </cfRule>
    <cfRule type="cellIs" dxfId="137" priority="140" operator="equal">
      <formula>"Muy Baja"</formula>
    </cfRule>
  </conditionalFormatting>
  <conditionalFormatting sqref="AC36:AC40">
    <cfRule type="cellIs" dxfId="136" priority="131" operator="equal">
      <formula>"Catastrófico"</formula>
    </cfRule>
    <cfRule type="cellIs" dxfId="135" priority="132" operator="equal">
      <formula>"Mayor"</formula>
    </cfRule>
    <cfRule type="cellIs" dxfId="134" priority="133" operator="equal">
      <formula>"Moderado"</formula>
    </cfRule>
    <cfRule type="cellIs" dxfId="133" priority="134" operator="equal">
      <formula>"Menor"</formula>
    </cfRule>
    <cfRule type="cellIs" dxfId="132" priority="135" operator="equal">
      <formula>"Leve"</formula>
    </cfRule>
  </conditionalFormatting>
  <conditionalFormatting sqref="AE36:AE40">
    <cfRule type="cellIs" dxfId="131" priority="127" operator="equal">
      <formula>"Extremo"</formula>
    </cfRule>
    <cfRule type="cellIs" dxfId="130" priority="128" operator="equal">
      <formula>"Alto"</formula>
    </cfRule>
    <cfRule type="cellIs" dxfId="129" priority="129" operator="equal">
      <formula>"Moderado"</formula>
    </cfRule>
    <cfRule type="cellIs" dxfId="128" priority="130" operator="equal">
      <formula>"Bajo"</formula>
    </cfRule>
  </conditionalFormatting>
  <conditionalFormatting sqref="AA41">
    <cfRule type="cellIs" dxfId="127" priority="122" operator="equal">
      <formula>"Muy Alta"</formula>
    </cfRule>
    <cfRule type="cellIs" dxfId="126" priority="123" operator="equal">
      <formula>"Alta"</formula>
    </cfRule>
    <cfRule type="cellIs" dxfId="125" priority="124" operator="equal">
      <formula>"Media"</formula>
    </cfRule>
    <cfRule type="cellIs" dxfId="124" priority="125" operator="equal">
      <formula>"Baja"</formula>
    </cfRule>
    <cfRule type="cellIs" dxfId="123" priority="126" operator="equal">
      <formula>"Muy Baja"</formula>
    </cfRule>
  </conditionalFormatting>
  <conditionalFormatting sqref="AC41">
    <cfRule type="cellIs" dxfId="122" priority="117" operator="equal">
      <formula>"Catastrófico"</formula>
    </cfRule>
    <cfRule type="cellIs" dxfId="121" priority="118" operator="equal">
      <formula>"Mayor"</formula>
    </cfRule>
    <cfRule type="cellIs" dxfId="120" priority="119" operator="equal">
      <formula>"Moderado"</formula>
    </cfRule>
    <cfRule type="cellIs" dxfId="119" priority="120" operator="equal">
      <formula>"Menor"</formula>
    </cfRule>
    <cfRule type="cellIs" dxfId="118" priority="121" operator="equal">
      <formula>"Leve"</formula>
    </cfRule>
  </conditionalFormatting>
  <conditionalFormatting sqref="AE41">
    <cfRule type="cellIs" dxfId="117" priority="113" operator="equal">
      <formula>"Extremo"</formula>
    </cfRule>
    <cfRule type="cellIs" dxfId="116" priority="114" operator="equal">
      <formula>"Alto"</formula>
    </cfRule>
    <cfRule type="cellIs" dxfId="115" priority="115" operator="equal">
      <formula>"Moderado"</formula>
    </cfRule>
    <cfRule type="cellIs" dxfId="114" priority="116" operator="equal">
      <formula>"Bajo"</formula>
    </cfRule>
  </conditionalFormatting>
  <conditionalFormatting sqref="AA42:AA46">
    <cfRule type="cellIs" dxfId="113" priority="108" operator="equal">
      <formula>"Muy Alta"</formula>
    </cfRule>
    <cfRule type="cellIs" dxfId="112" priority="109" operator="equal">
      <formula>"Alta"</formula>
    </cfRule>
    <cfRule type="cellIs" dxfId="111" priority="110" operator="equal">
      <formula>"Media"</formula>
    </cfRule>
    <cfRule type="cellIs" dxfId="110" priority="111" operator="equal">
      <formula>"Baja"</formula>
    </cfRule>
    <cfRule type="cellIs" dxfId="109" priority="112" operator="equal">
      <formula>"Muy Baja"</formula>
    </cfRule>
  </conditionalFormatting>
  <conditionalFormatting sqref="AC42:AC46">
    <cfRule type="cellIs" dxfId="108" priority="103" operator="equal">
      <formula>"Catastrófico"</formula>
    </cfRule>
    <cfRule type="cellIs" dxfId="107" priority="104" operator="equal">
      <formula>"Mayor"</formula>
    </cfRule>
    <cfRule type="cellIs" dxfId="106" priority="105" operator="equal">
      <formula>"Moderado"</formula>
    </cfRule>
    <cfRule type="cellIs" dxfId="105" priority="106" operator="equal">
      <formula>"Menor"</formula>
    </cfRule>
    <cfRule type="cellIs" dxfId="104" priority="107" operator="equal">
      <formula>"Leve"</formula>
    </cfRule>
  </conditionalFormatting>
  <conditionalFormatting sqref="AE42:AE46">
    <cfRule type="cellIs" dxfId="103" priority="99" operator="equal">
      <formula>"Extremo"</formula>
    </cfRule>
    <cfRule type="cellIs" dxfId="102" priority="100" operator="equal">
      <formula>"Alto"</formula>
    </cfRule>
    <cfRule type="cellIs" dxfId="101" priority="101" operator="equal">
      <formula>"Moderado"</formula>
    </cfRule>
    <cfRule type="cellIs" dxfId="100" priority="102" operator="equal">
      <formula>"Bajo"</formula>
    </cfRule>
  </conditionalFormatting>
  <conditionalFormatting sqref="AA47">
    <cfRule type="cellIs" dxfId="99" priority="94" operator="equal">
      <formula>"Muy Alta"</formula>
    </cfRule>
    <cfRule type="cellIs" dxfId="98" priority="95" operator="equal">
      <formula>"Alta"</formula>
    </cfRule>
    <cfRule type="cellIs" dxfId="97" priority="96" operator="equal">
      <formula>"Media"</formula>
    </cfRule>
    <cfRule type="cellIs" dxfId="96" priority="97" operator="equal">
      <formula>"Baja"</formula>
    </cfRule>
    <cfRule type="cellIs" dxfId="95" priority="98" operator="equal">
      <formula>"Muy Baja"</formula>
    </cfRule>
  </conditionalFormatting>
  <conditionalFormatting sqref="AC47">
    <cfRule type="cellIs" dxfId="94" priority="89" operator="equal">
      <formula>"Catastrófico"</formula>
    </cfRule>
    <cfRule type="cellIs" dxfId="93" priority="90" operator="equal">
      <formula>"Mayor"</formula>
    </cfRule>
    <cfRule type="cellIs" dxfId="92" priority="91" operator="equal">
      <formula>"Moderado"</formula>
    </cfRule>
    <cfRule type="cellIs" dxfId="91" priority="92" operator="equal">
      <formula>"Menor"</formula>
    </cfRule>
    <cfRule type="cellIs" dxfId="90" priority="93" operator="equal">
      <formula>"Leve"</formula>
    </cfRule>
  </conditionalFormatting>
  <conditionalFormatting sqref="AE47">
    <cfRule type="cellIs" dxfId="89" priority="85" operator="equal">
      <formula>"Extremo"</formula>
    </cfRule>
    <cfRule type="cellIs" dxfId="88" priority="86" operator="equal">
      <formula>"Alto"</formula>
    </cfRule>
    <cfRule type="cellIs" dxfId="87" priority="87" operator="equal">
      <formula>"Moderado"</formula>
    </cfRule>
    <cfRule type="cellIs" dxfId="86" priority="88" operator="equal">
      <formula>"Bajo"</formula>
    </cfRule>
  </conditionalFormatting>
  <conditionalFormatting sqref="AA48:AA52">
    <cfRule type="cellIs" dxfId="85" priority="80" operator="equal">
      <formula>"Muy Alta"</formula>
    </cfRule>
    <cfRule type="cellIs" dxfId="84" priority="81" operator="equal">
      <formula>"Alta"</formula>
    </cfRule>
    <cfRule type="cellIs" dxfId="83" priority="82" operator="equal">
      <formula>"Media"</formula>
    </cfRule>
    <cfRule type="cellIs" dxfId="82" priority="83" operator="equal">
      <formula>"Baja"</formula>
    </cfRule>
    <cfRule type="cellIs" dxfId="81" priority="84" operator="equal">
      <formula>"Muy Baja"</formula>
    </cfRule>
  </conditionalFormatting>
  <conditionalFormatting sqref="AC48:AC52">
    <cfRule type="cellIs" dxfId="80" priority="75" operator="equal">
      <formula>"Catastrófico"</formula>
    </cfRule>
    <cfRule type="cellIs" dxfId="79" priority="76" operator="equal">
      <formula>"Mayor"</formula>
    </cfRule>
    <cfRule type="cellIs" dxfId="78" priority="77" operator="equal">
      <formula>"Moderado"</formula>
    </cfRule>
    <cfRule type="cellIs" dxfId="77" priority="78" operator="equal">
      <formula>"Menor"</formula>
    </cfRule>
    <cfRule type="cellIs" dxfId="76" priority="79" operator="equal">
      <formula>"Leve"</formula>
    </cfRule>
  </conditionalFormatting>
  <conditionalFormatting sqref="AE48:AE52">
    <cfRule type="cellIs" dxfId="75" priority="71" operator="equal">
      <formula>"Extremo"</formula>
    </cfRule>
    <cfRule type="cellIs" dxfId="74" priority="72" operator="equal">
      <formula>"Alto"</formula>
    </cfRule>
    <cfRule type="cellIs" dxfId="73" priority="73" operator="equal">
      <formula>"Moderado"</formula>
    </cfRule>
    <cfRule type="cellIs" dxfId="72" priority="74" operator="equal">
      <formula>"Bajo"</formula>
    </cfRule>
  </conditionalFormatting>
  <conditionalFormatting sqref="AA53">
    <cfRule type="cellIs" dxfId="71" priority="66" operator="equal">
      <formula>"Muy Alta"</formula>
    </cfRule>
    <cfRule type="cellIs" dxfId="70" priority="67" operator="equal">
      <formula>"Alta"</formula>
    </cfRule>
    <cfRule type="cellIs" dxfId="69" priority="68" operator="equal">
      <formula>"Media"</formula>
    </cfRule>
    <cfRule type="cellIs" dxfId="68" priority="69" operator="equal">
      <formula>"Baja"</formula>
    </cfRule>
    <cfRule type="cellIs" dxfId="67" priority="70" operator="equal">
      <formula>"Muy Baja"</formula>
    </cfRule>
  </conditionalFormatting>
  <conditionalFormatting sqref="AC53">
    <cfRule type="cellIs" dxfId="66" priority="61" operator="equal">
      <formula>"Catastrófico"</formula>
    </cfRule>
    <cfRule type="cellIs" dxfId="65" priority="62" operator="equal">
      <formula>"Mayor"</formula>
    </cfRule>
    <cfRule type="cellIs" dxfId="64" priority="63" operator="equal">
      <formula>"Moderado"</formula>
    </cfRule>
    <cfRule type="cellIs" dxfId="63" priority="64" operator="equal">
      <formula>"Menor"</formula>
    </cfRule>
    <cfRule type="cellIs" dxfId="62" priority="65" operator="equal">
      <formula>"Leve"</formula>
    </cfRule>
  </conditionalFormatting>
  <conditionalFormatting sqref="AE53">
    <cfRule type="cellIs" dxfId="61" priority="57" operator="equal">
      <formula>"Extremo"</formula>
    </cfRule>
    <cfRule type="cellIs" dxfId="60" priority="58" operator="equal">
      <formula>"Alto"</formula>
    </cfRule>
    <cfRule type="cellIs" dxfId="59" priority="59" operator="equal">
      <formula>"Moderado"</formula>
    </cfRule>
    <cfRule type="cellIs" dxfId="58" priority="60" operator="equal">
      <formula>"Bajo"</formula>
    </cfRule>
  </conditionalFormatting>
  <conditionalFormatting sqref="AA54:AA58">
    <cfRule type="cellIs" dxfId="57" priority="52" operator="equal">
      <formula>"Muy Alta"</formula>
    </cfRule>
    <cfRule type="cellIs" dxfId="56" priority="53" operator="equal">
      <formula>"Alta"</formula>
    </cfRule>
    <cfRule type="cellIs" dxfId="55" priority="54" operator="equal">
      <formula>"Media"</formula>
    </cfRule>
    <cfRule type="cellIs" dxfId="54" priority="55" operator="equal">
      <formula>"Baja"</formula>
    </cfRule>
    <cfRule type="cellIs" dxfId="53" priority="56" operator="equal">
      <formula>"Muy Baja"</formula>
    </cfRule>
  </conditionalFormatting>
  <conditionalFormatting sqref="AC54:AC58">
    <cfRule type="cellIs" dxfId="52" priority="47" operator="equal">
      <formula>"Catastrófico"</formula>
    </cfRule>
    <cfRule type="cellIs" dxfId="51" priority="48" operator="equal">
      <formula>"Mayor"</formula>
    </cfRule>
    <cfRule type="cellIs" dxfId="50" priority="49" operator="equal">
      <formula>"Moderado"</formula>
    </cfRule>
    <cfRule type="cellIs" dxfId="49" priority="50" operator="equal">
      <formula>"Menor"</formula>
    </cfRule>
    <cfRule type="cellIs" dxfId="48" priority="51" operator="equal">
      <formula>"Leve"</formula>
    </cfRule>
  </conditionalFormatting>
  <conditionalFormatting sqref="AE54:AE58">
    <cfRule type="cellIs" dxfId="47" priority="43" operator="equal">
      <formula>"Extremo"</formula>
    </cfRule>
    <cfRule type="cellIs" dxfId="46" priority="44" operator="equal">
      <formula>"Alto"</formula>
    </cfRule>
    <cfRule type="cellIs" dxfId="45" priority="45" operator="equal">
      <formula>"Moderado"</formula>
    </cfRule>
    <cfRule type="cellIs" dxfId="44" priority="46" operator="equal">
      <formula>"Bajo"</formula>
    </cfRule>
  </conditionalFormatting>
  <conditionalFormatting sqref="AA17">
    <cfRule type="cellIs" dxfId="43" priority="38" operator="equal">
      <formula>"Muy Alta"</formula>
    </cfRule>
    <cfRule type="cellIs" dxfId="42" priority="39" operator="equal">
      <formula>"Alta"</formula>
    </cfRule>
    <cfRule type="cellIs" dxfId="41" priority="40" operator="equal">
      <formula>"Media"</formula>
    </cfRule>
    <cfRule type="cellIs" dxfId="40" priority="41" operator="equal">
      <formula>"Baja"</formula>
    </cfRule>
    <cfRule type="cellIs" dxfId="39" priority="42" operator="equal">
      <formula>"Muy Baja"</formula>
    </cfRule>
  </conditionalFormatting>
  <conditionalFormatting sqref="AC17">
    <cfRule type="cellIs" dxfId="38" priority="33" operator="equal">
      <formula>"Catastrófico"</formula>
    </cfRule>
    <cfRule type="cellIs" dxfId="37" priority="34" operator="equal">
      <formula>"Mayor"</formula>
    </cfRule>
    <cfRule type="cellIs" dxfId="36" priority="35" operator="equal">
      <formula>"Moderado"</formula>
    </cfRule>
    <cfRule type="cellIs" dxfId="35" priority="36" operator="equal">
      <formula>"Menor"</formula>
    </cfRule>
    <cfRule type="cellIs" dxfId="34" priority="37" operator="equal">
      <formula>"Leve"</formula>
    </cfRule>
  </conditionalFormatting>
  <conditionalFormatting sqref="AE17">
    <cfRule type="cellIs" dxfId="33" priority="29" operator="equal">
      <formula>"Extremo"</formula>
    </cfRule>
    <cfRule type="cellIs" dxfId="32" priority="30" operator="equal">
      <formula>"Alto"</formula>
    </cfRule>
    <cfRule type="cellIs" dxfId="31" priority="31" operator="equal">
      <formula>"Moderado"</formula>
    </cfRule>
    <cfRule type="cellIs" dxfId="30" priority="32" operator="equal">
      <formula>"Bajo"</formula>
    </cfRule>
  </conditionalFormatting>
  <conditionalFormatting sqref="AA18">
    <cfRule type="cellIs" dxfId="29" priority="24" operator="equal">
      <formula>"Muy Alta"</formula>
    </cfRule>
    <cfRule type="cellIs" dxfId="28" priority="25" operator="equal">
      <formula>"Alta"</formula>
    </cfRule>
    <cfRule type="cellIs" dxfId="27" priority="26" operator="equal">
      <formula>"Media"</formula>
    </cfRule>
    <cfRule type="cellIs" dxfId="26" priority="27" operator="equal">
      <formula>"Baja"</formula>
    </cfRule>
    <cfRule type="cellIs" dxfId="25" priority="28" operator="equal">
      <formula>"Muy Baja"</formula>
    </cfRule>
  </conditionalFormatting>
  <conditionalFormatting sqref="AC18">
    <cfRule type="cellIs" dxfId="24" priority="19" operator="equal">
      <formula>"Catastrófico"</formula>
    </cfRule>
    <cfRule type="cellIs" dxfId="23" priority="20" operator="equal">
      <formula>"Mayor"</formula>
    </cfRule>
    <cfRule type="cellIs" dxfId="22" priority="21" operator="equal">
      <formula>"Moderado"</formula>
    </cfRule>
    <cfRule type="cellIs" dxfId="21" priority="22" operator="equal">
      <formula>"Menor"</formula>
    </cfRule>
    <cfRule type="cellIs" dxfId="20" priority="23" operator="equal">
      <formula>"Leve"</formula>
    </cfRule>
  </conditionalFormatting>
  <conditionalFormatting sqref="AE18">
    <cfRule type="cellIs" dxfId="19" priority="15" operator="equal">
      <formula>"Extremo"</formula>
    </cfRule>
    <cfRule type="cellIs" dxfId="18" priority="16" operator="equal">
      <formula>"Alto"</formula>
    </cfRule>
    <cfRule type="cellIs" dxfId="17" priority="17" operator="equal">
      <formula>"Moderado"</formula>
    </cfRule>
    <cfRule type="cellIs" dxfId="16" priority="18" operator="equal">
      <formula>"Bajo"</formula>
    </cfRule>
  </conditionalFormatting>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4000000}">
          <x14:formula1>
            <xm:f>'Opciones Tratamiento'!$B$9:$B$10</xm:f>
          </x14:formula1>
          <xm:sqref>AL10:AL11 AL13:AL20 AL22:AL24 AL26:AL27 AL29:AL30 AL32:AL33 AL35:AL36 AL38:AL39 AL41:AL42 AL44:AL45 AL47:AL48 AL50:AL51 AL53:AL54 AL56:AL57</xm:sqref>
        </x14:dataValidation>
        <x14:dataValidation type="list" allowBlank="1" showInputMessage="1" showErrorMessage="1" xr:uid="{00000000-0002-0000-0100-000008000000}">
          <x14:formula1>
            <xm:f>'Opciones Tratamiento'!$B$2:$B$5</xm:f>
          </x14:formula1>
          <xm:sqref>AF10 AF55:AF58 AF25:AF29 AF31:AF35 AF37:AF41 AF43:AF47 AF49:AF53 AF23 AF15 AF19</xm:sqref>
        </x14:dataValidation>
        <x14:dataValidation type="list" allowBlank="1" showInputMessage="1" showErrorMessage="1" xr:uid="{00000000-0002-0000-0100-00000F000000}">
          <x14:formula1>
            <xm:f>'C:\Users\HOME\Downloads\[Formato Matriz de Riesgos 2021 (1).xlsx]Opciones Tratamiento'!#REF!</xm:f>
          </x14:formula1>
          <xm:sqref>AF48 AF42 AF54 AF24 AF30 AF36</xm:sqref>
        </x14:dataValidation>
        <x14:dataValidation type="custom" allowBlank="1" showInputMessage="1" showErrorMessage="1" error="Recuerde que las acciones se generan bajo la medida de mitigar el riesgo" xr:uid="{00000000-0002-0000-0100-00000A000000}">
          <x14:formula1>
            <xm:f>IF(OR(AF10='Opciones Tratamiento'!$B$2,AF10='Opciones Tratamiento'!$B$3,AF10='Opciones Tratamiento'!$B$4),ISBLANK(AF10),ISTEXT(AF10))</xm:f>
          </x14:formula1>
          <xm:sqref>AG10 AG15 AG19:AG58</xm:sqref>
        </x14:dataValidation>
        <x14:dataValidation type="custom" allowBlank="1" showInputMessage="1" showErrorMessage="1" error="Recuerde que las acciones se generan bajo la medida de mitigar el riesgo" xr:uid="{00000000-0002-0000-0100-00000B000000}">
          <x14:formula1>
            <xm:f>IF(OR(AF10='Opciones Tratamiento'!$B$2,AF10='Opciones Tratamiento'!$B$3,AF10='Opciones Tratamiento'!$B$4),ISBLANK(AF10),ISTEXT(AF10))</xm:f>
          </x14:formula1>
          <xm:sqref>AH10 AH15 AH19:AH58</xm:sqref>
        </x14:dataValidation>
        <x14:dataValidation type="custom" allowBlank="1" showInputMessage="1" showErrorMessage="1" error="Recuerde que las acciones se generan bajo la medida de mitigar el riesgo" xr:uid="{00000000-0002-0000-0100-00000C000000}">
          <x14:formula1>
            <xm:f>IF(OR(AF10='Opciones Tratamiento'!$B$2,AF10='Opciones Tratamiento'!$B$3,AF10='Opciones Tratamiento'!$B$4),ISBLANK(AF10),ISTEXT(AF10))</xm:f>
          </x14:formula1>
          <xm:sqref>AI10 AI15 AI19:AI58</xm:sqref>
        </x14:dataValidation>
        <x14:dataValidation type="list" allowBlank="1" showInputMessage="1" showErrorMessage="1" xr:uid="{00000000-0002-0000-0100-000000000000}">
          <x14:formula1>
            <xm:f>'Tabla Valoración controles'!$D$4:$D$6</xm:f>
          </x14:formula1>
          <xm:sqref>T10:T58</xm:sqref>
        </x14:dataValidation>
        <x14:dataValidation type="list" allowBlank="1" showInputMessage="1" showErrorMessage="1" xr:uid="{00000000-0002-0000-0100-000001000000}">
          <x14:formula1>
            <xm:f>'Tabla Valoración controles'!$D$7:$D$8</xm:f>
          </x14:formula1>
          <xm:sqref>U10:U58</xm:sqref>
        </x14:dataValidation>
        <x14:dataValidation type="list" allowBlank="1" showInputMessage="1" showErrorMessage="1" xr:uid="{00000000-0002-0000-0100-000002000000}">
          <x14:formula1>
            <xm:f>'Tabla Valoración controles'!$D$9:$D$10</xm:f>
          </x14:formula1>
          <xm:sqref>W10:W58</xm:sqref>
        </x14:dataValidation>
        <x14:dataValidation type="list" allowBlank="1" showInputMessage="1" showErrorMessage="1" xr:uid="{00000000-0002-0000-0100-000003000000}">
          <x14:formula1>
            <xm:f>'Tabla Valoración controles'!$D$11:$D$12</xm:f>
          </x14:formula1>
          <xm:sqref>X10:X58</xm:sqref>
        </x14:dataValidation>
        <x14:dataValidation type="list" allowBlank="1" showInputMessage="1" showErrorMessage="1" xr:uid="{00000000-0002-0000-0100-000005000000}">
          <x14:formula1>
            <xm:f>'Tabla Valoración controles'!$D$13:$D$14</xm:f>
          </x14:formula1>
          <xm:sqref>Y10:Y58</xm:sqref>
        </x14:dataValidation>
        <x14:dataValidation type="list" allowBlank="1" showInputMessage="1" showErrorMessage="1" xr:uid="{00000000-0002-0000-0100-000006000000}">
          <x14:formula1>
            <xm:f>'Opciones Tratamiento'!$B$13:$B$19</xm:f>
          </x14:formula1>
          <xm:sqref>H10:H58</xm:sqref>
        </x14:dataValidation>
        <x14:dataValidation type="list" allowBlank="1" showInputMessage="1" showErrorMessage="1" xr:uid="{00000000-0002-0000-0100-000007000000}">
          <x14:formula1>
            <xm:f>'Opciones Tratamiento'!$E$2:$E$4</xm:f>
          </x14:formula1>
          <xm:sqref>B10:B58</xm:sqref>
        </x14:dataValidation>
        <x14:dataValidation type="list" allowBlank="1" showInputMessage="1" showErrorMessage="1" xr:uid="{00000000-0002-0000-0100-000009000000}">
          <x14:formula1>
            <xm:f>'Tabla Impacto'!$F$210:$F$221</xm:f>
          </x14:formula1>
          <xm:sqref>L10:L58</xm:sqref>
        </x14:dataValidation>
        <x14:dataValidation type="custom" allowBlank="1" showInputMessage="1" showErrorMessage="1" error="Recuerde que las acciones se generan bajo la medida de mitigar el riesgo" xr:uid="{00000000-0002-0000-0100-00000D000000}">
          <x14:formula1>
            <xm:f>IF(OR(AF10='Opciones Tratamiento'!$B$2,AF10='Opciones Tratamiento'!$B$3,AF10='Opciones Tratamiento'!$B$4),ISBLANK(AF10),ISTEXT(AF10))</xm:f>
          </x14:formula1>
          <xm:sqref>AJ10:AJ58</xm:sqref>
        </x14:dataValidation>
        <x14:dataValidation type="custom" allowBlank="1" showInputMessage="1" showErrorMessage="1" error="Recuerde que las acciones se generan bajo la medida de mitigar el riesgo" xr:uid="{00000000-0002-0000-0100-00000E000000}">
          <x14:formula1>
            <xm:f>IF(OR(AF10='Opciones Tratamiento'!$B$2,AF10='Opciones Tratamiento'!$B$3,AF10='Opciones Tratamiento'!$B$4),ISBLANK(AF10),ISTEXT(AF10))</xm:f>
          </x14:formula1>
          <xm:sqref>AK10:AK58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U140"/>
  <sheetViews>
    <sheetView zoomScale="70" zoomScaleNormal="70" workbookViewId="0"/>
  </sheetViews>
  <sheetFormatPr baseColWidth="10" defaultColWidth="11.5546875" defaultRowHeight="14.4" x14ac:dyDescent="0.3"/>
  <cols>
    <col min="2" max="39" width="5.6640625" customWidth="1"/>
    <col min="41" max="46" width="5.6640625" customWidth="1"/>
  </cols>
  <sheetData>
    <row r="1" spans="1:99" x14ac:dyDescent="0.3">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row>
    <row r="2" spans="1:99" ht="18" customHeight="1" x14ac:dyDescent="0.3">
      <c r="A2" s="54"/>
      <c r="B2" s="379" t="s">
        <v>149</v>
      </c>
      <c r="C2" s="379"/>
      <c r="D2" s="379"/>
      <c r="E2" s="379"/>
      <c r="F2" s="379"/>
      <c r="G2" s="379"/>
      <c r="H2" s="379"/>
      <c r="I2" s="379"/>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row>
    <row r="3" spans="1:99" ht="18.75" customHeight="1" x14ac:dyDescent="0.3">
      <c r="A3" s="54"/>
      <c r="B3" s="379"/>
      <c r="C3" s="379"/>
      <c r="D3" s="379"/>
      <c r="E3" s="379"/>
      <c r="F3" s="379"/>
      <c r="G3" s="379"/>
      <c r="H3" s="379"/>
      <c r="I3" s="379"/>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row>
    <row r="4" spans="1:99" ht="15" customHeight="1" x14ac:dyDescent="0.3">
      <c r="A4" s="54"/>
      <c r="B4" s="379"/>
      <c r="C4" s="379"/>
      <c r="D4" s="379"/>
      <c r="E4" s="379"/>
      <c r="F4" s="379"/>
      <c r="G4" s="379"/>
      <c r="H4" s="379"/>
      <c r="I4" s="379"/>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row>
    <row r="5" spans="1:99" ht="15" thickBot="1" x14ac:dyDescent="0.3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row>
    <row r="6" spans="1:99" ht="15" customHeight="1" x14ac:dyDescent="0.3">
      <c r="A6" s="54"/>
      <c r="B6" s="292" t="s">
        <v>4</v>
      </c>
      <c r="C6" s="292"/>
      <c r="D6" s="293"/>
      <c r="E6" s="330" t="s">
        <v>111</v>
      </c>
      <c r="F6" s="331"/>
      <c r="G6" s="331"/>
      <c r="H6" s="331"/>
      <c r="I6" s="332"/>
      <c r="J6" s="342" t="str">
        <f ca="1">IF(AND('Mapa final'!$J$10="Muy Alta",'Mapa final'!$N$10="Leve"),CONCATENATE("R",'Mapa final'!$A$10),"")</f>
        <v/>
      </c>
      <c r="K6" s="343"/>
      <c r="L6" s="343" t="str">
        <f ca="1">IF(AND('Mapa final'!$J$15="Muy Alta",'Mapa final'!$N$15="Leve"),CONCATENATE("R",'Mapa final'!$A$15),"")</f>
        <v/>
      </c>
      <c r="M6" s="343"/>
      <c r="N6" s="343" t="e">
        <f>IF(AND('Mapa final'!#REF!="Muy Alta",'Mapa final'!#REF!="Leve"),CONCATENATE("R",'Mapa final'!#REF!),"")</f>
        <v>#REF!</v>
      </c>
      <c r="O6" s="345"/>
      <c r="P6" s="342" t="str">
        <f ca="1">IF(AND('Mapa final'!$J$10="Muy Alta",'Mapa final'!$N$10="Menor"),CONCATENATE("R",'Mapa final'!$A$10),"")</f>
        <v/>
      </c>
      <c r="Q6" s="343"/>
      <c r="R6" s="343" t="str">
        <f ca="1">IF(AND('Mapa final'!$J$15="Muy Alta",'Mapa final'!$N$15="Menor"),CONCATENATE("R",'Mapa final'!$A$15),"")</f>
        <v/>
      </c>
      <c r="S6" s="343"/>
      <c r="T6" s="343" t="e">
        <f>IF(AND('Mapa final'!#REF!="Muy Alta",'Mapa final'!#REF!="Menor"),CONCATENATE("R",'Mapa final'!#REF!),"")</f>
        <v>#REF!</v>
      </c>
      <c r="U6" s="345"/>
      <c r="V6" s="342" t="str">
        <f ca="1">IF(AND('Mapa final'!$J$10="Muy Alta",'Mapa final'!$N$10="Moderado"),CONCATENATE("R",'Mapa final'!$A$10),"")</f>
        <v/>
      </c>
      <c r="W6" s="343"/>
      <c r="X6" s="343" t="str">
        <f ca="1">IF(AND('Mapa final'!$J$15="Muy Alta",'Mapa final'!$N$15="Moderado"),CONCATENATE("R",'Mapa final'!$A$15),"")</f>
        <v/>
      </c>
      <c r="Y6" s="343"/>
      <c r="Z6" s="343" t="e">
        <f>IF(AND('Mapa final'!#REF!="Muy Alta",'Mapa final'!#REF!="Moderado"),CONCATENATE("R",'Mapa final'!#REF!),"")</f>
        <v>#REF!</v>
      </c>
      <c r="AA6" s="345"/>
      <c r="AB6" s="342" t="str">
        <f ca="1">IF(AND('Mapa final'!$J$10="Muy Alta",'Mapa final'!$N$10="Mayor"),CONCATENATE("R",'Mapa final'!$A$10),"")</f>
        <v/>
      </c>
      <c r="AC6" s="343"/>
      <c r="AD6" s="343" t="str">
        <f ca="1">IF(AND('Mapa final'!$J$15="Muy Alta",'Mapa final'!$N$15="Mayor"),CONCATENATE("R",'Mapa final'!$A$15),"")</f>
        <v/>
      </c>
      <c r="AE6" s="343"/>
      <c r="AF6" s="343" t="e">
        <f>IF(AND('Mapa final'!#REF!="Muy Alta",'Mapa final'!#REF!="Mayor"),CONCATENATE("R",'Mapa final'!#REF!),"")</f>
        <v>#REF!</v>
      </c>
      <c r="AG6" s="345"/>
      <c r="AH6" s="358" t="str">
        <f ca="1">IF(AND('Mapa final'!$J$10="Muy Alta",'Mapa final'!$N$10="Catastrófico"),CONCATENATE("R",'Mapa final'!$A$10),"")</f>
        <v/>
      </c>
      <c r="AI6" s="359"/>
      <c r="AJ6" s="359" t="str">
        <f ca="1">IF(AND('Mapa final'!$J$15="Muy Alta",'Mapa final'!$N$15="Catastrófico"),CONCATENATE("R",'Mapa final'!$A$15),"")</f>
        <v/>
      </c>
      <c r="AK6" s="359"/>
      <c r="AL6" s="359" t="e">
        <f>IF(AND('Mapa final'!#REF!="Muy Alta",'Mapa final'!#REF!="Catastrófico"),CONCATENATE("R",'Mapa final'!#REF!),"")</f>
        <v>#REF!</v>
      </c>
      <c r="AM6" s="360"/>
      <c r="AO6" s="294" t="s">
        <v>78</v>
      </c>
      <c r="AP6" s="295"/>
      <c r="AQ6" s="295"/>
      <c r="AR6" s="295"/>
      <c r="AS6" s="295"/>
      <c r="AT6" s="296"/>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row>
    <row r="7" spans="1:99" ht="15" customHeight="1" x14ac:dyDescent="0.3">
      <c r="A7" s="54"/>
      <c r="B7" s="292"/>
      <c r="C7" s="292"/>
      <c r="D7" s="293"/>
      <c r="E7" s="333"/>
      <c r="F7" s="334"/>
      <c r="G7" s="334"/>
      <c r="H7" s="334"/>
      <c r="I7" s="335"/>
      <c r="J7" s="344"/>
      <c r="K7" s="341"/>
      <c r="L7" s="341"/>
      <c r="M7" s="341"/>
      <c r="N7" s="341"/>
      <c r="O7" s="340"/>
      <c r="P7" s="344"/>
      <c r="Q7" s="341"/>
      <c r="R7" s="341"/>
      <c r="S7" s="341"/>
      <c r="T7" s="341"/>
      <c r="U7" s="340"/>
      <c r="V7" s="344"/>
      <c r="W7" s="341"/>
      <c r="X7" s="341"/>
      <c r="Y7" s="341"/>
      <c r="Z7" s="341"/>
      <c r="AA7" s="340"/>
      <c r="AB7" s="344"/>
      <c r="AC7" s="341"/>
      <c r="AD7" s="341"/>
      <c r="AE7" s="341"/>
      <c r="AF7" s="341"/>
      <c r="AG7" s="340"/>
      <c r="AH7" s="352"/>
      <c r="AI7" s="353"/>
      <c r="AJ7" s="353"/>
      <c r="AK7" s="353"/>
      <c r="AL7" s="353"/>
      <c r="AM7" s="354"/>
      <c r="AN7" s="54"/>
      <c r="AO7" s="297"/>
      <c r="AP7" s="298"/>
      <c r="AQ7" s="298"/>
      <c r="AR7" s="298"/>
      <c r="AS7" s="298"/>
      <c r="AT7" s="299"/>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row>
    <row r="8" spans="1:99" ht="15" customHeight="1" x14ac:dyDescent="0.3">
      <c r="A8" s="54"/>
      <c r="B8" s="292"/>
      <c r="C8" s="292"/>
      <c r="D8" s="293"/>
      <c r="E8" s="333"/>
      <c r="F8" s="334"/>
      <c r="G8" s="334"/>
      <c r="H8" s="334"/>
      <c r="I8" s="335"/>
      <c r="J8" s="344" t="str">
        <f ca="1">IF(AND('Mapa final'!$J$19="Muy Alta",'Mapa final'!$N$19="Leve"),CONCATENATE("R",'Mapa final'!$A$19),"")</f>
        <v/>
      </c>
      <c r="K8" s="341"/>
      <c r="L8" s="339" t="str">
        <f ca="1">IF(AND('Mapa final'!$J$23="Muy Alta",'Mapa final'!$N$23="Leve"),CONCATENATE("R",'Mapa final'!$A$23),"")</f>
        <v/>
      </c>
      <c r="M8" s="339"/>
      <c r="N8" s="339" t="str">
        <f ca="1">IF(AND('Mapa final'!$J$29="Muy Alta",'Mapa final'!$N$29="Leve"),CONCATENATE("R",'Mapa final'!$A$29),"")</f>
        <v/>
      </c>
      <c r="O8" s="340"/>
      <c r="P8" s="344" t="str">
        <f ca="1">IF(AND('Mapa final'!$J$19="Muy Alta",'Mapa final'!$N$19="Menor"),CONCATENATE("R",'Mapa final'!$A$19),"")</f>
        <v/>
      </c>
      <c r="Q8" s="341"/>
      <c r="R8" s="339" t="str">
        <f ca="1">IF(AND('Mapa final'!$J$23="Muy Alta",'Mapa final'!$N$23="Menor"),CONCATENATE("R",'Mapa final'!$A$23),"")</f>
        <v/>
      </c>
      <c r="S8" s="339"/>
      <c r="T8" s="339" t="str">
        <f ca="1">IF(AND('Mapa final'!$J$29="Muy Alta",'Mapa final'!$N$29="Menor"),CONCATENATE("R",'Mapa final'!$A$29),"")</f>
        <v/>
      </c>
      <c r="U8" s="340"/>
      <c r="V8" s="344" t="str">
        <f ca="1">IF(AND('Mapa final'!$J$19="Muy Alta",'Mapa final'!$N$19="Moderado"),CONCATENATE("R",'Mapa final'!$A$19),"")</f>
        <v/>
      </c>
      <c r="W8" s="341"/>
      <c r="X8" s="339" t="str">
        <f ca="1">IF(AND('Mapa final'!$J$23="Muy Alta",'Mapa final'!$N$23="Moderado"),CONCATENATE("R",'Mapa final'!$A$23),"")</f>
        <v/>
      </c>
      <c r="Y8" s="339"/>
      <c r="Z8" s="339" t="str">
        <f ca="1">IF(AND('Mapa final'!$J$29="Muy Alta",'Mapa final'!$N$29="Moderado"),CONCATENATE("R",'Mapa final'!$A$29),"")</f>
        <v/>
      </c>
      <c r="AA8" s="340"/>
      <c r="AB8" s="344" t="str">
        <f ca="1">IF(AND('Mapa final'!$J$19="Muy Alta",'Mapa final'!$N$19="Mayor"),CONCATENATE("R",'Mapa final'!$A$19),"")</f>
        <v/>
      </c>
      <c r="AC8" s="341"/>
      <c r="AD8" s="339" t="str">
        <f ca="1">IF(AND('Mapa final'!$J$23="Muy Alta",'Mapa final'!$N$23="Mayor"),CONCATENATE("R",'Mapa final'!$A$23),"")</f>
        <v/>
      </c>
      <c r="AE8" s="339"/>
      <c r="AF8" s="339" t="str">
        <f ca="1">IF(AND('Mapa final'!$J$29="Muy Alta",'Mapa final'!$N$29="Mayor"),CONCATENATE("R",'Mapa final'!$A$29),"")</f>
        <v/>
      </c>
      <c r="AG8" s="340"/>
      <c r="AH8" s="352" t="str">
        <f ca="1">IF(AND('Mapa final'!$J$19="Muy Alta",'Mapa final'!$N$19="Catastrófico"),CONCATENATE("R",'Mapa final'!$A$19),"")</f>
        <v>R3</v>
      </c>
      <c r="AI8" s="353"/>
      <c r="AJ8" s="353" t="str">
        <f ca="1">IF(AND('Mapa final'!$J$23="Muy Alta",'Mapa final'!$N$23="Catastrófico"),CONCATENATE("R",'Mapa final'!$A$23),"")</f>
        <v/>
      </c>
      <c r="AK8" s="353"/>
      <c r="AL8" s="353" t="str">
        <f ca="1">IF(AND('Mapa final'!$J$29="Muy Alta",'Mapa final'!$N$29="Catastrófico"),CONCATENATE("R",'Mapa final'!$A$29),"")</f>
        <v/>
      </c>
      <c r="AM8" s="354"/>
      <c r="AN8" s="54"/>
      <c r="AO8" s="297"/>
      <c r="AP8" s="298"/>
      <c r="AQ8" s="298"/>
      <c r="AR8" s="298"/>
      <c r="AS8" s="298"/>
      <c r="AT8" s="299"/>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row>
    <row r="9" spans="1:99" ht="15" customHeight="1" x14ac:dyDescent="0.3">
      <c r="A9" s="54"/>
      <c r="B9" s="292"/>
      <c r="C9" s="292"/>
      <c r="D9" s="293"/>
      <c r="E9" s="333"/>
      <c r="F9" s="334"/>
      <c r="G9" s="334"/>
      <c r="H9" s="334"/>
      <c r="I9" s="335"/>
      <c r="J9" s="344"/>
      <c r="K9" s="341"/>
      <c r="L9" s="339"/>
      <c r="M9" s="339"/>
      <c r="N9" s="339"/>
      <c r="O9" s="340"/>
      <c r="P9" s="344"/>
      <c r="Q9" s="341"/>
      <c r="R9" s="339"/>
      <c r="S9" s="339"/>
      <c r="T9" s="339"/>
      <c r="U9" s="340"/>
      <c r="V9" s="344"/>
      <c r="W9" s="341"/>
      <c r="X9" s="339"/>
      <c r="Y9" s="339"/>
      <c r="Z9" s="339"/>
      <c r="AA9" s="340"/>
      <c r="AB9" s="344"/>
      <c r="AC9" s="341"/>
      <c r="AD9" s="339"/>
      <c r="AE9" s="339"/>
      <c r="AF9" s="339"/>
      <c r="AG9" s="340"/>
      <c r="AH9" s="352"/>
      <c r="AI9" s="353"/>
      <c r="AJ9" s="353"/>
      <c r="AK9" s="353"/>
      <c r="AL9" s="353"/>
      <c r="AM9" s="354"/>
      <c r="AN9" s="54"/>
      <c r="AO9" s="297"/>
      <c r="AP9" s="298"/>
      <c r="AQ9" s="298"/>
      <c r="AR9" s="298"/>
      <c r="AS9" s="298"/>
      <c r="AT9" s="299"/>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row>
    <row r="10" spans="1:99" ht="15" customHeight="1" x14ac:dyDescent="0.3">
      <c r="A10" s="54"/>
      <c r="B10" s="292"/>
      <c r="C10" s="292"/>
      <c r="D10" s="293"/>
      <c r="E10" s="333"/>
      <c r="F10" s="334"/>
      <c r="G10" s="334"/>
      <c r="H10" s="334"/>
      <c r="I10" s="335"/>
      <c r="J10" s="344" t="str">
        <f ca="1">IF(AND('Mapa final'!$J$35="Muy Alta",'Mapa final'!$N$35="Leve"),CONCATENATE("R",'Mapa final'!$A$35),"")</f>
        <v/>
      </c>
      <c r="K10" s="341"/>
      <c r="L10" s="339" t="str">
        <f ca="1">IF(AND('Mapa final'!$J$41="Muy Alta",'Mapa final'!$N$41="Leve"),CONCATENATE("R",'Mapa final'!$A$41),"")</f>
        <v/>
      </c>
      <c r="M10" s="339"/>
      <c r="N10" s="339" t="str">
        <f ca="1">IF(AND('Mapa final'!$J$47="Muy Alta",'Mapa final'!$N$47="Leve"),CONCATENATE("R",'Mapa final'!$A$47),"")</f>
        <v/>
      </c>
      <c r="O10" s="340"/>
      <c r="P10" s="344" t="str">
        <f ca="1">IF(AND('Mapa final'!$J$35="Muy Alta",'Mapa final'!$N$35="Menor"),CONCATENATE("R",'Mapa final'!$A$35),"")</f>
        <v/>
      </c>
      <c r="Q10" s="341"/>
      <c r="R10" s="339" t="str">
        <f ca="1">IF(AND('Mapa final'!$J$41="Muy Alta",'Mapa final'!$N$41="Menor"),CONCATENATE("R",'Mapa final'!$A$41),"")</f>
        <v/>
      </c>
      <c r="S10" s="339"/>
      <c r="T10" s="339" t="str">
        <f ca="1">IF(AND('Mapa final'!$J$47="Muy Alta",'Mapa final'!$N$47="Menor"),CONCATENATE("R",'Mapa final'!$A$47),"")</f>
        <v/>
      </c>
      <c r="U10" s="340"/>
      <c r="V10" s="344" t="str">
        <f ca="1">IF(AND('Mapa final'!$J$35="Muy Alta",'Mapa final'!$N$35="Moderado"),CONCATENATE("R",'Mapa final'!$A$35),"")</f>
        <v/>
      </c>
      <c r="W10" s="341"/>
      <c r="X10" s="339" t="str">
        <f ca="1">IF(AND('Mapa final'!$J$41="Muy Alta",'Mapa final'!$N$41="Moderado"),CONCATENATE("R",'Mapa final'!$A$41),"")</f>
        <v/>
      </c>
      <c r="Y10" s="339"/>
      <c r="Z10" s="339" t="str">
        <f ca="1">IF(AND('Mapa final'!$J$47="Muy Alta",'Mapa final'!$N$47="Moderado"),CONCATENATE("R",'Mapa final'!$A$47),"")</f>
        <v/>
      </c>
      <c r="AA10" s="340"/>
      <c r="AB10" s="344" t="str">
        <f ca="1">IF(AND('Mapa final'!$J$35="Muy Alta",'Mapa final'!$N$35="Mayor"),CONCATENATE("R",'Mapa final'!$A$35),"")</f>
        <v/>
      </c>
      <c r="AC10" s="341"/>
      <c r="AD10" s="339" t="str">
        <f ca="1">IF(AND('Mapa final'!$J$41="Muy Alta",'Mapa final'!$N$41="Mayor"),CONCATENATE("R",'Mapa final'!$A$41),"")</f>
        <v/>
      </c>
      <c r="AE10" s="339"/>
      <c r="AF10" s="339" t="str">
        <f ca="1">IF(AND('Mapa final'!$J$47="Muy Alta",'Mapa final'!$N$47="Mayor"),CONCATENATE("R",'Mapa final'!$A$47),"")</f>
        <v/>
      </c>
      <c r="AG10" s="340"/>
      <c r="AH10" s="352" t="str">
        <f ca="1">IF(AND('Mapa final'!$J$35="Muy Alta",'Mapa final'!$N$35="Catastrófico"),CONCATENATE("R",'Mapa final'!$A$35),"")</f>
        <v/>
      </c>
      <c r="AI10" s="353"/>
      <c r="AJ10" s="353" t="str">
        <f ca="1">IF(AND('Mapa final'!$J$41="Muy Alta",'Mapa final'!$N$41="Catastrófico"),CONCATENATE("R",'Mapa final'!$A$41),"")</f>
        <v/>
      </c>
      <c r="AK10" s="353"/>
      <c r="AL10" s="353" t="str">
        <f ca="1">IF(AND('Mapa final'!$J$47="Muy Alta",'Mapa final'!$N$47="Catastrófico"),CONCATENATE("R",'Mapa final'!$A$47),"")</f>
        <v/>
      </c>
      <c r="AM10" s="354"/>
      <c r="AN10" s="54"/>
      <c r="AO10" s="297"/>
      <c r="AP10" s="298"/>
      <c r="AQ10" s="298"/>
      <c r="AR10" s="298"/>
      <c r="AS10" s="298"/>
      <c r="AT10" s="299"/>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row>
    <row r="11" spans="1:99" ht="15" customHeight="1" x14ac:dyDescent="0.3">
      <c r="A11" s="54"/>
      <c r="B11" s="292"/>
      <c r="C11" s="292"/>
      <c r="D11" s="293"/>
      <c r="E11" s="333"/>
      <c r="F11" s="334"/>
      <c r="G11" s="334"/>
      <c r="H11" s="334"/>
      <c r="I11" s="335"/>
      <c r="J11" s="344"/>
      <c r="K11" s="341"/>
      <c r="L11" s="339"/>
      <c r="M11" s="339"/>
      <c r="N11" s="339"/>
      <c r="O11" s="340"/>
      <c r="P11" s="344"/>
      <c r="Q11" s="341"/>
      <c r="R11" s="339"/>
      <c r="S11" s="339"/>
      <c r="T11" s="339"/>
      <c r="U11" s="340"/>
      <c r="V11" s="344"/>
      <c r="W11" s="341"/>
      <c r="X11" s="339"/>
      <c r="Y11" s="339"/>
      <c r="Z11" s="339"/>
      <c r="AA11" s="340"/>
      <c r="AB11" s="344"/>
      <c r="AC11" s="341"/>
      <c r="AD11" s="339"/>
      <c r="AE11" s="339"/>
      <c r="AF11" s="339"/>
      <c r="AG11" s="340"/>
      <c r="AH11" s="352"/>
      <c r="AI11" s="353"/>
      <c r="AJ11" s="353"/>
      <c r="AK11" s="353"/>
      <c r="AL11" s="353"/>
      <c r="AM11" s="354"/>
      <c r="AN11" s="54"/>
      <c r="AO11" s="297"/>
      <c r="AP11" s="298"/>
      <c r="AQ11" s="298"/>
      <c r="AR11" s="298"/>
      <c r="AS11" s="298"/>
      <c r="AT11" s="299"/>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row>
    <row r="12" spans="1:99" ht="15" customHeight="1" x14ac:dyDescent="0.3">
      <c r="A12" s="54"/>
      <c r="B12" s="292"/>
      <c r="C12" s="292"/>
      <c r="D12" s="293"/>
      <c r="E12" s="333"/>
      <c r="F12" s="334"/>
      <c r="G12" s="334"/>
      <c r="H12" s="334"/>
      <c r="I12" s="335"/>
      <c r="J12" s="344" t="str">
        <f ca="1">IF(AND('Mapa final'!$J$53="Muy Alta",'Mapa final'!$N$53="Leve"),CONCATENATE("R",'Mapa final'!$A$53),"")</f>
        <v/>
      </c>
      <c r="K12" s="341"/>
      <c r="L12" s="339" t="str">
        <f>IF(AND('Mapa final'!$J$59="Muy Alta",'Mapa final'!$N$59="Leve"),CONCATENATE("R",'Mapa final'!$A$59),"")</f>
        <v/>
      </c>
      <c r="M12" s="339"/>
      <c r="N12" s="339" t="str">
        <f>IF(AND('Mapa final'!$J$65="Muy Alta",'Mapa final'!$N$65="Leve"),CONCATENATE("R",'Mapa final'!$A$65),"")</f>
        <v/>
      </c>
      <c r="O12" s="340"/>
      <c r="P12" s="344" t="str">
        <f ca="1">IF(AND('Mapa final'!$J$53="Muy Alta",'Mapa final'!$N$53="Menor"),CONCATENATE("R",'Mapa final'!$A$53),"")</f>
        <v/>
      </c>
      <c r="Q12" s="341"/>
      <c r="R12" s="339" t="str">
        <f>IF(AND('Mapa final'!$J$59="Muy Alta",'Mapa final'!$N$59="Menor"),CONCATENATE("R",'Mapa final'!$A$59),"")</f>
        <v/>
      </c>
      <c r="S12" s="339"/>
      <c r="T12" s="339" t="str">
        <f>IF(AND('Mapa final'!$J$65="Muy Alta",'Mapa final'!$N$65="Menor"),CONCATENATE("R",'Mapa final'!$A$65),"")</f>
        <v/>
      </c>
      <c r="U12" s="340"/>
      <c r="V12" s="344" t="str">
        <f ca="1">IF(AND('Mapa final'!$J$53="Muy Alta",'Mapa final'!$N$53="Moderado"),CONCATENATE("R",'Mapa final'!$A$53),"")</f>
        <v/>
      </c>
      <c r="W12" s="341"/>
      <c r="X12" s="339" t="str">
        <f>IF(AND('Mapa final'!$J$59="Muy Alta",'Mapa final'!$N$59="Moderado"),CONCATENATE("R",'Mapa final'!$A$59),"")</f>
        <v/>
      </c>
      <c r="Y12" s="339"/>
      <c r="Z12" s="339" t="str">
        <f>IF(AND('Mapa final'!$J$65="Muy Alta",'Mapa final'!$N$65="Moderado"),CONCATENATE("R",'Mapa final'!$A$65),"")</f>
        <v/>
      </c>
      <c r="AA12" s="340"/>
      <c r="AB12" s="344" t="str">
        <f ca="1">IF(AND('Mapa final'!$J$53="Muy Alta",'Mapa final'!$N$53="Mayor"),CONCATENATE("R",'Mapa final'!$A$53),"")</f>
        <v/>
      </c>
      <c r="AC12" s="341"/>
      <c r="AD12" s="339" t="str">
        <f>IF(AND('Mapa final'!$J$59="Muy Alta",'Mapa final'!$N$59="Mayor"),CONCATENATE("R",'Mapa final'!$A$59),"")</f>
        <v/>
      </c>
      <c r="AE12" s="339"/>
      <c r="AF12" s="339" t="str">
        <f>IF(AND('Mapa final'!$J$65="Muy Alta",'Mapa final'!$N$65="Mayor"),CONCATENATE("R",'Mapa final'!$A$65),"")</f>
        <v/>
      </c>
      <c r="AG12" s="340"/>
      <c r="AH12" s="352" t="str">
        <f ca="1">IF(AND('Mapa final'!$J$53="Muy Alta",'Mapa final'!$N$53="Catastrófico"),CONCATENATE("R",'Mapa final'!$A$53),"")</f>
        <v/>
      </c>
      <c r="AI12" s="353"/>
      <c r="AJ12" s="353" t="str">
        <f>IF(AND('Mapa final'!$J$59="Muy Alta",'Mapa final'!$N$59="Catastrófico"),CONCATENATE("R",'Mapa final'!$A$59),"")</f>
        <v/>
      </c>
      <c r="AK12" s="353"/>
      <c r="AL12" s="353" t="str">
        <f>IF(AND('Mapa final'!$J$65="Muy Alta",'Mapa final'!$N$65="Catastrófico"),CONCATENATE("R",'Mapa final'!$A$65),"")</f>
        <v/>
      </c>
      <c r="AM12" s="354"/>
      <c r="AN12" s="54"/>
      <c r="AO12" s="297"/>
      <c r="AP12" s="298"/>
      <c r="AQ12" s="298"/>
      <c r="AR12" s="298"/>
      <c r="AS12" s="298"/>
      <c r="AT12" s="299"/>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row>
    <row r="13" spans="1:99" ht="15.75" customHeight="1" thickBot="1" x14ac:dyDescent="0.35">
      <c r="A13" s="54"/>
      <c r="B13" s="292"/>
      <c r="C13" s="292"/>
      <c r="D13" s="293"/>
      <c r="E13" s="336"/>
      <c r="F13" s="337"/>
      <c r="G13" s="337"/>
      <c r="H13" s="337"/>
      <c r="I13" s="338"/>
      <c r="J13" s="344"/>
      <c r="K13" s="341"/>
      <c r="L13" s="341"/>
      <c r="M13" s="341"/>
      <c r="N13" s="341"/>
      <c r="O13" s="340"/>
      <c r="P13" s="344"/>
      <c r="Q13" s="341"/>
      <c r="R13" s="341"/>
      <c r="S13" s="341"/>
      <c r="T13" s="341"/>
      <c r="U13" s="340"/>
      <c r="V13" s="344"/>
      <c r="W13" s="341"/>
      <c r="X13" s="341"/>
      <c r="Y13" s="341"/>
      <c r="Z13" s="341"/>
      <c r="AA13" s="340"/>
      <c r="AB13" s="344"/>
      <c r="AC13" s="341"/>
      <c r="AD13" s="341"/>
      <c r="AE13" s="341"/>
      <c r="AF13" s="341"/>
      <c r="AG13" s="340"/>
      <c r="AH13" s="355"/>
      <c r="AI13" s="356"/>
      <c r="AJ13" s="356"/>
      <c r="AK13" s="356"/>
      <c r="AL13" s="356"/>
      <c r="AM13" s="357"/>
      <c r="AN13" s="54"/>
      <c r="AO13" s="300"/>
      <c r="AP13" s="301"/>
      <c r="AQ13" s="301"/>
      <c r="AR13" s="301"/>
      <c r="AS13" s="301"/>
      <c r="AT13" s="302"/>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row>
    <row r="14" spans="1:99" ht="15" customHeight="1" x14ac:dyDescent="0.3">
      <c r="A14" s="54"/>
      <c r="B14" s="292"/>
      <c r="C14" s="292"/>
      <c r="D14" s="293"/>
      <c r="E14" s="330" t="s">
        <v>110</v>
      </c>
      <c r="F14" s="331"/>
      <c r="G14" s="331"/>
      <c r="H14" s="331"/>
      <c r="I14" s="331"/>
      <c r="J14" s="367" t="str">
        <f ca="1">IF(AND('Mapa final'!$J$10="Alta",'Mapa final'!$N$10="Leve"),CONCATENATE("R",'Mapa final'!$A$10),"")</f>
        <v/>
      </c>
      <c r="K14" s="368"/>
      <c r="L14" s="368" t="str">
        <f ca="1">IF(AND('Mapa final'!$J$15="Alta",'Mapa final'!$N$15="Leve"),CONCATENATE("R",'Mapa final'!$A$15),"")</f>
        <v/>
      </c>
      <c r="M14" s="368"/>
      <c r="N14" s="368" t="e">
        <f>IF(AND('Mapa final'!#REF!="Alta",'Mapa final'!#REF!="Leve"),CONCATENATE("R",'Mapa final'!#REF!),"")</f>
        <v>#REF!</v>
      </c>
      <c r="O14" s="369"/>
      <c r="P14" s="367" t="str">
        <f ca="1">IF(AND('Mapa final'!$J$10="Alta",'Mapa final'!$N$10="Menor"),CONCATENATE("R",'Mapa final'!$A$10),"")</f>
        <v/>
      </c>
      <c r="Q14" s="368"/>
      <c r="R14" s="368" t="str">
        <f ca="1">IF(AND('Mapa final'!$J$15="Alta",'Mapa final'!$N$15="Menor"),CONCATENATE("R",'Mapa final'!$A$15),"")</f>
        <v/>
      </c>
      <c r="S14" s="368"/>
      <c r="T14" s="368" t="e">
        <f>IF(AND('Mapa final'!#REF!="Alta",'Mapa final'!#REF!="Menor"),CONCATENATE("R",'Mapa final'!#REF!),"")</f>
        <v>#REF!</v>
      </c>
      <c r="U14" s="369"/>
      <c r="V14" s="342" t="str">
        <f ca="1">IF(AND('Mapa final'!$J$10="Alta",'Mapa final'!$N$10="Moderado"),CONCATENATE("R",'Mapa final'!$A$10),"")</f>
        <v/>
      </c>
      <c r="W14" s="343"/>
      <c r="X14" s="343" t="str">
        <f ca="1">IF(AND('Mapa final'!$J$15="Alta",'Mapa final'!$N$15="Moderado"),CONCATENATE("R",'Mapa final'!$A$15),"")</f>
        <v/>
      </c>
      <c r="Y14" s="343"/>
      <c r="Z14" s="343" t="e">
        <f>IF(AND('Mapa final'!#REF!="Alta",'Mapa final'!#REF!="Moderado"),CONCATENATE("R",'Mapa final'!#REF!),"")</f>
        <v>#REF!</v>
      </c>
      <c r="AA14" s="345"/>
      <c r="AB14" s="342" t="str">
        <f ca="1">IF(AND('Mapa final'!$J$10="Alta",'Mapa final'!$N$10="Mayor"),CONCATENATE("R",'Mapa final'!$A$10),"")</f>
        <v/>
      </c>
      <c r="AC14" s="343"/>
      <c r="AD14" s="343" t="str">
        <f ca="1">IF(AND('Mapa final'!$J$15="Alta",'Mapa final'!$N$15="Mayor"),CONCATENATE("R",'Mapa final'!$A$15),"")</f>
        <v>R2</v>
      </c>
      <c r="AE14" s="343"/>
      <c r="AF14" s="343" t="e">
        <f>IF(AND('Mapa final'!#REF!="Alta",'Mapa final'!#REF!="Mayor"),CONCATENATE("R",'Mapa final'!#REF!),"")</f>
        <v>#REF!</v>
      </c>
      <c r="AG14" s="345"/>
      <c r="AH14" s="358" t="str">
        <f ca="1">IF(AND('Mapa final'!$J$10="Alta",'Mapa final'!$N$10="Catastrófico"),CONCATENATE("R",'Mapa final'!$A$10),"")</f>
        <v/>
      </c>
      <c r="AI14" s="359"/>
      <c r="AJ14" s="359" t="str">
        <f ca="1">IF(AND('Mapa final'!$J$15="Alta",'Mapa final'!$N$15="Catastrófico"),CONCATENATE("R",'Mapa final'!$A$15),"")</f>
        <v/>
      </c>
      <c r="AK14" s="359"/>
      <c r="AL14" s="359" t="e">
        <f>IF(AND('Mapa final'!#REF!="Alta",'Mapa final'!#REF!="Catastrófico"),CONCATENATE("R",'Mapa final'!#REF!),"")</f>
        <v>#REF!</v>
      </c>
      <c r="AM14" s="360"/>
      <c r="AN14" s="54"/>
      <c r="AO14" s="303" t="s">
        <v>79</v>
      </c>
      <c r="AP14" s="304"/>
      <c r="AQ14" s="304"/>
      <c r="AR14" s="304"/>
      <c r="AS14" s="304"/>
      <c r="AT14" s="305"/>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row>
    <row r="15" spans="1:99" ht="15" customHeight="1" x14ac:dyDescent="0.3">
      <c r="A15" s="54"/>
      <c r="B15" s="292"/>
      <c r="C15" s="292"/>
      <c r="D15" s="293"/>
      <c r="E15" s="333"/>
      <c r="F15" s="334"/>
      <c r="G15" s="334"/>
      <c r="H15" s="334"/>
      <c r="I15" s="347"/>
      <c r="J15" s="361"/>
      <c r="K15" s="362"/>
      <c r="L15" s="362"/>
      <c r="M15" s="362"/>
      <c r="N15" s="362"/>
      <c r="O15" s="363"/>
      <c r="P15" s="361"/>
      <c r="Q15" s="362"/>
      <c r="R15" s="362"/>
      <c r="S15" s="362"/>
      <c r="T15" s="362"/>
      <c r="U15" s="363"/>
      <c r="V15" s="344"/>
      <c r="W15" s="341"/>
      <c r="X15" s="341"/>
      <c r="Y15" s="341"/>
      <c r="Z15" s="341"/>
      <c r="AA15" s="340"/>
      <c r="AB15" s="344"/>
      <c r="AC15" s="341"/>
      <c r="AD15" s="341"/>
      <c r="AE15" s="341"/>
      <c r="AF15" s="341"/>
      <c r="AG15" s="340"/>
      <c r="AH15" s="352"/>
      <c r="AI15" s="353"/>
      <c r="AJ15" s="353"/>
      <c r="AK15" s="353"/>
      <c r="AL15" s="353"/>
      <c r="AM15" s="354"/>
      <c r="AN15" s="54"/>
      <c r="AO15" s="306"/>
      <c r="AP15" s="307"/>
      <c r="AQ15" s="307"/>
      <c r="AR15" s="307"/>
      <c r="AS15" s="307"/>
      <c r="AT15" s="308"/>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row>
    <row r="16" spans="1:99" ht="15" customHeight="1" x14ac:dyDescent="0.3">
      <c r="A16" s="54"/>
      <c r="B16" s="292"/>
      <c r="C16" s="292"/>
      <c r="D16" s="293"/>
      <c r="E16" s="333"/>
      <c r="F16" s="334"/>
      <c r="G16" s="334"/>
      <c r="H16" s="334"/>
      <c r="I16" s="347"/>
      <c r="J16" s="361" t="str">
        <f ca="1">IF(AND('Mapa final'!$J$19="Alta",'Mapa final'!$N$19="Leve"),CONCATENATE("R",'Mapa final'!$A$19),"")</f>
        <v/>
      </c>
      <c r="K16" s="362"/>
      <c r="L16" s="362" t="str">
        <f ca="1">IF(AND('Mapa final'!$J$23="Alta",'Mapa final'!$N$23="Leve"),CONCATENATE("R",'Mapa final'!$A$23),"")</f>
        <v/>
      </c>
      <c r="M16" s="362"/>
      <c r="N16" s="362" t="str">
        <f ca="1">IF(AND('Mapa final'!$J$29="Alta",'Mapa final'!$N$29="Leve"),CONCATENATE("R",'Mapa final'!$A$29),"")</f>
        <v/>
      </c>
      <c r="O16" s="363"/>
      <c r="P16" s="361" t="str">
        <f ca="1">IF(AND('Mapa final'!$J$19="Alta",'Mapa final'!$N$19="Menor"),CONCATENATE("R",'Mapa final'!$A$19),"")</f>
        <v/>
      </c>
      <c r="Q16" s="362"/>
      <c r="R16" s="362" t="str">
        <f ca="1">IF(AND('Mapa final'!$J$23="Alta",'Mapa final'!$N$23="Menor"),CONCATENATE("R",'Mapa final'!$A$23),"")</f>
        <v/>
      </c>
      <c r="S16" s="362"/>
      <c r="T16" s="362" t="str">
        <f ca="1">IF(AND('Mapa final'!$J$29="Alta",'Mapa final'!$N$29="Menor"),CONCATENATE("R",'Mapa final'!$A$29),"")</f>
        <v/>
      </c>
      <c r="U16" s="363"/>
      <c r="V16" s="344" t="str">
        <f ca="1">IF(AND('Mapa final'!$J$19="Alta",'Mapa final'!$N$19="Moderado"),CONCATENATE("R",'Mapa final'!$A$19),"")</f>
        <v/>
      </c>
      <c r="W16" s="341"/>
      <c r="X16" s="339" t="str">
        <f ca="1">IF(AND('Mapa final'!$J$23="Alta",'Mapa final'!$N$23="Moderado"),CONCATENATE("R",'Mapa final'!$A$23),"")</f>
        <v/>
      </c>
      <c r="Y16" s="339"/>
      <c r="Z16" s="339" t="str">
        <f ca="1">IF(AND('Mapa final'!$J$29="Alta",'Mapa final'!$N$29="Moderado"),CONCATENATE("R",'Mapa final'!$A$29),"")</f>
        <v/>
      </c>
      <c r="AA16" s="340"/>
      <c r="AB16" s="344" t="str">
        <f ca="1">IF(AND('Mapa final'!$J$19="Alta",'Mapa final'!$N$19="Mayor"),CONCATENATE("R",'Mapa final'!$A$19),"")</f>
        <v/>
      </c>
      <c r="AC16" s="341"/>
      <c r="AD16" s="339" t="str">
        <f ca="1">IF(AND('Mapa final'!$J$23="Alta",'Mapa final'!$N$23="Mayor"),CONCATENATE("R",'Mapa final'!$A$23),"")</f>
        <v/>
      </c>
      <c r="AE16" s="339"/>
      <c r="AF16" s="339" t="str">
        <f ca="1">IF(AND('Mapa final'!$J$29="Alta",'Mapa final'!$N$29="Mayor"),CONCATENATE("R",'Mapa final'!$A$29),"")</f>
        <v/>
      </c>
      <c r="AG16" s="340"/>
      <c r="AH16" s="352" t="str">
        <f ca="1">IF(AND('Mapa final'!$J$19="Alta",'Mapa final'!$N$19="Catastrófico"),CONCATENATE("R",'Mapa final'!$A$19),"")</f>
        <v/>
      </c>
      <c r="AI16" s="353"/>
      <c r="AJ16" s="353" t="str">
        <f ca="1">IF(AND('Mapa final'!$J$23="Alta",'Mapa final'!$N$23="Catastrófico"),CONCATENATE("R",'Mapa final'!$A$23),"")</f>
        <v/>
      </c>
      <c r="AK16" s="353"/>
      <c r="AL16" s="353" t="str">
        <f ca="1">IF(AND('Mapa final'!$J$29="Alta",'Mapa final'!$N$29="Catastrófico"),CONCATENATE("R",'Mapa final'!$A$29),"")</f>
        <v/>
      </c>
      <c r="AM16" s="354"/>
      <c r="AN16" s="54"/>
      <c r="AO16" s="306"/>
      <c r="AP16" s="307"/>
      <c r="AQ16" s="307"/>
      <c r="AR16" s="307"/>
      <c r="AS16" s="307"/>
      <c r="AT16" s="308"/>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row>
    <row r="17" spans="1:80" ht="15" customHeight="1" x14ac:dyDescent="0.3">
      <c r="A17" s="54"/>
      <c r="B17" s="292"/>
      <c r="C17" s="292"/>
      <c r="D17" s="293"/>
      <c r="E17" s="333"/>
      <c r="F17" s="334"/>
      <c r="G17" s="334"/>
      <c r="H17" s="334"/>
      <c r="I17" s="347"/>
      <c r="J17" s="361"/>
      <c r="K17" s="362"/>
      <c r="L17" s="362"/>
      <c r="M17" s="362"/>
      <c r="N17" s="362"/>
      <c r="O17" s="363"/>
      <c r="P17" s="361"/>
      <c r="Q17" s="362"/>
      <c r="R17" s="362"/>
      <c r="S17" s="362"/>
      <c r="T17" s="362"/>
      <c r="U17" s="363"/>
      <c r="V17" s="344"/>
      <c r="W17" s="341"/>
      <c r="X17" s="339"/>
      <c r="Y17" s="339"/>
      <c r="Z17" s="339"/>
      <c r="AA17" s="340"/>
      <c r="AB17" s="344"/>
      <c r="AC17" s="341"/>
      <c r="AD17" s="339"/>
      <c r="AE17" s="339"/>
      <c r="AF17" s="339"/>
      <c r="AG17" s="340"/>
      <c r="AH17" s="352"/>
      <c r="AI17" s="353"/>
      <c r="AJ17" s="353"/>
      <c r="AK17" s="353"/>
      <c r="AL17" s="353"/>
      <c r="AM17" s="354"/>
      <c r="AN17" s="54"/>
      <c r="AO17" s="306"/>
      <c r="AP17" s="307"/>
      <c r="AQ17" s="307"/>
      <c r="AR17" s="307"/>
      <c r="AS17" s="307"/>
      <c r="AT17" s="308"/>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row>
    <row r="18" spans="1:80" ht="15" customHeight="1" x14ac:dyDescent="0.3">
      <c r="A18" s="54"/>
      <c r="B18" s="292"/>
      <c r="C18" s="292"/>
      <c r="D18" s="293"/>
      <c r="E18" s="333"/>
      <c r="F18" s="334"/>
      <c r="G18" s="334"/>
      <c r="H18" s="334"/>
      <c r="I18" s="347"/>
      <c r="J18" s="361" t="str">
        <f ca="1">IF(AND('Mapa final'!$J$35="Alta",'Mapa final'!$N$35="Leve"),CONCATENATE("R",'Mapa final'!$A$35),"")</f>
        <v/>
      </c>
      <c r="K18" s="362"/>
      <c r="L18" s="362" t="str">
        <f ca="1">IF(AND('Mapa final'!$J$41="Alta",'Mapa final'!$N$41="Leve"),CONCATENATE("R",'Mapa final'!$A$41),"")</f>
        <v/>
      </c>
      <c r="M18" s="362"/>
      <c r="N18" s="362" t="str">
        <f ca="1">IF(AND('Mapa final'!$J$47="Alta",'Mapa final'!$N$47="Leve"),CONCATENATE("R",'Mapa final'!$A$47),"")</f>
        <v/>
      </c>
      <c r="O18" s="363"/>
      <c r="P18" s="361" t="str">
        <f ca="1">IF(AND('Mapa final'!$J$35="Alta",'Mapa final'!$N$35="Menor"),CONCATENATE("R",'Mapa final'!$A$35),"")</f>
        <v/>
      </c>
      <c r="Q18" s="362"/>
      <c r="R18" s="362" t="str">
        <f ca="1">IF(AND('Mapa final'!$J$41="Alta",'Mapa final'!$N$41="Menor"),CONCATENATE("R",'Mapa final'!$A$41),"")</f>
        <v/>
      </c>
      <c r="S18" s="362"/>
      <c r="T18" s="362" t="str">
        <f ca="1">IF(AND('Mapa final'!$J$47="Alta",'Mapa final'!$N$47="Menor"),CONCATENATE("R",'Mapa final'!$A$47),"")</f>
        <v/>
      </c>
      <c r="U18" s="363"/>
      <c r="V18" s="344" t="str">
        <f ca="1">IF(AND('Mapa final'!$J$35="Alta",'Mapa final'!$N$35="Moderado"),CONCATENATE("R",'Mapa final'!$A$35),"")</f>
        <v/>
      </c>
      <c r="W18" s="341"/>
      <c r="X18" s="339" t="str">
        <f ca="1">IF(AND('Mapa final'!$J$41="Alta",'Mapa final'!$N$41="Moderado"),CONCATENATE("R",'Mapa final'!$A$41),"")</f>
        <v/>
      </c>
      <c r="Y18" s="339"/>
      <c r="Z18" s="339" t="str">
        <f ca="1">IF(AND('Mapa final'!$J$47="Alta",'Mapa final'!$N$47="Moderado"),CONCATENATE("R",'Mapa final'!$A$47),"")</f>
        <v/>
      </c>
      <c r="AA18" s="340"/>
      <c r="AB18" s="344" t="str">
        <f ca="1">IF(AND('Mapa final'!$J$35="Alta",'Mapa final'!$N$35="Mayor"),CONCATENATE("R",'Mapa final'!$A$35),"")</f>
        <v/>
      </c>
      <c r="AC18" s="341"/>
      <c r="AD18" s="339" t="str">
        <f ca="1">IF(AND('Mapa final'!$J$41="Alta",'Mapa final'!$N$41="Mayor"),CONCATENATE("R",'Mapa final'!$A$41),"")</f>
        <v/>
      </c>
      <c r="AE18" s="339"/>
      <c r="AF18" s="339" t="str">
        <f ca="1">IF(AND('Mapa final'!$J$47="Alta",'Mapa final'!$N$47="Mayor"),CONCATENATE("R",'Mapa final'!$A$47),"")</f>
        <v/>
      </c>
      <c r="AG18" s="340"/>
      <c r="AH18" s="352" t="str">
        <f ca="1">IF(AND('Mapa final'!$J$35="Alta",'Mapa final'!$N$35="Catastrófico"),CONCATENATE("R",'Mapa final'!$A$35),"")</f>
        <v/>
      </c>
      <c r="AI18" s="353"/>
      <c r="AJ18" s="353" t="str">
        <f ca="1">IF(AND('Mapa final'!$J$41="Alta",'Mapa final'!$N$41="Catastrófico"),CONCATENATE("R",'Mapa final'!$A$41),"")</f>
        <v/>
      </c>
      <c r="AK18" s="353"/>
      <c r="AL18" s="353" t="str">
        <f ca="1">IF(AND('Mapa final'!$J$47="Alta",'Mapa final'!$N$47="Catastrófico"),CONCATENATE("R",'Mapa final'!$A$47),"")</f>
        <v/>
      </c>
      <c r="AM18" s="354"/>
      <c r="AN18" s="54"/>
      <c r="AO18" s="306"/>
      <c r="AP18" s="307"/>
      <c r="AQ18" s="307"/>
      <c r="AR18" s="307"/>
      <c r="AS18" s="307"/>
      <c r="AT18" s="308"/>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row>
    <row r="19" spans="1:80" ht="15" customHeight="1" x14ac:dyDescent="0.3">
      <c r="A19" s="54"/>
      <c r="B19" s="292"/>
      <c r="C19" s="292"/>
      <c r="D19" s="293"/>
      <c r="E19" s="333"/>
      <c r="F19" s="334"/>
      <c r="G19" s="334"/>
      <c r="H19" s="334"/>
      <c r="I19" s="347"/>
      <c r="J19" s="361"/>
      <c r="K19" s="362"/>
      <c r="L19" s="362"/>
      <c r="M19" s="362"/>
      <c r="N19" s="362"/>
      <c r="O19" s="363"/>
      <c r="P19" s="361"/>
      <c r="Q19" s="362"/>
      <c r="R19" s="362"/>
      <c r="S19" s="362"/>
      <c r="T19" s="362"/>
      <c r="U19" s="363"/>
      <c r="V19" s="344"/>
      <c r="W19" s="341"/>
      <c r="X19" s="339"/>
      <c r="Y19" s="339"/>
      <c r="Z19" s="339"/>
      <c r="AA19" s="340"/>
      <c r="AB19" s="344"/>
      <c r="AC19" s="341"/>
      <c r="AD19" s="339"/>
      <c r="AE19" s="339"/>
      <c r="AF19" s="339"/>
      <c r="AG19" s="340"/>
      <c r="AH19" s="352"/>
      <c r="AI19" s="353"/>
      <c r="AJ19" s="353"/>
      <c r="AK19" s="353"/>
      <c r="AL19" s="353"/>
      <c r="AM19" s="354"/>
      <c r="AN19" s="54"/>
      <c r="AO19" s="306"/>
      <c r="AP19" s="307"/>
      <c r="AQ19" s="307"/>
      <c r="AR19" s="307"/>
      <c r="AS19" s="307"/>
      <c r="AT19" s="308"/>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row>
    <row r="20" spans="1:80" ht="15" customHeight="1" x14ac:dyDescent="0.3">
      <c r="A20" s="54"/>
      <c r="B20" s="292"/>
      <c r="C20" s="292"/>
      <c r="D20" s="293"/>
      <c r="E20" s="333"/>
      <c r="F20" s="334"/>
      <c r="G20" s="334"/>
      <c r="H20" s="334"/>
      <c r="I20" s="347"/>
      <c r="J20" s="361" t="str">
        <f ca="1">IF(AND('Mapa final'!$J$53="Alta",'Mapa final'!$N$53="Leve"),CONCATENATE("R",'Mapa final'!$A$53),"")</f>
        <v/>
      </c>
      <c r="K20" s="362"/>
      <c r="L20" s="362" t="str">
        <f>IF(AND('Mapa final'!$J$59="Alta",'Mapa final'!$N$59="Leve"),CONCATENATE("R",'Mapa final'!$A$59),"")</f>
        <v/>
      </c>
      <c r="M20" s="362"/>
      <c r="N20" s="362" t="str">
        <f>IF(AND('Mapa final'!$J$65="Alta",'Mapa final'!$N$65="Leve"),CONCATENATE("R",'Mapa final'!$A$65),"")</f>
        <v/>
      </c>
      <c r="O20" s="363"/>
      <c r="P20" s="361" t="str">
        <f ca="1">IF(AND('Mapa final'!$J$53="Alta",'Mapa final'!$N$53="Menor"),CONCATENATE("R",'Mapa final'!$A$53),"")</f>
        <v/>
      </c>
      <c r="Q20" s="362"/>
      <c r="R20" s="362" t="str">
        <f>IF(AND('Mapa final'!$J$59="Alta",'Mapa final'!$N$59="Menor"),CONCATENATE("R",'Mapa final'!$A$59),"")</f>
        <v/>
      </c>
      <c r="S20" s="362"/>
      <c r="T20" s="362" t="str">
        <f>IF(AND('Mapa final'!$J$65="Alta",'Mapa final'!$N$65="Menor"),CONCATENATE("R",'Mapa final'!$A$65),"")</f>
        <v/>
      </c>
      <c r="U20" s="363"/>
      <c r="V20" s="344" t="str">
        <f ca="1">IF(AND('Mapa final'!$J$53="Alta",'Mapa final'!$N$53="Moderado"),CONCATENATE("R",'Mapa final'!$A$53),"")</f>
        <v/>
      </c>
      <c r="W20" s="341"/>
      <c r="X20" s="339" t="str">
        <f>IF(AND('Mapa final'!$J$59="Alta",'Mapa final'!$N$59="Moderado"),CONCATENATE("R",'Mapa final'!$A$59),"")</f>
        <v/>
      </c>
      <c r="Y20" s="339"/>
      <c r="Z20" s="339" t="str">
        <f>IF(AND('Mapa final'!$J$65="Alta",'Mapa final'!$N$65="Moderado"),CONCATENATE("R",'Mapa final'!$A$65),"")</f>
        <v/>
      </c>
      <c r="AA20" s="340"/>
      <c r="AB20" s="344" t="str">
        <f ca="1">IF(AND('Mapa final'!$J$53="Alta",'Mapa final'!$N$53="Mayor"),CONCATENATE("R",'Mapa final'!$A$53),"")</f>
        <v/>
      </c>
      <c r="AC20" s="341"/>
      <c r="AD20" s="339" t="str">
        <f>IF(AND('Mapa final'!$J$59="Alta",'Mapa final'!$N$59="Mayor"),CONCATENATE("R",'Mapa final'!$A$59),"")</f>
        <v/>
      </c>
      <c r="AE20" s="339"/>
      <c r="AF20" s="339" t="str">
        <f>IF(AND('Mapa final'!$J$65="Alta",'Mapa final'!$N$65="Mayor"),CONCATENATE("R",'Mapa final'!$A$65),"")</f>
        <v/>
      </c>
      <c r="AG20" s="340"/>
      <c r="AH20" s="352" t="str">
        <f ca="1">IF(AND('Mapa final'!$J$53="Alta",'Mapa final'!$N$53="Catastrófico"),CONCATENATE("R",'Mapa final'!$A$53),"")</f>
        <v/>
      </c>
      <c r="AI20" s="353"/>
      <c r="AJ20" s="353" t="str">
        <f>IF(AND('Mapa final'!$J$59="Alta",'Mapa final'!$N$59="Catastrófico"),CONCATENATE("R",'Mapa final'!$A$59),"")</f>
        <v/>
      </c>
      <c r="AK20" s="353"/>
      <c r="AL20" s="353" t="str">
        <f>IF(AND('Mapa final'!$J$65="Alta",'Mapa final'!$N$65="Catastrófico"),CONCATENATE("R",'Mapa final'!$A$65),"")</f>
        <v/>
      </c>
      <c r="AM20" s="354"/>
      <c r="AN20" s="54"/>
      <c r="AO20" s="306"/>
      <c r="AP20" s="307"/>
      <c r="AQ20" s="307"/>
      <c r="AR20" s="307"/>
      <c r="AS20" s="307"/>
      <c r="AT20" s="308"/>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row>
    <row r="21" spans="1:80" ht="15.75" customHeight="1" thickBot="1" x14ac:dyDescent="0.35">
      <c r="A21" s="54"/>
      <c r="B21" s="292"/>
      <c r="C21" s="292"/>
      <c r="D21" s="293"/>
      <c r="E21" s="336"/>
      <c r="F21" s="337"/>
      <c r="G21" s="337"/>
      <c r="H21" s="337"/>
      <c r="I21" s="337"/>
      <c r="J21" s="364"/>
      <c r="K21" s="365"/>
      <c r="L21" s="365"/>
      <c r="M21" s="365"/>
      <c r="N21" s="365"/>
      <c r="O21" s="366"/>
      <c r="P21" s="364"/>
      <c r="Q21" s="365"/>
      <c r="R21" s="365"/>
      <c r="S21" s="365"/>
      <c r="T21" s="365"/>
      <c r="U21" s="366"/>
      <c r="V21" s="349"/>
      <c r="W21" s="350"/>
      <c r="X21" s="350"/>
      <c r="Y21" s="350"/>
      <c r="Z21" s="350"/>
      <c r="AA21" s="351"/>
      <c r="AB21" s="349"/>
      <c r="AC21" s="350"/>
      <c r="AD21" s="350"/>
      <c r="AE21" s="350"/>
      <c r="AF21" s="350"/>
      <c r="AG21" s="351"/>
      <c r="AH21" s="355"/>
      <c r="AI21" s="356"/>
      <c r="AJ21" s="356"/>
      <c r="AK21" s="356"/>
      <c r="AL21" s="356"/>
      <c r="AM21" s="357"/>
      <c r="AN21" s="54"/>
      <c r="AO21" s="309"/>
      <c r="AP21" s="310"/>
      <c r="AQ21" s="310"/>
      <c r="AR21" s="310"/>
      <c r="AS21" s="310"/>
      <c r="AT21" s="311"/>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row>
    <row r="22" spans="1:80" x14ac:dyDescent="0.3">
      <c r="A22" s="54"/>
      <c r="B22" s="292"/>
      <c r="C22" s="292"/>
      <c r="D22" s="293"/>
      <c r="E22" s="330" t="s">
        <v>112</v>
      </c>
      <c r="F22" s="331"/>
      <c r="G22" s="331"/>
      <c r="H22" s="331"/>
      <c r="I22" s="332"/>
      <c r="J22" s="367" t="str">
        <f ca="1">IF(AND('Mapa final'!$J$10="Media",'Mapa final'!$N$10="Leve"),CONCATENATE("R",'Mapa final'!$A$10),"")</f>
        <v/>
      </c>
      <c r="K22" s="368"/>
      <c r="L22" s="368" t="str">
        <f ca="1">IF(AND('Mapa final'!$J$15="Media",'Mapa final'!$N$15="Leve"),CONCATENATE("R",'Mapa final'!$A$15),"")</f>
        <v/>
      </c>
      <c r="M22" s="368"/>
      <c r="N22" s="368" t="e">
        <f>IF(AND('Mapa final'!#REF!="Media",'Mapa final'!#REF!="Leve"),CONCATENATE("R",'Mapa final'!#REF!),"")</f>
        <v>#REF!</v>
      </c>
      <c r="O22" s="369"/>
      <c r="P22" s="367" t="str">
        <f ca="1">IF(AND('Mapa final'!$J$10="Media",'Mapa final'!$N$10="Menor"),CONCATENATE("R",'Mapa final'!$A$10),"")</f>
        <v/>
      </c>
      <c r="Q22" s="368"/>
      <c r="R22" s="368" t="str">
        <f ca="1">IF(AND('Mapa final'!$J$15="Media",'Mapa final'!$N$15="Menor"),CONCATENATE("R",'Mapa final'!$A$15),"")</f>
        <v/>
      </c>
      <c r="S22" s="368"/>
      <c r="T22" s="368" t="e">
        <f>IF(AND('Mapa final'!#REF!="Media",'Mapa final'!#REF!="Menor"),CONCATENATE("R",'Mapa final'!#REF!),"")</f>
        <v>#REF!</v>
      </c>
      <c r="U22" s="369"/>
      <c r="V22" s="367" t="str">
        <f ca="1">IF(AND('Mapa final'!$J$10="Media",'Mapa final'!$N$10="Moderado"),CONCATENATE("R",'Mapa final'!$A$10),"")</f>
        <v/>
      </c>
      <c r="W22" s="368"/>
      <c r="X22" s="368" t="str">
        <f ca="1">IF(AND('Mapa final'!$J$15="Media",'Mapa final'!$N$15="Moderado"),CONCATENATE("R",'Mapa final'!$A$15),"")</f>
        <v/>
      </c>
      <c r="Y22" s="368"/>
      <c r="Z22" s="368" t="e">
        <f>IF(AND('Mapa final'!#REF!="Media",'Mapa final'!#REF!="Moderado"),CONCATENATE("R",'Mapa final'!#REF!),"")</f>
        <v>#REF!</v>
      </c>
      <c r="AA22" s="369"/>
      <c r="AB22" s="342" t="str">
        <f ca="1">IF(AND('Mapa final'!$J$10="Media",'Mapa final'!$N$10="Mayor"),CONCATENATE("R",'Mapa final'!$A$10),"")</f>
        <v>R1</v>
      </c>
      <c r="AC22" s="343"/>
      <c r="AD22" s="343" t="str">
        <f ca="1">IF(AND('Mapa final'!$J$15="Media",'Mapa final'!$N$15="Mayor"),CONCATENATE("R",'Mapa final'!$A$15),"")</f>
        <v/>
      </c>
      <c r="AE22" s="343"/>
      <c r="AF22" s="343" t="e">
        <f>IF(AND('Mapa final'!#REF!="Media",'Mapa final'!#REF!="Mayor"),CONCATENATE("R",'Mapa final'!#REF!),"")</f>
        <v>#REF!</v>
      </c>
      <c r="AG22" s="345"/>
      <c r="AH22" s="358" t="str">
        <f ca="1">IF(AND('Mapa final'!$J$10="Media",'Mapa final'!$N$10="Catastrófico"),CONCATENATE("R",'Mapa final'!$A$10),"")</f>
        <v/>
      </c>
      <c r="AI22" s="359"/>
      <c r="AJ22" s="359" t="str">
        <f ca="1">IF(AND('Mapa final'!$J$15="Media",'Mapa final'!$N$15="Catastrófico"),CONCATENATE("R",'Mapa final'!$A$15),"")</f>
        <v/>
      </c>
      <c r="AK22" s="359"/>
      <c r="AL22" s="359" t="e">
        <f>IF(AND('Mapa final'!#REF!="Media",'Mapa final'!#REF!="Catastrófico"),CONCATENATE("R",'Mapa final'!#REF!),"")</f>
        <v>#REF!</v>
      </c>
      <c r="AM22" s="360"/>
      <c r="AN22" s="54"/>
      <c r="AO22" s="312" t="s">
        <v>80</v>
      </c>
      <c r="AP22" s="313"/>
      <c r="AQ22" s="313"/>
      <c r="AR22" s="313"/>
      <c r="AS22" s="313"/>
      <c r="AT22" s="31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row>
    <row r="23" spans="1:80" x14ac:dyDescent="0.3">
      <c r="A23" s="54"/>
      <c r="B23" s="292"/>
      <c r="C23" s="292"/>
      <c r="D23" s="293"/>
      <c r="E23" s="333"/>
      <c r="F23" s="334"/>
      <c r="G23" s="334"/>
      <c r="H23" s="334"/>
      <c r="I23" s="335"/>
      <c r="J23" s="361"/>
      <c r="K23" s="362"/>
      <c r="L23" s="362"/>
      <c r="M23" s="362"/>
      <c r="N23" s="362"/>
      <c r="O23" s="363"/>
      <c r="P23" s="361"/>
      <c r="Q23" s="362"/>
      <c r="R23" s="362"/>
      <c r="S23" s="362"/>
      <c r="T23" s="362"/>
      <c r="U23" s="363"/>
      <c r="V23" s="361"/>
      <c r="W23" s="362"/>
      <c r="X23" s="362"/>
      <c r="Y23" s="362"/>
      <c r="Z23" s="362"/>
      <c r="AA23" s="363"/>
      <c r="AB23" s="344"/>
      <c r="AC23" s="341"/>
      <c r="AD23" s="341"/>
      <c r="AE23" s="341"/>
      <c r="AF23" s="341"/>
      <c r="AG23" s="340"/>
      <c r="AH23" s="352"/>
      <c r="AI23" s="353"/>
      <c r="AJ23" s="353"/>
      <c r="AK23" s="353"/>
      <c r="AL23" s="353"/>
      <c r="AM23" s="354"/>
      <c r="AN23" s="54"/>
      <c r="AO23" s="315"/>
      <c r="AP23" s="316"/>
      <c r="AQ23" s="316"/>
      <c r="AR23" s="316"/>
      <c r="AS23" s="316"/>
      <c r="AT23" s="317"/>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row>
    <row r="24" spans="1:80" x14ac:dyDescent="0.3">
      <c r="A24" s="54"/>
      <c r="B24" s="292"/>
      <c r="C24" s="292"/>
      <c r="D24" s="293"/>
      <c r="E24" s="333"/>
      <c r="F24" s="334"/>
      <c r="G24" s="334"/>
      <c r="H24" s="334"/>
      <c r="I24" s="335"/>
      <c r="J24" s="361" t="str">
        <f ca="1">IF(AND('Mapa final'!$J$19="Media",'Mapa final'!$N$19="Leve"),CONCATENATE("R",'Mapa final'!$A$19),"")</f>
        <v/>
      </c>
      <c r="K24" s="362"/>
      <c r="L24" s="362" t="str">
        <f ca="1">IF(AND('Mapa final'!$J$23="Media",'Mapa final'!$N$23="Leve"),CONCATENATE("R",'Mapa final'!$A$23),"")</f>
        <v/>
      </c>
      <c r="M24" s="362"/>
      <c r="N24" s="362" t="str">
        <f ca="1">IF(AND('Mapa final'!$J$29="Media",'Mapa final'!$N$29="Leve"),CONCATENATE("R",'Mapa final'!$A$29),"")</f>
        <v/>
      </c>
      <c r="O24" s="363"/>
      <c r="P24" s="361" t="str">
        <f ca="1">IF(AND('Mapa final'!$J$19="Media",'Mapa final'!$N$19="Menor"),CONCATENATE("R",'Mapa final'!$A$19),"")</f>
        <v/>
      </c>
      <c r="Q24" s="362"/>
      <c r="R24" s="362" t="str">
        <f ca="1">IF(AND('Mapa final'!$J$23="Media",'Mapa final'!$N$23="Menor"),CONCATENATE("R",'Mapa final'!$A$23),"")</f>
        <v/>
      </c>
      <c r="S24" s="362"/>
      <c r="T24" s="362" t="str">
        <f ca="1">IF(AND('Mapa final'!$J$29="Media",'Mapa final'!$N$29="Menor"),CONCATENATE("R",'Mapa final'!$A$29),"")</f>
        <v/>
      </c>
      <c r="U24" s="363"/>
      <c r="V24" s="361" t="str">
        <f ca="1">IF(AND('Mapa final'!$J$19="Media",'Mapa final'!$N$19="Moderado"),CONCATENATE("R",'Mapa final'!$A$19),"")</f>
        <v/>
      </c>
      <c r="W24" s="362"/>
      <c r="X24" s="362" t="str">
        <f ca="1">IF(AND('Mapa final'!$J$23="Media",'Mapa final'!$N$23="Moderado"),CONCATENATE("R",'Mapa final'!$A$23),"")</f>
        <v/>
      </c>
      <c r="Y24" s="362"/>
      <c r="Z24" s="362" t="str">
        <f ca="1">IF(AND('Mapa final'!$J$29="Media",'Mapa final'!$N$29="Moderado"),CONCATENATE("R",'Mapa final'!$A$29),"")</f>
        <v/>
      </c>
      <c r="AA24" s="363"/>
      <c r="AB24" s="344" t="str">
        <f ca="1">IF(AND('Mapa final'!$J$19="Media",'Mapa final'!$N$19="Mayor"),CONCATENATE("R",'Mapa final'!$A$19),"")</f>
        <v/>
      </c>
      <c r="AC24" s="341"/>
      <c r="AD24" s="339" t="str">
        <f ca="1">IF(AND('Mapa final'!$J$23="Media",'Mapa final'!$N$23="Mayor"),CONCATENATE("R",'Mapa final'!$A$23),"")</f>
        <v/>
      </c>
      <c r="AE24" s="339"/>
      <c r="AF24" s="339" t="str">
        <f ca="1">IF(AND('Mapa final'!$J$29="Media",'Mapa final'!$N$29="Mayor"),CONCATENATE("R",'Mapa final'!$A$29),"")</f>
        <v/>
      </c>
      <c r="AG24" s="340"/>
      <c r="AH24" s="352" t="str">
        <f ca="1">IF(AND('Mapa final'!$J$19="Media",'Mapa final'!$N$19="Catastrófico"),CONCATENATE("R",'Mapa final'!$A$19),"")</f>
        <v/>
      </c>
      <c r="AI24" s="353"/>
      <c r="AJ24" s="353" t="str">
        <f ca="1">IF(AND('Mapa final'!$J$23="Media",'Mapa final'!$N$23="Catastrófico"),CONCATENATE("R",'Mapa final'!$A$23),"")</f>
        <v/>
      </c>
      <c r="AK24" s="353"/>
      <c r="AL24" s="353" t="str">
        <f ca="1">IF(AND('Mapa final'!$J$29="Media",'Mapa final'!$N$29="Catastrófico"),CONCATENATE("R",'Mapa final'!$A$29),"")</f>
        <v/>
      </c>
      <c r="AM24" s="354"/>
      <c r="AN24" s="54"/>
      <c r="AO24" s="315"/>
      <c r="AP24" s="316"/>
      <c r="AQ24" s="316"/>
      <c r="AR24" s="316"/>
      <c r="AS24" s="316"/>
      <c r="AT24" s="317"/>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row>
    <row r="25" spans="1:80" x14ac:dyDescent="0.3">
      <c r="A25" s="54"/>
      <c r="B25" s="292"/>
      <c r="C25" s="292"/>
      <c r="D25" s="293"/>
      <c r="E25" s="333"/>
      <c r="F25" s="334"/>
      <c r="G25" s="334"/>
      <c r="H25" s="334"/>
      <c r="I25" s="335"/>
      <c r="J25" s="361"/>
      <c r="K25" s="362"/>
      <c r="L25" s="362"/>
      <c r="M25" s="362"/>
      <c r="N25" s="362"/>
      <c r="O25" s="363"/>
      <c r="P25" s="361"/>
      <c r="Q25" s="362"/>
      <c r="R25" s="362"/>
      <c r="S25" s="362"/>
      <c r="T25" s="362"/>
      <c r="U25" s="363"/>
      <c r="V25" s="361"/>
      <c r="W25" s="362"/>
      <c r="X25" s="362"/>
      <c r="Y25" s="362"/>
      <c r="Z25" s="362"/>
      <c r="AA25" s="363"/>
      <c r="AB25" s="344"/>
      <c r="AC25" s="341"/>
      <c r="AD25" s="339"/>
      <c r="AE25" s="339"/>
      <c r="AF25" s="339"/>
      <c r="AG25" s="340"/>
      <c r="AH25" s="352"/>
      <c r="AI25" s="353"/>
      <c r="AJ25" s="353"/>
      <c r="AK25" s="353"/>
      <c r="AL25" s="353"/>
      <c r="AM25" s="354"/>
      <c r="AN25" s="54"/>
      <c r="AO25" s="315"/>
      <c r="AP25" s="316"/>
      <c r="AQ25" s="316"/>
      <c r="AR25" s="316"/>
      <c r="AS25" s="316"/>
      <c r="AT25" s="317"/>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row>
    <row r="26" spans="1:80" x14ac:dyDescent="0.3">
      <c r="A26" s="54"/>
      <c r="B26" s="292"/>
      <c r="C26" s="292"/>
      <c r="D26" s="293"/>
      <c r="E26" s="333"/>
      <c r="F26" s="334"/>
      <c r="G26" s="334"/>
      <c r="H26" s="334"/>
      <c r="I26" s="335"/>
      <c r="J26" s="361" t="str">
        <f ca="1">IF(AND('Mapa final'!$J$35="Media",'Mapa final'!$N$35="Leve"),CONCATENATE("R",'Mapa final'!$A$35),"")</f>
        <v/>
      </c>
      <c r="K26" s="362"/>
      <c r="L26" s="362" t="str">
        <f ca="1">IF(AND('Mapa final'!$J$41="Media",'Mapa final'!$N$41="Leve"),CONCATENATE("R",'Mapa final'!$A$41),"")</f>
        <v/>
      </c>
      <c r="M26" s="362"/>
      <c r="N26" s="362" t="str">
        <f ca="1">IF(AND('Mapa final'!$J$47="Media",'Mapa final'!$N$47="Leve"),CONCATENATE("R",'Mapa final'!$A$47),"")</f>
        <v/>
      </c>
      <c r="O26" s="363"/>
      <c r="P26" s="361" t="str">
        <f ca="1">IF(AND('Mapa final'!$J$35="Media",'Mapa final'!$N$35="Menor"),CONCATENATE("R",'Mapa final'!$A$35),"")</f>
        <v/>
      </c>
      <c r="Q26" s="362"/>
      <c r="R26" s="362" t="str">
        <f ca="1">IF(AND('Mapa final'!$J$41="Media",'Mapa final'!$N$41="Menor"),CONCATENATE("R",'Mapa final'!$A$41),"")</f>
        <v/>
      </c>
      <c r="S26" s="362"/>
      <c r="T26" s="362" t="str">
        <f ca="1">IF(AND('Mapa final'!$J$47="Media",'Mapa final'!$N$47="Menor"),CONCATENATE("R",'Mapa final'!$A$47),"")</f>
        <v/>
      </c>
      <c r="U26" s="363"/>
      <c r="V26" s="361" t="str">
        <f ca="1">IF(AND('Mapa final'!$J$35="Media",'Mapa final'!$N$35="Moderado"),CONCATENATE("R",'Mapa final'!$A$35),"")</f>
        <v/>
      </c>
      <c r="W26" s="362"/>
      <c r="X26" s="362" t="str">
        <f ca="1">IF(AND('Mapa final'!$J$41="Media",'Mapa final'!$N$41="Moderado"),CONCATENATE("R",'Mapa final'!$A$41),"")</f>
        <v/>
      </c>
      <c r="Y26" s="362"/>
      <c r="Z26" s="362" t="str">
        <f ca="1">IF(AND('Mapa final'!$J$47="Media",'Mapa final'!$N$47="Moderado"),CONCATENATE("R",'Mapa final'!$A$47),"")</f>
        <v/>
      </c>
      <c r="AA26" s="363"/>
      <c r="AB26" s="344" t="str">
        <f ca="1">IF(AND('Mapa final'!$J$35="Media",'Mapa final'!$N$35="Mayor"),CONCATENATE("R",'Mapa final'!$A$35),"")</f>
        <v/>
      </c>
      <c r="AC26" s="341"/>
      <c r="AD26" s="339" t="str">
        <f ca="1">IF(AND('Mapa final'!$J$41="Media",'Mapa final'!$N$41="Mayor"),CONCATENATE("R",'Mapa final'!$A$41),"")</f>
        <v/>
      </c>
      <c r="AE26" s="339"/>
      <c r="AF26" s="339" t="str">
        <f ca="1">IF(AND('Mapa final'!$J$47="Media",'Mapa final'!$N$47="Mayor"),CONCATENATE("R",'Mapa final'!$A$47),"")</f>
        <v/>
      </c>
      <c r="AG26" s="340"/>
      <c r="AH26" s="352" t="str">
        <f ca="1">IF(AND('Mapa final'!$J$35="Media",'Mapa final'!$N$35="Catastrófico"),CONCATENATE("R",'Mapa final'!$A$35),"")</f>
        <v/>
      </c>
      <c r="AI26" s="353"/>
      <c r="AJ26" s="353" t="str">
        <f ca="1">IF(AND('Mapa final'!$J$41="Media",'Mapa final'!$N$41="Catastrófico"),CONCATENATE("R",'Mapa final'!$A$41),"")</f>
        <v/>
      </c>
      <c r="AK26" s="353"/>
      <c r="AL26" s="353" t="str">
        <f ca="1">IF(AND('Mapa final'!$J$47="Media",'Mapa final'!$N$47="Catastrófico"),CONCATENATE("R",'Mapa final'!$A$47),"")</f>
        <v/>
      </c>
      <c r="AM26" s="354"/>
      <c r="AN26" s="54"/>
      <c r="AO26" s="315"/>
      <c r="AP26" s="316"/>
      <c r="AQ26" s="316"/>
      <c r="AR26" s="316"/>
      <c r="AS26" s="316"/>
      <c r="AT26" s="317"/>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row>
    <row r="27" spans="1:80" x14ac:dyDescent="0.3">
      <c r="A27" s="54"/>
      <c r="B27" s="292"/>
      <c r="C27" s="292"/>
      <c r="D27" s="293"/>
      <c r="E27" s="333"/>
      <c r="F27" s="334"/>
      <c r="G27" s="334"/>
      <c r="H27" s="334"/>
      <c r="I27" s="335"/>
      <c r="J27" s="361"/>
      <c r="K27" s="362"/>
      <c r="L27" s="362"/>
      <c r="M27" s="362"/>
      <c r="N27" s="362"/>
      <c r="O27" s="363"/>
      <c r="P27" s="361"/>
      <c r="Q27" s="362"/>
      <c r="R27" s="362"/>
      <c r="S27" s="362"/>
      <c r="T27" s="362"/>
      <c r="U27" s="363"/>
      <c r="V27" s="361"/>
      <c r="W27" s="362"/>
      <c r="X27" s="362"/>
      <c r="Y27" s="362"/>
      <c r="Z27" s="362"/>
      <c r="AA27" s="363"/>
      <c r="AB27" s="344"/>
      <c r="AC27" s="341"/>
      <c r="AD27" s="339"/>
      <c r="AE27" s="339"/>
      <c r="AF27" s="339"/>
      <c r="AG27" s="340"/>
      <c r="AH27" s="352"/>
      <c r="AI27" s="353"/>
      <c r="AJ27" s="353"/>
      <c r="AK27" s="353"/>
      <c r="AL27" s="353"/>
      <c r="AM27" s="354"/>
      <c r="AN27" s="54"/>
      <c r="AO27" s="315"/>
      <c r="AP27" s="316"/>
      <c r="AQ27" s="316"/>
      <c r="AR27" s="316"/>
      <c r="AS27" s="316"/>
      <c r="AT27" s="317"/>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row>
    <row r="28" spans="1:80" x14ac:dyDescent="0.3">
      <c r="A28" s="54"/>
      <c r="B28" s="292"/>
      <c r="C28" s="292"/>
      <c r="D28" s="293"/>
      <c r="E28" s="333"/>
      <c r="F28" s="334"/>
      <c r="G28" s="334"/>
      <c r="H28" s="334"/>
      <c r="I28" s="335"/>
      <c r="J28" s="361" t="str">
        <f ca="1">IF(AND('Mapa final'!$J$53="Media",'Mapa final'!$N$53="Leve"),CONCATENATE("R",'Mapa final'!$A$53),"")</f>
        <v/>
      </c>
      <c r="K28" s="362"/>
      <c r="L28" s="362" t="str">
        <f>IF(AND('Mapa final'!$J$59="Media",'Mapa final'!$N$59="Leve"),CONCATENATE("R",'Mapa final'!$A$59),"")</f>
        <v/>
      </c>
      <c r="M28" s="362"/>
      <c r="N28" s="362" t="str">
        <f>IF(AND('Mapa final'!$J$65="Media",'Mapa final'!$N$65="Leve"),CONCATENATE("R",'Mapa final'!$A$65),"")</f>
        <v/>
      </c>
      <c r="O28" s="363"/>
      <c r="P28" s="361" t="str">
        <f ca="1">IF(AND('Mapa final'!$J$53="Media",'Mapa final'!$N$53="Menor"),CONCATENATE("R",'Mapa final'!$A$53),"")</f>
        <v/>
      </c>
      <c r="Q28" s="362"/>
      <c r="R28" s="362" t="str">
        <f>IF(AND('Mapa final'!$J$59="Media",'Mapa final'!$N$59="Menor"),CONCATENATE("R",'Mapa final'!$A$59),"")</f>
        <v/>
      </c>
      <c r="S28" s="362"/>
      <c r="T28" s="362" t="str">
        <f>IF(AND('Mapa final'!$J$65="Media",'Mapa final'!$N$65="Menor"),CONCATENATE("R",'Mapa final'!$A$65),"")</f>
        <v/>
      </c>
      <c r="U28" s="363"/>
      <c r="V28" s="361" t="str">
        <f ca="1">IF(AND('Mapa final'!$J$53="Media",'Mapa final'!$N$53="Moderado"),CONCATENATE("R",'Mapa final'!$A$53),"")</f>
        <v/>
      </c>
      <c r="W28" s="362"/>
      <c r="X28" s="362" t="str">
        <f>IF(AND('Mapa final'!$J$59="Media",'Mapa final'!$N$59="Moderado"),CONCATENATE("R",'Mapa final'!$A$59),"")</f>
        <v/>
      </c>
      <c r="Y28" s="362"/>
      <c r="Z28" s="362" t="str">
        <f>IF(AND('Mapa final'!$J$65="Media",'Mapa final'!$N$65="Moderado"),CONCATENATE("R",'Mapa final'!$A$65),"")</f>
        <v/>
      </c>
      <c r="AA28" s="363"/>
      <c r="AB28" s="344" t="str">
        <f ca="1">IF(AND('Mapa final'!$J$53="Media",'Mapa final'!$N$53="Mayor"),CONCATENATE("R",'Mapa final'!$A$53),"")</f>
        <v/>
      </c>
      <c r="AC28" s="341"/>
      <c r="AD28" s="339" t="str">
        <f>IF(AND('Mapa final'!$J$59="Media",'Mapa final'!$N$59="Mayor"),CONCATENATE("R",'Mapa final'!$A$59),"")</f>
        <v/>
      </c>
      <c r="AE28" s="339"/>
      <c r="AF28" s="339" t="str">
        <f>IF(AND('Mapa final'!$J$65="Media",'Mapa final'!$N$65="Mayor"),CONCATENATE("R",'Mapa final'!$A$65),"")</f>
        <v/>
      </c>
      <c r="AG28" s="340"/>
      <c r="AH28" s="352" t="str">
        <f ca="1">IF(AND('Mapa final'!$J$53="Media",'Mapa final'!$N$53="Catastrófico"),CONCATENATE("R",'Mapa final'!$A$53),"")</f>
        <v/>
      </c>
      <c r="AI28" s="353"/>
      <c r="AJ28" s="353" t="str">
        <f>IF(AND('Mapa final'!$J$59="Media",'Mapa final'!$N$59="Catastrófico"),CONCATENATE("R",'Mapa final'!$A$59),"")</f>
        <v/>
      </c>
      <c r="AK28" s="353"/>
      <c r="AL28" s="353" t="str">
        <f>IF(AND('Mapa final'!$J$65="Media",'Mapa final'!$N$65="Catastrófico"),CONCATENATE("R",'Mapa final'!$A$65),"")</f>
        <v/>
      </c>
      <c r="AM28" s="354"/>
      <c r="AN28" s="54"/>
      <c r="AO28" s="315"/>
      <c r="AP28" s="316"/>
      <c r="AQ28" s="316"/>
      <c r="AR28" s="316"/>
      <c r="AS28" s="316"/>
      <c r="AT28" s="317"/>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row>
    <row r="29" spans="1:80" ht="15" thickBot="1" x14ac:dyDescent="0.35">
      <c r="A29" s="54"/>
      <c r="B29" s="292"/>
      <c r="C29" s="292"/>
      <c r="D29" s="293"/>
      <c r="E29" s="336"/>
      <c r="F29" s="337"/>
      <c r="G29" s="337"/>
      <c r="H29" s="337"/>
      <c r="I29" s="338"/>
      <c r="J29" s="361"/>
      <c r="K29" s="362"/>
      <c r="L29" s="362"/>
      <c r="M29" s="362"/>
      <c r="N29" s="362"/>
      <c r="O29" s="363"/>
      <c r="P29" s="364"/>
      <c r="Q29" s="365"/>
      <c r="R29" s="365"/>
      <c r="S29" s="365"/>
      <c r="T29" s="365"/>
      <c r="U29" s="366"/>
      <c r="V29" s="364"/>
      <c r="W29" s="365"/>
      <c r="X29" s="365"/>
      <c r="Y29" s="365"/>
      <c r="Z29" s="365"/>
      <c r="AA29" s="366"/>
      <c r="AB29" s="349"/>
      <c r="AC29" s="350"/>
      <c r="AD29" s="350"/>
      <c r="AE29" s="350"/>
      <c r="AF29" s="350"/>
      <c r="AG29" s="351"/>
      <c r="AH29" s="355"/>
      <c r="AI29" s="356"/>
      <c r="AJ29" s="356"/>
      <c r="AK29" s="356"/>
      <c r="AL29" s="356"/>
      <c r="AM29" s="357"/>
      <c r="AN29" s="54"/>
      <c r="AO29" s="318"/>
      <c r="AP29" s="319"/>
      <c r="AQ29" s="319"/>
      <c r="AR29" s="319"/>
      <c r="AS29" s="319"/>
      <c r="AT29" s="320"/>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row>
    <row r="30" spans="1:80" x14ac:dyDescent="0.3">
      <c r="A30" s="54"/>
      <c r="B30" s="292"/>
      <c r="C30" s="292"/>
      <c r="D30" s="293"/>
      <c r="E30" s="330" t="s">
        <v>109</v>
      </c>
      <c r="F30" s="331"/>
      <c r="G30" s="331"/>
      <c r="H30" s="331"/>
      <c r="I30" s="331"/>
      <c r="J30" s="376" t="str">
        <f ca="1">IF(AND('Mapa final'!$J$10="Baja",'Mapa final'!$N$10="Leve"),CONCATENATE("R",'Mapa final'!$A$10),"")</f>
        <v/>
      </c>
      <c r="K30" s="377"/>
      <c r="L30" s="377" t="str">
        <f ca="1">IF(AND('Mapa final'!$J$15="Baja",'Mapa final'!$N$15="Leve"),CONCATENATE("R",'Mapa final'!$A$15),"")</f>
        <v/>
      </c>
      <c r="M30" s="377"/>
      <c r="N30" s="377" t="e">
        <f>IF(AND('Mapa final'!#REF!="Baja",'Mapa final'!#REF!="Leve"),CONCATENATE("R",'Mapa final'!#REF!),"")</f>
        <v>#REF!</v>
      </c>
      <c r="O30" s="378"/>
      <c r="P30" s="368" t="str">
        <f ca="1">IF(AND('Mapa final'!$J$10="Baja",'Mapa final'!$N$10="Menor"),CONCATENATE("R",'Mapa final'!$A$10),"")</f>
        <v/>
      </c>
      <c r="Q30" s="368"/>
      <c r="R30" s="368" t="str">
        <f ca="1">IF(AND('Mapa final'!$J$15="Baja",'Mapa final'!$N$15="Menor"),CONCATENATE("R",'Mapa final'!$A$15),"")</f>
        <v/>
      </c>
      <c r="S30" s="368"/>
      <c r="T30" s="368" t="e">
        <f>IF(AND('Mapa final'!#REF!="Baja",'Mapa final'!#REF!="Menor"),CONCATENATE("R",'Mapa final'!#REF!),"")</f>
        <v>#REF!</v>
      </c>
      <c r="U30" s="369"/>
      <c r="V30" s="367" t="str">
        <f ca="1">IF(AND('Mapa final'!$J$10="Baja",'Mapa final'!$N$10="Moderado"),CONCATENATE("R",'Mapa final'!$A$10),"")</f>
        <v/>
      </c>
      <c r="W30" s="368"/>
      <c r="X30" s="368" t="str">
        <f ca="1">IF(AND('Mapa final'!$J$15="Baja",'Mapa final'!$N$15="Moderado"),CONCATENATE("R",'Mapa final'!$A$15),"")</f>
        <v/>
      </c>
      <c r="Y30" s="368"/>
      <c r="Z30" s="368" t="e">
        <f>IF(AND('Mapa final'!#REF!="Baja",'Mapa final'!#REF!="Moderado"),CONCATENATE("R",'Mapa final'!#REF!),"")</f>
        <v>#REF!</v>
      </c>
      <c r="AA30" s="369"/>
      <c r="AB30" s="342" t="str">
        <f ca="1">IF(AND('Mapa final'!$J$10="Baja",'Mapa final'!$N$10="Mayor"),CONCATENATE("R",'Mapa final'!$A$10),"")</f>
        <v/>
      </c>
      <c r="AC30" s="343"/>
      <c r="AD30" s="343" t="str">
        <f ca="1">IF(AND('Mapa final'!$J$15="Baja",'Mapa final'!$N$15="Mayor"),CONCATENATE("R",'Mapa final'!$A$15),"")</f>
        <v/>
      </c>
      <c r="AE30" s="343"/>
      <c r="AF30" s="343" t="e">
        <f>IF(AND('Mapa final'!#REF!="Baja",'Mapa final'!#REF!="Mayor"),CONCATENATE("R",'Mapa final'!#REF!),"")</f>
        <v>#REF!</v>
      </c>
      <c r="AG30" s="345"/>
      <c r="AH30" s="358" t="str">
        <f ca="1">IF(AND('Mapa final'!$J$10="Baja",'Mapa final'!$N$10="Catastrófico"),CONCATENATE("R",'Mapa final'!$A$10),"")</f>
        <v/>
      </c>
      <c r="AI30" s="359"/>
      <c r="AJ30" s="359" t="str">
        <f ca="1">IF(AND('Mapa final'!$J$15="Baja",'Mapa final'!$N$15="Catastrófico"),CONCATENATE("R",'Mapa final'!$A$15),"")</f>
        <v/>
      </c>
      <c r="AK30" s="359"/>
      <c r="AL30" s="359" t="e">
        <f>IF(AND('Mapa final'!#REF!="Baja",'Mapa final'!#REF!="Catastrófico"),CONCATENATE("R",'Mapa final'!#REF!),"")</f>
        <v>#REF!</v>
      </c>
      <c r="AM30" s="360"/>
      <c r="AN30" s="54"/>
      <c r="AO30" s="321" t="s">
        <v>81</v>
      </c>
      <c r="AP30" s="322"/>
      <c r="AQ30" s="322"/>
      <c r="AR30" s="322"/>
      <c r="AS30" s="322"/>
      <c r="AT30" s="323"/>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row>
    <row r="31" spans="1:80" x14ac:dyDescent="0.3">
      <c r="A31" s="54"/>
      <c r="B31" s="292"/>
      <c r="C31" s="292"/>
      <c r="D31" s="293"/>
      <c r="E31" s="333"/>
      <c r="F31" s="334"/>
      <c r="G31" s="334"/>
      <c r="H31" s="334"/>
      <c r="I31" s="347"/>
      <c r="J31" s="372"/>
      <c r="K31" s="370"/>
      <c r="L31" s="370"/>
      <c r="M31" s="370"/>
      <c r="N31" s="370"/>
      <c r="O31" s="371"/>
      <c r="P31" s="362"/>
      <c r="Q31" s="362"/>
      <c r="R31" s="362"/>
      <c r="S31" s="362"/>
      <c r="T31" s="362"/>
      <c r="U31" s="363"/>
      <c r="V31" s="361"/>
      <c r="W31" s="362"/>
      <c r="X31" s="362"/>
      <c r="Y31" s="362"/>
      <c r="Z31" s="362"/>
      <c r="AA31" s="363"/>
      <c r="AB31" s="344"/>
      <c r="AC31" s="341"/>
      <c r="AD31" s="341"/>
      <c r="AE31" s="341"/>
      <c r="AF31" s="341"/>
      <c r="AG31" s="340"/>
      <c r="AH31" s="352"/>
      <c r="AI31" s="353"/>
      <c r="AJ31" s="353"/>
      <c r="AK31" s="353"/>
      <c r="AL31" s="353"/>
      <c r="AM31" s="354"/>
      <c r="AN31" s="54"/>
      <c r="AO31" s="324"/>
      <c r="AP31" s="325"/>
      <c r="AQ31" s="325"/>
      <c r="AR31" s="325"/>
      <c r="AS31" s="325"/>
      <c r="AT31" s="326"/>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row>
    <row r="32" spans="1:80" x14ac:dyDescent="0.3">
      <c r="A32" s="54"/>
      <c r="B32" s="292"/>
      <c r="C32" s="292"/>
      <c r="D32" s="293"/>
      <c r="E32" s="333"/>
      <c r="F32" s="334"/>
      <c r="G32" s="334"/>
      <c r="H32" s="334"/>
      <c r="I32" s="347"/>
      <c r="J32" s="372" t="str">
        <f ca="1">IF(AND('Mapa final'!$J$19="Baja",'Mapa final'!$N$19="Leve"),CONCATENATE("R",'Mapa final'!$A$19),"")</f>
        <v/>
      </c>
      <c r="K32" s="370"/>
      <c r="L32" s="370" t="str">
        <f ca="1">IF(AND('Mapa final'!$J$23="Baja",'Mapa final'!$N$23="Leve"),CONCATENATE("R",'Mapa final'!$A$23),"")</f>
        <v/>
      </c>
      <c r="M32" s="370"/>
      <c r="N32" s="370" t="str">
        <f ca="1">IF(AND('Mapa final'!$J$29="Baja",'Mapa final'!$N$29="Leve"),CONCATENATE("R",'Mapa final'!$A$29),"")</f>
        <v/>
      </c>
      <c r="O32" s="371"/>
      <c r="P32" s="362" t="str">
        <f ca="1">IF(AND('Mapa final'!$J$19="Baja",'Mapa final'!$N$19="Menor"),CONCATENATE("R",'Mapa final'!$A$19),"")</f>
        <v/>
      </c>
      <c r="Q32" s="362"/>
      <c r="R32" s="362" t="str">
        <f ca="1">IF(AND('Mapa final'!$J$23="Baja",'Mapa final'!$N$23="Menor"),CONCATENATE("R",'Mapa final'!$A$23),"")</f>
        <v/>
      </c>
      <c r="S32" s="362"/>
      <c r="T32" s="362" t="str">
        <f ca="1">IF(AND('Mapa final'!$J$29="Baja",'Mapa final'!$N$29="Menor"),CONCATENATE("R",'Mapa final'!$A$29),"")</f>
        <v/>
      </c>
      <c r="U32" s="363"/>
      <c r="V32" s="361" t="str">
        <f ca="1">IF(AND('Mapa final'!$J$19="Baja",'Mapa final'!$N$19="Moderado"),CONCATENATE("R",'Mapa final'!$A$19),"")</f>
        <v/>
      </c>
      <c r="W32" s="362"/>
      <c r="X32" s="362" t="str">
        <f ca="1">IF(AND('Mapa final'!$J$23="Baja",'Mapa final'!$N$23="Moderado"),CONCATENATE("R",'Mapa final'!$A$23),"")</f>
        <v/>
      </c>
      <c r="Y32" s="362"/>
      <c r="Z32" s="362" t="str">
        <f ca="1">IF(AND('Mapa final'!$J$29="Baja",'Mapa final'!$N$29="Moderado"),CONCATENATE("R",'Mapa final'!$A$29),"")</f>
        <v/>
      </c>
      <c r="AA32" s="363"/>
      <c r="AB32" s="344" t="str">
        <f ca="1">IF(AND('Mapa final'!$J$19="Baja",'Mapa final'!$N$19="Mayor"),CONCATENATE("R",'Mapa final'!$A$19),"")</f>
        <v/>
      </c>
      <c r="AC32" s="341"/>
      <c r="AD32" s="339" t="str">
        <f ca="1">IF(AND('Mapa final'!$J$23="Baja",'Mapa final'!$N$23="Mayor"),CONCATENATE("R",'Mapa final'!$A$23),"")</f>
        <v/>
      </c>
      <c r="AE32" s="339"/>
      <c r="AF32" s="339" t="str">
        <f ca="1">IF(AND('Mapa final'!$J$29="Baja",'Mapa final'!$N$29="Mayor"),CONCATENATE("R",'Mapa final'!$A$29),"")</f>
        <v/>
      </c>
      <c r="AG32" s="340"/>
      <c r="AH32" s="352" t="str">
        <f ca="1">IF(AND('Mapa final'!$J$19="Baja",'Mapa final'!$N$19="Catastrófico"),CONCATENATE("R",'Mapa final'!$A$19),"")</f>
        <v/>
      </c>
      <c r="AI32" s="353"/>
      <c r="AJ32" s="353" t="str">
        <f ca="1">IF(AND('Mapa final'!$J$23="Baja",'Mapa final'!$N$23="Catastrófico"),CONCATENATE("R",'Mapa final'!$A$23),"")</f>
        <v/>
      </c>
      <c r="AK32" s="353"/>
      <c r="AL32" s="353" t="str">
        <f ca="1">IF(AND('Mapa final'!$J$29="Baja",'Mapa final'!$N$29="Catastrófico"),CONCATENATE("R",'Mapa final'!$A$29),"")</f>
        <v/>
      </c>
      <c r="AM32" s="354"/>
      <c r="AN32" s="54"/>
      <c r="AO32" s="324"/>
      <c r="AP32" s="325"/>
      <c r="AQ32" s="325"/>
      <c r="AR32" s="325"/>
      <c r="AS32" s="325"/>
      <c r="AT32" s="326"/>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c r="BY32" s="54"/>
      <c r="BZ32" s="54"/>
      <c r="CA32" s="54"/>
      <c r="CB32" s="54"/>
    </row>
    <row r="33" spans="1:80" x14ac:dyDescent="0.3">
      <c r="A33" s="54"/>
      <c r="B33" s="292"/>
      <c r="C33" s="292"/>
      <c r="D33" s="293"/>
      <c r="E33" s="333"/>
      <c r="F33" s="334"/>
      <c r="G33" s="334"/>
      <c r="H33" s="334"/>
      <c r="I33" s="347"/>
      <c r="J33" s="372"/>
      <c r="K33" s="370"/>
      <c r="L33" s="370"/>
      <c r="M33" s="370"/>
      <c r="N33" s="370"/>
      <c r="O33" s="371"/>
      <c r="P33" s="362"/>
      <c r="Q33" s="362"/>
      <c r="R33" s="362"/>
      <c r="S33" s="362"/>
      <c r="T33" s="362"/>
      <c r="U33" s="363"/>
      <c r="V33" s="361"/>
      <c r="W33" s="362"/>
      <c r="X33" s="362"/>
      <c r="Y33" s="362"/>
      <c r="Z33" s="362"/>
      <c r="AA33" s="363"/>
      <c r="AB33" s="344"/>
      <c r="AC33" s="341"/>
      <c r="AD33" s="339"/>
      <c r="AE33" s="339"/>
      <c r="AF33" s="339"/>
      <c r="AG33" s="340"/>
      <c r="AH33" s="352"/>
      <c r="AI33" s="353"/>
      <c r="AJ33" s="353"/>
      <c r="AK33" s="353"/>
      <c r="AL33" s="353"/>
      <c r="AM33" s="354"/>
      <c r="AN33" s="54"/>
      <c r="AO33" s="324"/>
      <c r="AP33" s="325"/>
      <c r="AQ33" s="325"/>
      <c r="AR33" s="325"/>
      <c r="AS33" s="325"/>
      <c r="AT33" s="326"/>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c r="BY33" s="54"/>
      <c r="BZ33" s="54"/>
      <c r="CA33" s="54"/>
      <c r="CB33" s="54"/>
    </row>
    <row r="34" spans="1:80" x14ac:dyDescent="0.3">
      <c r="A34" s="54"/>
      <c r="B34" s="292"/>
      <c r="C34" s="292"/>
      <c r="D34" s="293"/>
      <c r="E34" s="333"/>
      <c r="F34" s="334"/>
      <c r="G34" s="334"/>
      <c r="H34" s="334"/>
      <c r="I34" s="347"/>
      <c r="J34" s="372" t="str">
        <f ca="1">IF(AND('Mapa final'!$J$35="Baja",'Mapa final'!$N$35="Leve"),CONCATENATE("R",'Mapa final'!$A$35),"")</f>
        <v/>
      </c>
      <c r="K34" s="370"/>
      <c r="L34" s="370" t="str">
        <f ca="1">IF(AND('Mapa final'!$J$41="Baja",'Mapa final'!$N$41="Leve"),CONCATENATE("R",'Mapa final'!$A$41),"")</f>
        <v/>
      </c>
      <c r="M34" s="370"/>
      <c r="N34" s="370" t="str">
        <f ca="1">IF(AND('Mapa final'!$J$47="Baja",'Mapa final'!$N$47="Leve"),CONCATENATE("R",'Mapa final'!$A$47),"")</f>
        <v/>
      </c>
      <c r="O34" s="371"/>
      <c r="P34" s="362" t="str">
        <f ca="1">IF(AND('Mapa final'!$J$35="Baja",'Mapa final'!$N$35="Menor"),CONCATENATE("R",'Mapa final'!$A$35),"")</f>
        <v/>
      </c>
      <c r="Q34" s="362"/>
      <c r="R34" s="362" t="str">
        <f ca="1">IF(AND('Mapa final'!$J$41="Baja",'Mapa final'!$N$41="Menor"),CONCATENATE("R",'Mapa final'!$A$41),"")</f>
        <v/>
      </c>
      <c r="S34" s="362"/>
      <c r="T34" s="362" t="str">
        <f ca="1">IF(AND('Mapa final'!$J$47="Baja",'Mapa final'!$N$47="Menor"),CONCATENATE("R",'Mapa final'!$A$47),"")</f>
        <v/>
      </c>
      <c r="U34" s="363"/>
      <c r="V34" s="361" t="str">
        <f ca="1">IF(AND('Mapa final'!$J$35="Baja",'Mapa final'!$N$35="Moderado"),CONCATENATE("R",'Mapa final'!$A$35),"")</f>
        <v/>
      </c>
      <c r="W34" s="362"/>
      <c r="X34" s="362" t="str">
        <f ca="1">IF(AND('Mapa final'!$J$41="Baja",'Mapa final'!$N$41="Moderado"),CONCATENATE("R",'Mapa final'!$A$41),"")</f>
        <v/>
      </c>
      <c r="Y34" s="362"/>
      <c r="Z34" s="362" t="str">
        <f ca="1">IF(AND('Mapa final'!$J$47="Baja",'Mapa final'!$N$47="Moderado"),CONCATENATE("R",'Mapa final'!$A$47),"")</f>
        <v/>
      </c>
      <c r="AA34" s="363"/>
      <c r="AB34" s="344" t="str">
        <f ca="1">IF(AND('Mapa final'!$J$35="Baja",'Mapa final'!$N$35="Mayor"),CONCATENATE("R",'Mapa final'!$A$35),"")</f>
        <v/>
      </c>
      <c r="AC34" s="341"/>
      <c r="AD34" s="339" t="str">
        <f ca="1">IF(AND('Mapa final'!$J$41="Baja",'Mapa final'!$N$41="Mayor"),CONCATENATE("R",'Mapa final'!$A$41),"")</f>
        <v/>
      </c>
      <c r="AE34" s="339"/>
      <c r="AF34" s="339" t="str">
        <f ca="1">IF(AND('Mapa final'!$J$47="Baja",'Mapa final'!$N$47="Mayor"),CONCATENATE("R",'Mapa final'!$A$47),"")</f>
        <v/>
      </c>
      <c r="AG34" s="340"/>
      <c r="AH34" s="352" t="str">
        <f ca="1">IF(AND('Mapa final'!$J$35="Baja",'Mapa final'!$N$35="Catastrófico"),CONCATENATE("R",'Mapa final'!$A$35),"")</f>
        <v/>
      </c>
      <c r="AI34" s="353"/>
      <c r="AJ34" s="353" t="str">
        <f ca="1">IF(AND('Mapa final'!$J$41="Baja",'Mapa final'!$N$41="Catastrófico"),CONCATENATE("R",'Mapa final'!$A$41),"")</f>
        <v/>
      </c>
      <c r="AK34" s="353"/>
      <c r="AL34" s="353" t="str">
        <f ca="1">IF(AND('Mapa final'!$J$47="Baja",'Mapa final'!$N$47="Catastrófico"),CONCATENATE("R",'Mapa final'!$A$47),"")</f>
        <v/>
      </c>
      <c r="AM34" s="354"/>
      <c r="AN34" s="54"/>
      <c r="AO34" s="324"/>
      <c r="AP34" s="325"/>
      <c r="AQ34" s="325"/>
      <c r="AR34" s="325"/>
      <c r="AS34" s="325"/>
      <c r="AT34" s="326"/>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c r="BY34" s="54"/>
      <c r="BZ34" s="54"/>
      <c r="CA34" s="54"/>
      <c r="CB34" s="54"/>
    </row>
    <row r="35" spans="1:80" x14ac:dyDescent="0.3">
      <c r="A35" s="54"/>
      <c r="B35" s="292"/>
      <c r="C35" s="292"/>
      <c r="D35" s="293"/>
      <c r="E35" s="333"/>
      <c r="F35" s="334"/>
      <c r="G35" s="334"/>
      <c r="H35" s="334"/>
      <c r="I35" s="347"/>
      <c r="J35" s="372"/>
      <c r="K35" s="370"/>
      <c r="L35" s="370"/>
      <c r="M35" s="370"/>
      <c r="N35" s="370"/>
      <c r="O35" s="371"/>
      <c r="P35" s="362"/>
      <c r="Q35" s="362"/>
      <c r="R35" s="362"/>
      <c r="S35" s="362"/>
      <c r="T35" s="362"/>
      <c r="U35" s="363"/>
      <c r="V35" s="361"/>
      <c r="W35" s="362"/>
      <c r="X35" s="362"/>
      <c r="Y35" s="362"/>
      <c r="Z35" s="362"/>
      <c r="AA35" s="363"/>
      <c r="AB35" s="344"/>
      <c r="AC35" s="341"/>
      <c r="AD35" s="339"/>
      <c r="AE35" s="339"/>
      <c r="AF35" s="339"/>
      <c r="AG35" s="340"/>
      <c r="AH35" s="352"/>
      <c r="AI35" s="353"/>
      <c r="AJ35" s="353"/>
      <c r="AK35" s="353"/>
      <c r="AL35" s="353"/>
      <c r="AM35" s="354"/>
      <c r="AN35" s="54"/>
      <c r="AO35" s="324"/>
      <c r="AP35" s="325"/>
      <c r="AQ35" s="325"/>
      <c r="AR35" s="325"/>
      <c r="AS35" s="325"/>
      <c r="AT35" s="326"/>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c r="BY35" s="54"/>
      <c r="BZ35" s="54"/>
      <c r="CA35" s="54"/>
      <c r="CB35" s="54"/>
    </row>
    <row r="36" spans="1:80" x14ac:dyDescent="0.3">
      <c r="A36" s="54"/>
      <c r="B36" s="292"/>
      <c r="C36" s="292"/>
      <c r="D36" s="293"/>
      <c r="E36" s="333"/>
      <c r="F36" s="334"/>
      <c r="G36" s="334"/>
      <c r="H36" s="334"/>
      <c r="I36" s="347"/>
      <c r="J36" s="372" t="str">
        <f ca="1">IF(AND('Mapa final'!$J$53="Baja",'Mapa final'!$N$53="Leve"),CONCATENATE("R",'Mapa final'!$A$53),"")</f>
        <v/>
      </c>
      <c r="K36" s="370"/>
      <c r="L36" s="370" t="str">
        <f>IF(AND('Mapa final'!$J$59="Baja",'Mapa final'!$N$59="Leve"),CONCATENATE("R",'Mapa final'!$A$59),"")</f>
        <v/>
      </c>
      <c r="M36" s="370"/>
      <c r="N36" s="370" t="str">
        <f>IF(AND('Mapa final'!$J$65="Baja",'Mapa final'!$N$65="Leve"),CONCATENATE("R",'Mapa final'!$A$65),"")</f>
        <v/>
      </c>
      <c r="O36" s="371"/>
      <c r="P36" s="362" t="str">
        <f ca="1">IF(AND('Mapa final'!$J$53="Baja",'Mapa final'!$N$53="Menor"),CONCATENATE("R",'Mapa final'!$A$53),"")</f>
        <v/>
      </c>
      <c r="Q36" s="362"/>
      <c r="R36" s="362" t="str">
        <f>IF(AND('Mapa final'!$J$59="Baja",'Mapa final'!$N$59="Menor"),CONCATENATE("R",'Mapa final'!$A$59),"")</f>
        <v/>
      </c>
      <c r="S36" s="362"/>
      <c r="T36" s="362" t="str">
        <f>IF(AND('Mapa final'!$J$65="Baja",'Mapa final'!$N$65="Menor"),CONCATENATE("R",'Mapa final'!$A$65),"")</f>
        <v/>
      </c>
      <c r="U36" s="363"/>
      <c r="V36" s="361" t="str">
        <f ca="1">IF(AND('Mapa final'!$J$53="Baja",'Mapa final'!$N$53="Moderado"),CONCATENATE("R",'Mapa final'!$A$53),"")</f>
        <v/>
      </c>
      <c r="W36" s="362"/>
      <c r="X36" s="362" t="str">
        <f>IF(AND('Mapa final'!$J$59="Baja",'Mapa final'!$N$59="Moderado"),CONCATENATE("R",'Mapa final'!$A$59),"")</f>
        <v/>
      </c>
      <c r="Y36" s="362"/>
      <c r="Z36" s="362" t="str">
        <f>IF(AND('Mapa final'!$J$65="Baja",'Mapa final'!$N$65="Moderado"),CONCATENATE("R",'Mapa final'!$A$65),"")</f>
        <v/>
      </c>
      <c r="AA36" s="363"/>
      <c r="AB36" s="344" t="str">
        <f ca="1">IF(AND('Mapa final'!$J$53="Baja",'Mapa final'!$N$53="Mayor"),CONCATENATE("R",'Mapa final'!$A$53),"")</f>
        <v/>
      </c>
      <c r="AC36" s="341"/>
      <c r="AD36" s="339" t="str">
        <f>IF(AND('Mapa final'!$J$59="Baja",'Mapa final'!$N$59="Mayor"),CONCATENATE("R",'Mapa final'!$A$59),"")</f>
        <v/>
      </c>
      <c r="AE36" s="339"/>
      <c r="AF36" s="339" t="str">
        <f>IF(AND('Mapa final'!$J$65="Baja",'Mapa final'!$N$65="Mayor"),CONCATENATE("R",'Mapa final'!$A$65),"")</f>
        <v/>
      </c>
      <c r="AG36" s="340"/>
      <c r="AH36" s="352" t="str">
        <f ca="1">IF(AND('Mapa final'!$J$53="Baja",'Mapa final'!$N$53="Catastrófico"),CONCATENATE("R",'Mapa final'!$A$53),"")</f>
        <v/>
      </c>
      <c r="AI36" s="353"/>
      <c r="AJ36" s="353" t="str">
        <f>IF(AND('Mapa final'!$J$59="Baja",'Mapa final'!$N$59="Catastrófico"),CONCATENATE("R",'Mapa final'!$A$59),"")</f>
        <v/>
      </c>
      <c r="AK36" s="353"/>
      <c r="AL36" s="353" t="str">
        <f>IF(AND('Mapa final'!$J$65="Baja",'Mapa final'!$N$65="Catastrófico"),CONCATENATE("R",'Mapa final'!$A$65),"")</f>
        <v/>
      </c>
      <c r="AM36" s="354"/>
      <c r="AN36" s="54"/>
      <c r="AO36" s="324"/>
      <c r="AP36" s="325"/>
      <c r="AQ36" s="325"/>
      <c r="AR36" s="325"/>
      <c r="AS36" s="325"/>
      <c r="AT36" s="326"/>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row>
    <row r="37" spans="1:80" ht="15" thickBot="1" x14ac:dyDescent="0.35">
      <c r="A37" s="54"/>
      <c r="B37" s="292"/>
      <c r="C37" s="292"/>
      <c r="D37" s="293"/>
      <c r="E37" s="336"/>
      <c r="F37" s="337"/>
      <c r="G37" s="337"/>
      <c r="H37" s="337"/>
      <c r="I37" s="337"/>
      <c r="J37" s="373"/>
      <c r="K37" s="374"/>
      <c r="L37" s="374"/>
      <c r="M37" s="374"/>
      <c r="N37" s="374"/>
      <c r="O37" s="375"/>
      <c r="P37" s="365"/>
      <c r="Q37" s="365"/>
      <c r="R37" s="365"/>
      <c r="S37" s="365"/>
      <c r="T37" s="365"/>
      <c r="U37" s="366"/>
      <c r="V37" s="364"/>
      <c r="W37" s="365"/>
      <c r="X37" s="365"/>
      <c r="Y37" s="365"/>
      <c r="Z37" s="365"/>
      <c r="AA37" s="366"/>
      <c r="AB37" s="349"/>
      <c r="AC37" s="350"/>
      <c r="AD37" s="350"/>
      <c r="AE37" s="350"/>
      <c r="AF37" s="350"/>
      <c r="AG37" s="351"/>
      <c r="AH37" s="355"/>
      <c r="AI37" s="356"/>
      <c r="AJ37" s="356"/>
      <c r="AK37" s="356"/>
      <c r="AL37" s="356"/>
      <c r="AM37" s="357"/>
      <c r="AN37" s="54"/>
      <c r="AO37" s="327"/>
      <c r="AP37" s="328"/>
      <c r="AQ37" s="328"/>
      <c r="AR37" s="328"/>
      <c r="AS37" s="328"/>
      <c r="AT37" s="329"/>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row>
    <row r="38" spans="1:80" x14ac:dyDescent="0.3">
      <c r="A38" s="54"/>
      <c r="B38" s="292"/>
      <c r="C38" s="292"/>
      <c r="D38" s="293"/>
      <c r="E38" s="330" t="s">
        <v>108</v>
      </c>
      <c r="F38" s="331"/>
      <c r="G38" s="331"/>
      <c r="H38" s="331"/>
      <c r="I38" s="332"/>
      <c r="J38" s="376" t="str">
        <f ca="1">IF(AND('Mapa final'!$J$10="Muy Baja",'Mapa final'!$N$10="Leve"),CONCATENATE("R",'Mapa final'!$A$10),"")</f>
        <v/>
      </c>
      <c r="K38" s="377"/>
      <c r="L38" s="377" t="str">
        <f ca="1">IF(AND('Mapa final'!$J$15="Muy Baja",'Mapa final'!$N$15="Leve"),CONCATENATE("R",'Mapa final'!$A$15),"")</f>
        <v/>
      </c>
      <c r="M38" s="377"/>
      <c r="N38" s="377" t="e">
        <f>IF(AND('Mapa final'!#REF!="Muy Baja",'Mapa final'!#REF!="Leve"),CONCATENATE("R",'Mapa final'!#REF!),"")</f>
        <v>#REF!</v>
      </c>
      <c r="O38" s="378"/>
      <c r="P38" s="376" t="str">
        <f ca="1">IF(AND('Mapa final'!$J$10="Muy Baja",'Mapa final'!$N$10="Menor"),CONCATENATE("R",'Mapa final'!$A$10),"")</f>
        <v/>
      </c>
      <c r="Q38" s="377"/>
      <c r="R38" s="377" t="str">
        <f ca="1">IF(AND('Mapa final'!$J$15="Muy Baja",'Mapa final'!$N$15="Menor"),CONCATENATE("R",'Mapa final'!$A$15),"")</f>
        <v/>
      </c>
      <c r="S38" s="377"/>
      <c r="T38" s="377" t="e">
        <f>IF(AND('Mapa final'!#REF!="Muy Baja",'Mapa final'!#REF!="Menor"),CONCATENATE("R",'Mapa final'!#REF!),"")</f>
        <v>#REF!</v>
      </c>
      <c r="U38" s="378"/>
      <c r="V38" s="367" t="str">
        <f ca="1">IF(AND('Mapa final'!$J$10="Muy Baja",'Mapa final'!$N$10="Moderado"),CONCATENATE("R",'Mapa final'!$A$10),"")</f>
        <v/>
      </c>
      <c r="W38" s="368"/>
      <c r="X38" s="368" t="str">
        <f ca="1">IF(AND('Mapa final'!$J$15="Muy Baja",'Mapa final'!$N$15="Moderado"),CONCATENATE("R",'Mapa final'!$A$15),"")</f>
        <v/>
      </c>
      <c r="Y38" s="368"/>
      <c r="Z38" s="368" t="e">
        <f>IF(AND('Mapa final'!#REF!="Muy Baja",'Mapa final'!#REF!="Moderado"),CONCATENATE("R",'Mapa final'!#REF!),"")</f>
        <v>#REF!</v>
      </c>
      <c r="AA38" s="369"/>
      <c r="AB38" s="342" t="str">
        <f ca="1">IF(AND('Mapa final'!$J$10="Muy Baja",'Mapa final'!$N$10="Mayor"),CONCATENATE("R",'Mapa final'!$A$10),"")</f>
        <v/>
      </c>
      <c r="AC38" s="343"/>
      <c r="AD38" s="343" t="str">
        <f ca="1">IF(AND('Mapa final'!$J$15="Muy Baja",'Mapa final'!$N$15="Mayor"),CONCATENATE("R",'Mapa final'!$A$15),"")</f>
        <v/>
      </c>
      <c r="AE38" s="343"/>
      <c r="AF38" s="343" t="e">
        <f>IF(AND('Mapa final'!#REF!="Muy Baja",'Mapa final'!#REF!="Mayor"),CONCATENATE("R",'Mapa final'!#REF!),"")</f>
        <v>#REF!</v>
      </c>
      <c r="AG38" s="345"/>
      <c r="AH38" s="358" t="str">
        <f ca="1">IF(AND('Mapa final'!$J$10="Muy Baja",'Mapa final'!$N$10="Catastrófico"),CONCATENATE("R",'Mapa final'!$A$10),"")</f>
        <v/>
      </c>
      <c r="AI38" s="359"/>
      <c r="AJ38" s="359" t="str">
        <f ca="1">IF(AND('Mapa final'!$J$15="Muy Baja",'Mapa final'!$N$15="Catastrófico"),CONCATENATE("R",'Mapa final'!$A$15),"")</f>
        <v/>
      </c>
      <c r="AK38" s="359"/>
      <c r="AL38" s="359" t="e">
        <f>IF(AND('Mapa final'!#REF!="Muy Baja",'Mapa final'!#REF!="Catastrófico"),CONCATENATE("R",'Mapa final'!#REF!),"")</f>
        <v>#REF!</v>
      </c>
      <c r="AM38" s="360"/>
      <c r="AN38" s="54"/>
      <c r="AO38" s="54"/>
      <c r="AP38" s="54"/>
      <c r="AQ38" s="54"/>
      <c r="AR38" s="54"/>
      <c r="AS38" s="54"/>
      <c r="AT38" s="54"/>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c r="BY38" s="54"/>
      <c r="BZ38" s="54"/>
      <c r="CA38" s="54"/>
      <c r="CB38" s="54"/>
    </row>
    <row r="39" spans="1:80" x14ac:dyDescent="0.3">
      <c r="A39" s="54"/>
      <c r="B39" s="292"/>
      <c r="C39" s="292"/>
      <c r="D39" s="293"/>
      <c r="E39" s="333"/>
      <c r="F39" s="334"/>
      <c r="G39" s="334"/>
      <c r="H39" s="334"/>
      <c r="I39" s="335"/>
      <c r="J39" s="372"/>
      <c r="K39" s="370"/>
      <c r="L39" s="370"/>
      <c r="M39" s="370"/>
      <c r="N39" s="370"/>
      <c r="O39" s="371"/>
      <c r="P39" s="372"/>
      <c r="Q39" s="370"/>
      <c r="R39" s="370"/>
      <c r="S39" s="370"/>
      <c r="T39" s="370"/>
      <c r="U39" s="371"/>
      <c r="V39" s="361"/>
      <c r="W39" s="362"/>
      <c r="X39" s="362"/>
      <c r="Y39" s="362"/>
      <c r="Z39" s="362"/>
      <c r="AA39" s="363"/>
      <c r="AB39" s="344"/>
      <c r="AC39" s="341"/>
      <c r="AD39" s="341"/>
      <c r="AE39" s="341"/>
      <c r="AF39" s="341"/>
      <c r="AG39" s="340"/>
      <c r="AH39" s="352"/>
      <c r="AI39" s="353"/>
      <c r="AJ39" s="353"/>
      <c r="AK39" s="353"/>
      <c r="AL39" s="353"/>
      <c r="AM39" s="3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c r="BY39" s="54"/>
      <c r="BZ39" s="54"/>
      <c r="CA39" s="54"/>
      <c r="CB39" s="54"/>
    </row>
    <row r="40" spans="1:80" x14ac:dyDescent="0.3">
      <c r="A40" s="54"/>
      <c r="B40" s="292"/>
      <c r="C40" s="292"/>
      <c r="D40" s="293"/>
      <c r="E40" s="333"/>
      <c r="F40" s="334"/>
      <c r="G40" s="334"/>
      <c r="H40" s="334"/>
      <c r="I40" s="335"/>
      <c r="J40" s="372" t="str">
        <f ca="1">IF(AND('Mapa final'!$J$19="Muy Baja",'Mapa final'!$N$19="Leve"),CONCATENATE("R",'Mapa final'!$A$19),"")</f>
        <v/>
      </c>
      <c r="K40" s="370"/>
      <c r="L40" s="370" t="str">
        <f ca="1">IF(AND('Mapa final'!$J$23="Muy Baja",'Mapa final'!$N$23="Leve"),CONCATENATE("R",'Mapa final'!$A$23),"")</f>
        <v/>
      </c>
      <c r="M40" s="370"/>
      <c r="N40" s="370" t="str">
        <f ca="1">IF(AND('Mapa final'!$J$29="Muy Baja",'Mapa final'!$N$29="Leve"),CONCATENATE("R",'Mapa final'!$A$29),"")</f>
        <v/>
      </c>
      <c r="O40" s="371"/>
      <c r="P40" s="372" t="str">
        <f ca="1">IF(AND('Mapa final'!$J$19="Muy Baja",'Mapa final'!$N$19="Menor"),CONCATENATE("R",'Mapa final'!$A$19),"")</f>
        <v/>
      </c>
      <c r="Q40" s="370"/>
      <c r="R40" s="370" t="str">
        <f ca="1">IF(AND('Mapa final'!$J$23="Muy Baja",'Mapa final'!$N$23="Menor"),CONCATENATE("R",'Mapa final'!$A$23),"")</f>
        <v/>
      </c>
      <c r="S40" s="370"/>
      <c r="T40" s="370" t="str">
        <f ca="1">IF(AND('Mapa final'!$J$29="Muy Baja",'Mapa final'!$N$29="Menor"),CONCATENATE("R",'Mapa final'!$A$29),"")</f>
        <v/>
      </c>
      <c r="U40" s="371"/>
      <c r="V40" s="361" t="str">
        <f ca="1">IF(AND('Mapa final'!$J$19="Muy Baja",'Mapa final'!$N$19="Moderado"),CONCATENATE("R",'Mapa final'!$A$19),"")</f>
        <v/>
      </c>
      <c r="W40" s="362"/>
      <c r="X40" s="362" t="str">
        <f ca="1">IF(AND('Mapa final'!$J$23="Muy Baja",'Mapa final'!$N$23="Moderado"),CONCATENATE("R",'Mapa final'!$A$23),"")</f>
        <v/>
      </c>
      <c r="Y40" s="362"/>
      <c r="Z40" s="362" t="str">
        <f ca="1">IF(AND('Mapa final'!$J$29="Muy Baja",'Mapa final'!$N$29="Moderado"),CONCATENATE("R",'Mapa final'!$A$29),"")</f>
        <v/>
      </c>
      <c r="AA40" s="363"/>
      <c r="AB40" s="344" t="str">
        <f ca="1">IF(AND('Mapa final'!$J$19="Muy Baja",'Mapa final'!$N$19="Mayor"),CONCATENATE("R",'Mapa final'!$A$19),"")</f>
        <v/>
      </c>
      <c r="AC40" s="341"/>
      <c r="AD40" s="339" t="str">
        <f ca="1">IF(AND('Mapa final'!$J$23="Muy Baja",'Mapa final'!$N$23="Mayor"),CONCATENATE("R",'Mapa final'!$A$23),"")</f>
        <v/>
      </c>
      <c r="AE40" s="339"/>
      <c r="AF40" s="339" t="str">
        <f ca="1">IF(AND('Mapa final'!$J$29="Muy Baja",'Mapa final'!$N$29="Mayor"),CONCATENATE("R",'Mapa final'!$A$29),"")</f>
        <v/>
      </c>
      <c r="AG40" s="340"/>
      <c r="AH40" s="352" t="str">
        <f ca="1">IF(AND('Mapa final'!$J$19="Muy Baja",'Mapa final'!$N$19="Catastrófico"),CONCATENATE("R",'Mapa final'!$A$19),"")</f>
        <v/>
      </c>
      <c r="AI40" s="353"/>
      <c r="AJ40" s="353" t="str">
        <f ca="1">IF(AND('Mapa final'!$J$23="Muy Baja",'Mapa final'!$N$23="Catastrófico"),CONCATENATE("R",'Mapa final'!$A$23),"")</f>
        <v/>
      </c>
      <c r="AK40" s="353"/>
      <c r="AL40" s="353" t="str">
        <f ca="1">IF(AND('Mapa final'!$J$29="Muy Baja",'Mapa final'!$N$29="Catastrófico"),CONCATENATE("R",'Mapa final'!$A$29),"")</f>
        <v/>
      </c>
      <c r="AM40" s="354"/>
      <c r="AN40" s="54"/>
      <c r="AO40" s="54"/>
      <c r="AP40" s="54"/>
      <c r="AQ40" s="54"/>
      <c r="AR40" s="54"/>
      <c r="AS40" s="54"/>
      <c r="AT40" s="54"/>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c r="BY40" s="54"/>
      <c r="BZ40" s="54"/>
      <c r="CA40" s="54"/>
      <c r="CB40" s="54"/>
    </row>
    <row r="41" spans="1:80" x14ac:dyDescent="0.3">
      <c r="A41" s="54"/>
      <c r="B41" s="292"/>
      <c r="C41" s="292"/>
      <c r="D41" s="293"/>
      <c r="E41" s="333"/>
      <c r="F41" s="334"/>
      <c r="G41" s="334"/>
      <c r="H41" s="334"/>
      <c r="I41" s="335"/>
      <c r="J41" s="372"/>
      <c r="K41" s="370"/>
      <c r="L41" s="370"/>
      <c r="M41" s="370"/>
      <c r="N41" s="370"/>
      <c r="O41" s="371"/>
      <c r="P41" s="372"/>
      <c r="Q41" s="370"/>
      <c r="R41" s="370"/>
      <c r="S41" s="370"/>
      <c r="T41" s="370"/>
      <c r="U41" s="371"/>
      <c r="V41" s="361"/>
      <c r="W41" s="362"/>
      <c r="X41" s="362"/>
      <c r="Y41" s="362"/>
      <c r="Z41" s="362"/>
      <c r="AA41" s="363"/>
      <c r="AB41" s="344"/>
      <c r="AC41" s="341"/>
      <c r="AD41" s="339"/>
      <c r="AE41" s="339"/>
      <c r="AF41" s="339"/>
      <c r="AG41" s="340"/>
      <c r="AH41" s="352"/>
      <c r="AI41" s="353"/>
      <c r="AJ41" s="353"/>
      <c r="AK41" s="353"/>
      <c r="AL41" s="353"/>
      <c r="AM41" s="354"/>
      <c r="AN41" s="54"/>
      <c r="AO41" s="54"/>
      <c r="AP41" s="54"/>
      <c r="AQ41" s="54"/>
      <c r="AR41" s="54"/>
      <c r="AS41" s="54"/>
      <c r="AT41" s="54"/>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c r="BY41" s="54"/>
      <c r="BZ41" s="54"/>
      <c r="CA41" s="54"/>
      <c r="CB41" s="54"/>
    </row>
    <row r="42" spans="1:80" x14ac:dyDescent="0.3">
      <c r="A42" s="54"/>
      <c r="B42" s="292"/>
      <c r="C42" s="292"/>
      <c r="D42" s="293"/>
      <c r="E42" s="333"/>
      <c r="F42" s="334"/>
      <c r="G42" s="334"/>
      <c r="H42" s="334"/>
      <c r="I42" s="335"/>
      <c r="J42" s="372" t="str">
        <f ca="1">IF(AND('Mapa final'!$J$35="Muy Baja",'Mapa final'!$N$35="Leve"),CONCATENATE("R",'Mapa final'!$A$35),"")</f>
        <v/>
      </c>
      <c r="K42" s="370"/>
      <c r="L42" s="370" t="str">
        <f ca="1">IF(AND('Mapa final'!$J$41="Muy Baja",'Mapa final'!$N$41="Leve"),CONCATENATE("R",'Mapa final'!$A$41),"")</f>
        <v/>
      </c>
      <c r="M42" s="370"/>
      <c r="N42" s="370" t="str">
        <f ca="1">IF(AND('Mapa final'!$J$47="Muy Baja",'Mapa final'!$N$47="Leve"),CONCATENATE("R",'Mapa final'!$A$47),"")</f>
        <v/>
      </c>
      <c r="O42" s="371"/>
      <c r="P42" s="372" t="str">
        <f ca="1">IF(AND('Mapa final'!$J$35="Muy Baja",'Mapa final'!$N$35="Menor"),CONCATENATE("R",'Mapa final'!$A$35),"")</f>
        <v/>
      </c>
      <c r="Q42" s="370"/>
      <c r="R42" s="370" t="str">
        <f ca="1">IF(AND('Mapa final'!$J$41="Muy Baja",'Mapa final'!$N$41="Menor"),CONCATENATE("R",'Mapa final'!$A$41),"")</f>
        <v/>
      </c>
      <c r="S42" s="370"/>
      <c r="T42" s="370" t="str">
        <f ca="1">IF(AND('Mapa final'!$J$47="Muy Baja",'Mapa final'!$N$47="Menor"),CONCATENATE("R",'Mapa final'!$A$47),"")</f>
        <v/>
      </c>
      <c r="U42" s="371"/>
      <c r="V42" s="361" t="str">
        <f ca="1">IF(AND('Mapa final'!$J$35="Muy Baja",'Mapa final'!$N$35="Moderado"),CONCATENATE("R",'Mapa final'!$A$35),"")</f>
        <v/>
      </c>
      <c r="W42" s="362"/>
      <c r="X42" s="362" t="str">
        <f ca="1">IF(AND('Mapa final'!$J$41="Muy Baja",'Mapa final'!$N$41="Moderado"),CONCATENATE("R",'Mapa final'!$A$41),"")</f>
        <v/>
      </c>
      <c r="Y42" s="362"/>
      <c r="Z42" s="362" t="str">
        <f ca="1">IF(AND('Mapa final'!$J$47="Muy Baja",'Mapa final'!$N$47="Moderado"),CONCATENATE("R",'Mapa final'!$A$47),"")</f>
        <v/>
      </c>
      <c r="AA42" s="363"/>
      <c r="AB42" s="344" t="str">
        <f ca="1">IF(AND('Mapa final'!$J$35="Muy Baja",'Mapa final'!$N$35="Mayor"),CONCATENATE("R",'Mapa final'!$A$35),"")</f>
        <v/>
      </c>
      <c r="AC42" s="341"/>
      <c r="AD42" s="339" t="str">
        <f ca="1">IF(AND('Mapa final'!$J$41="Muy Baja",'Mapa final'!$N$41="Mayor"),CONCATENATE("R",'Mapa final'!$A$41),"")</f>
        <v/>
      </c>
      <c r="AE42" s="339"/>
      <c r="AF42" s="339" t="str">
        <f ca="1">IF(AND('Mapa final'!$J$47="Muy Baja",'Mapa final'!$N$47="Mayor"),CONCATENATE("R",'Mapa final'!$A$47),"")</f>
        <v/>
      </c>
      <c r="AG42" s="340"/>
      <c r="AH42" s="352" t="str">
        <f ca="1">IF(AND('Mapa final'!$J$35="Muy Baja",'Mapa final'!$N$35="Catastrófico"),CONCATENATE("R",'Mapa final'!$A$35),"")</f>
        <v/>
      </c>
      <c r="AI42" s="353"/>
      <c r="AJ42" s="353" t="str">
        <f ca="1">IF(AND('Mapa final'!$J$41="Muy Baja",'Mapa final'!$N$41="Catastrófico"),CONCATENATE("R",'Mapa final'!$A$41),"")</f>
        <v/>
      </c>
      <c r="AK42" s="353"/>
      <c r="AL42" s="353" t="str">
        <f ca="1">IF(AND('Mapa final'!$J$47="Muy Baja",'Mapa final'!$N$47="Catastrófico"),CONCATENATE("R",'Mapa final'!$A$47),"")</f>
        <v/>
      </c>
      <c r="AM42" s="354"/>
      <c r="AN42" s="54"/>
      <c r="AO42" s="54"/>
      <c r="AP42" s="54"/>
      <c r="AQ42" s="54"/>
      <c r="AR42" s="54"/>
      <c r="AS42" s="54"/>
      <c r="AT42" s="54"/>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c r="BY42" s="54"/>
      <c r="BZ42" s="54"/>
      <c r="CA42" s="54"/>
      <c r="CB42" s="54"/>
    </row>
    <row r="43" spans="1:80" x14ac:dyDescent="0.3">
      <c r="A43" s="54"/>
      <c r="B43" s="292"/>
      <c r="C43" s="292"/>
      <c r="D43" s="293"/>
      <c r="E43" s="333"/>
      <c r="F43" s="334"/>
      <c r="G43" s="334"/>
      <c r="H43" s="334"/>
      <c r="I43" s="335"/>
      <c r="J43" s="372"/>
      <c r="K43" s="370"/>
      <c r="L43" s="370"/>
      <c r="M43" s="370"/>
      <c r="N43" s="370"/>
      <c r="O43" s="371"/>
      <c r="P43" s="372"/>
      <c r="Q43" s="370"/>
      <c r="R43" s="370"/>
      <c r="S43" s="370"/>
      <c r="T43" s="370"/>
      <c r="U43" s="371"/>
      <c r="V43" s="361"/>
      <c r="W43" s="362"/>
      <c r="X43" s="362"/>
      <c r="Y43" s="362"/>
      <c r="Z43" s="362"/>
      <c r="AA43" s="363"/>
      <c r="AB43" s="344"/>
      <c r="AC43" s="341"/>
      <c r="AD43" s="339"/>
      <c r="AE43" s="339"/>
      <c r="AF43" s="339"/>
      <c r="AG43" s="340"/>
      <c r="AH43" s="352"/>
      <c r="AI43" s="353"/>
      <c r="AJ43" s="353"/>
      <c r="AK43" s="353"/>
      <c r="AL43" s="353"/>
      <c r="AM43" s="354"/>
      <c r="AN43" s="54"/>
      <c r="AO43" s="54"/>
      <c r="AP43" s="54"/>
      <c r="AQ43" s="54"/>
      <c r="AR43" s="54"/>
      <c r="AS43" s="54"/>
      <c r="AT43" s="54"/>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c r="BY43" s="54"/>
      <c r="BZ43" s="54"/>
      <c r="CA43" s="54"/>
      <c r="CB43" s="54"/>
    </row>
    <row r="44" spans="1:80" x14ac:dyDescent="0.3">
      <c r="A44" s="54"/>
      <c r="B44" s="292"/>
      <c r="C44" s="292"/>
      <c r="D44" s="293"/>
      <c r="E44" s="333"/>
      <c r="F44" s="334"/>
      <c r="G44" s="334"/>
      <c r="H44" s="334"/>
      <c r="I44" s="335"/>
      <c r="J44" s="372" t="str">
        <f ca="1">IF(AND('Mapa final'!$J$53="Muy Baja",'Mapa final'!$N$53="Leve"),CONCATENATE("R",'Mapa final'!$A$53),"")</f>
        <v/>
      </c>
      <c r="K44" s="370"/>
      <c r="L44" s="370" t="str">
        <f>IF(AND('Mapa final'!$J$59="Muy Baja",'Mapa final'!$N$59="Leve"),CONCATENATE("R",'Mapa final'!$A$59),"")</f>
        <v/>
      </c>
      <c r="M44" s="370"/>
      <c r="N44" s="370" t="str">
        <f>IF(AND('Mapa final'!$J$65="Muy Baja",'Mapa final'!$N$65="Leve"),CONCATENATE("R",'Mapa final'!$A$65),"")</f>
        <v/>
      </c>
      <c r="O44" s="371"/>
      <c r="P44" s="372" t="str">
        <f ca="1">IF(AND('Mapa final'!$J$53="Muy Baja",'Mapa final'!$N$53="Menor"),CONCATENATE("R",'Mapa final'!$A$53),"")</f>
        <v/>
      </c>
      <c r="Q44" s="370"/>
      <c r="R44" s="370" t="str">
        <f>IF(AND('Mapa final'!$J$59="Muy Baja",'Mapa final'!$N$59="Menor"),CONCATENATE("R",'Mapa final'!$A$59),"")</f>
        <v/>
      </c>
      <c r="S44" s="370"/>
      <c r="T44" s="370" t="str">
        <f>IF(AND('Mapa final'!$J$65="Muy Baja",'Mapa final'!$N$65="Menor"),CONCATENATE("R",'Mapa final'!$A$65),"")</f>
        <v/>
      </c>
      <c r="U44" s="371"/>
      <c r="V44" s="361" t="str">
        <f ca="1">IF(AND('Mapa final'!$J$53="Muy Baja",'Mapa final'!$N$53="Moderado"),CONCATENATE("R",'Mapa final'!$A$53),"")</f>
        <v/>
      </c>
      <c r="W44" s="362"/>
      <c r="X44" s="362" t="str">
        <f>IF(AND('Mapa final'!$J$59="Muy Baja",'Mapa final'!$N$59="Moderado"),CONCATENATE("R",'Mapa final'!$A$59),"")</f>
        <v/>
      </c>
      <c r="Y44" s="362"/>
      <c r="Z44" s="362" t="str">
        <f>IF(AND('Mapa final'!$J$65="Muy Baja",'Mapa final'!$N$65="Moderado"),CONCATENATE("R",'Mapa final'!$A$65),"")</f>
        <v/>
      </c>
      <c r="AA44" s="363"/>
      <c r="AB44" s="344" t="str">
        <f ca="1">IF(AND('Mapa final'!$J$53="Muy Baja",'Mapa final'!$N$53="Mayor"),CONCATENATE("R",'Mapa final'!$A$53),"")</f>
        <v/>
      </c>
      <c r="AC44" s="341"/>
      <c r="AD44" s="339" t="str">
        <f>IF(AND('Mapa final'!$J$59="Muy Baja",'Mapa final'!$N$59="Mayor"),CONCATENATE("R",'Mapa final'!$A$59),"")</f>
        <v/>
      </c>
      <c r="AE44" s="339"/>
      <c r="AF44" s="339" t="str">
        <f>IF(AND('Mapa final'!$J$65="Muy Baja",'Mapa final'!$N$65="Mayor"),CONCATENATE("R",'Mapa final'!$A$65),"")</f>
        <v/>
      </c>
      <c r="AG44" s="340"/>
      <c r="AH44" s="352" t="str">
        <f ca="1">IF(AND('Mapa final'!$J$53="Muy Baja",'Mapa final'!$N$53="Catastrófico"),CONCATENATE("R",'Mapa final'!$A$53),"")</f>
        <v/>
      </c>
      <c r="AI44" s="353"/>
      <c r="AJ44" s="353" t="str">
        <f>IF(AND('Mapa final'!$J$59="Muy Baja",'Mapa final'!$N$59="Catastrófico"),CONCATENATE("R",'Mapa final'!$A$59),"")</f>
        <v/>
      </c>
      <c r="AK44" s="353"/>
      <c r="AL44" s="353" t="str">
        <f>IF(AND('Mapa final'!$J$65="Muy Baja",'Mapa final'!$N$65="Catastrófico"),CONCATENATE("R",'Mapa final'!$A$65),"")</f>
        <v/>
      </c>
      <c r="AM44" s="354"/>
      <c r="AN44" s="54"/>
      <c r="AO44" s="54"/>
      <c r="AP44" s="54"/>
      <c r="AQ44" s="54"/>
      <c r="AR44" s="54"/>
      <c r="AS44" s="54"/>
      <c r="AT44" s="54"/>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c r="BY44" s="54"/>
      <c r="BZ44" s="54"/>
      <c r="CA44" s="54"/>
      <c r="CB44" s="54"/>
    </row>
    <row r="45" spans="1:80" ht="15" thickBot="1" x14ac:dyDescent="0.35">
      <c r="A45" s="54"/>
      <c r="B45" s="292"/>
      <c r="C45" s="292"/>
      <c r="D45" s="293"/>
      <c r="E45" s="336"/>
      <c r="F45" s="337"/>
      <c r="G45" s="337"/>
      <c r="H45" s="337"/>
      <c r="I45" s="338"/>
      <c r="J45" s="373"/>
      <c r="K45" s="374"/>
      <c r="L45" s="374"/>
      <c r="M45" s="374"/>
      <c r="N45" s="374"/>
      <c r="O45" s="375"/>
      <c r="P45" s="373"/>
      <c r="Q45" s="374"/>
      <c r="R45" s="374"/>
      <c r="S45" s="374"/>
      <c r="T45" s="374"/>
      <c r="U45" s="375"/>
      <c r="V45" s="364"/>
      <c r="W45" s="365"/>
      <c r="X45" s="365"/>
      <c r="Y45" s="365"/>
      <c r="Z45" s="365"/>
      <c r="AA45" s="366"/>
      <c r="AB45" s="349"/>
      <c r="AC45" s="350"/>
      <c r="AD45" s="350"/>
      <c r="AE45" s="350"/>
      <c r="AF45" s="350"/>
      <c r="AG45" s="351"/>
      <c r="AH45" s="355"/>
      <c r="AI45" s="356"/>
      <c r="AJ45" s="356"/>
      <c r="AK45" s="356"/>
      <c r="AL45" s="356"/>
      <c r="AM45" s="357"/>
      <c r="AN45" s="54"/>
      <c r="AO45" s="54"/>
      <c r="AP45" s="54"/>
      <c r="AQ45" s="54"/>
      <c r="AR45" s="54"/>
      <c r="AS45" s="54"/>
      <c r="AT45" s="54"/>
      <c r="AU45" s="54"/>
      <c r="AV45" s="54"/>
      <c r="AW45" s="54"/>
      <c r="AX45" s="54"/>
      <c r="AY45" s="54"/>
      <c r="AZ45" s="54"/>
      <c r="BA45" s="54"/>
      <c r="BB45" s="54"/>
      <c r="BC45" s="54"/>
      <c r="BD45" s="54"/>
      <c r="BE45" s="54"/>
      <c r="BF45" s="54"/>
      <c r="BG45" s="54"/>
      <c r="BH45" s="54"/>
      <c r="BI45" s="54"/>
      <c r="BJ45" s="54"/>
      <c r="BK45" s="54"/>
      <c r="BL45" s="54"/>
      <c r="BM45" s="54"/>
      <c r="BN45" s="54"/>
      <c r="BO45" s="54"/>
      <c r="BP45" s="54"/>
      <c r="BQ45" s="54"/>
      <c r="BR45" s="54"/>
      <c r="BS45" s="54"/>
      <c r="BT45" s="54"/>
      <c r="BU45" s="54"/>
      <c r="BV45" s="54"/>
      <c r="BW45" s="54"/>
      <c r="BX45" s="54"/>
      <c r="BY45" s="54"/>
      <c r="BZ45" s="54"/>
      <c r="CA45" s="54"/>
      <c r="CB45" s="54"/>
    </row>
    <row r="46" spans="1:80" x14ac:dyDescent="0.3">
      <c r="A46" s="54"/>
      <c r="B46" s="54"/>
      <c r="C46" s="54"/>
      <c r="D46" s="54"/>
      <c r="E46" s="54"/>
      <c r="F46" s="54"/>
      <c r="G46" s="54"/>
      <c r="H46" s="54"/>
      <c r="I46" s="54"/>
      <c r="J46" s="330" t="s">
        <v>107</v>
      </c>
      <c r="K46" s="331"/>
      <c r="L46" s="331"/>
      <c r="M46" s="331"/>
      <c r="N46" s="331"/>
      <c r="O46" s="332"/>
      <c r="P46" s="330" t="s">
        <v>106</v>
      </c>
      <c r="Q46" s="331"/>
      <c r="R46" s="331"/>
      <c r="S46" s="331"/>
      <c r="T46" s="331"/>
      <c r="U46" s="332"/>
      <c r="V46" s="330" t="s">
        <v>105</v>
      </c>
      <c r="W46" s="331"/>
      <c r="X46" s="331"/>
      <c r="Y46" s="331"/>
      <c r="Z46" s="331"/>
      <c r="AA46" s="332"/>
      <c r="AB46" s="330" t="s">
        <v>104</v>
      </c>
      <c r="AC46" s="348"/>
      <c r="AD46" s="331"/>
      <c r="AE46" s="331"/>
      <c r="AF46" s="331"/>
      <c r="AG46" s="332"/>
      <c r="AH46" s="330" t="s">
        <v>103</v>
      </c>
      <c r="AI46" s="331"/>
      <c r="AJ46" s="331"/>
      <c r="AK46" s="331"/>
      <c r="AL46" s="331"/>
      <c r="AM46" s="332"/>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x14ac:dyDescent="0.3">
      <c r="A47" s="54"/>
      <c r="B47" s="54"/>
      <c r="C47" s="54"/>
      <c r="D47" s="54"/>
      <c r="E47" s="54"/>
      <c r="F47" s="54"/>
      <c r="G47" s="54"/>
      <c r="H47" s="54"/>
      <c r="I47" s="54"/>
      <c r="J47" s="333"/>
      <c r="K47" s="334"/>
      <c r="L47" s="334"/>
      <c r="M47" s="334"/>
      <c r="N47" s="334"/>
      <c r="O47" s="335"/>
      <c r="P47" s="333"/>
      <c r="Q47" s="334"/>
      <c r="R47" s="334"/>
      <c r="S47" s="334"/>
      <c r="T47" s="334"/>
      <c r="U47" s="335"/>
      <c r="V47" s="333"/>
      <c r="W47" s="334"/>
      <c r="X47" s="334"/>
      <c r="Y47" s="334"/>
      <c r="Z47" s="334"/>
      <c r="AA47" s="335"/>
      <c r="AB47" s="333"/>
      <c r="AC47" s="334"/>
      <c r="AD47" s="334"/>
      <c r="AE47" s="334"/>
      <c r="AF47" s="334"/>
      <c r="AG47" s="335"/>
      <c r="AH47" s="333"/>
      <c r="AI47" s="334"/>
      <c r="AJ47" s="334"/>
      <c r="AK47" s="334"/>
      <c r="AL47" s="334"/>
      <c r="AM47" s="335"/>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x14ac:dyDescent="0.3">
      <c r="A48" s="54"/>
      <c r="B48" s="54"/>
      <c r="C48" s="54"/>
      <c r="D48" s="54"/>
      <c r="E48" s="54"/>
      <c r="F48" s="54"/>
      <c r="G48" s="54"/>
      <c r="H48" s="54"/>
      <c r="I48" s="54"/>
      <c r="J48" s="333"/>
      <c r="K48" s="334"/>
      <c r="L48" s="334"/>
      <c r="M48" s="334"/>
      <c r="N48" s="334"/>
      <c r="O48" s="335"/>
      <c r="P48" s="333"/>
      <c r="Q48" s="334"/>
      <c r="R48" s="334"/>
      <c r="S48" s="334"/>
      <c r="T48" s="334"/>
      <c r="U48" s="335"/>
      <c r="V48" s="333"/>
      <c r="W48" s="334"/>
      <c r="X48" s="334"/>
      <c r="Y48" s="334"/>
      <c r="Z48" s="334"/>
      <c r="AA48" s="335"/>
      <c r="AB48" s="333"/>
      <c r="AC48" s="334"/>
      <c r="AD48" s="334"/>
      <c r="AE48" s="334"/>
      <c r="AF48" s="334"/>
      <c r="AG48" s="335"/>
      <c r="AH48" s="333"/>
      <c r="AI48" s="334"/>
      <c r="AJ48" s="334"/>
      <c r="AK48" s="334"/>
      <c r="AL48" s="334"/>
      <c r="AM48" s="335"/>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x14ac:dyDescent="0.3">
      <c r="A49" s="54"/>
      <c r="B49" s="54"/>
      <c r="C49" s="54"/>
      <c r="D49" s="54"/>
      <c r="E49" s="54"/>
      <c r="F49" s="54"/>
      <c r="G49" s="54"/>
      <c r="H49" s="54"/>
      <c r="I49" s="54"/>
      <c r="J49" s="333"/>
      <c r="K49" s="334"/>
      <c r="L49" s="334"/>
      <c r="M49" s="334"/>
      <c r="N49" s="334"/>
      <c r="O49" s="335"/>
      <c r="P49" s="333"/>
      <c r="Q49" s="334"/>
      <c r="R49" s="334"/>
      <c r="S49" s="334"/>
      <c r="T49" s="334"/>
      <c r="U49" s="335"/>
      <c r="V49" s="333"/>
      <c r="W49" s="334"/>
      <c r="X49" s="334"/>
      <c r="Y49" s="334"/>
      <c r="Z49" s="334"/>
      <c r="AA49" s="335"/>
      <c r="AB49" s="333"/>
      <c r="AC49" s="334"/>
      <c r="AD49" s="334"/>
      <c r="AE49" s="334"/>
      <c r="AF49" s="334"/>
      <c r="AG49" s="335"/>
      <c r="AH49" s="333"/>
      <c r="AI49" s="334"/>
      <c r="AJ49" s="334"/>
      <c r="AK49" s="334"/>
      <c r="AL49" s="334"/>
      <c r="AM49" s="335"/>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x14ac:dyDescent="0.3">
      <c r="A50" s="54"/>
      <c r="B50" s="54"/>
      <c r="C50" s="54"/>
      <c r="D50" s="54"/>
      <c r="E50" s="54"/>
      <c r="F50" s="54"/>
      <c r="G50" s="54"/>
      <c r="H50" s="54"/>
      <c r="I50" s="54"/>
      <c r="J50" s="333"/>
      <c r="K50" s="334"/>
      <c r="L50" s="334"/>
      <c r="M50" s="334"/>
      <c r="N50" s="334"/>
      <c r="O50" s="335"/>
      <c r="P50" s="333"/>
      <c r="Q50" s="334"/>
      <c r="R50" s="334"/>
      <c r="S50" s="334"/>
      <c r="T50" s="334"/>
      <c r="U50" s="335"/>
      <c r="V50" s="333"/>
      <c r="W50" s="334"/>
      <c r="X50" s="334"/>
      <c r="Y50" s="334"/>
      <c r="Z50" s="334"/>
      <c r="AA50" s="335"/>
      <c r="AB50" s="333"/>
      <c r="AC50" s="334"/>
      <c r="AD50" s="334"/>
      <c r="AE50" s="334"/>
      <c r="AF50" s="334"/>
      <c r="AG50" s="335"/>
      <c r="AH50" s="333"/>
      <c r="AI50" s="334"/>
      <c r="AJ50" s="334"/>
      <c r="AK50" s="334"/>
      <c r="AL50" s="334"/>
      <c r="AM50" s="335"/>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thickBot="1" x14ac:dyDescent="0.35">
      <c r="A51" s="54"/>
      <c r="B51" s="54"/>
      <c r="C51" s="54"/>
      <c r="D51" s="54"/>
      <c r="E51" s="54"/>
      <c r="F51" s="54"/>
      <c r="G51" s="54"/>
      <c r="H51" s="54"/>
      <c r="I51" s="54"/>
      <c r="J51" s="336"/>
      <c r="K51" s="337"/>
      <c r="L51" s="337"/>
      <c r="M51" s="337"/>
      <c r="N51" s="337"/>
      <c r="O51" s="338"/>
      <c r="P51" s="336"/>
      <c r="Q51" s="337"/>
      <c r="R51" s="337"/>
      <c r="S51" s="337"/>
      <c r="T51" s="337"/>
      <c r="U51" s="338"/>
      <c r="V51" s="336"/>
      <c r="W51" s="337"/>
      <c r="X51" s="337"/>
      <c r="Y51" s="337"/>
      <c r="Z51" s="337"/>
      <c r="AA51" s="338"/>
      <c r="AB51" s="336"/>
      <c r="AC51" s="337"/>
      <c r="AD51" s="337"/>
      <c r="AE51" s="337"/>
      <c r="AF51" s="337"/>
      <c r="AG51" s="338"/>
      <c r="AH51" s="336"/>
      <c r="AI51" s="337"/>
      <c r="AJ51" s="337"/>
      <c r="AK51" s="337"/>
      <c r="AL51" s="337"/>
      <c r="AM51" s="338"/>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x14ac:dyDescent="0.3">
      <c r="A52" s="54"/>
      <c r="B52" s="54"/>
      <c r="C52" s="54"/>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3">
      <c r="A53" s="54"/>
      <c r="B53" s="58"/>
      <c r="C53" s="58"/>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3">
      <c r="A54" s="54"/>
      <c r="B54" s="58"/>
      <c r="C54" s="58"/>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x14ac:dyDescent="0.3">
      <c r="A55" s="54"/>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4"/>
      <c r="AF55" s="54"/>
      <c r="AG55" s="54"/>
      <c r="AH55" s="54"/>
      <c r="AI55" s="54"/>
      <c r="AJ55" s="54"/>
      <c r="AK55" s="54"/>
      <c r="AL55" s="54"/>
      <c r="AM55" s="54"/>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3">
      <c r="A56" s="54"/>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3">
      <c r="A57" s="54"/>
      <c r="B57" s="54"/>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3">
      <c r="A58" s="54"/>
      <c r="B58" s="54"/>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3">
      <c r="A59" s="54"/>
      <c r="B59" s="54"/>
      <c r="C59" s="54"/>
      <c r="D59" s="54"/>
      <c r="E59" s="54"/>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3">
      <c r="A60" s="54"/>
      <c r="B60" s="54"/>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x14ac:dyDescent="0.3">
      <c r="A61" s="54"/>
      <c r="B61" s="54"/>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3">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c r="BJ62" s="54"/>
      <c r="BK62" s="54"/>
      <c r="BL62" s="54"/>
      <c r="BM62" s="54"/>
      <c r="BN62" s="54"/>
      <c r="BO62" s="54"/>
      <c r="BP62" s="54"/>
      <c r="BQ62" s="54"/>
      <c r="BR62" s="54"/>
      <c r="BS62" s="54"/>
      <c r="BT62" s="54"/>
      <c r="BU62" s="54"/>
      <c r="BV62" s="54"/>
      <c r="BW62" s="54"/>
      <c r="BX62" s="54"/>
      <c r="BY62" s="54"/>
      <c r="BZ62" s="54"/>
      <c r="CA62" s="54"/>
      <c r="CB62" s="54"/>
    </row>
    <row r="63" spans="1:80" x14ac:dyDescent="0.3">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c r="BJ63" s="54"/>
      <c r="BK63" s="54"/>
      <c r="BL63" s="54"/>
      <c r="BM63" s="54"/>
      <c r="BN63" s="54"/>
      <c r="BO63" s="54"/>
      <c r="BP63" s="54"/>
      <c r="BQ63" s="54"/>
      <c r="BR63" s="54"/>
      <c r="BS63" s="54"/>
      <c r="BT63" s="54"/>
      <c r="BU63" s="54"/>
      <c r="BV63" s="54"/>
      <c r="BW63" s="54"/>
      <c r="BX63" s="54"/>
      <c r="BY63" s="54"/>
      <c r="BZ63" s="54"/>
      <c r="CA63" s="54"/>
      <c r="CB63" s="54"/>
    </row>
    <row r="64" spans="1:80" x14ac:dyDescent="0.3">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54"/>
      <c r="BA64" s="54"/>
      <c r="BB64" s="54"/>
      <c r="BC64" s="54"/>
      <c r="BD64" s="54"/>
      <c r="BE64" s="54"/>
      <c r="BF64" s="54"/>
      <c r="BG64" s="54"/>
      <c r="BH64" s="54"/>
      <c r="BI64" s="54"/>
      <c r="BJ64" s="54"/>
      <c r="BK64" s="54"/>
      <c r="BL64" s="54"/>
      <c r="BM64" s="54"/>
      <c r="BN64" s="54"/>
      <c r="BO64" s="54"/>
      <c r="BP64" s="54"/>
      <c r="BQ64" s="54"/>
      <c r="BR64" s="54"/>
      <c r="BS64" s="54"/>
      <c r="BT64" s="54"/>
      <c r="BU64" s="54"/>
      <c r="BV64" s="54"/>
      <c r="BW64" s="54"/>
      <c r="BX64" s="54"/>
      <c r="BY64" s="54"/>
      <c r="BZ64" s="54"/>
      <c r="CA64" s="54"/>
      <c r="CB64" s="54"/>
    </row>
    <row r="65" spans="1:80" x14ac:dyDescent="0.3">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c r="BI65" s="54"/>
      <c r="BJ65" s="54"/>
      <c r="BK65" s="54"/>
      <c r="BL65" s="54"/>
      <c r="BM65" s="54"/>
      <c r="BN65" s="54"/>
      <c r="BO65" s="54"/>
      <c r="BP65" s="54"/>
      <c r="BQ65" s="54"/>
      <c r="BR65" s="54"/>
      <c r="BS65" s="54"/>
      <c r="BT65" s="54"/>
      <c r="BU65" s="54"/>
      <c r="BV65" s="54"/>
      <c r="BW65" s="54"/>
      <c r="BX65" s="54"/>
      <c r="BY65" s="54"/>
      <c r="BZ65" s="54"/>
      <c r="CA65" s="54"/>
      <c r="CB65" s="54"/>
    </row>
    <row r="66" spans="1:80" x14ac:dyDescent="0.3">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c r="BI66" s="54"/>
      <c r="BJ66" s="54"/>
      <c r="BK66" s="54"/>
      <c r="BL66" s="54"/>
      <c r="BM66" s="54"/>
      <c r="BN66" s="54"/>
      <c r="BO66" s="54"/>
      <c r="BP66" s="54"/>
      <c r="BQ66" s="54"/>
      <c r="BR66" s="54"/>
      <c r="BS66" s="54"/>
      <c r="BT66" s="54"/>
      <c r="BU66" s="54"/>
      <c r="BV66" s="54"/>
      <c r="BW66" s="54"/>
      <c r="BX66" s="54"/>
      <c r="BY66" s="54"/>
      <c r="BZ66" s="54"/>
      <c r="CA66" s="54"/>
      <c r="CB66" s="54"/>
    </row>
    <row r="67" spans="1:80" x14ac:dyDescent="0.3">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c r="BI67" s="54"/>
      <c r="BJ67" s="54"/>
      <c r="BK67" s="54"/>
      <c r="BL67" s="54"/>
      <c r="BM67" s="54"/>
      <c r="BN67" s="54"/>
      <c r="BO67" s="54"/>
      <c r="BP67" s="54"/>
      <c r="BQ67" s="54"/>
      <c r="BR67" s="54"/>
      <c r="BS67" s="54"/>
      <c r="BT67" s="54"/>
      <c r="BU67" s="54"/>
      <c r="BV67" s="54"/>
      <c r="BW67" s="54"/>
      <c r="BX67" s="54"/>
      <c r="BY67" s="54"/>
      <c r="BZ67" s="54"/>
      <c r="CA67" s="54"/>
      <c r="CB67" s="54"/>
    </row>
    <row r="68" spans="1:80" x14ac:dyDescent="0.3">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row>
    <row r="69" spans="1:80" x14ac:dyDescent="0.3">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row>
    <row r="70" spans="1:80" x14ac:dyDescent="0.3">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c r="BI70" s="54"/>
      <c r="BJ70" s="54"/>
      <c r="BK70" s="54"/>
      <c r="BL70" s="54"/>
      <c r="BM70" s="54"/>
      <c r="BN70" s="54"/>
      <c r="BO70" s="54"/>
      <c r="BP70" s="54"/>
      <c r="BQ70" s="54"/>
      <c r="BR70" s="54"/>
      <c r="BS70" s="54"/>
      <c r="BT70" s="54"/>
      <c r="BU70" s="54"/>
      <c r="BV70" s="54"/>
      <c r="BW70" s="54"/>
      <c r="BX70" s="54"/>
      <c r="BY70" s="54"/>
      <c r="BZ70" s="54"/>
      <c r="CA70" s="54"/>
      <c r="CB70" s="54"/>
    </row>
    <row r="71" spans="1:80" x14ac:dyDescent="0.3">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c r="BI71" s="54"/>
      <c r="BJ71" s="54"/>
      <c r="BK71" s="54"/>
      <c r="BL71" s="54"/>
      <c r="BM71" s="54"/>
      <c r="BN71" s="54"/>
      <c r="BO71" s="54"/>
      <c r="BP71" s="54"/>
      <c r="BQ71" s="54"/>
      <c r="BR71" s="54"/>
      <c r="BS71" s="54"/>
      <c r="BT71" s="54"/>
      <c r="BU71" s="54"/>
      <c r="BV71" s="54"/>
      <c r="BW71" s="54"/>
      <c r="BX71" s="54"/>
      <c r="BY71" s="54"/>
      <c r="BZ71" s="54"/>
      <c r="CA71" s="54"/>
      <c r="CB71" s="54"/>
    </row>
    <row r="72" spans="1:80" x14ac:dyDescent="0.3">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c r="BI72" s="54"/>
      <c r="BJ72" s="54"/>
      <c r="BK72" s="54"/>
      <c r="BL72" s="54"/>
      <c r="BM72" s="54"/>
      <c r="BN72" s="54"/>
      <c r="BO72" s="54"/>
      <c r="BP72" s="54"/>
      <c r="BQ72" s="54"/>
      <c r="BR72" s="54"/>
      <c r="BS72" s="54"/>
      <c r="BT72" s="54"/>
      <c r="BU72" s="54"/>
      <c r="BV72" s="54"/>
      <c r="BW72" s="54"/>
      <c r="BX72" s="54"/>
      <c r="BY72" s="54"/>
      <c r="BZ72" s="54"/>
      <c r="CA72" s="54"/>
      <c r="CB72" s="54"/>
    </row>
    <row r="73" spans="1:80" x14ac:dyDescent="0.3">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c r="BI73" s="54"/>
      <c r="BJ73" s="54"/>
      <c r="BK73" s="54"/>
      <c r="BL73" s="54"/>
      <c r="BM73" s="54"/>
      <c r="BN73" s="54"/>
      <c r="BO73" s="54"/>
      <c r="BP73" s="54"/>
      <c r="BQ73" s="54"/>
      <c r="BR73" s="54"/>
      <c r="BS73" s="54"/>
      <c r="BT73" s="54"/>
      <c r="BU73" s="54"/>
      <c r="BV73" s="54"/>
      <c r="BW73" s="54"/>
      <c r="BX73" s="54"/>
      <c r="BY73" s="54"/>
      <c r="BZ73" s="54"/>
      <c r="CA73" s="54"/>
      <c r="CB73" s="54"/>
    </row>
    <row r="74" spans="1:80" x14ac:dyDescent="0.3">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54"/>
      <c r="BP74" s="54"/>
      <c r="BQ74" s="54"/>
      <c r="BR74" s="54"/>
      <c r="BS74" s="54"/>
      <c r="BT74" s="54"/>
      <c r="BU74" s="54"/>
      <c r="BV74" s="54"/>
      <c r="BW74" s="54"/>
      <c r="BX74" s="54"/>
      <c r="BY74" s="54"/>
      <c r="BZ74" s="54"/>
      <c r="CA74" s="54"/>
      <c r="CB74" s="54"/>
    </row>
    <row r="75" spans="1:80" x14ac:dyDescent="0.3">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54"/>
      <c r="BP75" s="54"/>
      <c r="BQ75" s="54"/>
      <c r="BR75" s="54"/>
      <c r="BS75" s="54"/>
      <c r="BT75" s="54"/>
      <c r="BU75" s="54"/>
      <c r="BV75" s="54"/>
      <c r="BW75" s="54"/>
      <c r="BX75" s="54"/>
      <c r="BY75" s="54"/>
      <c r="BZ75" s="54"/>
      <c r="CA75" s="54"/>
      <c r="CB75" s="54"/>
    </row>
    <row r="76" spans="1:80" x14ac:dyDescent="0.3">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c r="BI76" s="54"/>
      <c r="BJ76" s="54"/>
      <c r="BK76" s="54"/>
      <c r="BL76" s="54"/>
      <c r="BM76" s="54"/>
      <c r="BN76" s="54"/>
      <c r="BO76" s="54"/>
      <c r="BP76" s="54"/>
      <c r="BQ76" s="54"/>
      <c r="BR76" s="54"/>
      <c r="BS76" s="54"/>
      <c r="BT76" s="54"/>
      <c r="BU76" s="54"/>
      <c r="BV76" s="54"/>
      <c r="BW76" s="54"/>
      <c r="BX76" s="54"/>
      <c r="BY76" s="54"/>
      <c r="BZ76" s="54"/>
      <c r="CA76" s="54"/>
      <c r="CB76" s="54"/>
    </row>
    <row r="77" spans="1:80" x14ac:dyDescent="0.3">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c r="BI77" s="54"/>
      <c r="BJ77" s="54"/>
      <c r="BK77" s="54"/>
      <c r="BL77" s="54"/>
      <c r="BM77" s="54"/>
      <c r="BN77" s="54"/>
      <c r="BO77" s="54"/>
      <c r="BP77" s="54"/>
      <c r="BQ77" s="54"/>
      <c r="BR77" s="54"/>
      <c r="BS77" s="54"/>
      <c r="BT77" s="54"/>
      <c r="BU77" s="54"/>
      <c r="BV77" s="54"/>
      <c r="BW77" s="54"/>
      <c r="BX77" s="54"/>
      <c r="BY77" s="54"/>
      <c r="BZ77" s="54"/>
      <c r="CA77" s="54"/>
      <c r="CB77" s="54"/>
    </row>
    <row r="78" spans="1:80" x14ac:dyDescent="0.3">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c r="BI78" s="54"/>
      <c r="BJ78" s="54"/>
      <c r="BK78" s="54"/>
      <c r="BL78" s="54"/>
      <c r="BM78" s="54"/>
      <c r="BN78" s="54"/>
      <c r="BO78" s="54"/>
      <c r="BP78" s="54"/>
      <c r="BQ78" s="54"/>
      <c r="BR78" s="54"/>
      <c r="BS78" s="54"/>
      <c r="BT78" s="54"/>
      <c r="BU78" s="54"/>
      <c r="BV78" s="54"/>
      <c r="BW78" s="54"/>
      <c r="BX78" s="54"/>
      <c r="BY78" s="54"/>
      <c r="BZ78" s="54"/>
      <c r="CA78" s="54"/>
      <c r="CB78" s="54"/>
    </row>
    <row r="79" spans="1:80" x14ac:dyDescent="0.3">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c r="BI79" s="54"/>
      <c r="BJ79" s="54"/>
      <c r="BK79" s="54"/>
    </row>
    <row r="80" spans="1:80" x14ac:dyDescent="0.3">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c r="BI80" s="54"/>
      <c r="BJ80" s="54"/>
      <c r="BK80" s="54"/>
    </row>
    <row r="81" spans="1:63" x14ac:dyDescent="0.3">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c r="BI81" s="54"/>
      <c r="BJ81" s="54"/>
      <c r="BK81" s="54"/>
    </row>
    <row r="82" spans="1:63" x14ac:dyDescent="0.3">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c r="BI82" s="54"/>
      <c r="BJ82" s="54"/>
      <c r="BK82" s="54"/>
    </row>
    <row r="83" spans="1:63" x14ac:dyDescent="0.3">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c r="BI83" s="54"/>
      <c r="BJ83" s="54"/>
      <c r="BK83" s="54"/>
    </row>
    <row r="84" spans="1:63" x14ac:dyDescent="0.3">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c r="BI84" s="54"/>
      <c r="BJ84" s="54"/>
      <c r="BK84" s="54"/>
    </row>
    <row r="85" spans="1:63" x14ac:dyDescent="0.3">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c r="BI85" s="54"/>
      <c r="BJ85" s="54"/>
      <c r="BK85" s="54"/>
    </row>
    <row r="86" spans="1:63" x14ac:dyDescent="0.3">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c r="BI86" s="54"/>
      <c r="BJ86" s="54"/>
      <c r="BK86" s="54"/>
    </row>
    <row r="87" spans="1:63" x14ac:dyDescent="0.3">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c r="BI87" s="54"/>
      <c r="BJ87" s="54"/>
      <c r="BK87" s="54"/>
    </row>
    <row r="88" spans="1:63" x14ac:dyDescent="0.3">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c r="BI88" s="54"/>
      <c r="BJ88" s="54"/>
      <c r="BK88" s="54"/>
    </row>
    <row r="89" spans="1:63" x14ac:dyDescent="0.3">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c r="BI89" s="54"/>
      <c r="BJ89" s="54"/>
      <c r="BK89" s="54"/>
    </row>
    <row r="90" spans="1:63" x14ac:dyDescent="0.3">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c r="BI90" s="54"/>
      <c r="BJ90" s="54"/>
      <c r="BK90" s="54"/>
    </row>
    <row r="91" spans="1:63" x14ac:dyDescent="0.3">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c r="BI91" s="54"/>
      <c r="BJ91" s="54"/>
      <c r="BK91" s="54"/>
    </row>
    <row r="92" spans="1:63" x14ac:dyDescent="0.3">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c r="BI92" s="54"/>
      <c r="BJ92" s="54"/>
      <c r="BK92" s="54"/>
    </row>
    <row r="93" spans="1:63" x14ac:dyDescent="0.3">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c r="BI93" s="54"/>
      <c r="BJ93" s="54"/>
      <c r="BK93" s="54"/>
    </row>
    <row r="94" spans="1:63" x14ac:dyDescent="0.3">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row>
    <row r="95" spans="1:63" x14ac:dyDescent="0.3">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c r="BI95" s="54"/>
      <c r="BJ95" s="54"/>
      <c r="BK95" s="54"/>
    </row>
    <row r="96" spans="1:63" x14ac:dyDescent="0.3">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c r="BI96" s="54"/>
      <c r="BJ96" s="54"/>
      <c r="BK96" s="54"/>
    </row>
    <row r="97" spans="1:63" x14ac:dyDescent="0.3">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c r="BI97" s="54"/>
      <c r="BJ97" s="54"/>
      <c r="BK97" s="54"/>
    </row>
    <row r="98" spans="1:63" x14ac:dyDescent="0.3">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c r="BI98" s="54"/>
      <c r="BJ98" s="54"/>
      <c r="BK98" s="54"/>
    </row>
    <row r="99" spans="1:63" x14ac:dyDescent="0.3">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c r="BI99" s="54"/>
      <c r="BJ99" s="54"/>
      <c r="BK99" s="54"/>
    </row>
    <row r="100" spans="1:63" x14ac:dyDescent="0.3">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c r="BI100" s="54"/>
      <c r="BJ100" s="54"/>
      <c r="BK100" s="54"/>
    </row>
    <row r="101" spans="1:63" x14ac:dyDescent="0.3">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c r="BI101" s="54"/>
      <c r="BJ101" s="54"/>
      <c r="BK101" s="54"/>
    </row>
    <row r="102" spans="1:63" x14ac:dyDescent="0.3">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row>
    <row r="103" spans="1:63" x14ac:dyDescent="0.3">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row>
    <row r="104" spans="1:63" x14ac:dyDescent="0.3">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c r="BI104" s="54"/>
      <c r="BJ104" s="54"/>
      <c r="BK104" s="54"/>
    </row>
    <row r="105" spans="1:63" x14ac:dyDescent="0.3">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c r="BI105" s="54"/>
      <c r="BJ105" s="54"/>
      <c r="BK105" s="54"/>
    </row>
    <row r="106" spans="1:63" x14ac:dyDescent="0.3">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c r="BI106" s="54"/>
      <c r="BJ106" s="54"/>
      <c r="BK106" s="54"/>
    </row>
    <row r="107" spans="1:63" x14ac:dyDescent="0.3">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c r="BI107" s="54"/>
      <c r="BJ107" s="54"/>
      <c r="BK107" s="54"/>
    </row>
    <row r="108" spans="1:63" x14ac:dyDescent="0.3">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c r="BI108" s="54"/>
      <c r="BJ108" s="54"/>
      <c r="BK108" s="54"/>
    </row>
    <row r="109" spans="1:63" x14ac:dyDescent="0.3">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c r="BI109" s="54"/>
      <c r="BJ109" s="54"/>
      <c r="BK109" s="54"/>
    </row>
    <row r="110" spans="1:63" x14ac:dyDescent="0.3">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c r="BI110" s="54"/>
      <c r="BJ110" s="54"/>
      <c r="BK110" s="54"/>
    </row>
    <row r="111" spans="1:63" x14ac:dyDescent="0.3">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c r="BI111" s="54"/>
      <c r="BJ111" s="54"/>
      <c r="BK111" s="54"/>
    </row>
    <row r="112" spans="1:63" x14ac:dyDescent="0.3">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c r="BI112" s="54"/>
      <c r="BJ112" s="54"/>
      <c r="BK112" s="54"/>
    </row>
    <row r="113" spans="1:63" x14ac:dyDescent="0.3">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c r="BI113" s="54"/>
      <c r="BJ113" s="54"/>
      <c r="BK113" s="54"/>
    </row>
    <row r="114" spans="1:63" x14ac:dyDescent="0.3">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c r="BI114" s="54"/>
      <c r="BJ114" s="54"/>
      <c r="BK114" s="54"/>
    </row>
    <row r="115" spans="1:63" x14ac:dyDescent="0.3">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c r="BI115" s="54"/>
      <c r="BJ115" s="54"/>
      <c r="BK115" s="54"/>
    </row>
    <row r="116" spans="1:63" x14ac:dyDescent="0.3">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c r="BI116" s="54"/>
      <c r="BJ116" s="54"/>
      <c r="BK116" s="54"/>
    </row>
    <row r="117" spans="1:63" x14ac:dyDescent="0.3">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c r="BI117" s="54"/>
      <c r="BJ117" s="54"/>
      <c r="BK117" s="54"/>
    </row>
    <row r="118" spans="1:63" x14ac:dyDescent="0.3">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c r="BI118" s="54"/>
      <c r="BJ118" s="54"/>
      <c r="BK118" s="54"/>
    </row>
    <row r="119" spans="1:63" x14ac:dyDescent="0.3">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c r="BI119" s="54"/>
      <c r="BJ119" s="54"/>
      <c r="BK119" s="54"/>
    </row>
    <row r="120" spans="1:63" x14ac:dyDescent="0.3">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c r="BI120" s="54"/>
      <c r="BJ120" s="54"/>
      <c r="BK120" s="54"/>
    </row>
    <row r="121" spans="1:63" x14ac:dyDescent="0.3">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c r="BI121" s="54"/>
      <c r="BJ121" s="54"/>
      <c r="BK121" s="54"/>
    </row>
    <row r="122" spans="1:63" x14ac:dyDescent="0.3">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c r="BI122" s="54"/>
      <c r="BJ122" s="54"/>
      <c r="BK122" s="54"/>
    </row>
    <row r="123" spans="1:63" x14ac:dyDescent="0.3">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c r="BI123" s="54"/>
      <c r="BJ123" s="54"/>
      <c r="BK123" s="54"/>
    </row>
    <row r="124" spans="1:63" x14ac:dyDescent="0.3">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c r="BI124" s="54"/>
      <c r="BJ124" s="54"/>
      <c r="BK124" s="54"/>
    </row>
    <row r="125" spans="1:63" x14ac:dyDescent="0.3">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c r="BI125" s="54"/>
      <c r="BJ125" s="54"/>
      <c r="BK125" s="54"/>
    </row>
    <row r="126" spans="1:63" x14ac:dyDescent="0.3">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c r="BI126" s="54"/>
      <c r="BJ126" s="54"/>
      <c r="BK126" s="54"/>
    </row>
    <row r="127" spans="1:63" x14ac:dyDescent="0.3">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c r="BI127" s="54"/>
      <c r="BJ127" s="54"/>
      <c r="BK127" s="54"/>
    </row>
    <row r="128" spans="1:63" x14ac:dyDescent="0.3">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c r="BI128" s="54"/>
      <c r="BJ128" s="54"/>
      <c r="BK128" s="54"/>
    </row>
    <row r="129" spans="2:63" x14ac:dyDescent="0.3">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c r="BI129" s="54"/>
      <c r="BJ129" s="54"/>
      <c r="BK129" s="54"/>
    </row>
    <row r="130" spans="2:63" x14ac:dyDescent="0.3">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c r="BI130" s="54"/>
      <c r="BJ130" s="54"/>
      <c r="BK130" s="54"/>
    </row>
    <row r="131" spans="2:63" x14ac:dyDescent="0.3">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c r="BI131" s="54"/>
      <c r="BJ131" s="54"/>
      <c r="BK131" s="54"/>
    </row>
    <row r="132" spans="2:63" x14ac:dyDescent="0.3">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c r="BI132" s="54"/>
      <c r="BJ132" s="54"/>
      <c r="BK132" s="54"/>
    </row>
    <row r="133" spans="2:63" x14ac:dyDescent="0.3">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c r="BI133" s="54"/>
      <c r="BJ133" s="54"/>
      <c r="BK133" s="54"/>
    </row>
    <row r="134" spans="2:63" x14ac:dyDescent="0.3">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c r="BI134" s="54"/>
      <c r="BJ134" s="54"/>
      <c r="BK134" s="54"/>
    </row>
    <row r="135" spans="2:63" x14ac:dyDescent="0.3">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c r="BI135" s="54"/>
      <c r="BJ135" s="54"/>
      <c r="BK135" s="54"/>
    </row>
    <row r="136" spans="2:63" x14ac:dyDescent="0.3">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c r="BI136" s="54"/>
      <c r="BJ136" s="54"/>
      <c r="BK136" s="54"/>
    </row>
    <row r="137" spans="2:63" x14ac:dyDescent="0.3">
      <c r="B137" s="54"/>
      <c r="C137" s="54"/>
      <c r="D137" s="54"/>
      <c r="E137" s="54"/>
      <c r="F137" s="54"/>
      <c r="G137" s="54"/>
      <c r="H137" s="54"/>
      <c r="I137" s="54"/>
    </row>
    <row r="138" spans="2:63" x14ac:dyDescent="0.3">
      <c r="B138" s="54"/>
      <c r="C138" s="54"/>
      <c r="D138" s="54"/>
      <c r="E138" s="54"/>
      <c r="F138" s="54"/>
      <c r="G138" s="54"/>
      <c r="H138" s="54"/>
      <c r="I138" s="54"/>
    </row>
    <row r="139" spans="2:63" x14ac:dyDescent="0.3">
      <c r="B139" s="54"/>
      <c r="C139" s="54"/>
      <c r="D139" s="54"/>
      <c r="E139" s="54"/>
      <c r="F139" s="54"/>
      <c r="G139" s="54"/>
      <c r="H139" s="54"/>
      <c r="I139" s="54"/>
    </row>
    <row r="140" spans="2:63" x14ac:dyDescent="0.3">
      <c r="B140" s="54"/>
      <c r="C140" s="54"/>
      <c r="D140" s="54"/>
      <c r="E140" s="54"/>
      <c r="F140" s="54"/>
      <c r="G140" s="54"/>
      <c r="H140" s="54"/>
      <c r="I140" s="54"/>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40" zoomScaleNormal="40" workbookViewId="0">
      <selection activeCell="T28" sqref="T28"/>
    </sheetView>
  </sheetViews>
  <sheetFormatPr baseColWidth="10" defaultColWidth="11.5546875" defaultRowHeight="14.4" x14ac:dyDescent="0.3"/>
  <cols>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1" max="46" width="5.6640625" customWidth="1"/>
  </cols>
  <sheetData>
    <row r="1" spans="1:91" x14ac:dyDescent="0.3">
      <c r="A1" s="54"/>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row>
    <row r="2" spans="1:91" ht="18" customHeight="1" x14ac:dyDescent="0.3">
      <c r="A2" s="54"/>
      <c r="B2" s="406" t="s">
        <v>148</v>
      </c>
      <c r="C2" s="407"/>
      <c r="D2" s="407"/>
      <c r="E2" s="407"/>
      <c r="F2" s="407"/>
      <c r="G2" s="407"/>
      <c r="H2" s="407"/>
      <c r="I2" s="407"/>
      <c r="J2" s="346" t="s">
        <v>2</v>
      </c>
      <c r="K2" s="346"/>
      <c r="L2" s="346"/>
      <c r="M2" s="346"/>
      <c r="N2" s="346"/>
      <c r="O2" s="346"/>
      <c r="P2" s="346"/>
      <c r="Q2" s="346"/>
      <c r="R2" s="346"/>
      <c r="S2" s="346"/>
      <c r="T2" s="346"/>
      <c r="U2" s="346"/>
      <c r="V2" s="346"/>
      <c r="W2" s="346"/>
      <c r="X2" s="346"/>
      <c r="Y2" s="346"/>
      <c r="Z2" s="346"/>
      <c r="AA2" s="346"/>
      <c r="AB2" s="346"/>
      <c r="AC2" s="346"/>
      <c r="AD2" s="346"/>
      <c r="AE2" s="346"/>
      <c r="AF2" s="346"/>
      <c r="AG2" s="346"/>
      <c r="AH2" s="346"/>
      <c r="AI2" s="346"/>
      <c r="AJ2" s="346"/>
      <c r="AK2" s="346"/>
      <c r="AL2" s="346"/>
      <c r="AM2" s="346"/>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row>
    <row r="3" spans="1:91" ht="18.75" customHeight="1" x14ac:dyDescent="0.3">
      <c r="A3" s="54"/>
      <c r="B3" s="407"/>
      <c r="C3" s="407"/>
      <c r="D3" s="407"/>
      <c r="E3" s="407"/>
      <c r="F3" s="407"/>
      <c r="G3" s="407"/>
      <c r="H3" s="407"/>
      <c r="I3" s="407"/>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c r="AK3" s="346"/>
      <c r="AL3" s="346"/>
      <c r="AM3" s="346"/>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row>
    <row r="4" spans="1:91" ht="15" customHeight="1" x14ac:dyDescent="0.3">
      <c r="A4" s="54"/>
      <c r="B4" s="407"/>
      <c r="C4" s="407"/>
      <c r="D4" s="407"/>
      <c r="E4" s="407"/>
      <c r="F4" s="407"/>
      <c r="G4" s="407"/>
      <c r="H4" s="407"/>
      <c r="I4" s="407"/>
      <c r="J4" s="346"/>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row>
    <row r="5" spans="1:91" ht="15" thickBot="1" x14ac:dyDescent="0.35">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row>
    <row r="6" spans="1:91" ht="15" customHeight="1" x14ac:dyDescent="0.3">
      <c r="A6" s="54"/>
      <c r="B6" s="292" t="s">
        <v>4</v>
      </c>
      <c r="C6" s="292"/>
      <c r="D6" s="293"/>
      <c r="E6" s="389" t="s">
        <v>111</v>
      </c>
      <c r="F6" s="390"/>
      <c r="G6" s="390"/>
      <c r="H6" s="390"/>
      <c r="I6" s="408"/>
      <c r="J6" s="16" t="str">
        <f ca="1">IF(AND('Mapa final'!$AA$10="Muy Alta",'Mapa final'!$AC$10="Leve"),CONCATENATE("R1C",'Mapa final'!$Q$10),"")</f>
        <v/>
      </c>
      <c r="K6" s="17" t="str">
        <f ca="1">IF(AND('Mapa final'!$AA$11="Muy Alta",'Mapa final'!$AC$11="Leve"),CONCATENATE("R1C",'Mapa final'!$Q$11),"")</f>
        <v/>
      </c>
      <c r="L6" s="17" t="str">
        <f ca="1">IF(AND('Mapa final'!$AA$12="Muy Alta",'Mapa final'!$AC$12="Leve"),CONCATENATE("R1C",'Mapa final'!$Q$12),"")</f>
        <v/>
      </c>
      <c r="M6" s="17" t="str">
        <f ca="1">IF(AND('Mapa final'!$AA$13="Muy Alta",'Mapa final'!$AC$13="Leve"),CONCATENATE("R1C",'Mapa final'!$Q$13),"")</f>
        <v/>
      </c>
      <c r="N6" s="17" t="str">
        <f ca="1">IF(AND('Mapa final'!$AA$14="Muy Alta",'Mapa final'!$AC$14="Leve"),CONCATENATE("R1C",'Mapa final'!$Q$14),"")</f>
        <v/>
      </c>
      <c r="O6" s="18" t="e">
        <f>IF(AND('Mapa final'!#REF!="Muy Alta",'Mapa final'!#REF!="Leve"),CONCATENATE("R1C",'Mapa final'!#REF!),"")</f>
        <v>#REF!</v>
      </c>
      <c r="P6" s="16" t="str">
        <f ca="1">IF(AND('Mapa final'!$AA$10="Muy Alta",'Mapa final'!$AC$10="Menor"),CONCATENATE("R1C",'Mapa final'!$Q$10),"")</f>
        <v/>
      </c>
      <c r="Q6" s="17" t="str">
        <f ca="1">IF(AND('Mapa final'!$AA$11="Muy Alta",'Mapa final'!$AC$11="Menor"),CONCATENATE("R1C",'Mapa final'!$Q$11),"")</f>
        <v/>
      </c>
      <c r="R6" s="17" t="str">
        <f ca="1">IF(AND('Mapa final'!$AA$12="Muy Alta",'Mapa final'!$AC$12="Menor"),CONCATENATE("R1C",'Mapa final'!$Q$12),"")</f>
        <v/>
      </c>
      <c r="S6" s="17" t="str">
        <f ca="1">IF(AND('Mapa final'!$AA$13="Muy Alta",'Mapa final'!$AC$13="Menor"),CONCATENATE("R1C",'Mapa final'!$Q$13),"")</f>
        <v/>
      </c>
      <c r="T6" s="17" t="str">
        <f ca="1">IF(AND('Mapa final'!$AA$14="Muy Alta",'Mapa final'!$AC$14="Menor"),CONCATENATE("R1C",'Mapa final'!$Q$14),"")</f>
        <v/>
      </c>
      <c r="U6" s="18" t="e">
        <f>IF(AND('Mapa final'!#REF!="Muy Alta",'Mapa final'!#REF!="Menor"),CONCATENATE("R1C",'Mapa final'!#REF!),"")</f>
        <v>#REF!</v>
      </c>
      <c r="V6" s="16" t="str">
        <f ca="1">IF(AND('Mapa final'!$AA$10="Muy Alta",'Mapa final'!$AC$10="Moderado"),CONCATENATE("R1C",'Mapa final'!$Q$10),"")</f>
        <v/>
      </c>
      <c r="W6" s="17" t="str">
        <f ca="1">IF(AND('Mapa final'!$AA$11="Muy Alta",'Mapa final'!$AC$11="Moderado"),CONCATENATE("R1C",'Mapa final'!$Q$11),"")</f>
        <v/>
      </c>
      <c r="X6" s="17" t="str">
        <f ca="1">IF(AND('Mapa final'!$AA$12="Muy Alta",'Mapa final'!$AC$12="Moderado"),CONCATENATE("R1C",'Mapa final'!$Q$12),"")</f>
        <v/>
      </c>
      <c r="Y6" s="17" t="str">
        <f ca="1">IF(AND('Mapa final'!$AA$13="Muy Alta",'Mapa final'!$AC$13="Moderado"),CONCATENATE("R1C",'Mapa final'!$Q$13),"")</f>
        <v/>
      </c>
      <c r="Z6" s="17" t="str">
        <f ca="1">IF(AND('Mapa final'!$AA$14="Muy Alta",'Mapa final'!$AC$14="Moderado"),CONCATENATE("R1C",'Mapa final'!$Q$14),"")</f>
        <v/>
      </c>
      <c r="AA6" s="18" t="e">
        <f>IF(AND('Mapa final'!#REF!="Muy Alta",'Mapa final'!#REF!="Moderado"),CONCATENATE("R1C",'Mapa final'!#REF!),"")</f>
        <v>#REF!</v>
      </c>
      <c r="AB6" s="16" t="str">
        <f ca="1">IF(AND('Mapa final'!$AA$10="Muy Alta",'Mapa final'!$AC$10="Mayor"),CONCATENATE("R1C",'Mapa final'!$Q$10),"")</f>
        <v/>
      </c>
      <c r="AC6" s="17" t="str">
        <f ca="1">IF(AND('Mapa final'!$AA$11="Muy Alta",'Mapa final'!$AC$11="Mayor"),CONCATENATE("R1C",'Mapa final'!$Q$11),"")</f>
        <v/>
      </c>
      <c r="AD6" s="17" t="str">
        <f ca="1">IF(AND('Mapa final'!$AA$12="Muy Alta",'Mapa final'!$AC$12="Mayor"),CONCATENATE("R1C",'Mapa final'!$Q$12),"")</f>
        <v/>
      </c>
      <c r="AE6" s="17" t="str">
        <f ca="1">IF(AND('Mapa final'!$AA$13="Muy Alta",'Mapa final'!$AC$13="Mayor"),CONCATENATE("R1C",'Mapa final'!$Q$13),"")</f>
        <v/>
      </c>
      <c r="AF6" s="17" t="str">
        <f ca="1">IF(AND('Mapa final'!$AA$14="Muy Alta",'Mapa final'!$AC$14="Mayor"),CONCATENATE("R1C",'Mapa final'!$Q$14),"")</f>
        <v/>
      </c>
      <c r="AG6" s="18" t="e">
        <f>IF(AND('Mapa final'!#REF!="Muy Alta",'Mapa final'!#REF!="Mayor"),CONCATENATE("R1C",'Mapa final'!#REF!),"")</f>
        <v>#REF!</v>
      </c>
      <c r="AH6" s="19" t="str">
        <f ca="1">IF(AND('Mapa final'!$AA$10="Muy Alta",'Mapa final'!$AC$10="Catastrófico"),CONCATENATE("R1C",'Mapa final'!$Q$10),"")</f>
        <v/>
      </c>
      <c r="AI6" s="20" t="str">
        <f ca="1">IF(AND('Mapa final'!$AA$11="Muy Alta",'Mapa final'!$AC$11="Catastrófico"),CONCATENATE("R1C",'Mapa final'!$Q$11),"")</f>
        <v/>
      </c>
      <c r="AJ6" s="20" t="str">
        <f ca="1">IF(AND('Mapa final'!$AA$12="Muy Alta",'Mapa final'!$AC$12="Catastrófico"),CONCATENATE("R1C",'Mapa final'!$Q$12),"")</f>
        <v/>
      </c>
      <c r="AK6" s="20" t="str">
        <f ca="1">IF(AND('Mapa final'!$AA$13="Muy Alta",'Mapa final'!$AC$13="Catastrófico"),CONCATENATE("R1C",'Mapa final'!$Q$13),"")</f>
        <v/>
      </c>
      <c r="AL6" s="20" t="str">
        <f ca="1">IF(AND('Mapa final'!$AA$14="Muy Alta",'Mapa final'!$AC$14="Catastrófico"),CONCATENATE("R1C",'Mapa final'!$Q$14),"")</f>
        <v/>
      </c>
      <c r="AM6" s="21" t="e">
        <f>IF(AND('Mapa final'!#REF!="Muy Alta",'Mapa final'!#REF!="Catastrófico"),CONCATENATE("R1C",'Mapa final'!#REF!),"")</f>
        <v>#REF!</v>
      </c>
      <c r="AN6" s="54"/>
      <c r="AO6" s="397" t="s">
        <v>78</v>
      </c>
      <c r="AP6" s="398"/>
      <c r="AQ6" s="398"/>
      <c r="AR6" s="398"/>
      <c r="AS6" s="398"/>
      <c r="AT6" s="399"/>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row>
    <row r="7" spans="1:91" ht="15" customHeight="1" x14ac:dyDescent="0.3">
      <c r="A7" s="54"/>
      <c r="B7" s="292"/>
      <c r="C7" s="292"/>
      <c r="D7" s="293"/>
      <c r="E7" s="393"/>
      <c r="F7" s="394"/>
      <c r="G7" s="394"/>
      <c r="H7" s="394"/>
      <c r="I7" s="409"/>
      <c r="J7" s="22" t="str">
        <f ca="1">IF(AND('Mapa final'!$AA$15="Muy Alta",'Mapa final'!$AC$15="Leve"),CONCATENATE("R2C",'Mapa final'!$Q$15),"")</f>
        <v/>
      </c>
      <c r="K7" s="23" t="str">
        <f ca="1">IF(AND('Mapa final'!$AA$16="Muy Alta",'Mapa final'!$AC$16="Leve"),CONCATENATE("R2C",'Mapa final'!$Q$16),"")</f>
        <v/>
      </c>
      <c r="L7" s="23" t="e">
        <f>IF(AND('Mapa final'!#REF!="Muy Alta",'Mapa final'!#REF!="Leve"),CONCATENATE("R2C",'Mapa final'!$Q$17),"")</f>
        <v>#REF!</v>
      </c>
      <c r="M7" s="23" t="e">
        <f>IF(AND('Mapa final'!#REF!="Muy Alta",'Mapa final'!#REF!="Leve"),CONCATENATE("R2C",'Mapa final'!#REF!),"")</f>
        <v>#REF!</v>
      </c>
      <c r="N7" s="23" t="e">
        <f>IF(AND('Mapa final'!#REF!="Muy Alta",'Mapa final'!#REF!="Leve"),CONCATENATE("R2C",'Mapa final'!#REF!),"")</f>
        <v>#REF!</v>
      </c>
      <c r="O7" s="24" t="e">
        <f>IF(AND('Mapa final'!#REF!="Muy Alta",'Mapa final'!#REF!="Leve"),CONCATENATE("R2C",'Mapa final'!#REF!),"")</f>
        <v>#REF!</v>
      </c>
      <c r="P7" s="22" t="str">
        <f ca="1">IF(AND('Mapa final'!$AA$15="Muy Alta",'Mapa final'!$AC$15="Menor"),CONCATENATE("R2C",'Mapa final'!$Q$15),"")</f>
        <v/>
      </c>
      <c r="Q7" s="23" t="str">
        <f ca="1">IF(AND('Mapa final'!$AA$16="Muy Alta",'Mapa final'!$AC$16="Menor"),CONCATENATE("R2C",'Mapa final'!$Q$16),"")</f>
        <v/>
      </c>
      <c r="R7" s="23" t="e">
        <f>IF(AND('Mapa final'!#REF!="Muy Alta",'Mapa final'!#REF!="Menor"),CONCATENATE("R2C",'Mapa final'!$Q$17),"")</f>
        <v>#REF!</v>
      </c>
      <c r="S7" s="23" t="e">
        <f>IF(AND('Mapa final'!#REF!="Muy Alta",'Mapa final'!#REF!="Menor"),CONCATENATE("R2C",'Mapa final'!#REF!),"")</f>
        <v>#REF!</v>
      </c>
      <c r="T7" s="23" t="e">
        <f>IF(AND('Mapa final'!#REF!="Muy Alta",'Mapa final'!#REF!="Menor"),CONCATENATE("R2C",'Mapa final'!#REF!),"")</f>
        <v>#REF!</v>
      </c>
      <c r="U7" s="24" t="e">
        <f>IF(AND('Mapa final'!#REF!="Muy Alta",'Mapa final'!#REF!="Menor"),CONCATENATE("R2C",'Mapa final'!#REF!),"")</f>
        <v>#REF!</v>
      </c>
      <c r="V7" s="22" t="str">
        <f ca="1">IF(AND('Mapa final'!$AA$15="Muy Alta",'Mapa final'!$AC$15="Moderado"),CONCATENATE("R2C",'Mapa final'!$Q$15),"")</f>
        <v/>
      </c>
      <c r="W7" s="23" t="str">
        <f ca="1">IF(AND('Mapa final'!$AA$16="Muy Alta",'Mapa final'!$AC$16="Moderado"),CONCATENATE("R2C",'Mapa final'!$Q$16),"")</f>
        <v/>
      </c>
      <c r="X7" s="23" t="e">
        <f>IF(AND('Mapa final'!#REF!="Muy Alta",'Mapa final'!#REF!="Moderado"),CONCATENATE("R2C",'Mapa final'!$Q$17),"")</f>
        <v>#REF!</v>
      </c>
      <c r="Y7" s="23" t="e">
        <f>IF(AND('Mapa final'!#REF!="Muy Alta",'Mapa final'!#REF!="Moderado"),CONCATENATE("R2C",'Mapa final'!#REF!),"")</f>
        <v>#REF!</v>
      </c>
      <c r="Z7" s="23" t="e">
        <f>IF(AND('Mapa final'!#REF!="Muy Alta",'Mapa final'!#REF!="Moderado"),CONCATENATE("R2C",'Mapa final'!#REF!),"")</f>
        <v>#REF!</v>
      </c>
      <c r="AA7" s="24" t="e">
        <f>IF(AND('Mapa final'!#REF!="Muy Alta",'Mapa final'!#REF!="Moderado"),CONCATENATE("R2C",'Mapa final'!#REF!),"")</f>
        <v>#REF!</v>
      </c>
      <c r="AB7" s="22" t="str">
        <f ca="1">IF(AND('Mapa final'!$AA$15="Muy Alta",'Mapa final'!$AC$15="Mayor"),CONCATENATE("R2C",'Mapa final'!$Q$15),"")</f>
        <v/>
      </c>
      <c r="AC7" s="23" t="str">
        <f ca="1">IF(AND('Mapa final'!$AA$16="Muy Alta",'Mapa final'!$AC$16="Mayor"),CONCATENATE("R2C",'Mapa final'!$Q$16),"")</f>
        <v/>
      </c>
      <c r="AD7" s="23" t="e">
        <f>IF(AND('Mapa final'!#REF!="Muy Alta",'Mapa final'!#REF!="Mayor"),CONCATENATE("R2C",'Mapa final'!$Q$17),"")</f>
        <v>#REF!</v>
      </c>
      <c r="AE7" s="23" t="e">
        <f>IF(AND('Mapa final'!#REF!="Muy Alta",'Mapa final'!#REF!="Mayor"),CONCATENATE("R2C",'Mapa final'!#REF!),"")</f>
        <v>#REF!</v>
      </c>
      <c r="AF7" s="23" t="e">
        <f>IF(AND('Mapa final'!#REF!="Muy Alta",'Mapa final'!#REF!="Mayor"),CONCATENATE("R2C",'Mapa final'!#REF!),"")</f>
        <v>#REF!</v>
      </c>
      <c r="AG7" s="24" t="e">
        <f>IF(AND('Mapa final'!#REF!="Muy Alta",'Mapa final'!#REF!="Mayor"),CONCATENATE("R2C",'Mapa final'!#REF!),"")</f>
        <v>#REF!</v>
      </c>
      <c r="AH7" s="25" t="str">
        <f ca="1">IF(AND('Mapa final'!$AA$15="Muy Alta",'Mapa final'!$AC$15="Catastrófico"),CONCATENATE("R2C",'Mapa final'!$Q$15),"")</f>
        <v/>
      </c>
      <c r="AI7" s="26" t="str">
        <f ca="1">IF(AND('Mapa final'!$AA$16="Muy Alta",'Mapa final'!$AC$16="Catastrófico"),CONCATENATE("R2C",'Mapa final'!$Q$16),"")</f>
        <v/>
      </c>
      <c r="AJ7" s="26" t="e">
        <f>IF(AND('Mapa final'!#REF!="Muy Alta",'Mapa final'!#REF!="Catastrófico"),CONCATENATE("R2C",'Mapa final'!$Q$17),"")</f>
        <v>#REF!</v>
      </c>
      <c r="AK7" s="26" t="e">
        <f>IF(AND('Mapa final'!#REF!="Muy Alta",'Mapa final'!#REF!="Catastrófico"),CONCATENATE("R2C",'Mapa final'!#REF!),"")</f>
        <v>#REF!</v>
      </c>
      <c r="AL7" s="26" t="e">
        <f>IF(AND('Mapa final'!#REF!="Muy Alta",'Mapa final'!#REF!="Catastrófico"),CONCATENATE("R2C",'Mapa final'!#REF!),"")</f>
        <v>#REF!</v>
      </c>
      <c r="AM7" s="27" t="e">
        <f>IF(AND('Mapa final'!#REF!="Muy Alta",'Mapa final'!#REF!="Catastrófico"),CONCATENATE("R2C",'Mapa final'!#REF!),"")</f>
        <v>#REF!</v>
      </c>
      <c r="AN7" s="54"/>
      <c r="AO7" s="400"/>
      <c r="AP7" s="401"/>
      <c r="AQ7" s="401"/>
      <c r="AR7" s="401"/>
      <c r="AS7" s="401"/>
      <c r="AT7" s="402"/>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row>
    <row r="8" spans="1:91" ht="15" customHeight="1" x14ac:dyDescent="0.3">
      <c r="A8" s="54"/>
      <c r="B8" s="292"/>
      <c r="C8" s="292"/>
      <c r="D8" s="293"/>
      <c r="E8" s="393"/>
      <c r="F8" s="394"/>
      <c r="G8" s="394"/>
      <c r="H8" s="394"/>
      <c r="I8" s="409"/>
      <c r="J8" s="22" t="e">
        <f>IF(AND('Mapa final'!#REF!="Muy Alta",'Mapa final'!#REF!="Leve"),CONCATENATE("R3C",'Mapa final'!#REF!),"")</f>
        <v>#REF!</v>
      </c>
      <c r="K8" s="23" t="e">
        <f>IF(AND('Mapa final'!#REF!="Muy Alta",'Mapa final'!#REF!="Leve"),CONCATENATE("R3C",'Mapa final'!#REF!),"")</f>
        <v>#REF!</v>
      </c>
      <c r="L8" s="23" t="e">
        <f>IF(AND('Mapa final'!#REF!="Muy Alta",'Mapa final'!#REF!="Leve"),CONCATENATE("R3C",'Mapa final'!#REF!),"")</f>
        <v>#REF!</v>
      </c>
      <c r="M8" s="23" t="e">
        <f>IF(AND('Mapa final'!#REF!="Muy Alta",'Mapa final'!#REF!="Leve"),CONCATENATE("R3C",'Mapa final'!#REF!),"")</f>
        <v>#REF!</v>
      </c>
      <c r="N8" s="23" t="e">
        <f>IF(AND('Mapa final'!#REF!="Muy Alta",'Mapa final'!#REF!="Leve"),CONCATENATE("R3C",'Mapa final'!#REF!),"")</f>
        <v>#REF!</v>
      </c>
      <c r="O8" s="24" t="e">
        <f>IF(AND('Mapa final'!#REF!="Muy Alta",'Mapa final'!#REF!="Leve"),CONCATENATE("R3C",'Mapa final'!#REF!),"")</f>
        <v>#REF!</v>
      </c>
      <c r="P8" s="22" t="e">
        <f>IF(AND('Mapa final'!#REF!="Muy Alta",'Mapa final'!#REF!="Menor"),CONCATENATE("R3C",'Mapa final'!#REF!),"")</f>
        <v>#REF!</v>
      </c>
      <c r="Q8" s="23" t="e">
        <f>IF(AND('Mapa final'!#REF!="Muy Alta",'Mapa final'!#REF!="Menor"),CONCATENATE("R3C",'Mapa final'!#REF!),"")</f>
        <v>#REF!</v>
      </c>
      <c r="R8" s="23" t="e">
        <f>IF(AND('Mapa final'!#REF!="Muy Alta",'Mapa final'!#REF!="Menor"),CONCATENATE("R3C",'Mapa final'!#REF!),"")</f>
        <v>#REF!</v>
      </c>
      <c r="S8" s="23" t="e">
        <f>IF(AND('Mapa final'!#REF!="Muy Alta",'Mapa final'!#REF!="Menor"),CONCATENATE("R3C",'Mapa final'!#REF!),"")</f>
        <v>#REF!</v>
      </c>
      <c r="T8" s="23" t="e">
        <f>IF(AND('Mapa final'!#REF!="Muy Alta",'Mapa final'!#REF!="Menor"),CONCATENATE("R3C",'Mapa final'!#REF!),"")</f>
        <v>#REF!</v>
      </c>
      <c r="U8" s="24" t="e">
        <f>IF(AND('Mapa final'!#REF!="Muy Alta",'Mapa final'!#REF!="Menor"),CONCATENATE("R3C",'Mapa final'!#REF!),"")</f>
        <v>#REF!</v>
      </c>
      <c r="V8" s="22" t="e">
        <f>IF(AND('Mapa final'!#REF!="Muy Alta",'Mapa final'!#REF!="Moderado"),CONCATENATE("R3C",'Mapa final'!#REF!),"")</f>
        <v>#REF!</v>
      </c>
      <c r="W8" s="23" t="e">
        <f>IF(AND('Mapa final'!#REF!="Muy Alta",'Mapa final'!#REF!="Moderado"),CONCATENATE("R3C",'Mapa final'!#REF!),"")</f>
        <v>#REF!</v>
      </c>
      <c r="X8" s="23" t="e">
        <f>IF(AND('Mapa final'!#REF!="Muy Alta",'Mapa final'!#REF!="Moderado"),CONCATENATE("R3C",'Mapa final'!#REF!),"")</f>
        <v>#REF!</v>
      </c>
      <c r="Y8" s="23" t="e">
        <f>IF(AND('Mapa final'!#REF!="Muy Alta",'Mapa final'!#REF!="Moderado"),CONCATENATE("R3C",'Mapa final'!#REF!),"")</f>
        <v>#REF!</v>
      </c>
      <c r="Z8" s="23" t="e">
        <f>IF(AND('Mapa final'!#REF!="Muy Alta",'Mapa final'!#REF!="Moderado"),CONCATENATE("R3C",'Mapa final'!#REF!),"")</f>
        <v>#REF!</v>
      </c>
      <c r="AA8" s="24" t="e">
        <f>IF(AND('Mapa final'!#REF!="Muy Alta",'Mapa final'!#REF!="Moderado"),CONCATENATE("R3C",'Mapa final'!#REF!),"")</f>
        <v>#REF!</v>
      </c>
      <c r="AB8" s="22" t="e">
        <f>IF(AND('Mapa final'!#REF!="Muy Alta",'Mapa final'!#REF!="Mayor"),CONCATENATE("R3C",'Mapa final'!#REF!),"")</f>
        <v>#REF!</v>
      </c>
      <c r="AC8" s="23" t="e">
        <f>IF(AND('Mapa final'!#REF!="Muy Alta",'Mapa final'!#REF!="Mayor"),CONCATENATE("R3C",'Mapa final'!#REF!),"")</f>
        <v>#REF!</v>
      </c>
      <c r="AD8" s="23" t="e">
        <f>IF(AND('Mapa final'!#REF!="Muy Alta",'Mapa final'!#REF!="Mayor"),CONCATENATE("R3C",'Mapa final'!#REF!),"")</f>
        <v>#REF!</v>
      </c>
      <c r="AE8" s="23" t="e">
        <f>IF(AND('Mapa final'!#REF!="Muy Alta",'Mapa final'!#REF!="Mayor"),CONCATENATE("R3C",'Mapa final'!#REF!),"")</f>
        <v>#REF!</v>
      </c>
      <c r="AF8" s="23" t="e">
        <f>IF(AND('Mapa final'!#REF!="Muy Alta",'Mapa final'!#REF!="Mayor"),CONCATENATE("R3C",'Mapa final'!#REF!),"")</f>
        <v>#REF!</v>
      </c>
      <c r="AG8" s="24" t="e">
        <f>IF(AND('Mapa final'!#REF!="Muy Alta",'Mapa final'!#REF!="Mayor"),CONCATENATE("R3C",'Mapa final'!#REF!),"")</f>
        <v>#REF!</v>
      </c>
      <c r="AH8" s="25" t="e">
        <f>IF(AND('Mapa final'!#REF!="Muy Alta",'Mapa final'!#REF!="Catastrófico"),CONCATENATE("R3C",'Mapa final'!#REF!),"")</f>
        <v>#REF!</v>
      </c>
      <c r="AI8" s="26" t="e">
        <f>IF(AND('Mapa final'!#REF!="Muy Alta",'Mapa final'!#REF!="Catastrófico"),CONCATENATE("R3C",'Mapa final'!#REF!),"")</f>
        <v>#REF!</v>
      </c>
      <c r="AJ8" s="26" t="e">
        <f>IF(AND('Mapa final'!#REF!="Muy Alta",'Mapa final'!#REF!="Catastrófico"),CONCATENATE("R3C",'Mapa final'!#REF!),"")</f>
        <v>#REF!</v>
      </c>
      <c r="AK8" s="26" t="e">
        <f>IF(AND('Mapa final'!#REF!="Muy Alta",'Mapa final'!#REF!="Catastrófico"),CONCATENATE("R3C",'Mapa final'!#REF!),"")</f>
        <v>#REF!</v>
      </c>
      <c r="AL8" s="26" t="e">
        <f>IF(AND('Mapa final'!#REF!="Muy Alta",'Mapa final'!#REF!="Catastrófico"),CONCATENATE("R3C",'Mapa final'!#REF!),"")</f>
        <v>#REF!</v>
      </c>
      <c r="AM8" s="27" t="e">
        <f>IF(AND('Mapa final'!#REF!="Muy Alta",'Mapa final'!#REF!="Catastrófico"),CONCATENATE("R3C",'Mapa final'!#REF!),"")</f>
        <v>#REF!</v>
      </c>
      <c r="AN8" s="54"/>
      <c r="AO8" s="400"/>
      <c r="AP8" s="401"/>
      <c r="AQ8" s="401"/>
      <c r="AR8" s="401"/>
      <c r="AS8" s="401"/>
      <c r="AT8" s="402"/>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row>
    <row r="9" spans="1:91" ht="15" customHeight="1" x14ac:dyDescent="0.3">
      <c r="A9" s="54"/>
      <c r="B9" s="292"/>
      <c r="C9" s="292"/>
      <c r="D9" s="293"/>
      <c r="E9" s="393"/>
      <c r="F9" s="394"/>
      <c r="G9" s="394"/>
      <c r="H9" s="394"/>
      <c r="I9" s="409"/>
      <c r="J9" s="22" t="str">
        <f ca="1">IF(AND('Mapa final'!$AA$19="Muy Alta",'Mapa final'!$AC$19="Leve"),CONCATENATE("R4C",'Mapa final'!$Q$19),"")</f>
        <v/>
      </c>
      <c r="K9" s="23" t="str">
        <f ca="1">IF(AND('Mapa final'!$AA$20="Muy Alta",'Mapa final'!$AC$20="Leve"),CONCATENATE("R4C",'Mapa final'!$Q$20),"")</f>
        <v/>
      </c>
      <c r="L9" s="28" t="str">
        <f ca="1">IF(AND('Mapa final'!$AA$21="Muy Alta",'Mapa final'!$AC$21="Leve"),CONCATENATE("R4C",'Mapa final'!$Q$21),"")</f>
        <v/>
      </c>
      <c r="M9" s="28" t="str">
        <f ca="1">IF(AND('Mapa final'!$AA$22="Muy Alta",'Mapa final'!$AC$22="Leve"),CONCATENATE("R4C",'Mapa final'!$Q$22),"")</f>
        <v/>
      </c>
      <c r="N9" s="28" t="e">
        <f>IF(AND('Mapa final'!#REF!="Muy Alta",'Mapa final'!#REF!="Leve"),CONCATENATE("R4C",'Mapa final'!#REF!),"")</f>
        <v>#REF!</v>
      </c>
      <c r="O9" s="24" t="e">
        <f>IF(AND('Mapa final'!#REF!="Muy Alta",'Mapa final'!#REF!="Leve"),CONCATENATE("R4C",'Mapa final'!#REF!),"")</f>
        <v>#REF!</v>
      </c>
      <c r="P9" s="22" t="str">
        <f ca="1">IF(AND('Mapa final'!$AA$19="Muy Alta",'Mapa final'!$AC$19="Menor"),CONCATENATE("R4C",'Mapa final'!$Q$19),"")</f>
        <v/>
      </c>
      <c r="Q9" s="23" t="str">
        <f ca="1">IF(AND('Mapa final'!$AA$20="Muy Alta",'Mapa final'!$AC$20="Menor"),CONCATENATE("R4C",'Mapa final'!$Q$20),"")</f>
        <v/>
      </c>
      <c r="R9" s="28" t="str">
        <f ca="1">IF(AND('Mapa final'!$AA$21="Muy Alta",'Mapa final'!$AC$21="Menor"),CONCATENATE("R4C",'Mapa final'!$Q$21),"")</f>
        <v/>
      </c>
      <c r="S9" s="28" t="str">
        <f ca="1">IF(AND('Mapa final'!$AA$22="Muy Alta",'Mapa final'!$AC$22="Menor"),CONCATENATE("R4C",'Mapa final'!$Q$22),"")</f>
        <v/>
      </c>
      <c r="T9" s="28" t="e">
        <f>IF(AND('Mapa final'!#REF!="Muy Alta",'Mapa final'!#REF!="Menor"),CONCATENATE("R4C",'Mapa final'!#REF!),"")</f>
        <v>#REF!</v>
      </c>
      <c r="U9" s="24" t="e">
        <f>IF(AND('Mapa final'!#REF!="Muy Alta",'Mapa final'!#REF!="Menor"),CONCATENATE("R4C",'Mapa final'!#REF!),"")</f>
        <v>#REF!</v>
      </c>
      <c r="V9" s="22" t="str">
        <f ca="1">IF(AND('Mapa final'!$AA$19="Muy Alta",'Mapa final'!$AC$19="Moderado"),CONCATENATE("R4C",'Mapa final'!$Q$19),"")</f>
        <v/>
      </c>
      <c r="W9" s="23" t="str">
        <f ca="1">IF(AND('Mapa final'!$AA$20="Muy Alta",'Mapa final'!$AC$20="Moderado"),CONCATENATE("R4C",'Mapa final'!$Q$20),"")</f>
        <v/>
      </c>
      <c r="X9" s="28" t="str">
        <f ca="1">IF(AND('Mapa final'!$AA$21="Muy Alta",'Mapa final'!$AC$21="Moderado"),CONCATENATE("R4C",'Mapa final'!$Q$21),"")</f>
        <v/>
      </c>
      <c r="Y9" s="28" t="str">
        <f ca="1">IF(AND('Mapa final'!$AA$22="Muy Alta",'Mapa final'!$AC$22="Moderado"),CONCATENATE("R4C",'Mapa final'!$Q$22),"")</f>
        <v/>
      </c>
      <c r="Z9" s="28" t="e">
        <f>IF(AND('Mapa final'!#REF!="Muy Alta",'Mapa final'!#REF!="Moderado"),CONCATENATE("R4C",'Mapa final'!#REF!),"")</f>
        <v>#REF!</v>
      </c>
      <c r="AA9" s="24" t="e">
        <f>IF(AND('Mapa final'!#REF!="Muy Alta",'Mapa final'!#REF!="Moderado"),CONCATENATE("R4C",'Mapa final'!#REF!),"")</f>
        <v>#REF!</v>
      </c>
      <c r="AB9" s="22" t="str">
        <f ca="1">IF(AND('Mapa final'!$AA$19="Muy Alta",'Mapa final'!$AC$19="Mayor"),CONCATENATE("R4C",'Mapa final'!$Q$19),"")</f>
        <v/>
      </c>
      <c r="AC9" s="23" t="str">
        <f ca="1">IF(AND('Mapa final'!$AA$20="Muy Alta",'Mapa final'!$AC$20="Mayor"),CONCATENATE("R4C",'Mapa final'!$Q$20),"")</f>
        <v/>
      </c>
      <c r="AD9" s="28" t="str">
        <f ca="1">IF(AND('Mapa final'!$AA$21="Muy Alta",'Mapa final'!$AC$21="Mayor"),CONCATENATE("R4C",'Mapa final'!$Q$21),"")</f>
        <v/>
      </c>
      <c r="AE9" s="28" t="str">
        <f ca="1">IF(AND('Mapa final'!$AA$22="Muy Alta",'Mapa final'!$AC$22="Mayor"),CONCATENATE("R4C",'Mapa final'!$Q$22),"")</f>
        <v/>
      </c>
      <c r="AF9" s="28" t="e">
        <f>IF(AND('Mapa final'!#REF!="Muy Alta",'Mapa final'!#REF!="Mayor"),CONCATENATE("R4C",'Mapa final'!#REF!),"")</f>
        <v>#REF!</v>
      </c>
      <c r="AG9" s="24" t="e">
        <f>IF(AND('Mapa final'!#REF!="Muy Alta",'Mapa final'!#REF!="Mayor"),CONCATENATE("R4C",'Mapa final'!#REF!),"")</f>
        <v>#REF!</v>
      </c>
      <c r="AH9" s="25" t="str">
        <f ca="1">IF(AND('Mapa final'!$AA$19="Muy Alta",'Mapa final'!$AC$19="Catastrófico"),CONCATENATE("R4C",'Mapa final'!$Q$19),"")</f>
        <v/>
      </c>
      <c r="AI9" s="26" t="str">
        <f ca="1">IF(AND('Mapa final'!$AA$20="Muy Alta",'Mapa final'!$AC$20="Catastrófico"),CONCATENATE("R4C",'Mapa final'!$Q$20),"")</f>
        <v/>
      </c>
      <c r="AJ9" s="26" t="str">
        <f ca="1">IF(AND('Mapa final'!$AA$21="Muy Alta",'Mapa final'!$AC$21="Catastrófico"),CONCATENATE("R4C",'Mapa final'!$Q$21),"")</f>
        <v/>
      </c>
      <c r="AK9" s="26" t="str">
        <f ca="1">IF(AND('Mapa final'!$AA$22="Muy Alta",'Mapa final'!$AC$22="Catastrófico"),CONCATENATE("R4C",'Mapa final'!$Q$22),"")</f>
        <v/>
      </c>
      <c r="AL9" s="26" t="e">
        <f>IF(AND('Mapa final'!#REF!="Muy Alta",'Mapa final'!#REF!="Catastrófico"),CONCATENATE("R4C",'Mapa final'!#REF!),"")</f>
        <v>#REF!</v>
      </c>
      <c r="AM9" s="27" t="e">
        <f>IF(AND('Mapa final'!#REF!="Muy Alta",'Mapa final'!#REF!="Catastrófico"),CONCATENATE("R4C",'Mapa final'!#REF!),"")</f>
        <v>#REF!</v>
      </c>
      <c r="AN9" s="54"/>
      <c r="AO9" s="400"/>
      <c r="AP9" s="401"/>
      <c r="AQ9" s="401"/>
      <c r="AR9" s="401"/>
      <c r="AS9" s="401"/>
      <c r="AT9" s="402"/>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row>
    <row r="10" spans="1:91" ht="15" customHeight="1" x14ac:dyDescent="0.3">
      <c r="A10" s="54"/>
      <c r="B10" s="292"/>
      <c r="C10" s="292"/>
      <c r="D10" s="293"/>
      <c r="E10" s="393"/>
      <c r="F10" s="394"/>
      <c r="G10" s="394"/>
      <c r="H10" s="394"/>
      <c r="I10" s="409"/>
      <c r="J10" s="22" t="str">
        <f>IF(AND('Mapa final'!$AA$23="Muy Alta",'Mapa final'!$AC$23="Leve"),CONCATENATE("R5C",'Mapa final'!$Q$23),"")</f>
        <v/>
      </c>
      <c r="K10" s="23" t="str">
        <f>IF(AND('Mapa final'!$AA$24="Muy Alta",'Mapa final'!$AC$24="Leve"),CONCATENATE("R5C",'Mapa final'!$Q$24),"")</f>
        <v/>
      </c>
      <c r="L10" s="28" t="str">
        <f>IF(AND('Mapa final'!$AA$25="Muy Alta",'Mapa final'!$AC$25="Leve"),CONCATENATE("R5C",'Mapa final'!$Q$25),"")</f>
        <v/>
      </c>
      <c r="M10" s="28" t="str">
        <f>IF(AND('Mapa final'!$AA$26="Muy Alta",'Mapa final'!$AC$26="Leve"),CONCATENATE("R5C",'Mapa final'!$Q$26),"")</f>
        <v/>
      </c>
      <c r="N10" s="28" t="str">
        <f>IF(AND('Mapa final'!$AA$27="Muy Alta",'Mapa final'!$AC$27="Leve"),CONCATENATE("R5C",'Mapa final'!$Q$27),"")</f>
        <v/>
      </c>
      <c r="O10" s="24" t="str">
        <f>IF(AND('Mapa final'!$AA$28="Muy Alta",'Mapa final'!$AC$28="Leve"),CONCATENATE("R5C",'Mapa final'!$Q$28),"")</f>
        <v/>
      </c>
      <c r="P10" s="22" t="str">
        <f>IF(AND('Mapa final'!$AA$23="Muy Alta",'Mapa final'!$AC$23="Menor"),CONCATENATE("R5C",'Mapa final'!$Q$23),"")</f>
        <v/>
      </c>
      <c r="Q10" s="23" t="str">
        <f>IF(AND('Mapa final'!$AA$24="Muy Alta",'Mapa final'!$AC$24="Menor"),CONCATENATE("R5C",'Mapa final'!$Q$24),"")</f>
        <v/>
      </c>
      <c r="R10" s="28" t="str">
        <f>IF(AND('Mapa final'!$AA$25="Muy Alta",'Mapa final'!$AC$25="Menor"),CONCATENATE("R5C",'Mapa final'!$Q$25),"")</f>
        <v/>
      </c>
      <c r="S10" s="28" t="str">
        <f>IF(AND('Mapa final'!$AA$26="Muy Alta",'Mapa final'!$AC$26="Menor"),CONCATENATE("R5C",'Mapa final'!$Q$26),"")</f>
        <v/>
      </c>
      <c r="T10" s="28" t="str">
        <f>IF(AND('Mapa final'!$AA$27="Muy Alta",'Mapa final'!$AC$27="Menor"),CONCATENATE("R5C",'Mapa final'!$Q$27),"")</f>
        <v/>
      </c>
      <c r="U10" s="24" t="str">
        <f>IF(AND('Mapa final'!$AA$28="Muy Alta",'Mapa final'!$AC$28="Menor"),CONCATENATE("R5C",'Mapa final'!$Q$28),"")</f>
        <v/>
      </c>
      <c r="V10" s="22" t="str">
        <f>IF(AND('Mapa final'!$AA$23="Muy Alta",'Mapa final'!$AC$23="Moderado"),CONCATENATE("R5C",'Mapa final'!$Q$23),"")</f>
        <v/>
      </c>
      <c r="W10" s="23" t="str">
        <f>IF(AND('Mapa final'!$AA$24="Muy Alta",'Mapa final'!$AC$24="Moderado"),CONCATENATE("R5C",'Mapa final'!$Q$24),"")</f>
        <v/>
      </c>
      <c r="X10" s="28" t="str">
        <f>IF(AND('Mapa final'!$AA$25="Muy Alta",'Mapa final'!$AC$25="Moderado"),CONCATENATE("R5C",'Mapa final'!$Q$25),"")</f>
        <v/>
      </c>
      <c r="Y10" s="28" t="str">
        <f>IF(AND('Mapa final'!$AA$26="Muy Alta",'Mapa final'!$AC$26="Moderado"),CONCATENATE("R5C",'Mapa final'!$Q$26),"")</f>
        <v/>
      </c>
      <c r="Z10" s="28" t="str">
        <f>IF(AND('Mapa final'!$AA$27="Muy Alta",'Mapa final'!$AC$27="Moderado"),CONCATENATE("R5C",'Mapa final'!$Q$27),"")</f>
        <v/>
      </c>
      <c r="AA10" s="24" t="str">
        <f>IF(AND('Mapa final'!$AA$28="Muy Alta",'Mapa final'!$AC$28="Moderado"),CONCATENATE("R5C",'Mapa final'!$Q$28),"")</f>
        <v/>
      </c>
      <c r="AB10" s="22" t="str">
        <f>IF(AND('Mapa final'!$AA$23="Muy Alta",'Mapa final'!$AC$23="Mayor"),CONCATENATE("R5C",'Mapa final'!$Q$23),"")</f>
        <v/>
      </c>
      <c r="AC10" s="23" t="str">
        <f>IF(AND('Mapa final'!$AA$24="Muy Alta",'Mapa final'!$AC$24="Mayor"),CONCATENATE("R5C",'Mapa final'!$Q$24),"")</f>
        <v/>
      </c>
      <c r="AD10" s="28" t="str">
        <f>IF(AND('Mapa final'!$AA$25="Muy Alta",'Mapa final'!$AC$25="Mayor"),CONCATENATE("R5C",'Mapa final'!$Q$25),"")</f>
        <v/>
      </c>
      <c r="AE10" s="28" t="str">
        <f>IF(AND('Mapa final'!$AA$26="Muy Alta",'Mapa final'!$AC$26="Mayor"),CONCATENATE("R5C",'Mapa final'!$Q$26),"")</f>
        <v/>
      </c>
      <c r="AF10" s="28" t="str">
        <f>IF(AND('Mapa final'!$AA$27="Muy Alta",'Mapa final'!$AC$27="Mayor"),CONCATENATE("R5C",'Mapa final'!$Q$27),"")</f>
        <v/>
      </c>
      <c r="AG10" s="24" t="str">
        <f>IF(AND('Mapa final'!$AA$28="Muy Alta",'Mapa final'!$AC$28="Mayor"),CONCATENATE("R5C",'Mapa final'!$Q$28),"")</f>
        <v/>
      </c>
      <c r="AH10" s="25" t="str">
        <f>IF(AND('Mapa final'!$AA$23="Muy Alta",'Mapa final'!$AC$23="Catastrófico"),CONCATENATE("R5C",'Mapa final'!$Q$23),"")</f>
        <v/>
      </c>
      <c r="AI10" s="26" t="str">
        <f>IF(AND('Mapa final'!$AA$24="Muy Alta",'Mapa final'!$AC$24="Catastrófico"),CONCATENATE("R5C",'Mapa final'!$Q$24),"")</f>
        <v/>
      </c>
      <c r="AJ10" s="26" t="str">
        <f>IF(AND('Mapa final'!$AA$25="Muy Alta",'Mapa final'!$AC$25="Catastrófico"),CONCATENATE("R5C",'Mapa final'!$Q$25),"")</f>
        <v/>
      </c>
      <c r="AK10" s="26" t="str">
        <f>IF(AND('Mapa final'!$AA$26="Muy Alta",'Mapa final'!$AC$26="Catastrófico"),CONCATENATE("R5C",'Mapa final'!$Q$26),"")</f>
        <v/>
      </c>
      <c r="AL10" s="26" t="str">
        <f>IF(AND('Mapa final'!$AA$27="Muy Alta",'Mapa final'!$AC$27="Catastrófico"),CONCATENATE("R5C",'Mapa final'!$Q$27),"")</f>
        <v/>
      </c>
      <c r="AM10" s="27" t="str">
        <f>IF(AND('Mapa final'!$AA$28="Muy Alta",'Mapa final'!$AC$28="Catastrófico"),CONCATENATE("R5C",'Mapa final'!$Q$28),"")</f>
        <v/>
      </c>
      <c r="AN10" s="54"/>
      <c r="AO10" s="400"/>
      <c r="AP10" s="401"/>
      <c r="AQ10" s="401"/>
      <c r="AR10" s="401"/>
      <c r="AS10" s="401"/>
      <c r="AT10" s="402"/>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row>
    <row r="11" spans="1:91" ht="15" customHeight="1" x14ac:dyDescent="0.3">
      <c r="A11" s="54"/>
      <c r="B11" s="292"/>
      <c r="C11" s="292"/>
      <c r="D11" s="293"/>
      <c r="E11" s="393"/>
      <c r="F11" s="394"/>
      <c r="G11" s="394"/>
      <c r="H11" s="394"/>
      <c r="I11" s="409"/>
      <c r="J11" s="22" t="str">
        <f>IF(AND('Mapa final'!$AA$29="Muy Alta",'Mapa final'!$AC$29="Leve"),CONCATENATE("R6C",'Mapa final'!$Q$29),"")</f>
        <v/>
      </c>
      <c r="K11" s="23" t="str">
        <f>IF(AND('Mapa final'!$AA$30="Muy Alta",'Mapa final'!$AC$30="Leve"),CONCATENATE("R6C",'Mapa final'!$Q$30),"")</f>
        <v/>
      </c>
      <c r="L11" s="28" t="str">
        <f>IF(AND('Mapa final'!$AA$31="Muy Alta",'Mapa final'!$AC$31="Leve"),CONCATENATE("R6C",'Mapa final'!$Q$31),"")</f>
        <v/>
      </c>
      <c r="M11" s="28" t="str">
        <f>IF(AND('Mapa final'!$AA$32="Muy Alta",'Mapa final'!$AC$32="Leve"),CONCATENATE("R6C",'Mapa final'!$Q$32),"")</f>
        <v/>
      </c>
      <c r="N11" s="28" t="str">
        <f>IF(AND('Mapa final'!$AA$33="Muy Alta",'Mapa final'!$AC$33="Leve"),CONCATENATE("R6C",'Mapa final'!$Q$33),"")</f>
        <v/>
      </c>
      <c r="O11" s="24" t="str">
        <f>IF(AND('Mapa final'!$AA$34="Muy Alta",'Mapa final'!$AC$34="Leve"),CONCATENATE("R6C",'Mapa final'!$Q$34),"")</f>
        <v/>
      </c>
      <c r="P11" s="22" t="str">
        <f>IF(AND('Mapa final'!$AA$29="Muy Alta",'Mapa final'!$AC$29="Menor"),CONCATENATE("R6C",'Mapa final'!$Q$29),"")</f>
        <v/>
      </c>
      <c r="Q11" s="23" t="str">
        <f>IF(AND('Mapa final'!$AA$30="Muy Alta",'Mapa final'!$AC$30="Menor"),CONCATENATE("R6C",'Mapa final'!$Q$30),"")</f>
        <v/>
      </c>
      <c r="R11" s="28" t="str">
        <f>IF(AND('Mapa final'!$AA$31="Muy Alta",'Mapa final'!$AC$31="Menor"),CONCATENATE("R6C",'Mapa final'!$Q$31),"")</f>
        <v/>
      </c>
      <c r="S11" s="28" t="str">
        <f>IF(AND('Mapa final'!$AA$32="Muy Alta",'Mapa final'!$AC$32="Menor"),CONCATENATE("R6C",'Mapa final'!$Q$32),"")</f>
        <v/>
      </c>
      <c r="T11" s="28" t="str">
        <f>IF(AND('Mapa final'!$AA$33="Muy Alta",'Mapa final'!$AC$33="Menor"),CONCATENATE("R6C",'Mapa final'!$Q$33),"")</f>
        <v/>
      </c>
      <c r="U11" s="24" t="str">
        <f>IF(AND('Mapa final'!$AA$34="Muy Alta",'Mapa final'!$AC$34="Menor"),CONCATENATE("R6C",'Mapa final'!$Q$34),"")</f>
        <v/>
      </c>
      <c r="V11" s="22" t="str">
        <f>IF(AND('Mapa final'!$AA$29="Muy Alta",'Mapa final'!$AC$29="Moderado"),CONCATENATE("R6C",'Mapa final'!$Q$29),"")</f>
        <v/>
      </c>
      <c r="W11" s="23" t="str">
        <f>IF(AND('Mapa final'!$AA$30="Muy Alta",'Mapa final'!$AC$30="Moderado"),CONCATENATE("R6C",'Mapa final'!$Q$30),"")</f>
        <v/>
      </c>
      <c r="X11" s="28" t="str">
        <f>IF(AND('Mapa final'!$AA$31="Muy Alta",'Mapa final'!$AC$31="Moderado"),CONCATENATE("R6C",'Mapa final'!$Q$31),"")</f>
        <v/>
      </c>
      <c r="Y11" s="28" t="str">
        <f>IF(AND('Mapa final'!$AA$32="Muy Alta",'Mapa final'!$AC$32="Moderado"),CONCATENATE("R6C",'Mapa final'!$Q$32),"")</f>
        <v/>
      </c>
      <c r="Z11" s="28" t="str">
        <f>IF(AND('Mapa final'!$AA$33="Muy Alta",'Mapa final'!$AC$33="Moderado"),CONCATENATE("R6C",'Mapa final'!$Q$33),"")</f>
        <v/>
      </c>
      <c r="AA11" s="24" t="str">
        <f>IF(AND('Mapa final'!$AA$34="Muy Alta",'Mapa final'!$AC$34="Moderado"),CONCATENATE("R6C",'Mapa final'!$Q$34),"")</f>
        <v/>
      </c>
      <c r="AB11" s="22" t="str">
        <f>IF(AND('Mapa final'!$AA$29="Muy Alta",'Mapa final'!$AC$29="Mayor"),CONCATENATE("R6C",'Mapa final'!$Q$29),"")</f>
        <v/>
      </c>
      <c r="AC11" s="23" t="str">
        <f>IF(AND('Mapa final'!$AA$30="Muy Alta",'Mapa final'!$AC$30="Mayor"),CONCATENATE("R6C",'Mapa final'!$Q$30),"")</f>
        <v/>
      </c>
      <c r="AD11" s="28" t="str">
        <f>IF(AND('Mapa final'!$AA$31="Muy Alta",'Mapa final'!$AC$31="Mayor"),CONCATENATE("R6C",'Mapa final'!$Q$31),"")</f>
        <v/>
      </c>
      <c r="AE11" s="28" t="str">
        <f>IF(AND('Mapa final'!$AA$32="Muy Alta",'Mapa final'!$AC$32="Mayor"),CONCATENATE("R6C",'Mapa final'!$Q$32),"")</f>
        <v/>
      </c>
      <c r="AF11" s="28" t="str">
        <f>IF(AND('Mapa final'!$AA$33="Muy Alta",'Mapa final'!$AC$33="Mayor"),CONCATENATE("R6C",'Mapa final'!$Q$33),"")</f>
        <v/>
      </c>
      <c r="AG11" s="24" t="str">
        <f>IF(AND('Mapa final'!$AA$34="Muy Alta",'Mapa final'!$AC$34="Mayor"),CONCATENATE("R6C",'Mapa final'!$Q$34),"")</f>
        <v/>
      </c>
      <c r="AH11" s="25" t="str">
        <f>IF(AND('Mapa final'!$AA$29="Muy Alta",'Mapa final'!$AC$29="Catastrófico"),CONCATENATE("R6C",'Mapa final'!$Q$29),"")</f>
        <v/>
      </c>
      <c r="AI11" s="26" t="str">
        <f>IF(AND('Mapa final'!$AA$30="Muy Alta",'Mapa final'!$AC$30="Catastrófico"),CONCATENATE("R6C",'Mapa final'!$Q$30),"")</f>
        <v/>
      </c>
      <c r="AJ11" s="26" t="str">
        <f>IF(AND('Mapa final'!$AA$31="Muy Alta",'Mapa final'!$AC$31="Catastrófico"),CONCATENATE("R6C",'Mapa final'!$Q$31),"")</f>
        <v/>
      </c>
      <c r="AK11" s="26" t="str">
        <f>IF(AND('Mapa final'!$AA$32="Muy Alta",'Mapa final'!$AC$32="Catastrófico"),CONCATENATE("R6C",'Mapa final'!$Q$32),"")</f>
        <v/>
      </c>
      <c r="AL11" s="26" t="str">
        <f>IF(AND('Mapa final'!$AA$33="Muy Alta",'Mapa final'!$AC$33="Catastrófico"),CONCATENATE("R6C",'Mapa final'!$Q$33),"")</f>
        <v/>
      </c>
      <c r="AM11" s="27" t="str">
        <f>IF(AND('Mapa final'!$AA$34="Muy Alta",'Mapa final'!$AC$34="Catastrófico"),CONCATENATE("R6C",'Mapa final'!$Q$34),"")</f>
        <v/>
      </c>
      <c r="AN11" s="54"/>
      <c r="AO11" s="400"/>
      <c r="AP11" s="401"/>
      <c r="AQ11" s="401"/>
      <c r="AR11" s="401"/>
      <c r="AS11" s="401"/>
      <c r="AT11" s="402"/>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row>
    <row r="12" spans="1:91" ht="15" customHeight="1" x14ac:dyDescent="0.3">
      <c r="A12" s="54"/>
      <c r="B12" s="292"/>
      <c r="C12" s="292"/>
      <c r="D12" s="293"/>
      <c r="E12" s="393"/>
      <c r="F12" s="394"/>
      <c r="G12" s="394"/>
      <c r="H12" s="394"/>
      <c r="I12" s="409"/>
      <c r="J12" s="22" t="str">
        <f>IF(AND('Mapa final'!$AA$35="Muy Alta",'Mapa final'!$AC$35="Leve"),CONCATENATE("R7C",'Mapa final'!$Q$35),"")</f>
        <v/>
      </c>
      <c r="K12" s="23" t="str">
        <f>IF(AND('Mapa final'!$AA$36="Muy Alta",'Mapa final'!$AC$36="Leve"),CONCATENATE("R7C",'Mapa final'!$Q$36),"")</f>
        <v/>
      </c>
      <c r="L12" s="28" t="str">
        <f>IF(AND('Mapa final'!$AA$37="Muy Alta",'Mapa final'!$AC$37="Leve"),CONCATENATE("R7C",'Mapa final'!$Q$37),"")</f>
        <v/>
      </c>
      <c r="M12" s="28" t="str">
        <f>IF(AND('Mapa final'!$AA$38="Muy Alta",'Mapa final'!$AC$38="Leve"),CONCATENATE("R7C",'Mapa final'!$Q$38),"")</f>
        <v/>
      </c>
      <c r="N12" s="28" t="str">
        <f>IF(AND('Mapa final'!$AA$39="Muy Alta",'Mapa final'!$AC$39="Leve"),CONCATENATE("R7C",'Mapa final'!$Q$39),"")</f>
        <v/>
      </c>
      <c r="O12" s="24" t="str">
        <f>IF(AND('Mapa final'!$AA$40="Muy Alta",'Mapa final'!$AC$40="Leve"),CONCATENATE("R7C",'Mapa final'!$Q$40),"")</f>
        <v/>
      </c>
      <c r="P12" s="22" t="str">
        <f>IF(AND('Mapa final'!$AA$35="Muy Alta",'Mapa final'!$AC$35="Menor"),CONCATENATE("R7C",'Mapa final'!$Q$35),"")</f>
        <v/>
      </c>
      <c r="Q12" s="23" t="str">
        <f>IF(AND('Mapa final'!$AA$36="Muy Alta",'Mapa final'!$AC$36="Menor"),CONCATENATE("R7C",'Mapa final'!$Q$36),"")</f>
        <v/>
      </c>
      <c r="R12" s="28" t="str">
        <f>IF(AND('Mapa final'!$AA$37="Muy Alta",'Mapa final'!$AC$37="Menor"),CONCATENATE("R7C",'Mapa final'!$Q$37),"")</f>
        <v/>
      </c>
      <c r="S12" s="28" t="str">
        <f>IF(AND('Mapa final'!$AA$38="Muy Alta",'Mapa final'!$AC$38="Menor"),CONCATENATE("R7C",'Mapa final'!$Q$38),"")</f>
        <v/>
      </c>
      <c r="T12" s="28" t="str">
        <f>IF(AND('Mapa final'!$AA$39="Muy Alta",'Mapa final'!$AC$39="Menor"),CONCATENATE("R7C",'Mapa final'!$Q$39),"")</f>
        <v/>
      </c>
      <c r="U12" s="24" t="str">
        <f>IF(AND('Mapa final'!$AA$40="Muy Alta",'Mapa final'!$AC$40="Menor"),CONCATENATE("R7C",'Mapa final'!$Q$40),"")</f>
        <v/>
      </c>
      <c r="V12" s="22" t="str">
        <f>IF(AND('Mapa final'!$AA$35="Muy Alta",'Mapa final'!$AC$35="Moderado"),CONCATENATE("R7C",'Mapa final'!$Q$35),"")</f>
        <v/>
      </c>
      <c r="W12" s="23" t="str">
        <f>IF(AND('Mapa final'!$AA$36="Muy Alta",'Mapa final'!$AC$36="Moderado"),CONCATENATE("R7C",'Mapa final'!$Q$36),"")</f>
        <v/>
      </c>
      <c r="X12" s="28" t="str">
        <f>IF(AND('Mapa final'!$AA$37="Muy Alta",'Mapa final'!$AC$37="Moderado"),CONCATENATE("R7C",'Mapa final'!$Q$37),"")</f>
        <v/>
      </c>
      <c r="Y12" s="28" t="str">
        <f>IF(AND('Mapa final'!$AA$38="Muy Alta",'Mapa final'!$AC$38="Moderado"),CONCATENATE("R7C",'Mapa final'!$Q$38),"")</f>
        <v/>
      </c>
      <c r="Z12" s="28" t="str">
        <f>IF(AND('Mapa final'!$AA$39="Muy Alta",'Mapa final'!$AC$39="Moderado"),CONCATENATE("R7C",'Mapa final'!$Q$39),"")</f>
        <v/>
      </c>
      <c r="AA12" s="24" t="str">
        <f>IF(AND('Mapa final'!$AA$40="Muy Alta",'Mapa final'!$AC$40="Moderado"),CONCATENATE("R7C",'Mapa final'!$Q$40),"")</f>
        <v/>
      </c>
      <c r="AB12" s="22" t="str">
        <f>IF(AND('Mapa final'!$AA$35="Muy Alta",'Mapa final'!$AC$35="Mayor"),CONCATENATE("R7C",'Mapa final'!$Q$35),"")</f>
        <v/>
      </c>
      <c r="AC12" s="23" t="str">
        <f>IF(AND('Mapa final'!$AA$36="Muy Alta",'Mapa final'!$AC$36="Mayor"),CONCATENATE("R7C",'Mapa final'!$Q$36),"")</f>
        <v/>
      </c>
      <c r="AD12" s="28" t="str">
        <f>IF(AND('Mapa final'!$AA$37="Muy Alta",'Mapa final'!$AC$37="Mayor"),CONCATENATE("R7C",'Mapa final'!$Q$37),"")</f>
        <v/>
      </c>
      <c r="AE12" s="28" t="str">
        <f>IF(AND('Mapa final'!$AA$38="Muy Alta",'Mapa final'!$AC$38="Mayor"),CONCATENATE("R7C",'Mapa final'!$Q$38),"")</f>
        <v/>
      </c>
      <c r="AF12" s="28" t="str">
        <f>IF(AND('Mapa final'!$AA$39="Muy Alta",'Mapa final'!$AC$39="Mayor"),CONCATENATE("R7C",'Mapa final'!$Q$39),"")</f>
        <v/>
      </c>
      <c r="AG12" s="24" t="str">
        <f>IF(AND('Mapa final'!$AA$40="Muy Alta",'Mapa final'!$AC$40="Mayor"),CONCATENATE("R7C",'Mapa final'!$Q$40),"")</f>
        <v/>
      </c>
      <c r="AH12" s="25" t="str">
        <f>IF(AND('Mapa final'!$AA$35="Muy Alta",'Mapa final'!$AC$35="Catastrófico"),CONCATENATE("R7C",'Mapa final'!$Q$35),"")</f>
        <v/>
      </c>
      <c r="AI12" s="26" t="str">
        <f>IF(AND('Mapa final'!$AA$36="Muy Alta",'Mapa final'!$AC$36="Catastrófico"),CONCATENATE("R7C",'Mapa final'!$Q$36),"")</f>
        <v/>
      </c>
      <c r="AJ12" s="26" t="str">
        <f>IF(AND('Mapa final'!$AA$37="Muy Alta",'Mapa final'!$AC$37="Catastrófico"),CONCATENATE("R7C",'Mapa final'!$Q$37),"")</f>
        <v/>
      </c>
      <c r="AK12" s="26" t="str">
        <f>IF(AND('Mapa final'!$AA$38="Muy Alta",'Mapa final'!$AC$38="Catastrófico"),CONCATENATE("R7C",'Mapa final'!$Q$38),"")</f>
        <v/>
      </c>
      <c r="AL12" s="26" t="str">
        <f>IF(AND('Mapa final'!$AA$39="Muy Alta",'Mapa final'!$AC$39="Catastrófico"),CONCATENATE("R7C",'Mapa final'!$Q$39),"")</f>
        <v/>
      </c>
      <c r="AM12" s="27" t="str">
        <f>IF(AND('Mapa final'!$AA$40="Muy Alta",'Mapa final'!$AC$40="Catastrófico"),CONCATENATE("R7C",'Mapa final'!$Q$40),"")</f>
        <v/>
      </c>
      <c r="AN12" s="54"/>
      <c r="AO12" s="400"/>
      <c r="AP12" s="401"/>
      <c r="AQ12" s="401"/>
      <c r="AR12" s="401"/>
      <c r="AS12" s="401"/>
      <c r="AT12" s="402"/>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row>
    <row r="13" spans="1:91" ht="15" customHeight="1" x14ac:dyDescent="0.3">
      <c r="A13" s="54"/>
      <c r="B13" s="292"/>
      <c r="C13" s="292"/>
      <c r="D13" s="293"/>
      <c r="E13" s="393"/>
      <c r="F13" s="394"/>
      <c r="G13" s="394"/>
      <c r="H13" s="394"/>
      <c r="I13" s="409"/>
      <c r="J13" s="22" t="str">
        <f>IF(AND('Mapa final'!$AA$41="Muy Alta",'Mapa final'!$AC$41="Leve"),CONCATENATE("R8C",'Mapa final'!$Q$41),"")</f>
        <v/>
      </c>
      <c r="K13" s="23" t="str">
        <f>IF(AND('Mapa final'!$AA$42="Muy Alta",'Mapa final'!$AC$42="Leve"),CONCATENATE("R8C",'Mapa final'!$Q$42),"")</f>
        <v/>
      </c>
      <c r="L13" s="28" t="str">
        <f>IF(AND('Mapa final'!$AA$43="Muy Alta",'Mapa final'!$AC$43="Leve"),CONCATENATE("R8C",'Mapa final'!$Q$43),"")</f>
        <v/>
      </c>
      <c r="M13" s="28" t="str">
        <f>IF(AND('Mapa final'!$AA$44="Muy Alta",'Mapa final'!$AC$44="Leve"),CONCATENATE("R8C",'Mapa final'!$Q$44),"")</f>
        <v/>
      </c>
      <c r="N13" s="28" t="str">
        <f>IF(AND('Mapa final'!$AA$45="Muy Alta",'Mapa final'!$AC$45="Leve"),CONCATENATE("R8C",'Mapa final'!$Q$45),"")</f>
        <v/>
      </c>
      <c r="O13" s="24" t="str">
        <f>IF(AND('Mapa final'!$AA$46="Muy Alta",'Mapa final'!$AC$46="Leve"),CONCATENATE("R8C",'Mapa final'!$Q$46),"")</f>
        <v/>
      </c>
      <c r="P13" s="22" t="str">
        <f>IF(AND('Mapa final'!$AA$41="Muy Alta",'Mapa final'!$AC$41="Menor"),CONCATENATE("R8C",'Mapa final'!$Q$41),"")</f>
        <v/>
      </c>
      <c r="Q13" s="23" t="str">
        <f>IF(AND('Mapa final'!$AA$42="Muy Alta",'Mapa final'!$AC$42="Menor"),CONCATENATE("R8C",'Mapa final'!$Q$42),"")</f>
        <v/>
      </c>
      <c r="R13" s="28" t="str">
        <f>IF(AND('Mapa final'!$AA$43="Muy Alta",'Mapa final'!$AC$43="Menor"),CONCATENATE("R8C",'Mapa final'!$Q$43),"")</f>
        <v/>
      </c>
      <c r="S13" s="28" t="str">
        <f>IF(AND('Mapa final'!$AA$44="Muy Alta",'Mapa final'!$AC$44="Menor"),CONCATENATE("R8C",'Mapa final'!$Q$44),"")</f>
        <v/>
      </c>
      <c r="T13" s="28" t="str">
        <f>IF(AND('Mapa final'!$AA$45="Muy Alta",'Mapa final'!$AC$45="Menor"),CONCATENATE("R8C",'Mapa final'!$Q$45),"")</f>
        <v/>
      </c>
      <c r="U13" s="24" t="str">
        <f>IF(AND('Mapa final'!$AA$46="Muy Alta",'Mapa final'!$AC$46="Menor"),CONCATENATE("R8C",'Mapa final'!$Q$46),"")</f>
        <v/>
      </c>
      <c r="V13" s="22" t="str">
        <f>IF(AND('Mapa final'!$AA$41="Muy Alta",'Mapa final'!$AC$41="Moderado"),CONCATENATE("R8C",'Mapa final'!$Q$41),"")</f>
        <v/>
      </c>
      <c r="W13" s="23" t="str">
        <f>IF(AND('Mapa final'!$AA$42="Muy Alta",'Mapa final'!$AC$42="Moderado"),CONCATENATE("R8C",'Mapa final'!$Q$42),"")</f>
        <v/>
      </c>
      <c r="X13" s="28" t="str">
        <f>IF(AND('Mapa final'!$AA$43="Muy Alta",'Mapa final'!$AC$43="Moderado"),CONCATENATE("R8C",'Mapa final'!$Q$43),"")</f>
        <v/>
      </c>
      <c r="Y13" s="28" t="str">
        <f>IF(AND('Mapa final'!$AA$44="Muy Alta",'Mapa final'!$AC$44="Moderado"),CONCATENATE("R8C",'Mapa final'!$Q$44),"")</f>
        <v/>
      </c>
      <c r="Z13" s="28" t="str">
        <f>IF(AND('Mapa final'!$AA$45="Muy Alta",'Mapa final'!$AC$45="Moderado"),CONCATENATE("R8C",'Mapa final'!$Q$45),"")</f>
        <v/>
      </c>
      <c r="AA13" s="24" t="str">
        <f>IF(AND('Mapa final'!$AA$46="Muy Alta",'Mapa final'!$AC$46="Moderado"),CONCATENATE("R8C",'Mapa final'!$Q$46),"")</f>
        <v/>
      </c>
      <c r="AB13" s="22" t="str">
        <f>IF(AND('Mapa final'!$AA$41="Muy Alta",'Mapa final'!$AC$41="Mayor"),CONCATENATE("R8C",'Mapa final'!$Q$41),"")</f>
        <v/>
      </c>
      <c r="AC13" s="23" t="str">
        <f>IF(AND('Mapa final'!$AA$42="Muy Alta",'Mapa final'!$AC$42="Mayor"),CONCATENATE("R8C",'Mapa final'!$Q$42),"")</f>
        <v/>
      </c>
      <c r="AD13" s="28" t="str">
        <f>IF(AND('Mapa final'!$AA$43="Muy Alta",'Mapa final'!$AC$43="Mayor"),CONCATENATE("R8C",'Mapa final'!$Q$43),"")</f>
        <v/>
      </c>
      <c r="AE13" s="28" t="str">
        <f>IF(AND('Mapa final'!$AA$44="Muy Alta",'Mapa final'!$AC$44="Mayor"),CONCATENATE("R8C",'Mapa final'!$Q$44),"")</f>
        <v/>
      </c>
      <c r="AF13" s="28" t="str">
        <f>IF(AND('Mapa final'!$AA$45="Muy Alta",'Mapa final'!$AC$45="Mayor"),CONCATENATE("R8C",'Mapa final'!$Q$45),"")</f>
        <v/>
      </c>
      <c r="AG13" s="24" t="str">
        <f>IF(AND('Mapa final'!$AA$46="Muy Alta",'Mapa final'!$AC$46="Mayor"),CONCATENATE("R8C",'Mapa final'!$Q$46),"")</f>
        <v/>
      </c>
      <c r="AH13" s="25" t="str">
        <f>IF(AND('Mapa final'!$AA$41="Muy Alta",'Mapa final'!$AC$41="Catastrófico"),CONCATENATE("R8C",'Mapa final'!$Q$41),"")</f>
        <v/>
      </c>
      <c r="AI13" s="26" t="str">
        <f>IF(AND('Mapa final'!$AA$42="Muy Alta",'Mapa final'!$AC$42="Catastrófico"),CONCATENATE("R8C",'Mapa final'!$Q$42),"")</f>
        <v/>
      </c>
      <c r="AJ13" s="26" t="str">
        <f>IF(AND('Mapa final'!$AA$43="Muy Alta",'Mapa final'!$AC$43="Catastrófico"),CONCATENATE("R8C",'Mapa final'!$Q$43),"")</f>
        <v/>
      </c>
      <c r="AK13" s="26" t="str">
        <f>IF(AND('Mapa final'!$AA$44="Muy Alta",'Mapa final'!$AC$44="Catastrófico"),CONCATENATE("R8C",'Mapa final'!$Q$44),"")</f>
        <v/>
      </c>
      <c r="AL13" s="26" t="str">
        <f>IF(AND('Mapa final'!$AA$45="Muy Alta",'Mapa final'!$AC$45="Catastrófico"),CONCATENATE("R8C",'Mapa final'!$Q$45),"")</f>
        <v/>
      </c>
      <c r="AM13" s="27" t="str">
        <f>IF(AND('Mapa final'!$AA$46="Muy Alta",'Mapa final'!$AC$46="Catastrófico"),CONCATENATE("R8C",'Mapa final'!$Q$46),"")</f>
        <v/>
      </c>
      <c r="AN13" s="54"/>
      <c r="AO13" s="400"/>
      <c r="AP13" s="401"/>
      <c r="AQ13" s="401"/>
      <c r="AR13" s="401"/>
      <c r="AS13" s="401"/>
      <c r="AT13" s="402"/>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row>
    <row r="14" spans="1:91" ht="15" customHeight="1" x14ac:dyDescent="0.3">
      <c r="A14" s="54"/>
      <c r="B14" s="292"/>
      <c r="C14" s="292"/>
      <c r="D14" s="293"/>
      <c r="E14" s="393"/>
      <c r="F14" s="394"/>
      <c r="G14" s="394"/>
      <c r="H14" s="394"/>
      <c r="I14" s="409"/>
      <c r="J14" s="22" t="str">
        <f>IF(AND('Mapa final'!$AA$47="Muy Alta",'Mapa final'!$AC$47="Leve"),CONCATENATE("R9C",'Mapa final'!$Q$47),"")</f>
        <v/>
      </c>
      <c r="K14" s="23" t="str">
        <f>IF(AND('Mapa final'!$AA$48="Muy Alta",'Mapa final'!$AC$48="Leve"),CONCATENATE("R9C",'Mapa final'!$Q$48),"")</f>
        <v/>
      </c>
      <c r="L14" s="28" t="str">
        <f>IF(AND('Mapa final'!$AA$49="Muy Alta",'Mapa final'!$AC$49="Leve"),CONCATENATE("R9C",'Mapa final'!$Q$49),"")</f>
        <v/>
      </c>
      <c r="M14" s="28" t="str">
        <f>IF(AND('Mapa final'!$AA$50="Muy Alta",'Mapa final'!$AC$50="Leve"),CONCATENATE("R9C",'Mapa final'!$Q$50),"")</f>
        <v/>
      </c>
      <c r="N14" s="28" t="str">
        <f>IF(AND('Mapa final'!$AA$51="Muy Alta",'Mapa final'!$AC$51="Leve"),CONCATENATE("R9C",'Mapa final'!$Q$51),"")</f>
        <v/>
      </c>
      <c r="O14" s="24" t="str">
        <f>IF(AND('Mapa final'!$AA$52="Muy Alta",'Mapa final'!$AC$52="Leve"),CONCATENATE("R9C",'Mapa final'!$Q$52),"")</f>
        <v/>
      </c>
      <c r="P14" s="22" t="str">
        <f>IF(AND('Mapa final'!$AA$47="Muy Alta",'Mapa final'!$AC$47="Menor"),CONCATENATE("R9C",'Mapa final'!$Q$47),"")</f>
        <v/>
      </c>
      <c r="Q14" s="23" t="str">
        <f>IF(AND('Mapa final'!$AA$48="Muy Alta",'Mapa final'!$AC$48="Menor"),CONCATENATE("R9C",'Mapa final'!$Q$48),"")</f>
        <v/>
      </c>
      <c r="R14" s="28" t="str">
        <f>IF(AND('Mapa final'!$AA$49="Muy Alta",'Mapa final'!$AC$49="Menor"),CONCATENATE("R9C",'Mapa final'!$Q$49),"")</f>
        <v/>
      </c>
      <c r="S14" s="28" t="str">
        <f>IF(AND('Mapa final'!$AA$50="Muy Alta",'Mapa final'!$AC$50="Menor"),CONCATENATE("R9C",'Mapa final'!$Q$50),"")</f>
        <v/>
      </c>
      <c r="T14" s="28" t="str">
        <f>IF(AND('Mapa final'!$AA$51="Muy Alta",'Mapa final'!$AC$51="Menor"),CONCATENATE("R9C",'Mapa final'!$Q$51),"")</f>
        <v/>
      </c>
      <c r="U14" s="24" t="str">
        <f>IF(AND('Mapa final'!$AA$52="Muy Alta",'Mapa final'!$AC$52="Menor"),CONCATENATE("R9C",'Mapa final'!$Q$52),"")</f>
        <v/>
      </c>
      <c r="V14" s="22" t="str">
        <f>IF(AND('Mapa final'!$AA$47="Muy Alta",'Mapa final'!$AC$47="Moderado"),CONCATENATE("R9C",'Mapa final'!$Q$47),"")</f>
        <v/>
      </c>
      <c r="W14" s="23" t="str">
        <f>IF(AND('Mapa final'!$AA$48="Muy Alta",'Mapa final'!$AC$48="Moderado"),CONCATENATE("R9C",'Mapa final'!$Q$48),"")</f>
        <v/>
      </c>
      <c r="X14" s="28" t="str">
        <f>IF(AND('Mapa final'!$AA$49="Muy Alta",'Mapa final'!$AC$49="Moderado"),CONCATENATE("R9C",'Mapa final'!$Q$49),"")</f>
        <v/>
      </c>
      <c r="Y14" s="28" t="str">
        <f>IF(AND('Mapa final'!$AA$50="Muy Alta",'Mapa final'!$AC$50="Moderado"),CONCATENATE("R9C",'Mapa final'!$Q$50),"")</f>
        <v/>
      </c>
      <c r="Z14" s="28" t="str">
        <f>IF(AND('Mapa final'!$AA$51="Muy Alta",'Mapa final'!$AC$51="Moderado"),CONCATENATE("R9C",'Mapa final'!$Q$51),"")</f>
        <v/>
      </c>
      <c r="AA14" s="24" t="str">
        <f>IF(AND('Mapa final'!$AA$52="Muy Alta",'Mapa final'!$AC$52="Moderado"),CONCATENATE("R9C",'Mapa final'!$Q$52),"")</f>
        <v/>
      </c>
      <c r="AB14" s="22" t="str">
        <f>IF(AND('Mapa final'!$AA$47="Muy Alta",'Mapa final'!$AC$47="Mayor"),CONCATENATE("R9C",'Mapa final'!$Q$47),"")</f>
        <v/>
      </c>
      <c r="AC14" s="23" t="str">
        <f>IF(AND('Mapa final'!$AA$48="Muy Alta",'Mapa final'!$AC$48="Mayor"),CONCATENATE("R9C",'Mapa final'!$Q$48),"")</f>
        <v/>
      </c>
      <c r="AD14" s="28" t="str">
        <f>IF(AND('Mapa final'!$AA$49="Muy Alta",'Mapa final'!$AC$49="Mayor"),CONCATENATE("R9C",'Mapa final'!$Q$49),"")</f>
        <v/>
      </c>
      <c r="AE14" s="28" t="str">
        <f>IF(AND('Mapa final'!$AA$50="Muy Alta",'Mapa final'!$AC$50="Mayor"),CONCATENATE("R9C",'Mapa final'!$Q$50),"")</f>
        <v/>
      </c>
      <c r="AF14" s="28" t="str">
        <f>IF(AND('Mapa final'!$AA$51="Muy Alta",'Mapa final'!$AC$51="Mayor"),CONCATENATE("R9C",'Mapa final'!$Q$51),"")</f>
        <v/>
      </c>
      <c r="AG14" s="24" t="str">
        <f>IF(AND('Mapa final'!$AA$52="Muy Alta",'Mapa final'!$AC$52="Mayor"),CONCATENATE("R9C",'Mapa final'!$Q$52),"")</f>
        <v/>
      </c>
      <c r="AH14" s="25" t="str">
        <f>IF(AND('Mapa final'!$AA$47="Muy Alta",'Mapa final'!$AC$47="Catastrófico"),CONCATENATE("R9C",'Mapa final'!$Q$47),"")</f>
        <v/>
      </c>
      <c r="AI14" s="26" t="str">
        <f>IF(AND('Mapa final'!$AA$48="Muy Alta",'Mapa final'!$AC$48="Catastrófico"),CONCATENATE("R9C",'Mapa final'!$Q$48),"")</f>
        <v/>
      </c>
      <c r="AJ14" s="26" t="str">
        <f>IF(AND('Mapa final'!$AA$49="Muy Alta",'Mapa final'!$AC$49="Catastrófico"),CONCATENATE("R9C",'Mapa final'!$Q$49),"")</f>
        <v/>
      </c>
      <c r="AK14" s="26" t="str">
        <f>IF(AND('Mapa final'!$AA$50="Muy Alta",'Mapa final'!$AC$50="Catastrófico"),CONCATENATE("R9C",'Mapa final'!$Q$50),"")</f>
        <v/>
      </c>
      <c r="AL14" s="26" t="str">
        <f>IF(AND('Mapa final'!$AA$51="Muy Alta",'Mapa final'!$AC$51="Catastrófico"),CONCATENATE("R9C",'Mapa final'!$Q$51),"")</f>
        <v/>
      </c>
      <c r="AM14" s="27" t="str">
        <f>IF(AND('Mapa final'!$AA$52="Muy Alta",'Mapa final'!$AC$52="Catastrófico"),CONCATENATE("R9C",'Mapa final'!$Q$52),"")</f>
        <v/>
      </c>
      <c r="AN14" s="54"/>
      <c r="AO14" s="400"/>
      <c r="AP14" s="401"/>
      <c r="AQ14" s="401"/>
      <c r="AR14" s="401"/>
      <c r="AS14" s="401"/>
      <c r="AT14" s="402"/>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row>
    <row r="15" spans="1:91" ht="15.75" customHeight="1" thickBot="1" x14ac:dyDescent="0.35">
      <c r="A15" s="54"/>
      <c r="B15" s="292"/>
      <c r="C15" s="292"/>
      <c r="D15" s="293"/>
      <c r="E15" s="395"/>
      <c r="F15" s="396"/>
      <c r="G15" s="396"/>
      <c r="H15" s="396"/>
      <c r="I15" s="410"/>
      <c r="J15" s="29" t="str">
        <f>IF(AND('Mapa final'!$AA$53="Muy Alta",'Mapa final'!$AC$53="Leve"),CONCATENATE("R10C",'Mapa final'!$Q$53),"")</f>
        <v/>
      </c>
      <c r="K15" s="30" t="str">
        <f>IF(AND('Mapa final'!$AA$54="Muy Alta",'Mapa final'!$AC$54="Leve"),CONCATENATE("R10C",'Mapa final'!$Q$54),"")</f>
        <v/>
      </c>
      <c r="L15" s="30" t="str">
        <f>IF(AND('Mapa final'!$AA$55="Muy Alta",'Mapa final'!$AC$55="Leve"),CONCATENATE("R10C",'Mapa final'!$Q$55),"")</f>
        <v/>
      </c>
      <c r="M15" s="30" t="str">
        <f>IF(AND('Mapa final'!$AA$56="Muy Alta",'Mapa final'!$AC$56="Leve"),CONCATENATE("R10C",'Mapa final'!$Q$56),"")</f>
        <v/>
      </c>
      <c r="N15" s="30" t="str">
        <f>IF(AND('Mapa final'!$AA$57="Muy Alta",'Mapa final'!$AC$57="Leve"),CONCATENATE("R10C",'Mapa final'!$Q$57),"")</f>
        <v/>
      </c>
      <c r="O15" s="31" t="str">
        <f>IF(AND('Mapa final'!$AA$58="Muy Alta",'Mapa final'!$AC$58="Leve"),CONCATENATE("R10C",'Mapa final'!$Q$58),"")</f>
        <v/>
      </c>
      <c r="P15" s="22" t="str">
        <f>IF(AND('Mapa final'!$AA$53="Muy Alta",'Mapa final'!$AC$53="Menor"),CONCATENATE("R10C",'Mapa final'!$Q$53),"")</f>
        <v/>
      </c>
      <c r="Q15" s="23" t="str">
        <f>IF(AND('Mapa final'!$AA$54="Muy Alta",'Mapa final'!$AC$54="Menor"),CONCATENATE("R10C",'Mapa final'!$Q$54),"")</f>
        <v/>
      </c>
      <c r="R15" s="23" t="str">
        <f>IF(AND('Mapa final'!$AA$55="Muy Alta",'Mapa final'!$AC$55="Menor"),CONCATENATE("R10C",'Mapa final'!$Q$55),"")</f>
        <v/>
      </c>
      <c r="S15" s="23" t="str">
        <f>IF(AND('Mapa final'!$AA$56="Muy Alta",'Mapa final'!$AC$56="Menor"),CONCATENATE("R10C",'Mapa final'!$Q$56),"")</f>
        <v/>
      </c>
      <c r="T15" s="23" t="str">
        <f>IF(AND('Mapa final'!$AA$57="Muy Alta",'Mapa final'!$AC$57="Menor"),CONCATENATE("R10C",'Mapa final'!$Q$57),"")</f>
        <v/>
      </c>
      <c r="U15" s="24" t="str">
        <f>IF(AND('Mapa final'!$AA$58="Muy Alta",'Mapa final'!$AC$58="Menor"),CONCATENATE("R10C",'Mapa final'!$Q$58),"")</f>
        <v/>
      </c>
      <c r="V15" s="29" t="str">
        <f>IF(AND('Mapa final'!$AA$53="Muy Alta",'Mapa final'!$AC$53="Moderado"),CONCATENATE("R10C",'Mapa final'!$Q$53),"")</f>
        <v/>
      </c>
      <c r="W15" s="30" t="str">
        <f>IF(AND('Mapa final'!$AA$54="Muy Alta",'Mapa final'!$AC$54="Moderado"),CONCATENATE("R10C",'Mapa final'!$Q$54),"")</f>
        <v/>
      </c>
      <c r="X15" s="30" t="str">
        <f>IF(AND('Mapa final'!$AA$55="Muy Alta",'Mapa final'!$AC$55="Moderado"),CONCATENATE("R10C",'Mapa final'!$Q$55),"")</f>
        <v/>
      </c>
      <c r="Y15" s="30" t="str">
        <f>IF(AND('Mapa final'!$AA$56="Muy Alta",'Mapa final'!$AC$56="Moderado"),CONCATENATE("R10C",'Mapa final'!$Q$56),"")</f>
        <v/>
      </c>
      <c r="Z15" s="30" t="str">
        <f>IF(AND('Mapa final'!$AA$57="Muy Alta",'Mapa final'!$AC$57="Moderado"),CONCATENATE("R10C",'Mapa final'!$Q$57),"")</f>
        <v/>
      </c>
      <c r="AA15" s="31" t="str">
        <f>IF(AND('Mapa final'!$AA$58="Muy Alta",'Mapa final'!$AC$58="Moderado"),CONCATENATE("R10C",'Mapa final'!$Q$58),"")</f>
        <v/>
      </c>
      <c r="AB15" s="22" t="str">
        <f>IF(AND('Mapa final'!$AA$53="Muy Alta",'Mapa final'!$AC$53="Mayor"),CONCATENATE("R10C",'Mapa final'!$Q$53),"")</f>
        <v/>
      </c>
      <c r="AC15" s="23" t="str">
        <f>IF(AND('Mapa final'!$AA$54="Muy Alta",'Mapa final'!$AC$54="Mayor"),CONCATENATE("R10C",'Mapa final'!$Q$54),"")</f>
        <v/>
      </c>
      <c r="AD15" s="23" t="str">
        <f>IF(AND('Mapa final'!$AA$55="Muy Alta",'Mapa final'!$AC$55="Mayor"),CONCATENATE("R10C",'Mapa final'!$Q$55),"")</f>
        <v/>
      </c>
      <c r="AE15" s="23" t="str">
        <f>IF(AND('Mapa final'!$AA$56="Muy Alta",'Mapa final'!$AC$56="Mayor"),CONCATENATE("R10C",'Mapa final'!$Q$56),"")</f>
        <v/>
      </c>
      <c r="AF15" s="23" t="str">
        <f>IF(AND('Mapa final'!$AA$57="Muy Alta",'Mapa final'!$AC$57="Mayor"),CONCATENATE("R10C",'Mapa final'!$Q$57),"")</f>
        <v/>
      </c>
      <c r="AG15" s="24" t="str">
        <f>IF(AND('Mapa final'!$AA$58="Muy Alta",'Mapa final'!$AC$58="Mayor"),CONCATENATE("R10C",'Mapa final'!$Q$58),"")</f>
        <v/>
      </c>
      <c r="AH15" s="32" t="str">
        <f>IF(AND('Mapa final'!$AA$53="Muy Alta",'Mapa final'!$AC$53="Catastrófico"),CONCATENATE("R10C",'Mapa final'!$Q$53),"")</f>
        <v/>
      </c>
      <c r="AI15" s="33" t="str">
        <f>IF(AND('Mapa final'!$AA$54="Muy Alta",'Mapa final'!$AC$54="Catastrófico"),CONCATENATE("R10C",'Mapa final'!$Q$54),"")</f>
        <v/>
      </c>
      <c r="AJ15" s="33" t="str">
        <f>IF(AND('Mapa final'!$AA$55="Muy Alta",'Mapa final'!$AC$55="Catastrófico"),CONCATENATE("R10C",'Mapa final'!$Q$55),"")</f>
        <v/>
      </c>
      <c r="AK15" s="33" t="str">
        <f>IF(AND('Mapa final'!$AA$56="Muy Alta",'Mapa final'!$AC$56="Catastrófico"),CONCATENATE("R10C",'Mapa final'!$Q$56),"")</f>
        <v/>
      </c>
      <c r="AL15" s="33" t="str">
        <f>IF(AND('Mapa final'!$AA$57="Muy Alta",'Mapa final'!$AC$57="Catastrófico"),CONCATENATE("R10C",'Mapa final'!$Q$57),"")</f>
        <v/>
      </c>
      <c r="AM15" s="34" t="str">
        <f>IF(AND('Mapa final'!$AA$58="Muy Alta",'Mapa final'!$AC$58="Catastrófico"),CONCATENATE("R10C",'Mapa final'!$Q$58),"")</f>
        <v/>
      </c>
      <c r="AN15" s="54"/>
      <c r="AO15" s="403"/>
      <c r="AP15" s="404"/>
      <c r="AQ15" s="404"/>
      <c r="AR15" s="404"/>
      <c r="AS15" s="404"/>
      <c r="AT15" s="405"/>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row>
    <row r="16" spans="1:91" ht="15" customHeight="1" x14ac:dyDescent="0.3">
      <c r="A16" s="54"/>
      <c r="B16" s="292"/>
      <c r="C16" s="292"/>
      <c r="D16" s="293"/>
      <c r="E16" s="389" t="s">
        <v>110</v>
      </c>
      <c r="F16" s="390"/>
      <c r="G16" s="390"/>
      <c r="H16" s="390"/>
      <c r="I16" s="390"/>
      <c r="J16" s="35" t="str">
        <f ca="1">IF(AND('Mapa final'!$AA$10="Alta",'Mapa final'!$AC$10="Leve"),CONCATENATE("R1C",'Mapa final'!$Q$10),"")</f>
        <v/>
      </c>
      <c r="K16" s="36" t="str">
        <f ca="1">IF(AND('Mapa final'!$AA$11="Alta",'Mapa final'!$AC$11="Leve"),CONCATENATE("R1C",'Mapa final'!$Q$11),"")</f>
        <v/>
      </c>
      <c r="L16" s="36" t="str">
        <f ca="1">IF(AND('Mapa final'!$AA$12="Alta",'Mapa final'!$AC$12="Leve"),CONCATENATE("R1C",'Mapa final'!$Q$12),"")</f>
        <v/>
      </c>
      <c r="M16" s="36" t="str">
        <f ca="1">IF(AND('Mapa final'!$AA$13="Alta",'Mapa final'!$AC$13="Leve"),CONCATENATE("R1C",'Mapa final'!$Q$13),"")</f>
        <v/>
      </c>
      <c r="N16" s="36" t="str">
        <f ca="1">IF(AND('Mapa final'!$AA$14="Alta",'Mapa final'!$AC$14="Leve"),CONCATENATE("R1C",'Mapa final'!$Q$14),"")</f>
        <v/>
      </c>
      <c r="O16" s="37" t="e">
        <f>IF(AND('Mapa final'!#REF!="Alta",'Mapa final'!#REF!="Leve"),CONCATENATE("R1C",'Mapa final'!#REF!),"")</f>
        <v>#REF!</v>
      </c>
      <c r="P16" s="35" t="str">
        <f ca="1">IF(AND('Mapa final'!$AA$10="Alta",'Mapa final'!$AC$10="Menor"),CONCATENATE("R1C",'Mapa final'!$Q$10),"")</f>
        <v/>
      </c>
      <c r="Q16" s="36" t="str">
        <f ca="1">IF(AND('Mapa final'!$AA$11="Alta",'Mapa final'!$AC$11="Menor"),CONCATENATE("R1C",'Mapa final'!$Q$11),"")</f>
        <v/>
      </c>
      <c r="R16" s="36" t="str">
        <f ca="1">IF(AND('Mapa final'!$AA$12="Alta",'Mapa final'!$AC$12="Menor"),CONCATENATE("R1C",'Mapa final'!$Q$12),"")</f>
        <v/>
      </c>
      <c r="S16" s="36" t="str">
        <f ca="1">IF(AND('Mapa final'!$AA$13="Alta",'Mapa final'!$AC$13="Menor"),CONCATENATE("R1C",'Mapa final'!$Q$13),"")</f>
        <v/>
      </c>
      <c r="T16" s="36" t="str">
        <f ca="1">IF(AND('Mapa final'!$AA$14="Alta",'Mapa final'!$AC$14="Menor"),CONCATENATE("R1C",'Mapa final'!$Q$14),"")</f>
        <v/>
      </c>
      <c r="U16" s="37" t="e">
        <f>IF(AND('Mapa final'!#REF!="Alta",'Mapa final'!#REF!="Menor"),CONCATENATE("R1C",'Mapa final'!#REF!),"")</f>
        <v>#REF!</v>
      </c>
      <c r="V16" s="16" t="str">
        <f ca="1">IF(AND('Mapa final'!$AA$10="Alta",'Mapa final'!$AC$10="Moderado"),CONCATENATE("R1C",'Mapa final'!$Q$10),"")</f>
        <v/>
      </c>
      <c r="W16" s="17" t="str">
        <f ca="1">IF(AND('Mapa final'!$AA$11="Alta",'Mapa final'!$AC$11="Moderado"),CONCATENATE("R1C",'Mapa final'!$Q$11),"")</f>
        <v/>
      </c>
      <c r="X16" s="17" t="str">
        <f ca="1">IF(AND('Mapa final'!$AA$12="Alta",'Mapa final'!$AC$12="Moderado"),CONCATENATE("R1C",'Mapa final'!$Q$12),"")</f>
        <v/>
      </c>
      <c r="Y16" s="17" t="str">
        <f ca="1">IF(AND('Mapa final'!$AA$13="Alta",'Mapa final'!$AC$13="Moderado"),CONCATENATE("R1C",'Mapa final'!$Q$13),"")</f>
        <v/>
      </c>
      <c r="Z16" s="17" t="str">
        <f ca="1">IF(AND('Mapa final'!$AA$14="Alta",'Mapa final'!$AC$14="Moderado"),CONCATENATE("R1C",'Mapa final'!$Q$14),"")</f>
        <v/>
      </c>
      <c r="AA16" s="18" t="e">
        <f>IF(AND('Mapa final'!#REF!="Alta",'Mapa final'!#REF!="Moderado"),CONCATENATE("R1C",'Mapa final'!#REF!),"")</f>
        <v>#REF!</v>
      </c>
      <c r="AB16" s="16" t="str">
        <f ca="1">IF(AND('Mapa final'!$AA$10="Alta",'Mapa final'!$AC$10="Mayor"),CONCATENATE("R1C",'Mapa final'!$Q$10),"")</f>
        <v/>
      </c>
      <c r="AC16" s="17" t="str">
        <f ca="1">IF(AND('Mapa final'!$AA$11="Alta",'Mapa final'!$AC$11="Mayor"),CONCATENATE("R1C",'Mapa final'!$Q$11),"")</f>
        <v/>
      </c>
      <c r="AD16" s="17" t="str">
        <f ca="1">IF(AND('Mapa final'!$AA$12="Alta",'Mapa final'!$AC$12="Mayor"),CONCATENATE("R1C",'Mapa final'!$Q$12),"")</f>
        <v/>
      </c>
      <c r="AE16" s="17" t="str">
        <f ca="1">IF(AND('Mapa final'!$AA$13="Alta",'Mapa final'!$AC$13="Mayor"),CONCATENATE("R1C",'Mapa final'!$Q$13),"")</f>
        <v/>
      </c>
      <c r="AF16" s="17" t="str">
        <f ca="1">IF(AND('Mapa final'!$AA$14="Alta",'Mapa final'!$AC$14="Mayor"),CONCATENATE("R1C",'Mapa final'!$Q$14),"")</f>
        <v/>
      </c>
      <c r="AG16" s="18" t="e">
        <f>IF(AND('Mapa final'!#REF!="Alta",'Mapa final'!#REF!="Mayor"),CONCATENATE("R1C",'Mapa final'!#REF!),"")</f>
        <v>#REF!</v>
      </c>
      <c r="AH16" s="19" t="str">
        <f ca="1">IF(AND('Mapa final'!$AA$10="Alta",'Mapa final'!$AC$10="Catastrófico"),CONCATENATE("R1C",'Mapa final'!$Q$10),"")</f>
        <v/>
      </c>
      <c r="AI16" s="20" t="str">
        <f ca="1">IF(AND('Mapa final'!$AA$11="Alta",'Mapa final'!$AC$11="Catastrófico"),CONCATENATE("R1C",'Mapa final'!$Q$11),"")</f>
        <v/>
      </c>
      <c r="AJ16" s="20" t="str">
        <f ca="1">IF(AND('Mapa final'!$AA$12="Alta",'Mapa final'!$AC$12="Catastrófico"),CONCATENATE("R1C",'Mapa final'!$Q$12),"")</f>
        <v/>
      </c>
      <c r="AK16" s="20" t="str">
        <f ca="1">IF(AND('Mapa final'!$AA$13="Alta",'Mapa final'!$AC$13="Catastrófico"),CONCATENATE("R1C",'Mapa final'!$Q$13),"")</f>
        <v/>
      </c>
      <c r="AL16" s="20" t="str">
        <f ca="1">IF(AND('Mapa final'!$AA$14="Alta",'Mapa final'!$AC$14="Catastrófico"),CONCATENATE("R1C",'Mapa final'!$Q$14),"")</f>
        <v/>
      </c>
      <c r="AM16" s="21" t="e">
        <f>IF(AND('Mapa final'!#REF!="Alta",'Mapa final'!#REF!="Catastrófico"),CONCATENATE("R1C",'Mapa final'!#REF!),"")</f>
        <v>#REF!</v>
      </c>
      <c r="AN16" s="54"/>
      <c r="AO16" s="380" t="s">
        <v>79</v>
      </c>
      <c r="AP16" s="381"/>
      <c r="AQ16" s="381"/>
      <c r="AR16" s="381"/>
      <c r="AS16" s="381"/>
      <c r="AT16" s="382"/>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row>
    <row r="17" spans="1:76" ht="15" customHeight="1" x14ac:dyDescent="0.3">
      <c r="A17" s="54"/>
      <c r="B17" s="292"/>
      <c r="C17" s="292"/>
      <c r="D17" s="293"/>
      <c r="E17" s="391"/>
      <c r="F17" s="392"/>
      <c r="G17" s="392"/>
      <c r="H17" s="392"/>
      <c r="I17" s="392"/>
      <c r="J17" s="38" t="str">
        <f ca="1">IF(AND('Mapa final'!$AA$15="Alta",'Mapa final'!$AC$15="Leve"),CONCATENATE("R2C",'Mapa final'!$Q$15),"")</f>
        <v/>
      </c>
      <c r="K17" s="39" t="str">
        <f ca="1">IF(AND('Mapa final'!$AA$16="Alta",'Mapa final'!$AC$16="Leve"),CONCATENATE("R2C",'Mapa final'!$Q$16),"")</f>
        <v/>
      </c>
      <c r="L17" s="39" t="e">
        <f>IF(AND('Mapa final'!#REF!="Alta",'Mapa final'!#REF!="Leve"),CONCATENATE("R2C",'Mapa final'!$Q$17),"")</f>
        <v>#REF!</v>
      </c>
      <c r="M17" s="39" t="e">
        <f>IF(AND('Mapa final'!#REF!="Alta",'Mapa final'!#REF!="Leve"),CONCATENATE("R2C",'Mapa final'!#REF!),"")</f>
        <v>#REF!</v>
      </c>
      <c r="N17" s="39" t="e">
        <f>IF(AND('Mapa final'!#REF!="Alta",'Mapa final'!#REF!="Leve"),CONCATENATE("R2C",'Mapa final'!#REF!),"")</f>
        <v>#REF!</v>
      </c>
      <c r="O17" s="40" t="e">
        <f>IF(AND('Mapa final'!#REF!="Alta",'Mapa final'!#REF!="Leve"),CONCATENATE("R2C",'Mapa final'!#REF!),"")</f>
        <v>#REF!</v>
      </c>
      <c r="P17" s="38" t="str">
        <f ca="1">IF(AND('Mapa final'!$AA$15="Alta",'Mapa final'!$AC$15="Menor"),CONCATENATE("R2C",'Mapa final'!$Q$15),"")</f>
        <v/>
      </c>
      <c r="Q17" s="39" t="str">
        <f ca="1">IF(AND('Mapa final'!$AA$16="Alta",'Mapa final'!$AC$16="Menor"),CONCATENATE("R2C",'Mapa final'!$Q$16),"")</f>
        <v/>
      </c>
      <c r="R17" s="39" t="e">
        <f>IF(AND('Mapa final'!#REF!="Alta",'Mapa final'!#REF!="Menor"),CONCATENATE("R2C",'Mapa final'!$Q$17),"")</f>
        <v>#REF!</v>
      </c>
      <c r="S17" s="39" t="e">
        <f>IF(AND('Mapa final'!#REF!="Alta",'Mapa final'!#REF!="Menor"),CONCATENATE("R2C",'Mapa final'!#REF!),"")</f>
        <v>#REF!</v>
      </c>
      <c r="T17" s="39" t="e">
        <f>IF(AND('Mapa final'!#REF!="Alta",'Mapa final'!#REF!="Menor"),CONCATENATE("R2C",'Mapa final'!#REF!),"")</f>
        <v>#REF!</v>
      </c>
      <c r="U17" s="40" t="e">
        <f>IF(AND('Mapa final'!#REF!="Alta",'Mapa final'!#REF!="Menor"),CONCATENATE("R2C",'Mapa final'!#REF!),"")</f>
        <v>#REF!</v>
      </c>
      <c r="V17" s="22" t="str">
        <f ca="1">IF(AND('Mapa final'!$AA$15="Alta",'Mapa final'!$AC$15="Moderado"),CONCATENATE("R2C",'Mapa final'!$Q$15),"")</f>
        <v/>
      </c>
      <c r="W17" s="23" t="str">
        <f ca="1">IF(AND('Mapa final'!$AA$16="Alta",'Mapa final'!$AC$16="Moderado"),CONCATENATE("R2C",'Mapa final'!$Q$16),"")</f>
        <v/>
      </c>
      <c r="X17" s="23" t="e">
        <f>IF(AND('Mapa final'!#REF!="Alta",'Mapa final'!#REF!="Moderado"),CONCATENATE("R2C",'Mapa final'!$Q$17),"")</f>
        <v>#REF!</v>
      </c>
      <c r="Y17" s="23" t="e">
        <f>IF(AND('Mapa final'!#REF!="Alta",'Mapa final'!#REF!="Moderado"),CONCATENATE("R2C",'Mapa final'!#REF!),"")</f>
        <v>#REF!</v>
      </c>
      <c r="Z17" s="23" t="e">
        <f>IF(AND('Mapa final'!#REF!="Alta",'Mapa final'!#REF!="Moderado"),CONCATENATE("R2C",'Mapa final'!#REF!),"")</f>
        <v>#REF!</v>
      </c>
      <c r="AA17" s="24" t="e">
        <f>IF(AND('Mapa final'!#REF!="Alta",'Mapa final'!#REF!="Moderado"),CONCATENATE("R2C",'Mapa final'!#REF!),"")</f>
        <v>#REF!</v>
      </c>
      <c r="AB17" s="22" t="str">
        <f ca="1">IF(AND('Mapa final'!$AA$15="Alta",'Mapa final'!$AC$15="Mayor"),CONCATENATE("R2C",'Mapa final'!$Q$15),"")</f>
        <v/>
      </c>
      <c r="AC17" s="23" t="str">
        <f ca="1">IF(AND('Mapa final'!$AA$16="Alta",'Mapa final'!$AC$16="Mayor"),CONCATENATE("R2C",'Mapa final'!$Q$16),"")</f>
        <v/>
      </c>
      <c r="AD17" s="23" t="e">
        <f>IF(AND('Mapa final'!#REF!="Alta",'Mapa final'!#REF!="Mayor"),CONCATENATE("R2C",'Mapa final'!$Q$17),"")</f>
        <v>#REF!</v>
      </c>
      <c r="AE17" s="23" t="e">
        <f>IF(AND('Mapa final'!#REF!="Alta",'Mapa final'!#REF!="Mayor"),CONCATENATE("R2C",'Mapa final'!#REF!),"")</f>
        <v>#REF!</v>
      </c>
      <c r="AF17" s="23" t="e">
        <f>IF(AND('Mapa final'!#REF!="Alta",'Mapa final'!#REF!="Mayor"),CONCATENATE("R2C",'Mapa final'!#REF!),"")</f>
        <v>#REF!</v>
      </c>
      <c r="AG17" s="24" t="e">
        <f>IF(AND('Mapa final'!#REF!="Alta",'Mapa final'!#REF!="Mayor"),CONCATENATE("R2C",'Mapa final'!#REF!),"")</f>
        <v>#REF!</v>
      </c>
      <c r="AH17" s="25" t="str">
        <f ca="1">IF(AND('Mapa final'!$AA$15="Alta",'Mapa final'!$AC$15="Catastrófico"),CONCATENATE("R2C",'Mapa final'!$Q$15),"")</f>
        <v/>
      </c>
      <c r="AI17" s="26" t="str">
        <f ca="1">IF(AND('Mapa final'!$AA$16="Alta",'Mapa final'!$AC$16="Catastrófico"),CONCATENATE("R2C",'Mapa final'!$Q$16),"")</f>
        <v/>
      </c>
      <c r="AJ17" s="26" t="e">
        <f>IF(AND('Mapa final'!#REF!="Alta",'Mapa final'!#REF!="Catastrófico"),CONCATENATE("R2C",'Mapa final'!$Q$17),"")</f>
        <v>#REF!</v>
      </c>
      <c r="AK17" s="26" t="e">
        <f>IF(AND('Mapa final'!#REF!="Alta",'Mapa final'!#REF!="Catastrófico"),CONCATENATE("R2C",'Mapa final'!#REF!),"")</f>
        <v>#REF!</v>
      </c>
      <c r="AL17" s="26" t="e">
        <f>IF(AND('Mapa final'!#REF!="Alta",'Mapa final'!#REF!="Catastrófico"),CONCATENATE("R2C",'Mapa final'!#REF!),"")</f>
        <v>#REF!</v>
      </c>
      <c r="AM17" s="27" t="e">
        <f>IF(AND('Mapa final'!#REF!="Alta",'Mapa final'!#REF!="Catastrófico"),CONCATENATE("R2C",'Mapa final'!#REF!),"")</f>
        <v>#REF!</v>
      </c>
      <c r="AN17" s="54"/>
      <c r="AO17" s="383"/>
      <c r="AP17" s="384"/>
      <c r="AQ17" s="384"/>
      <c r="AR17" s="384"/>
      <c r="AS17" s="384"/>
      <c r="AT17" s="385"/>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row>
    <row r="18" spans="1:76" ht="15" customHeight="1" x14ac:dyDescent="0.3">
      <c r="A18" s="54"/>
      <c r="B18" s="292"/>
      <c r="C18" s="292"/>
      <c r="D18" s="293"/>
      <c r="E18" s="393"/>
      <c r="F18" s="394"/>
      <c r="G18" s="394"/>
      <c r="H18" s="394"/>
      <c r="I18" s="392"/>
      <c r="J18" s="38" t="e">
        <f>IF(AND('Mapa final'!#REF!="Alta",'Mapa final'!#REF!="Leve"),CONCATENATE("R3C",'Mapa final'!#REF!),"")</f>
        <v>#REF!</v>
      </c>
      <c r="K18" s="39" t="e">
        <f>IF(AND('Mapa final'!#REF!="Alta",'Mapa final'!#REF!="Leve"),CONCATENATE("R3C",'Mapa final'!#REF!),"")</f>
        <v>#REF!</v>
      </c>
      <c r="L18" s="39" t="e">
        <f>IF(AND('Mapa final'!#REF!="Alta",'Mapa final'!#REF!="Leve"),CONCATENATE("R3C",'Mapa final'!#REF!),"")</f>
        <v>#REF!</v>
      </c>
      <c r="M18" s="39" t="e">
        <f>IF(AND('Mapa final'!#REF!="Alta",'Mapa final'!#REF!="Leve"),CONCATENATE("R3C",'Mapa final'!#REF!),"")</f>
        <v>#REF!</v>
      </c>
      <c r="N18" s="39" t="e">
        <f>IF(AND('Mapa final'!#REF!="Alta",'Mapa final'!#REF!="Leve"),CONCATENATE("R3C",'Mapa final'!#REF!),"")</f>
        <v>#REF!</v>
      </c>
      <c r="O18" s="40" t="e">
        <f>IF(AND('Mapa final'!#REF!="Alta",'Mapa final'!#REF!="Leve"),CONCATENATE("R3C",'Mapa final'!#REF!),"")</f>
        <v>#REF!</v>
      </c>
      <c r="P18" s="38" t="e">
        <f>IF(AND('Mapa final'!#REF!="Alta",'Mapa final'!#REF!="Menor"),CONCATENATE("R3C",'Mapa final'!#REF!),"")</f>
        <v>#REF!</v>
      </c>
      <c r="Q18" s="39" t="e">
        <f>IF(AND('Mapa final'!#REF!="Alta",'Mapa final'!#REF!="Menor"),CONCATENATE("R3C",'Mapa final'!#REF!),"")</f>
        <v>#REF!</v>
      </c>
      <c r="R18" s="39" t="e">
        <f>IF(AND('Mapa final'!#REF!="Alta",'Mapa final'!#REF!="Menor"),CONCATENATE("R3C",'Mapa final'!#REF!),"")</f>
        <v>#REF!</v>
      </c>
      <c r="S18" s="39" t="e">
        <f>IF(AND('Mapa final'!#REF!="Alta",'Mapa final'!#REF!="Menor"),CONCATENATE("R3C",'Mapa final'!#REF!),"")</f>
        <v>#REF!</v>
      </c>
      <c r="T18" s="39" t="e">
        <f>IF(AND('Mapa final'!#REF!="Alta",'Mapa final'!#REF!="Menor"),CONCATENATE("R3C",'Mapa final'!#REF!),"")</f>
        <v>#REF!</v>
      </c>
      <c r="U18" s="40" t="e">
        <f>IF(AND('Mapa final'!#REF!="Alta",'Mapa final'!#REF!="Menor"),CONCATENATE("R3C",'Mapa final'!#REF!),"")</f>
        <v>#REF!</v>
      </c>
      <c r="V18" s="22" t="e">
        <f>IF(AND('Mapa final'!#REF!="Alta",'Mapa final'!#REF!="Moderado"),CONCATENATE("R3C",'Mapa final'!#REF!),"")</f>
        <v>#REF!</v>
      </c>
      <c r="W18" s="23" t="e">
        <f>IF(AND('Mapa final'!#REF!="Alta",'Mapa final'!#REF!="Moderado"),CONCATENATE("R3C",'Mapa final'!#REF!),"")</f>
        <v>#REF!</v>
      </c>
      <c r="X18" s="23" t="e">
        <f>IF(AND('Mapa final'!#REF!="Alta",'Mapa final'!#REF!="Moderado"),CONCATENATE("R3C",'Mapa final'!#REF!),"")</f>
        <v>#REF!</v>
      </c>
      <c r="Y18" s="23" t="e">
        <f>IF(AND('Mapa final'!#REF!="Alta",'Mapa final'!#REF!="Moderado"),CONCATENATE("R3C",'Mapa final'!#REF!),"")</f>
        <v>#REF!</v>
      </c>
      <c r="Z18" s="23" t="e">
        <f>IF(AND('Mapa final'!#REF!="Alta",'Mapa final'!#REF!="Moderado"),CONCATENATE("R3C",'Mapa final'!#REF!),"")</f>
        <v>#REF!</v>
      </c>
      <c r="AA18" s="24" t="e">
        <f>IF(AND('Mapa final'!#REF!="Alta",'Mapa final'!#REF!="Moderado"),CONCATENATE("R3C",'Mapa final'!#REF!),"")</f>
        <v>#REF!</v>
      </c>
      <c r="AB18" s="22" t="e">
        <f>IF(AND('Mapa final'!#REF!="Alta",'Mapa final'!#REF!="Mayor"),CONCATENATE("R3C",'Mapa final'!#REF!),"")</f>
        <v>#REF!</v>
      </c>
      <c r="AC18" s="23" t="e">
        <f>IF(AND('Mapa final'!#REF!="Alta",'Mapa final'!#REF!="Mayor"),CONCATENATE("R3C",'Mapa final'!#REF!),"")</f>
        <v>#REF!</v>
      </c>
      <c r="AD18" s="23" t="e">
        <f>IF(AND('Mapa final'!#REF!="Alta",'Mapa final'!#REF!="Mayor"),CONCATENATE("R3C",'Mapa final'!#REF!),"")</f>
        <v>#REF!</v>
      </c>
      <c r="AE18" s="23" t="e">
        <f>IF(AND('Mapa final'!#REF!="Alta",'Mapa final'!#REF!="Mayor"),CONCATENATE("R3C",'Mapa final'!#REF!),"")</f>
        <v>#REF!</v>
      </c>
      <c r="AF18" s="23" t="e">
        <f>IF(AND('Mapa final'!#REF!="Alta",'Mapa final'!#REF!="Mayor"),CONCATENATE("R3C",'Mapa final'!#REF!),"")</f>
        <v>#REF!</v>
      </c>
      <c r="AG18" s="24" t="e">
        <f>IF(AND('Mapa final'!#REF!="Alta",'Mapa final'!#REF!="Mayor"),CONCATENATE("R3C",'Mapa final'!#REF!),"")</f>
        <v>#REF!</v>
      </c>
      <c r="AH18" s="25" t="e">
        <f>IF(AND('Mapa final'!#REF!="Alta",'Mapa final'!#REF!="Catastrófico"),CONCATENATE("R3C",'Mapa final'!#REF!),"")</f>
        <v>#REF!</v>
      </c>
      <c r="AI18" s="26" t="e">
        <f>IF(AND('Mapa final'!#REF!="Alta",'Mapa final'!#REF!="Catastrófico"),CONCATENATE("R3C",'Mapa final'!#REF!),"")</f>
        <v>#REF!</v>
      </c>
      <c r="AJ18" s="26" t="e">
        <f>IF(AND('Mapa final'!#REF!="Alta",'Mapa final'!#REF!="Catastrófico"),CONCATENATE("R3C",'Mapa final'!#REF!),"")</f>
        <v>#REF!</v>
      </c>
      <c r="AK18" s="26" t="e">
        <f>IF(AND('Mapa final'!#REF!="Alta",'Mapa final'!#REF!="Catastrófico"),CONCATENATE("R3C",'Mapa final'!#REF!),"")</f>
        <v>#REF!</v>
      </c>
      <c r="AL18" s="26" t="e">
        <f>IF(AND('Mapa final'!#REF!="Alta",'Mapa final'!#REF!="Catastrófico"),CONCATENATE("R3C",'Mapa final'!#REF!),"")</f>
        <v>#REF!</v>
      </c>
      <c r="AM18" s="27" t="e">
        <f>IF(AND('Mapa final'!#REF!="Alta",'Mapa final'!#REF!="Catastrófico"),CONCATENATE("R3C",'Mapa final'!#REF!),"")</f>
        <v>#REF!</v>
      </c>
      <c r="AN18" s="54"/>
      <c r="AO18" s="383"/>
      <c r="AP18" s="384"/>
      <c r="AQ18" s="384"/>
      <c r="AR18" s="384"/>
      <c r="AS18" s="384"/>
      <c r="AT18" s="385"/>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row>
    <row r="19" spans="1:76" ht="15" customHeight="1" x14ac:dyDescent="0.3">
      <c r="A19" s="54"/>
      <c r="B19" s="292"/>
      <c r="C19" s="292"/>
      <c r="D19" s="293"/>
      <c r="E19" s="393"/>
      <c r="F19" s="394"/>
      <c r="G19" s="394"/>
      <c r="H19" s="394"/>
      <c r="I19" s="392"/>
      <c r="J19" s="38" t="str">
        <f ca="1">IF(AND('Mapa final'!$AA$19="Alta",'Mapa final'!$AC$19="Leve"),CONCATENATE("R4C",'Mapa final'!$Q$19),"")</f>
        <v/>
      </c>
      <c r="K19" s="39" t="str">
        <f ca="1">IF(AND('Mapa final'!$AA$20="Alta",'Mapa final'!$AC$20="Leve"),CONCATENATE("R4C",'Mapa final'!$Q$20),"")</f>
        <v/>
      </c>
      <c r="L19" s="39" t="str">
        <f ca="1">IF(AND('Mapa final'!$AA$21="Alta",'Mapa final'!$AC$21="Leve"),CONCATENATE("R4C",'Mapa final'!$Q$21),"")</f>
        <v/>
      </c>
      <c r="M19" s="39" t="str">
        <f ca="1">IF(AND('Mapa final'!$AA$22="Alta",'Mapa final'!$AC$22="Leve"),CONCATENATE("R4C",'Mapa final'!$Q$22),"")</f>
        <v/>
      </c>
      <c r="N19" s="39" t="e">
        <f>IF(AND('Mapa final'!#REF!="Alta",'Mapa final'!#REF!="Leve"),CONCATENATE("R4C",'Mapa final'!#REF!),"")</f>
        <v>#REF!</v>
      </c>
      <c r="O19" s="40" t="e">
        <f>IF(AND('Mapa final'!#REF!="Alta",'Mapa final'!#REF!="Leve"),CONCATENATE("R4C",'Mapa final'!#REF!),"")</f>
        <v>#REF!</v>
      </c>
      <c r="P19" s="38" t="str">
        <f ca="1">IF(AND('Mapa final'!$AA$19="Alta",'Mapa final'!$AC$19="Menor"),CONCATENATE("R4C",'Mapa final'!$Q$19),"")</f>
        <v/>
      </c>
      <c r="Q19" s="39" t="str">
        <f ca="1">IF(AND('Mapa final'!$AA$20="Alta",'Mapa final'!$AC$20="Menor"),CONCATENATE("R4C",'Mapa final'!$Q$20),"")</f>
        <v/>
      </c>
      <c r="R19" s="39" t="str">
        <f ca="1">IF(AND('Mapa final'!$AA$21="Alta",'Mapa final'!$AC$21="Menor"),CONCATENATE("R4C",'Mapa final'!$Q$21),"")</f>
        <v/>
      </c>
      <c r="S19" s="39" t="str">
        <f ca="1">IF(AND('Mapa final'!$AA$22="Alta",'Mapa final'!$AC$22="Menor"),CONCATENATE("R4C",'Mapa final'!$Q$22),"")</f>
        <v/>
      </c>
      <c r="T19" s="39" t="e">
        <f>IF(AND('Mapa final'!#REF!="Alta",'Mapa final'!#REF!="Menor"),CONCATENATE("R4C",'Mapa final'!#REF!),"")</f>
        <v>#REF!</v>
      </c>
      <c r="U19" s="40" t="e">
        <f>IF(AND('Mapa final'!#REF!="Alta",'Mapa final'!#REF!="Menor"),CONCATENATE("R4C",'Mapa final'!#REF!),"")</f>
        <v>#REF!</v>
      </c>
      <c r="V19" s="22" t="str">
        <f ca="1">IF(AND('Mapa final'!$AA$19="Alta",'Mapa final'!$AC$19="Moderado"),CONCATENATE("R4C",'Mapa final'!$Q$19),"")</f>
        <v/>
      </c>
      <c r="W19" s="23" t="str">
        <f ca="1">IF(AND('Mapa final'!$AA$20="Alta",'Mapa final'!$AC$20="Moderado"),CONCATENATE("R4C",'Mapa final'!$Q$20),"")</f>
        <v/>
      </c>
      <c r="X19" s="28" t="str">
        <f ca="1">IF(AND('Mapa final'!$AA$21="Alta",'Mapa final'!$AC$21="Moderado"),CONCATENATE("R4C",'Mapa final'!$Q$21),"")</f>
        <v/>
      </c>
      <c r="Y19" s="28" t="str">
        <f ca="1">IF(AND('Mapa final'!$AA$22="Alta",'Mapa final'!$AC$22="Moderado"),CONCATENATE("R4C",'Mapa final'!$Q$22),"")</f>
        <v/>
      </c>
      <c r="Z19" s="28" t="e">
        <f>IF(AND('Mapa final'!#REF!="Alta",'Mapa final'!#REF!="Moderado"),CONCATENATE("R4C",'Mapa final'!#REF!),"")</f>
        <v>#REF!</v>
      </c>
      <c r="AA19" s="24" t="e">
        <f>IF(AND('Mapa final'!#REF!="Alta",'Mapa final'!#REF!="Moderado"),CONCATENATE("R4C",'Mapa final'!#REF!),"")</f>
        <v>#REF!</v>
      </c>
      <c r="AB19" s="22" t="str">
        <f ca="1">IF(AND('Mapa final'!$AA$19="Alta",'Mapa final'!$AC$19="Mayor"),CONCATENATE("R4C",'Mapa final'!$Q$19),"")</f>
        <v/>
      </c>
      <c r="AC19" s="23" t="str">
        <f ca="1">IF(AND('Mapa final'!$AA$20="Alta",'Mapa final'!$AC$20="Mayor"),CONCATENATE("R4C",'Mapa final'!$Q$20),"")</f>
        <v/>
      </c>
      <c r="AD19" s="28" t="str">
        <f ca="1">IF(AND('Mapa final'!$AA$21="Alta",'Mapa final'!$AC$21="Mayor"),CONCATENATE("R4C",'Mapa final'!$Q$21),"")</f>
        <v/>
      </c>
      <c r="AE19" s="28" t="str">
        <f ca="1">IF(AND('Mapa final'!$AA$22="Alta",'Mapa final'!$AC$22="Mayor"),CONCATENATE("R4C",'Mapa final'!$Q$22),"")</f>
        <v/>
      </c>
      <c r="AF19" s="28" t="e">
        <f>IF(AND('Mapa final'!#REF!="Alta",'Mapa final'!#REF!="Mayor"),CONCATENATE("R4C",'Mapa final'!#REF!),"")</f>
        <v>#REF!</v>
      </c>
      <c r="AG19" s="24" t="e">
        <f>IF(AND('Mapa final'!#REF!="Alta",'Mapa final'!#REF!="Mayor"),CONCATENATE("R4C",'Mapa final'!#REF!),"")</f>
        <v>#REF!</v>
      </c>
      <c r="AH19" s="25" t="str">
        <f ca="1">IF(AND('Mapa final'!$AA$19="Alta",'Mapa final'!$AC$19="Catastrófico"),CONCATENATE("R4C",'Mapa final'!$Q$19),"")</f>
        <v/>
      </c>
      <c r="AI19" s="26" t="str">
        <f ca="1">IF(AND('Mapa final'!$AA$20="Alta",'Mapa final'!$AC$20="Catastrófico"),CONCATENATE("R4C",'Mapa final'!$Q$20),"")</f>
        <v/>
      </c>
      <c r="AJ19" s="26" t="str">
        <f ca="1">IF(AND('Mapa final'!$AA$21="Alta",'Mapa final'!$AC$21="Catastrófico"),CONCATENATE("R4C",'Mapa final'!$Q$21),"")</f>
        <v/>
      </c>
      <c r="AK19" s="26" t="str">
        <f ca="1">IF(AND('Mapa final'!$AA$22="Alta",'Mapa final'!$AC$22="Catastrófico"),CONCATENATE("R4C",'Mapa final'!$Q$22),"")</f>
        <v/>
      </c>
      <c r="AL19" s="26" t="e">
        <f>IF(AND('Mapa final'!#REF!="Alta",'Mapa final'!#REF!="Catastrófico"),CONCATENATE("R4C",'Mapa final'!#REF!),"")</f>
        <v>#REF!</v>
      </c>
      <c r="AM19" s="27" t="e">
        <f>IF(AND('Mapa final'!#REF!="Alta",'Mapa final'!#REF!="Catastrófico"),CONCATENATE("R4C",'Mapa final'!#REF!),"")</f>
        <v>#REF!</v>
      </c>
      <c r="AN19" s="54"/>
      <c r="AO19" s="383"/>
      <c r="AP19" s="384"/>
      <c r="AQ19" s="384"/>
      <c r="AR19" s="384"/>
      <c r="AS19" s="384"/>
      <c r="AT19" s="385"/>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row>
    <row r="20" spans="1:76" ht="15" customHeight="1" x14ac:dyDescent="0.3">
      <c r="A20" s="54"/>
      <c r="B20" s="292"/>
      <c r="C20" s="292"/>
      <c r="D20" s="293"/>
      <c r="E20" s="393"/>
      <c r="F20" s="394"/>
      <c r="G20" s="394"/>
      <c r="H20" s="394"/>
      <c r="I20" s="392"/>
      <c r="J20" s="38" t="str">
        <f>IF(AND('Mapa final'!$AA$23="Alta",'Mapa final'!$AC$23="Leve"),CONCATENATE("R5C",'Mapa final'!$Q$23),"")</f>
        <v/>
      </c>
      <c r="K20" s="39" t="str">
        <f>IF(AND('Mapa final'!$AA$24="Alta",'Mapa final'!$AC$24="Leve"),CONCATENATE("R5C",'Mapa final'!$Q$24),"")</f>
        <v/>
      </c>
      <c r="L20" s="39" t="str">
        <f>IF(AND('Mapa final'!$AA$25="Alta",'Mapa final'!$AC$25="Leve"),CONCATENATE("R5C",'Mapa final'!$Q$25),"")</f>
        <v/>
      </c>
      <c r="M20" s="39" t="str">
        <f>IF(AND('Mapa final'!$AA$26="Alta",'Mapa final'!$AC$26="Leve"),CONCATENATE("R5C",'Mapa final'!$Q$26),"")</f>
        <v/>
      </c>
      <c r="N20" s="39" t="str">
        <f>IF(AND('Mapa final'!$AA$27="Alta",'Mapa final'!$AC$27="Leve"),CONCATENATE("R5C",'Mapa final'!$Q$27),"")</f>
        <v/>
      </c>
      <c r="O20" s="40" t="str">
        <f>IF(AND('Mapa final'!$AA$28="Alta",'Mapa final'!$AC$28="Leve"),CONCATENATE("R5C",'Mapa final'!$Q$28),"")</f>
        <v/>
      </c>
      <c r="P20" s="38" t="str">
        <f>IF(AND('Mapa final'!$AA$23="Alta",'Mapa final'!$AC$23="Menor"),CONCATENATE("R5C",'Mapa final'!$Q$23),"")</f>
        <v/>
      </c>
      <c r="Q20" s="39" t="str">
        <f>IF(AND('Mapa final'!$AA$24="Alta",'Mapa final'!$AC$24="Menor"),CONCATENATE("R5C",'Mapa final'!$Q$24),"")</f>
        <v/>
      </c>
      <c r="R20" s="39" t="str">
        <f>IF(AND('Mapa final'!$AA$25="Alta",'Mapa final'!$AC$25="Menor"),CONCATENATE("R5C",'Mapa final'!$Q$25),"")</f>
        <v/>
      </c>
      <c r="S20" s="39" t="str">
        <f>IF(AND('Mapa final'!$AA$26="Alta",'Mapa final'!$AC$26="Menor"),CONCATENATE("R5C",'Mapa final'!$Q$26),"")</f>
        <v/>
      </c>
      <c r="T20" s="39" t="str">
        <f>IF(AND('Mapa final'!$AA$27="Alta",'Mapa final'!$AC$27="Menor"),CONCATENATE("R5C",'Mapa final'!$Q$27),"")</f>
        <v/>
      </c>
      <c r="U20" s="40" t="str">
        <f>IF(AND('Mapa final'!$AA$28="Alta",'Mapa final'!$AC$28="Menor"),CONCATENATE("R5C",'Mapa final'!$Q$28),"")</f>
        <v/>
      </c>
      <c r="V20" s="22" t="str">
        <f>IF(AND('Mapa final'!$AA$23="Alta",'Mapa final'!$AC$23="Moderado"),CONCATENATE("R5C",'Mapa final'!$Q$23),"")</f>
        <v/>
      </c>
      <c r="W20" s="23" t="str">
        <f>IF(AND('Mapa final'!$AA$24="Alta",'Mapa final'!$AC$24="Moderado"),CONCATENATE("R5C",'Mapa final'!$Q$24),"")</f>
        <v/>
      </c>
      <c r="X20" s="28" t="str">
        <f>IF(AND('Mapa final'!$AA$25="Alta",'Mapa final'!$AC$25="Moderado"),CONCATENATE("R5C",'Mapa final'!$Q$25),"")</f>
        <v/>
      </c>
      <c r="Y20" s="28" t="str">
        <f>IF(AND('Mapa final'!$AA$26="Alta",'Mapa final'!$AC$26="Moderado"),CONCATENATE("R5C",'Mapa final'!$Q$26),"")</f>
        <v/>
      </c>
      <c r="Z20" s="28" t="str">
        <f>IF(AND('Mapa final'!$AA$27="Alta",'Mapa final'!$AC$27="Moderado"),CONCATENATE("R5C",'Mapa final'!$Q$27),"")</f>
        <v/>
      </c>
      <c r="AA20" s="24" t="str">
        <f>IF(AND('Mapa final'!$AA$28="Alta",'Mapa final'!$AC$28="Moderado"),CONCATENATE("R5C",'Mapa final'!$Q$28),"")</f>
        <v/>
      </c>
      <c r="AB20" s="22" t="str">
        <f>IF(AND('Mapa final'!$AA$23="Alta",'Mapa final'!$AC$23="Mayor"),CONCATENATE("R5C",'Mapa final'!$Q$23),"")</f>
        <v/>
      </c>
      <c r="AC20" s="23" t="str">
        <f>IF(AND('Mapa final'!$AA$24="Alta",'Mapa final'!$AC$24="Mayor"),CONCATENATE("R5C",'Mapa final'!$Q$24),"")</f>
        <v/>
      </c>
      <c r="AD20" s="28" t="str">
        <f>IF(AND('Mapa final'!$AA$25="Alta",'Mapa final'!$AC$25="Mayor"),CONCATENATE("R5C",'Mapa final'!$Q$25),"")</f>
        <v/>
      </c>
      <c r="AE20" s="28" t="str">
        <f>IF(AND('Mapa final'!$AA$26="Alta",'Mapa final'!$AC$26="Mayor"),CONCATENATE("R5C",'Mapa final'!$Q$26),"")</f>
        <v/>
      </c>
      <c r="AF20" s="28" t="str">
        <f>IF(AND('Mapa final'!$AA$27="Alta",'Mapa final'!$AC$27="Mayor"),CONCATENATE("R5C",'Mapa final'!$Q$27),"")</f>
        <v/>
      </c>
      <c r="AG20" s="24" t="str">
        <f>IF(AND('Mapa final'!$AA$28="Alta",'Mapa final'!$AC$28="Mayor"),CONCATENATE("R5C",'Mapa final'!$Q$28),"")</f>
        <v/>
      </c>
      <c r="AH20" s="25" t="str">
        <f>IF(AND('Mapa final'!$AA$23="Alta",'Mapa final'!$AC$23="Catastrófico"),CONCATENATE("R5C",'Mapa final'!$Q$23),"")</f>
        <v/>
      </c>
      <c r="AI20" s="26" t="str">
        <f>IF(AND('Mapa final'!$AA$24="Alta",'Mapa final'!$AC$24="Catastrófico"),CONCATENATE("R5C",'Mapa final'!$Q$24),"")</f>
        <v/>
      </c>
      <c r="AJ20" s="26" t="str">
        <f>IF(AND('Mapa final'!$AA$25="Alta",'Mapa final'!$AC$25="Catastrófico"),CONCATENATE("R5C",'Mapa final'!$Q$25),"")</f>
        <v/>
      </c>
      <c r="AK20" s="26" t="str">
        <f>IF(AND('Mapa final'!$AA$26="Alta",'Mapa final'!$AC$26="Catastrófico"),CONCATENATE("R5C",'Mapa final'!$Q$26),"")</f>
        <v/>
      </c>
      <c r="AL20" s="26" t="str">
        <f>IF(AND('Mapa final'!$AA$27="Alta",'Mapa final'!$AC$27="Catastrófico"),CONCATENATE("R5C",'Mapa final'!$Q$27),"")</f>
        <v/>
      </c>
      <c r="AM20" s="27" t="str">
        <f>IF(AND('Mapa final'!$AA$28="Alta",'Mapa final'!$AC$28="Catastrófico"),CONCATENATE("R5C",'Mapa final'!$Q$28),"")</f>
        <v/>
      </c>
      <c r="AN20" s="54"/>
      <c r="AO20" s="383"/>
      <c r="AP20" s="384"/>
      <c r="AQ20" s="384"/>
      <c r="AR20" s="384"/>
      <c r="AS20" s="384"/>
      <c r="AT20" s="385"/>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row>
    <row r="21" spans="1:76" ht="15" customHeight="1" x14ac:dyDescent="0.3">
      <c r="A21" s="54"/>
      <c r="B21" s="292"/>
      <c r="C21" s="292"/>
      <c r="D21" s="293"/>
      <c r="E21" s="393"/>
      <c r="F21" s="394"/>
      <c r="G21" s="394"/>
      <c r="H21" s="394"/>
      <c r="I21" s="392"/>
      <c r="J21" s="38" t="str">
        <f>IF(AND('Mapa final'!$AA$29="Alta",'Mapa final'!$AC$29="Leve"),CONCATENATE("R6C",'Mapa final'!$Q$29),"")</f>
        <v/>
      </c>
      <c r="K21" s="39" t="str">
        <f>IF(AND('Mapa final'!$AA$30="Alta",'Mapa final'!$AC$30="Leve"),CONCATENATE("R6C",'Mapa final'!$Q$30),"")</f>
        <v/>
      </c>
      <c r="L21" s="39" t="str">
        <f>IF(AND('Mapa final'!$AA$31="Alta",'Mapa final'!$AC$31="Leve"),CONCATENATE("R6C",'Mapa final'!$Q$31),"")</f>
        <v/>
      </c>
      <c r="M21" s="39" t="str">
        <f>IF(AND('Mapa final'!$AA$32="Alta",'Mapa final'!$AC$32="Leve"),CONCATENATE("R6C",'Mapa final'!$Q$32),"")</f>
        <v/>
      </c>
      <c r="N21" s="39" t="str">
        <f>IF(AND('Mapa final'!$AA$33="Alta",'Mapa final'!$AC$33="Leve"),CONCATENATE("R6C",'Mapa final'!$Q$33),"")</f>
        <v/>
      </c>
      <c r="O21" s="40" t="str">
        <f>IF(AND('Mapa final'!$AA$34="Alta",'Mapa final'!$AC$34="Leve"),CONCATENATE("R6C",'Mapa final'!$Q$34),"")</f>
        <v/>
      </c>
      <c r="P21" s="38" t="str">
        <f>IF(AND('Mapa final'!$AA$29="Alta",'Mapa final'!$AC$29="Menor"),CONCATENATE("R6C",'Mapa final'!$Q$29),"")</f>
        <v/>
      </c>
      <c r="Q21" s="39" t="str">
        <f>IF(AND('Mapa final'!$AA$30="Alta",'Mapa final'!$AC$30="Menor"),CONCATENATE("R6C",'Mapa final'!$Q$30),"")</f>
        <v/>
      </c>
      <c r="R21" s="39" t="str">
        <f>IF(AND('Mapa final'!$AA$31="Alta",'Mapa final'!$AC$31="Menor"),CONCATENATE("R6C",'Mapa final'!$Q$31),"")</f>
        <v/>
      </c>
      <c r="S21" s="39" t="str">
        <f>IF(AND('Mapa final'!$AA$32="Alta",'Mapa final'!$AC$32="Menor"),CONCATENATE("R6C",'Mapa final'!$Q$32),"")</f>
        <v/>
      </c>
      <c r="T21" s="39" t="str">
        <f>IF(AND('Mapa final'!$AA$33="Alta",'Mapa final'!$AC$33="Menor"),CONCATENATE("R6C",'Mapa final'!$Q$33),"")</f>
        <v/>
      </c>
      <c r="U21" s="40" t="str">
        <f>IF(AND('Mapa final'!$AA$34="Alta",'Mapa final'!$AC$34="Menor"),CONCATENATE("R6C",'Mapa final'!$Q$34),"")</f>
        <v/>
      </c>
      <c r="V21" s="22" t="str">
        <f>IF(AND('Mapa final'!$AA$29="Alta",'Mapa final'!$AC$29="Moderado"),CONCATENATE("R6C",'Mapa final'!$Q$29),"")</f>
        <v/>
      </c>
      <c r="W21" s="23" t="str">
        <f>IF(AND('Mapa final'!$AA$30="Alta",'Mapa final'!$AC$30="Moderado"),CONCATENATE("R6C",'Mapa final'!$Q$30),"")</f>
        <v/>
      </c>
      <c r="X21" s="28" t="str">
        <f>IF(AND('Mapa final'!$AA$31="Alta",'Mapa final'!$AC$31="Moderado"),CONCATENATE("R6C",'Mapa final'!$Q$31),"")</f>
        <v/>
      </c>
      <c r="Y21" s="28" t="str">
        <f>IF(AND('Mapa final'!$AA$32="Alta",'Mapa final'!$AC$32="Moderado"),CONCATENATE("R6C",'Mapa final'!$Q$32),"")</f>
        <v/>
      </c>
      <c r="Z21" s="28" t="str">
        <f>IF(AND('Mapa final'!$AA$33="Alta",'Mapa final'!$AC$33="Moderado"),CONCATENATE("R6C",'Mapa final'!$Q$33),"")</f>
        <v/>
      </c>
      <c r="AA21" s="24" t="str">
        <f>IF(AND('Mapa final'!$AA$34="Alta",'Mapa final'!$AC$34="Moderado"),CONCATENATE("R6C",'Mapa final'!$Q$34),"")</f>
        <v/>
      </c>
      <c r="AB21" s="22" t="str">
        <f>IF(AND('Mapa final'!$AA$29="Alta",'Mapa final'!$AC$29="Mayor"),CONCATENATE("R6C",'Mapa final'!$Q$29),"")</f>
        <v/>
      </c>
      <c r="AC21" s="23" t="str">
        <f>IF(AND('Mapa final'!$AA$30="Alta",'Mapa final'!$AC$30="Mayor"),CONCATENATE("R6C",'Mapa final'!$Q$30),"")</f>
        <v/>
      </c>
      <c r="AD21" s="28" t="str">
        <f>IF(AND('Mapa final'!$AA$31="Alta",'Mapa final'!$AC$31="Mayor"),CONCATENATE("R6C",'Mapa final'!$Q$31),"")</f>
        <v/>
      </c>
      <c r="AE21" s="28" t="str">
        <f>IF(AND('Mapa final'!$AA$32="Alta",'Mapa final'!$AC$32="Mayor"),CONCATENATE("R6C",'Mapa final'!$Q$32),"")</f>
        <v/>
      </c>
      <c r="AF21" s="28" t="str">
        <f>IF(AND('Mapa final'!$AA$33="Alta",'Mapa final'!$AC$33="Mayor"),CONCATENATE("R6C",'Mapa final'!$Q$33),"")</f>
        <v/>
      </c>
      <c r="AG21" s="24" t="str">
        <f>IF(AND('Mapa final'!$AA$34="Alta",'Mapa final'!$AC$34="Mayor"),CONCATENATE("R6C",'Mapa final'!$Q$34),"")</f>
        <v/>
      </c>
      <c r="AH21" s="25" t="str">
        <f>IF(AND('Mapa final'!$AA$29="Alta",'Mapa final'!$AC$29="Catastrófico"),CONCATENATE("R6C",'Mapa final'!$Q$29),"")</f>
        <v/>
      </c>
      <c r="AI21" s="26" t="str">
        <f>IF(AND('Mapa final'!$AA$30="Alta",'Mapa final'!$AC$30="Catastrófico"),CONCATENATE("R6C",'Mapa final'!$Q$30),"")</f>
        <v/>
      </c>
      <c r="AJ21" s="26" t="str">
        <f>IF(AND('Mapa final'!$AA$31="Alta",'Mapa final'!$AC$31="Catastrófico"),CONCATENATE("R6C",'Mapa final'!$Q$31),"")</f>
        <v/>
      </c>
      <c r="AK21" s="26" t="str">
        <f>IF(AND('Mapa final'!$AA$32="Alta",'Mapa final'!$AC$32="Catastrófico"),CONCATENATE("R6C",'Mapa final'!$Q$32),"")</f>
        <v/>
      </c>
      <c r="AL21" s="26" t="str">
        <f>IF(AND('Mapa final'!$AA$33="Alta",'Mapa final'!$AC$33="Catastrófico"),CONCATENATE("R6C",'Mapa final'!$Q$33),"")</f>
        <v/>
      </c>
      <c r="AM21" s="27" t="str">
        <f>IF(AND('Mapa final'!$AA$34="Alta",'Mapa final'!$AC$34="Catastrófico"),CONCATENATE("R6C",'Mapa final'!$Q$34),"")</f>
        <v/>
      </c>
      <c r="AN21" s="54"/>
      <c r="AO21" s="383"/>
      <c r="AP21" s="384"/>
      <c r="AQ21" s="384"/>
      <c r="AR21" s="384"/>
      <c r="AS21" s="384"/>
      <c r="AT21" s="385"/>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row>
    <row r="22" spans="1:76" ht="15" customHeight="1" x14ac:dyDescent="0.3">
      <c r="A22" s="54"/>
      <c r="B22" s="292"/>
      <c r="C22" s="292"/>
      <c r="D22" s="293"/>
      <c r="E22" s="393"/>
      <c r="F22" s="394"/>
      <c r="G22" s="394"/>
      <c r="H22" s="394"/>
      <c r="I22" s="392"/>
      <c r="J22" s="38" t="str">
        <f>IF(AND('Mapa final'!$AA$35="Alta",'Mapa final'!$AC$35="Leve"),CONCATENATE("R7C",'Mapa final'!$Q$35),"")</f>
        <v/>
      </c>
      <c r="K22" s="39" t="str">
        <f>IF(AND('Mapa final'!$AA$36="Alta",'Mapa final'!$AC$36="Leve"),CONCATENATE("R7C",'Mapa final'!$Q$36),"")</f>
        <v/>
      </c>
      <c r="L22" s="39" t="str">
        <f>IF(AND('Mapa final'!$AA$37="Alta",'Mapa final'!$AC$37="Leve"),CONCATENATE("R7C",'Mapa final'!$Q$37),"")</f>
        <v/>
      </c>
      <c r="M22" s="39" t="str">
        <f>IF(AND('Mapa final'!$AA$38="Alta",'Mapa final'!$AC$38="Leve"),CONCATENATE("R7C",'Mapa final'!$Q$38),"")</f>
        <v/>
      </c>
      <c r="N22" s="39" t="str">
        <f>IF(AND('Mapa final'!$AA$39="Alta",'Mapa final'!$AC$39="Leve"),CONCATENATE("R7C",'Mapa final'!$Q$39),"")</f>
        <v/>
      </c>
      <c r="O22" s="40" t="str">
        <f>IF(AND('Mapa final'!$AA$40="Alta",'Mapa final'!$AC$40="Leve"),CONCATENATE("R7C",'Mapa final'!$Q$40),"")</f>
        <v/>
      </c>
      <c r="P22" s="38" t="str">
        <f>IF(AND('Mapa final'!$AA$35="Alta",'Mapa final'!$AC$35="Menor"),CONCATENATE("R7C",'Mapa final'!$Q$35),"")</f>
        <v/>
      </c>
      <c r="Q22" s="39" t="str">
        <f>IF(AND('Mapa final'!$AA$36="Alta",'Mapa final'!$AC$36="Menor"),CONCATENATE("R7C",'Mapa final'!$Q$36),"")</f>
        <v/>
      </c>
      <c r="R22" s="39" t="str">
        <f>IF(AND('Mapa final'!$AA$37="Alta",'Mapa final'!$AC$37="Menor"),CONCATENATE("R7C",'Mapa final'!$Q$37),"")</f>
        <v/>
      </c>
      <c r="S22" s="39" t="str">
        <f>IF(AND('Mapa final'!$AA$38="Alta",'Mapa final'!$AC$38="Menor"),CONCATENATE("R7C",'Mapa final'!$Q$38),"")</f>
        <v/>
      </c>
      <c r="T22" s="39" t="str">
        <f>IF(AND('Mapa final'!$AA$39="Alta",'Mapa final'!$AC$39="Menor"),CONCATENATE("R7C",'Mapa final'!$Q$39),"")</f>
        <v/>
      </c>
      <c r="U22" s="40" t="str">
        <f>IF(AND('Mapa final'!$AA$40="Alta",'Mapa final'!$AC$40="Menor"),CONCATENATE("R7C",'Mapa final'!$Q$40),"")</f>
        <v/>
      </c>
      <c r="V22" s="22" t="str">
        <f>IF(AND('Mapa final'!$AA$35="Alta",'Mapa final'!$AC$35="Moderado"),CONCATENATE("R7C",'Mapa final'!$Q$35),"")</f>
        <v/>
      </c>
      <c r="W22" s="23" t="str">
        <f>IF(AND('Mapa final'!$AA$36="Alta",'Mapa final'!$AC$36="Moderado"),CONCATENATE("R7C",'Mapa final'!$Q$36),"")</f>
        <v/>
      </c>
      <c r="X22" s="28" t="str">
        <f>IF(AND('Mapa final'!$AA$37="Alta",'Mapa final'!$AC$37="Moderado"),CONCATENATE("R7C",'Mapa final'!$Q$37),"")</f>
        <v/>
      </c>
      <c r="Y22" s="28" t="str">
        <f>IF(AND('Mapa final'!$AA$38="Alta",'Mapa final'!$AC$38="Moderado"),CONCATENATE("R7C",'Mapa final'!$Q$38),"")</f>
        <v/>
      </c>
      <c r="Z22" s="28" t="str">
        <f>IF(AND('Mapa final'!$AA$39="Alta",'Mapa final'!$AC$39="Moderado"),CONCATENATE("R7C",'Mapa final'!$Q$39),"")</f>
        <v/>
      </c>
      <c r="AA22" s="24" t="str">
        <f>IF(AND('Mapa final'!$AA$40="Alta",'Mapa final'!$AC$40="Moderado"),CONCATENATE("R7C",'Mapa final'!$Q$40),"")</f>
        <v/>
      </c>
      <c r="AB22" s="22" t="str">
        <f>IF(AND('Mapa final'!$AA$35="Alta",'Mapa final'!$AC$35="Mayor"),CONCATENATE("R7C",'Mapa final'!$Q$35),"")</f>
        <v/>
      </c>
      <c r="AC22" s="23" t="str">
        <f>IF(AND('Mapa final'!$AA$36="Alta",'Mapa final'!$AC$36="Mayor"),CONCATENATE("R7C",'Mapa final'!$Q$36),"")</f>
        <v/>
      </c>
      <c r="AD22" s="28" t="str">
        <f>IF(AND('Mapa final'!$AA$37="Alta",'Mapa final'!$AC$37="Mayor"),CONCATENATE("R7C",'Mapa final'!$Q$37),"")</f>
        <v/>
      </c>
      <c r="AE22" s="28" t="str">
        <f>IF(AND('Mapa final'!$AA$38="Alta",'Mapa final'!$AC$38="Mayor"),CONCATENATE("R7C",'Mapa final'!$Q$38),"")</f>
        <v/>
      </c>
      <c r="AF22" s="28" t="str">
        <f>IF(AND('Mapa final'!$AA$39="Alta",'Mapa final'!$AC$39="Mayor"),CONCATENATE("R7C",'Mapa final'!$Q$39),"")</f>
        <v/>
      </c>
      <c r="AG22" s="24" t="str">
        <f>IF(AND('Mapa final'!$AA$40="Alta",'Mapa final'!$AC$40="Mayor"),CONCATENATE("R7C",'Mapa final'!$Q$40),"")</f>
        <v/>
      </c>
      <c r="AH22" s="25" t="str">
        <f>IF(AND('Mapa final'!$AA$35="Alta",'Mapa final'!$AC$35="Catastrófico"),CONCATENATE("R7C",'Mapa final'!$Q$35),"")</f>
        <v/>
      </c>
      <c r="AI22" s="26" t="str">
        <f>IF(AND('Mapa final'!$AA$36="Alta",'Mapa final'!$AC$36="Catastrófico"),CONCATENATE("R7C",'Mapa final'!$Q$36),"")</f>
        <v/>
      </c>
      <c r="AJ22" s="26" t="str">
        <f>IF(AND('Mapa final'!$AA$37="Alta",'Mapa final'!$AC$37="Catastrófico"),CONCATENATE("R7C",'Mapa final'!$Q$37),"")</f>
        <v/>
      </c>
      <c r="AK22" s="26" t="str">
        <f>IF(AND('Mapa final'!$AA$38="Alta",'Mapa final'!$AC$38="Catastrófico"),CONCATENATE("R7C",'Mapa final'!$Q$38),"")</f>
        <v/>
      </c>
      <c r="AL22" s="26" t="str">
        <f>IF(AND('Mapa final'!$AA$39="Alta",'Mapa final'!$AC$39="Catastrófico"),CONCATENATE("R7C",'Mapa final'!$Q$39),"")</f>
        <v/>
      </c>
      <c r="AM22" s="27" t="str">
        <f>IF(AND('Mapa final'!$AA$40="Alta",'Mapa final'!$AC$40="Catastrófico"),CONCATENATE("R7C",'Mapa final'!$Q$40),"")</f>
        <v/>
      </c>
      <c r="AN22" s="54"/>
      <c r="AO22" s="383"/>
      <c r="AP22" s="384"/>
      <c r="AQ22" s="384"/>
      <c r="AR22" s="384"/>
      <c r="AS22" s="384"/>
      <c r="AT22" s="385"/>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row>
    <row r="23" spans="1:76" ht="15" customHeight="1" x14ac:dyDescent="0.3">
      <c r="A23" s="54"/>
      <c r="B23" s="292"/>
      <c r="C23" s="292"/>
      <c r="D23" s="293"/>
      <c r="E23" s="393"/>
      <c r="F23" s="394"/>
      <c r="G23" s="394"/>
      <c r="H23" s="394"/>
      <c r="I23" s="392"/>
      <c r="J23" s="38" t="str">
        <f>IF(AND('Mapa final'!$AA$41="Alta",'Mapa final'!$AC$41="Leve"),CONCATENATE("R8C",'Mapa final'!$Q$41),"")</f>
        <v/>
      </c>
      <c r="K23" s="39" t="str">
        <f>IF(AND('Mapa final'!$AA$42="Alta",'Mapa final'!$AC$42="Leve"),CONCATENATE("R8C",'Mapa final'!$Q$42),"")</f>
        <v/>
      </c>
      <c r="L23" s="39" t="str">
        <f>IF(AND('Mapa final'!$AA$43="Alta",'Mapa final'!$AC$43="Leve"),CONCATENATE("R8C",'Mapa final'!$Q$43),"")</f>
        <v/>
      </c>
      <c r="M23" s="39" t="str">
        <f>IF(AND('Mapa final'!$AA$44="Alta",'Mapa final'!$AC$44="Leve"),CONCATENATE("R8C",'Mapa final'!$Q$44),"")</f>
        <v/>
      </c>
      <c r="N23" s="39" t="str">
        <f>IF(AND('Mapa final'!$AA$45="Alta",'Mapa final'!$AC$45="Leve"),CONCATENATE("R8C",'Mapa final'!$Q$45),"")</f>
        <v/>
      </c>
      <c r="O23" s="40" t="str">
        <f>IF(AND('Mapa final'!$AA$46="Alta",'Mapa final'!$AC$46="Leve"),CONCATENATE("R8C",'Mapa final'!$Q$46),"")</f>
        <v/>
      </c>
      <c r="P23" s="38" t="str">
        <f>IF(AND('Mapa final'!$AA$41="Alta",'Mapa final'!$AC$41="Menor"),CONCATENATE("R8C",'Mapa final'!$Q$41),"")</f>
        <v/>
      </c>
      <c r="Q23" s="39" t="str">
        <f>IF(AND('Mapa final'!$AA$42="Alta",'Mapa final'!$AC$42="Menor"),CONCATENATE("R8C",'Mapa final'!$Q$42),"")</f>
        <v/>
      </c>
      <c r="R23" s="39" t="str">
        <f>IF(AND('Mapa final'!$AA$43="Alta",'Mapa final'!$AC$43="Menor"),CONCATENATE("R8C",'Mapa final'!$Q$43),"")</f>
        <v/>
      </c>
      <c r="S23" s="39" t="str">
        <f>IF(AND('Mapa final'!$AA$44="Alta",'Mapa final'!$AC$44="Menor"),CONCATENATE("R8C",'Mapa final'!$Q$44),"")</f>
        <v/>
      </c>
      <c r="T23" s="39" t="str">
        <f>IF(AND('Mapa final'!$AA$45="Alta",'Mapa final'!$AC$45="Menor"),CONCATENATE("R8C",'Mapa final'!$Q$45),"")</f>
        <v/>
      </c>
      <c r="U23" s="40" t="str">
        <f>IF(AND('Mapa final'!$AA$46="Alta",'Mapa final'!$AC$46="Menor"),CONCATENATE("R8C",'Mapa final'!$Q$46),"")</f>
        <v/>
      </c>
      <c r="V23" s="22" t="str">
        <f>IF(AND('Mapa final'!$AA$41="Alta",'Mapa final'!$AC$41="Moderado"),CONCATENATE("R8C",'Mapa final'!$Q$41),"")</f>
        <v/>
      </c>
      <c r="W23" s="23" t="str">
        <f>IF(AND('Mapa final'!$AA$42="Alta",'Mapa final'!$AC$42="Moderado"),CONCATENATE("R8C",'Mapa final'!$Q$42),"")</f>
        <v/>
      </c>
      <c r="X23" s="28" t="str">
        <f>IF(AND('Mapa final'!$AA$43="Alta",'Mapa final'!$AC$43="Moderado"),CONCATENATE("R8C",'Mapa final'!$Q$43),"")</f>
        <v/>
      </c>
      <c r="Y23" s="28" t="str">
        <f>IF(AND('Mapa final'!$AA$44="Alta",'Mapa final'!$AC$44="Moderado"),CONCATENATE("R8C",'Mapa final'!$Q$44),"")</f>
        <v/>
      </c>
      <c r="Z23" s="28" t="str">
        <f>IF(AND('Mapa final'!$AA$45="Alta",'Mapa final'!$AC$45="Moderado"),CONCATENATE("R8C",'Mapa final'!$Q$45),"")</f>
        <v/>
      </c>
      <c r="AA23" s="24" t="str">
        <f>IF(AND('Mapa final'!$AA$46="Alta",'Mapa final'!$AC$46="Moderado"),CONCATENATE("R8C",'Mapa final'!$Q$46),"")</f>
        <v/>
      </c>
      <c r="AB23" s="22" t="str">
        <f>IF(AND('Mapa final'!$AA$41="Alta",'Mapa final'!$AC$41="Mayor"),CONCATENATE("R8C",'Mapa final'!$Q$41),"")</f>
        <v/>
      </c>
      <c r="AC23" s="23" t="str">
        <f>IF(AND('Mapa final'!$AA$42="Alta",'Mapa final'!$AC$42="Mayor"),CONCATENATE("R8C",'Mapa final'!$Q$42),"")</f>
        <v/>
      </c>
      <c r="AD23" s="28" t="str">
        <f>IF(AND('Mapa final'!$AA$43="Alta",'Mapa final'!$AC$43="Mayor"),CONCATENATE("R8C",'Mapa final'!$Q$43),"")</f>
        <v/>
      </c>
      <c r="AE23" s="28" t="str">
        <f>IF(AND('Mapa final'!$AA$44="Alta",'Mapa final'!$AC$44="Mayor"),CONCATENATE("R8C",'Mapa final'!$Q$44),"")</f>
        <v/>
      </c>
      <c r="AF23" s="28" t="str">
        <f>IF(AND('Mapa final'!$AA$45="Alta",'Mapa final'!$AC$45="Mayor"),CONCATENATE("R8C",'Mapa final'!$Q$45),"")</f>
        <v/>
      </c>
      <c r="AG23" s="24" t="str">
        <f>IF(AND('Mapa final'!$AA$46="Alta",'Mapa final'!$AC$46="Mayor"),CONCATENATE("R8C",'Mapa final'!$Q$46),"")</f>
        <v/>
      </c>
      <c r="AH23" s="25" t="str">
        <f>IF(AND('Mapa final'!$AA$41="Alta",'Mapa final'!$AC$41="Catastrófico"),CONCATENATE("R8C",'Mapa final'!$Q$41),"")</f>
        <v/>
      </c>
      <c r="AI23" s="26" t="str">
        <f>IF(AND('Mapa final'!$AA$42="Alta",'Mapa final'!$AC$42="Catastrófico"),CONCATENATE("R8C",'Mapa final'!$Q$42),"")</f>
        <v/>
      </c>
      <c r="AJ23" s="26" t="str">
        <f>IF(AND('Mapa final'!$AA$43="Alta",'Mapa final'!$AC$43="Catastrófico"),CONCATENATE("R8C",'Mapa final'!$Q$43),"")</f>
        <v/>
      </c>
      <c r="AK23" s="26" t="str">
        <f>IF(AND('Mapa final'!$AA$44="Alta",'Mapa final'!$AC$44="Catastrófico"),CONCATENATE("R8C",'Mapa final'!$Q$44),"")</f>
        <v/>
      </c>
      <c r="AL23" s="26" t="str">
        <f>IF(AND('Mapa final'!$AA$45="Alta",'Mapa final'!$AC$45="Catastrófico"),CONCATENATE("R8C",'Mapa final'!$Q$45),"")</f>
        <v/>
      </c>
      <c r="AM23" s="27" t="str">
        <f>IF(AND('Mapa final'!$AA$46="Alta",'Mapa final'!$AC$46="Catastrófico"),CONCATENATE("R8C",'Mapa final'!$Q$46),"")</f>
        <v/>
      </c>
      <c r="AN23" s="54"/>
      <c r="AO23" s="383"/>
      <c r="AP23" s="384"/>
      <c r="AQ23" s="384"/>
      <c r="AR23" s="384"/>
      <c r="AS23" s="384"/>
      <c r="AT23" s="385"/>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row>
    <row r="24" spans="1:76" ht="15" customHeight="1" x14ac:dyDescent="0.3">
      <c r="A24" s="54"/>
      <c r="B24" s="292"/>
      <c r="C24" s="292"/>
      <c r="D24" s="293"/>
      <c r="E24" s="393"/>
      <c r="F24" s="394"/>
      <c r="G24" s="394"/>
      <c r="H24" s="394"/>
      <c r="I24" s="392"/>
      <c r="J24" s="38" t="str">
        <f>IF(AND('Mapa final'!$AA$47="Alta",'Mapa final'!$AC$47="Leve"),CONCATENATE("R9C",'Mapa final'!$Q$47),"")</f>
        <v/>
      </c>
      <c r="K24" s="39" t="str">
        <f>IF(AND('Mapa final'!$AA$48="Alta",'Mapa final'!$AC$48="Leve"),CONCATENATE("R9C",'Mapa final'!$Q$48),"")</f>
        <v/>
      </c>
      <c r="L24" s="39" t="str">
        <f>IF(AND('Mapa final'!$AA$49="Alta",'Mapa final'!$AC$49="Leve"),CONCATENATE("R9C",'Mapa final'!$Q$49),"")</f>
        <v/>
      </c>
      <c r="M24" s="39" t="str">
        <f>IF(AND('Mapa final'!$AA$50="Alta",'Mapa final'!$AC$50="Leve"),CONCATENATE("R9C",'Mapa final'!$Q$50),"")</f>
        <v/>
      </c>
      <c r="N24" s="39" t="str">
        <f>IF(AND('Mapa final'!$AA$51="Alta",'Mapa final'!$AC$51="Leve"),CONCATENATE("R9C",'Mapa final'!$Q$51),"")</f>
        <v/>
      </c>
      <c r="O24" s="40" t="str">
        <f>IF(AND('Mapa final'!$AA$52="Alta",'Mapa final'!$AC$52="Leve"),CONCATENATE("R9C",'Mapa final'!$Q$52),"")</f>
        <v/>
      </c>
      <c r="P24" s="38" t="str">
        <f>IF(AND('Mapa final'!$AA$47="Alta",'Mapa final'!$AC$47="Menor"),CONCATENATE("R9C",'Mapa final'!$Q$47),"")</f>
        <v/>
      </c>
      <c r="Q24" s="39" t="str">
        <f>IF(AND('Mapa final'!$AA$48="Alta",'Mapa final'!$AC$48="Menor"),CONCATENATE("R9C",'Mapa final'!$Q$48),"")</f>
        <v/>
      </c>
      <c r="R24" s="39" t="str">
        <f>IF(AND('Mapa final'!$AA$49="Alta",'Mapa final'!$AC$49="Menor"),CONCATENATE("R9C",'Mapa final'!$Q$49),"")</f>
        <v/>
      </c>
      <c r="S24" s="39" t="str">
        <f>IF(AND('Mapa final'!$AA$50="Alta",'Mapa final'!$AC$50="Menor"),CONCATENATE("R9C",'Mapa final'!$Q$50),"")</f>
        <v/>
      </c>
      <c r="T24" s="39" t="str">
        <f>IF(AND('Mapa final'!$AA$51="Alta",'Mapa final'!$AC$51="Menor"),CONCATENATE("R9C",'Mapa final'!$Q$51),"")</f>
        <v/>
      </c>
      <c r="U24" s="40" t="str">
        <f>IF(AND('Mapa final'!$AA$52="Alta",'Mapa final'!$AC$52="Menor"),CONCATENATE("R9C",'Mapa final'!$Q$52),"")</f>
        <v/>
      </c>
      <c r="V24" s="22" t="str">
        <f>IF(AND('Mapa final'!$AA$47="Alta",'Mapa final'!$AC$47="Moderado"),CONCATENATE("R9C",'Mapa final'!$Q$47),"")</f>
        <v/>
      </c>
      <c r="W24" s="23" t="str">
        <f>IF(AND('Mapa final'!$AA$48="Alta",'Mapa final'!$AC$48="Moderado"),CONCATENATE("R9C",'Mapa final'!$Q$48),"")</f>
        <v/>
      </c>
      <c r="X24" s="28" t="str">
        <f>IF(AND('Mapa final'!$AA$49="Alta",'Mapa final'!$AC$49="Moderado"),CONCATENATE("R9C",'Mapa final'!$Q$49),"")</f>
        <v/>
      </c>
      <c r="Y24" s="28" t="str">
        <f>IF(AND('Mapa final'!$AA$50="Alta",'Mapa final'!$AC$50="Moderado"),CONCATENATE("R9C",'Mapa final'!$Q$50),"")</f>
        <v/>
      </c>
      <c r="Z24" s="28" t="str">
        <f>IF(AND('Mapa final'!$AA$51="Alta",'Mapa final'!$AC$51="Moderado"),CONCATENATE("R9C",'Mapa final'!$Q$51),"")</f>
        <v/>
      </c>
      <c r="AA24" s="24" t="str">
        <f>IF(AND('Mapa final'!$AA$52="Alta",'Mapa final'!$AC$52="Moderado"),CONCATENATE("R9C",'Mapa final'!$Q$52),"")</f>
        <v/>
      </c>
      <c r="AB24" s="22" t="str">
        <f>IF(AND('Mapa final'!$AA$47="Alta",'Mapa final'!$AC$47="Mayor"),CONCATENATE("R9C",'Mapa final'!$Q$47),"")</f>
        <v/>
      </c>
      <c r="AC24" s="23" t="str">
        <f>IF(AND('Mapa final'!$AA$48="Alta",'Mapa final'!$AC$48="Mayor"),CONCATENATE("R9C",'Mapa final'!$Q$48),"")</f>
        <v/>
      </c>
      <c r="AD24" s="28" t="str">
        <f>IF(AND('Mapa final'!$AA$49="Alta",'Mapa final'!$AC$49="Mayor"),CONCATENATE("R9C",'Mapa final'!$Q$49),"")</f>
        <v/>
      </c>
      <c r="AE24" s="28" t="str">
        <f>IF(AND('Mapa final'!$AA$50="Alta",'Mapa final'!$AC$50="Mayor"),CONCATENATE("R9C",'Mapa final'!$Q$50),"")</f>
        <v/>
      </c>
      <c r="AF24" s="28" t="str">
        <f>IF(AND('Mapa final'!$AA$51="Alta",'Mapa final'!$AC$51="Mayor"),CONCATENATE("R9C",'Mapa final'!$Q$51),"")</f>
        <v/>
      </c>
      <c r="AG24" s="24" t="str">
        <f>IF(AND('Mapa final'!$AA$52="Alta",'Mapa final'!$AC$52="Mayor"),CONCATENATE("R9C",'Mapa final'!$Q$52),"")</f>
        <v/>
      </c>
      <c r="AH24" s="25" t="str">
        <f>IF(AND('Mapa final'!$AA$47="Alta",'Mapa final'!$AC$47="Catastrófico"),CONCATENATE("R9C",'Mapa final'!$Q$47),"")</f>
        <v/>
      </c>
      <c r="AI24" s="26" t="str">
        <f>IF(AND('Mapa final'!$AA$48="Alta",'Mapa final'!$AC$48="Catastrófico"),CONCATENATE("R9C",'Mapa final'!$Q$48),"")</f>
        <v/>
      </c>
      <c r="AJ24" s="26" t="str">
        <f>IF(AND('Mapa final'!$AA$49="Alta",'Mapa final'!$AC$49="Catastrófico"),CONCATENATE("R9C",'Mapa final'!$Q$49),"")</f>
        <v/>
      </c>
      <c r="AK24" s="26" t="str">
        <f>IF(AND('Mapa final'!$AA$50="Alta",'Mapa final'!$AC$50="Catastrófico"),CONCATENATE("R9C",'Mapa final'!$Q$50),"")</f>
        <v/>
      </c>
      <c r="AL24" s="26" t="str">
        <f>IF(AND('Mapa final'!$AA$51="Alta",'Mapa final'!$AC$51="Catastrófico"),CONCATENATE("R9C",'Mapa final'!$Q$51),"")</f>
        <v/>
      </c>
      <c r="AM24" s="27" t="str">
        <f>IF(AND('Mapa final'!$AA$52="Alta",'Mapa final'!$AC$52="Catastrófico"),CONCATENATE("R9C",'Mapa final'!$Q$52),"")</f>
        <v/>
      </c>
      <c r="AN24" s="54"/>
      <c r="AO24" s="383"/>
      <c r="AP24" s="384"/>
      <c r="AQ24" s="384"/>
      <c r="AR24" s="384"/>
      <c r="AS24" s="384"/>
      <c r="AT24" s="385"/>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row>
    <row r="25" spans="1:76" ht="15.75" customHeight="1" thickBot="1" x14ac:dyDescent="0.35">
      <c r="A25" s="54"/>
      <c r="B25" s="292"/>
      <c r="C25" s="292"/>
      <c r="D25" s="293"/>
      <c r="E25" s="395"/>
      <c r="F25" s="396"/>
      <c r="G25" s="396"/>
      <c r="H25" s="396"/>
      <c r="I25" s="396"/>
      <c r="J25" s="41" t="str">
        <f>IF(AND('Mapa final'!$AA$53="Alta",'Mapa final'!$AC$53="Leve"),CONCATENATE("R10C",'Mapa final'!$Q$53),"")</f>
        <v/>
      </c>
      <c r="K25" s="42" t="str">
        <f>IF(AND('Mapa final'!$AA$54="Alta",'Mapa final'!$AC$54="Leve"),CONCATENATE("R10C",'Mapa final'!$Q$54),"")</f>
        <v/>
      </c>
      <c r="L25" s="42" t="str">
        <f>IF(AND('Mapa final'!$AA$55="Alta",'Mapa final'!$AC$55="Leve"),CONCATENATE("R10C",'Mapa final'!$Q$55),"")</f>
        <v/>
      </c>
      <c r="M25" s="42" t="str">
        <f>IF(AND('Mapa final'!$AA$56="Alta",'Mapa final'!$AC$56="Leve"),CONCATENATE("R10C",'Mapa final'!$Q$56),"")</f>
        <v/>
      </c>
      <c r="N25" s="42" t="str">
        <f>IF(AND('Mapa final'!$AA$57="Alta",'Mapa final'!$AC$57="Leve"),CONCATENATE("R10C",'Mapa final'!$Q$57),"")</f>
        <v/>
      </c>
      <c r="O25" s="43" t="str">
        <f>IF(AND('Mapa final'!$AA$58="Alta",'Mapa final'!$AC$58="Leve"),CONCATENATE("R10C",'Mapa final'!$Q$58),"")</f>
        <v/>
      </c>
      <c r="P25" s="41" t="str">
        <f>IF(AND('Mapa final'!$AA$53="Alta",'Mapa final'!$AC$53="Menor"),CONCATENATE("R10C",'Mapa final'!$Q$53),"")</f>
        <v/>
      </c>
      <c r="Q25" s="42" t="str">
        <f>IF(AND('Mapa final'!$AA$54="Alta",'Mapa final'!$AC$54="Menor"),CONCATENATE("R10C",'Mapa final'!$Q$54),"")</f>
        <v/>
      </c>
      <c r="R25" s="42" t="str">
        <f>IF(AND('Mapa final'!$AA$55="Alta",'Mapa final'!$AC$55="Menor"),CONCATENATE("R10C",'Mapa final'!$Q$55),"")</f>
        <v/>
      </c>
      <c r="S25" s="42" t="str">
        <f>IF(AND('Mapa final'!$AA$56="Alta",'Mapa final'!$AC$56="Menor"),CONCATENATE("R10C",'Mapa final'!$Q$56),"")</f>
        <v/>
      </c>
      <c r="T25" s="42" t="str">
        <f>IF(AND('Mapa final'!$AA$57="Alta",'Mapa final'!$AC$57="Menor"),CONCATENATE("R10C",'Mapa final'!$Q$57),"")</f>
        <v/>
      </c>
      <c r="U25" s="43" t="str">
        <f>IF(AND('Mapa final'!$AA$58="Alta",'Mapa final'!$AC$58="Menor"),CONCATENATE("R10C",'Mapa final'!$Q$58),"")</f>
        <v/>
      </c>
      <c r="V25" s="29" t="str">
        <f>IF(AND('Mapa final'!$AA$53="Alta",'Mapa final'!$AC$53="Moderado"),CONCATENATE("R10C",'Mapa final'!$Q$53),"")</f>
        <v/>
      </c>
      <c r="W25" s="30" t="str">
        <f>IF(AND('Mapa final'!$AA$54="Alta",'Mapa final'!$AC$54="Moderado"),CONCATENATE("R10C",'Mapa final'!$Q$54),"")</f>
        <v/>
      </c>
      <c r="X25" s="30" t="str">
        <f>IF(AND('Mapa final'!$AA$55="Alta",'Mapa final'!$AC$55="Moderado"),CONCATENATE("R10C",'Mapa final'!$Q$55),"")</f>
        <v/>
      </c>
      <c r="Y25" s="30" t="str">
        <f>IF(AND('Mapa final'!$AA$56="Alta",'Mapa final'!$AC$56="Moderado"),CONCATENATE("R10C",'Mapa final'!$Q$56),"")</f>
        <v/>
      </c>
      <c r="Z25" s="30" t="str">
        <f>IF(AND('Mapa final'!$AA$57="Alta",'Mapa final'!$AC$57="Moderado"),CONCATENATE("R10C",'Mapa final'!$Q$57),"")</f>
        <v/>
      </c>
      <c r="AA25" s="31" t="str">
        <f>IF(AND('Mapa final'!$AA$58="Alta",'Mapa final'!$AC$58="Moderado"),CONCATENATE("R10C",'Mapa final'!$Q$58),"")</f>
        <v/>
      </c>
      <c r="AB25" s="29" t="str">
        <f>IF(AND('Mapa final'!$AA$53="Alta",'Mapa final'!$AC$53="Mayor"),CONCATENATE("R10C",'Mapa final'!$Q$53),"")</f>
        <v/>
      </c>
      <c r="AC25" s="30" t="str">
        <f>IF(AND('Mapa final'!$AA$54="Alta",'Mapa final'!$AC$54="Mayor"),CONCATENATE("R10C",'Mapa final'!$Q$54),"")</f>
        <v/>
      </c>
      <c r="AD25" s="30" t="str">
        <f>IF(AND('Mapa final'!$AA$55="Alta",'Mapa final'!$AC$55="Mayor"),CONCATENATE("R10C",'Mapa final'!$Q$55),"")</f>
        <v/>
      </c>
      <c r="AE25" s="30" t="str">
        <f>IF(AND('Mapa final'!$AA$56="Alta",'Mapa final'!$AC$56="Mayor"),CONCATENATE("R10C",'Mapa final'!$Q$56),"")</f>
        <v/>
      </c>
      <c r="AF25" s="30" t="str">
        <f>IF(AND('Mapa final'!$AA$57="Alta",'Mapa final'!$AC$57="Mayor"),CONCATENATE("R10C",'Mapa final'!$Q$57),"")</f>
        <v/>
      </c>
      <c r="AG25" s="31" t="str">
        <f>IF(AND('Mapa final'!$AA$58="Alta",'Mapa final'!$AC$58="Mayor"),CONCATENATE("R10C",'Mapa final'!$Q$58),"")</f>
        <v/>
      </c>
      <c r="AH25" s="32" t="str">
        <f>IF(AND('Mapa final'!$AA$53="Alta",'Mapa final'!$AC$53="Catastrófico"),CONCATENATE("R10C",'Mapa final'!$Q$53),"")</f>
        <v/>
      </c>
      <c r="AI25" s="33" t="str">
        <f>IF(AND('Mapa final'!$AA$54="Alta",'Mapa final'!$AC$54="Catastrófico"),CONCATENATE("R10C",'Mapa final'!$Q$54),"")</f>
        <v/>
      </c>
      <c r="AJ25" s="33" t="str">
        <f>IF(AND('Mapa final'!$AA$55="Alta",'Mapa final'!$AC$55="Catastrófico"),CONCATENATE("R10C",'Mapa final'!$Q$55),"")</f>
        <v/>
      </c>
      <c r="AK25" s="33" t="str">
        <f>IF(AND('Mapa final'!$AA$56="Alta",'Mapa final'!$AC$56="Catastrófico"),CONCATENATE("R10C",'Mapa final'!$Q$56),"")</f>
        <v/>
      </c>
      <c r="AL25" s="33" t="str">
        <f>IF(AND('Mapa final'!$AA$57="Alta",'Mapa final'!$AC$57="Catastrófico"),CONCATENATE("R10C",'Mapa final'!$Q$57),"")</f>
        <v/>
      </c>
      <c r="AM25" s="34" t="str">
        <f>IF(AND('Mapa final'!$AA$58="Alta",'Mapa final'!$AC$58="Catastrófico"),CONCATENATE("R10C",'Mapa final'!$Q$58),"")</f>
        <v/>
      </c>
      <c r="AN25" s="54"/>
      <c r="AO25" s="386"/>
      <c r="AP25" s="387"/>
      <c r="AQ25" s="387"/>
      <c r="AR25" s="387"/>
      <c r="AS25" s="387"/>
      <c r="AT25" s="388"/>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row>
    <row r="26" spans="1:76" ht="15" customHeight="1" x14ac:dyDescent="0.3">
      <c r="A26" s="54"/>
      <c r="B26" s="292"/>
      <c r="C26" s="292"/>
      <c r="D26" s="293"/>
      <c r="E26" s="389" t="s">
        <v>112</v>
      </c>
      <c r="F26" s="390"/>
      <c r="G26" s="390"/>
      <c r="H26" s="390"/>
      <c r="I26" s="408"/>
      <c r="J26" s="35" t="str">
        <f ca="1">IF(AND('Mapa final'!$AA$10="Media",'Mapa final'!$AC$10="Leve"),CONCATENATE("R1C",'Mapa final'!$Q$10),"")</f>
        <v/>
      </c>
      <c r="K26" s="36" t="str">
        <f ca="1">IF(AND('Mapa final'!$AA$11="Media",'Mapa final'!$AC$11="Leve"),CONCATENATE("R1C",'Mapa final'!$Q$11),"")</f>
        <v/>
      </c>
      <c r="L26" s="36" t="str">
        <f ca="1">IF(AND('Mapa final'!$AA$12="Media",'Mapa final'!$AC$12="Leve"),CONCATENATE("R1C",'Mapa final'!$Q$12),"")</f>
        <v/>
      </c>
      <c r="M26" s="36" t="str">
        <f ca="1">IF(AND('Mapa final'!$AA$13="Media",'Mapa final'!$AC$13="Leve"),CONCATENATE("R1C",'Mapa final'!$Q$13),"")</f>
        <v/>
      </c>
      <c r="N26" s="36" t="str">
        <f ca="1">IF(AND('Mapa final'!$AA$14="Media",'Mapa final'!$AC$14="Leve"),CONCATENATE("R1C",'Mapa final'!$Q$14),"")</f>
        <v/>
      </c>
      <c r="O26" s="37" t="e">
        <f>IF(AND('Mapa final'!#REF!="Media",'Mapa final'!#REF!="Leve"),CONCATENATE("R1C",'Mapa final'!#REF!),"")</f>
        <v>#REF!</v>
      </c>
      <c r="P26" s="35" t="str">
        <f ca="1">IF(AND('Mapa final'!$AA$10="Media",'Mapa final'!$AC$10="Menor"),CONCATENATE("R1C",'Mapa final'!$Q$10),"")</f>
        <v/>
      </c>
      <c r="Q26" s="36" t="str">
        <f ca="1">IF(AND('Mapa final'!$AA$11="Media",'Mapa final'!$AC$11="Menor"),CONCATENATE("R1C",'Mapa final'!$Q$11),"")</f>
        <v/>
      </c>
      <c r="R26" s="36" t="str">
        <f ca="1">IF(AND('Mapa final'!$AA$12="Media",'Mapa final'!$AC$12="Menor"),CONCATENATE("R1C",'Mapa final'!$Q$12),"")</f>
        <v/>
      </c>
      <c r="S26" s="36" t="str">
        <f ca="1">IF(AND('Mapa final'!$AA$13="Media",'Mapa final'!$AC$13="Menor"),CONCATENATE("R1C",'Mapa final'!$Q$13),"")</f>
        <v/>
      </c>
      <c r="T26" s="36" t="str">
        <f ca="1">IF(AND('Mapa final'!$AA$14="Media",'Mapa final'!$AC$14="Menor"),CONCATENATE("R1C",'Mapa final'!$Q$14),"")</f>
        <v/>
      </c>
      <c r="U26" s="37" t="e">
        <f>IF(AND('Mapa final'!#REF!="Media",'Mapa final'!#REF!="Menor"),CONCATENATE("R1C",'Mapa final'!#REF!),"")</f>
        <v>#REF!</v>
      </c>
      <c r="V26" s="35" t="str">
        <f ca="1">IF(AND('Mapa final'!$AA$10="Media",'Mapa final'!$AC$10="Moderado"),CONCATENATE("R1C",'Mapa final'!$Q$10),"")</f>
        <v/>
      </c>
      <c r="W26" s="36" t="str">
        <f ca="1">IF(AND('Mapa final'!$AA$11="Media",'Mapa final'!$AC$11="Moderado"),CONCATENATE("R1C",'Mapa final'!$Q$11),"")</f>
        <v/>
      </c>
      <c r="X26" s="36" t="str">
        <f ca="1">IF(AND('Mapa final'!$AA$12="Media",'Mapa final'!$AC$12="Moderado"),CONCATENATE("R1C",'Mapa final'!$Q$12),"")</f>
        <v/>
      </c>
      <c r="Y26" s="36" t="str">
        <f ca="1">IF(AND('Mapa final'!$AA$13="Media",'Mapa final'!$AC$13="Moderado"),CONCATENATE("R1C",'Mapa final'!$Q$13),"")</f>
        <v/>
      </c>
      <c r="Z26" s="36" t="str">
        <f ca="1">IF(AND('Mapa final'!$AA$14="Media",'Mapa final'!$AC$14="Moderado"),CONCATENATE("R1C",'Mapa final'!$Q$14),"")</f>
        <v/>
      </c>
      <c r="AA26" s="37" t="e">
        <f>IF(AND('Mapa final'!#REF!="Media",'Mapa final'!#REF!="Moderado"),CONCATENATE("R1C",'Mapa final'!#REF!),"")</f>
        <v>#REF!</v>
      </c>
      <c r="AB26" s="16" t="str">
        <f ca="1">IF(AND('Mapa final'!$AA$10="Media",'Mapa final'!$AC$10="Mayor"),CONCATENATE("R1C",'Mapa final'!$Q$10),"")</f>
        <v>R1C1</v>
      </c>
      <c r="AC26" s="17" t="str">
        <f ca="1">IF(AND('Mapa final'!$AA$11="Media",'Mapa final'!$AC$11="Mayor"),CONCATENATE("R1C",'Mapa final'!$Q$11),"")</f>
        <v/>
      </c>
      <c r="AD26" s="17" t="str">
        <f ca="1">IF(AND('Mapa final'!$AA$12="Media",'Mapa final'!$AC$12="Mayor"),CONCATENATE("R1C",'Mapa final'!$Q$12),"")</f>
        <v/>
      </c>
      <c r="AE26" s="17" t="str">
        <f ca="1">IF(AND('Mapa final'!$AA$13="Media",'Mapa final'!$AC$13="Mayor"),CONCATENATE("R1C",'Mapa final'!$Q$13),"")</f>
        <v/>
      </c>
      <c r="AF26" s="17" t="str">
        <f ca="1">IF(AND('Mapa final'!$AA$14="Media",'Mapa final'!$AC$14="Mayor"),CONCATENATE("R1C",'Mapa final'!$Q$14),"")</f>
        <v/>
      </c>
      <c r="AG26" s="18" t="e">
        <f>IF(AND('Mapa final'!#REF!="Media",'Mapa final'!#REF!="Mayor"),CONCATENATE("R1C",'Mapa final'!#REF!),"")</f>
        <v>#REF!</v>
      </c>
      <c r="AH26" s="19" t="str">
        <f ca="1">IF(AND('Mapa final'!$AA$10="Media",'Mapa final'!$AC$10="Catastrófico"),CONCATENATE("R1C",'Mapa final'!$Q$10),"")</f>
        <v/>
      </c>
      <c r="AI26" s="20" t="str">
        <f ca="1">IF(AND('Mapa final'!$AA$11="Media",'Mapa final'!$AC$11="Catastrófico"),CONCATENATE("R1C",'Mapa final'!$Q$11),"")</f>
        <v/>
      </c>
      <c r="AJ26" s="20" t="str">
        <f ca="1">IF(AND('Mapa final'!$AA$12="Media",'Mapa final'!$AC$12="Catastrófico"),CONCATENATE("R1C",'Mapa final'!$Q$12),"")</f>
        <v/>
      </c>
      <c r="AK26" s="20" t="str">
        <f ca="1">IF(AND('Mapa final'!$AA$13="Media",'Mapa final'!$AC$13="Catastrófico"),CONCATENATE("R1C",'Mapa final'!$Q$13),"")</f>
        <v/>
      </c>
      <c r="AL26" s="20" t="str">
        <f ca="1">IF(AND('Mapa final'!$AA$14="Media",'Mapa final'!$AC$14="Catastrófico"),CONCATENATE("R1C",'Mapa final'!$Q$14),"")</f>
        <v/>
      </c>
      <c r="AM26" s="21" t="e">
        <f>IF(AND('Mapa final'!#REF!="Media",'Mapa final'!#REF!="Catastrófico"),CONCATENATE("R1C",'Mapa final'!#REF!),"")</f>
        <v>#REF!</v>
      </c>
      <c r="AN26" s="54"/>
      <c r="AO26" s="420" t="s">
        <v>80</v>
      </c>
      <c r="AP26" s="421"/>
      <c r="AQ26" s="421"/>
      <c r="AR26" s="421"/>
      <c r="AS26" s="421"/>
      <c r="AT26" s="422"/>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row>
    <row r="27" spans="1:76" ht="15" customHeight="1" x14ac:dyDescent="0.3">
      <c r="A27" s="54"/>
      <c r="B27" s="292"/>
      <c r="C27" s="292"/>
      <c r="D27" s="293"/>
      <c r="E27" s="391"/>
      <c r="F27" s="392"/>
      <c r="G27" s="392"/>
      <c r="H27" s="392"/>
      <c r="I27" s="409"/>
      <c r="J27" s="38" t="str">
        <f ca="1">IF(AND('Mapa final'!$AA$15="Media",'Mapa final'!$AC$15="Leve"),CONCATENATE("R2C",'Mapa final'!$Q$15),"")</f>
        <v/>
      </c>
      <c r="K27" s="39" t="str">
        <f ca="1">IF(AND('Mapa final'!$AA$16="Media",'Mapa final'!$AC$16="Leve"),CONCATENATE("R2C",'Mapa final'!$Q$16),"")</f>
        <v/>
      </c>
      <c r="L27" s="39" t="e">
        <f>IF(AND('Mapa final'!#REF!="Media",'Mapa final'!#REF!="Leve"),CONCATENATE("R2C",'Mapa final'!$Q$17),"")</f>
        <v>#REF!</v>
      </c>
      <c r="M27" s="39" t="e">
        <f>IF(AND('Mapa final'!#REF!="Media",'Mapa final'!#REF!="Leve"),CONCATENATE("R2C",'Mapa final'!#REF!),"")</f>
        <v>#REF!</v>
      </c>
      <c r="N27" s="39" t="e">
        <f>IF(AND('Mapa final'!#REF!="Media",'Mapa final'!#REF!="Leve"),CONCATENATE("R2C",'Mapa final'!#REF!),"")</f>
        <v>#REF!</v>
      </c>
      <c r="O27" s="40" t="e">
        <f>IF(AND('Mapa final'!#REF!="Media",'Mapa final'!#REF!="Leve"),CONCATENATE("R2C",'Mapa final'!#REF!),"")</f>
        <v>#REF!</v>
      </c>
      <c r="P27" s="38" t="str">
        <f ca="1">IF(AND('Mapa final'!$AA$15="Media",'Mapa final'!$AC$15="Menor"),CONCATENATE("R2C",'Mapa final'!$Q$15),"")</f>
        <v/>
      </c>
      <c r="Q27" s="39" t="str">
        <f ca="1">IF(AND('Mapa final'!$AA$16="Media",'Mapa final'!$AC$16="Menor"),CONCATENATE("R2C",'Mapa final'!$Q$16),"")</f>
        <v/>
      </c>
      <c r="R27" s="39" t="e">
        <f>IF(AND('Mapa final'!#REF!="Media",'Mapa final'!#REF!="Menor"),CONCATENATE("R2C",'Mapa final'!$Q$17),"")</f>
        <v>#REF!</v>
      </c>
      <c r="S27" s="39" t="e">
        <f>IF(AND('Mapa final'!#REF!="Media",'Mapa final'!#REF!="Menor"),CONCATENATE("R2C",'Mapa final'!#REF!),"")</f>
        <v>#REF!</v>
      </c>
      <c r="T27" s="39" t="e">
        <f>IF(AND('Mapa final'!#REF!="Media",'Mapa final'!#REF!="Menor"),CONCATENATE("R2C",'Mapa final'!#REF!),"")</f>
        <v>#REF!</v>
      </c>
      <c r="U27" s="40" t="e">
        <f>IF(AND('Mapa final'!#REF!="Media",'Mapa final'!#REF!="Menor"),CONCATENATE("R2C",'Mapa final'!#REF!),"")</f>
        <v>#REF!</v>
      </c>
      <c r="V27" s="38" t="str">
        <f ca="1">IF(AND('Mapa final'!$AA$15="Media",'Mapa final'!$AC$15="Moderado"),CONCATENATE("R2C",'Mapa final'!$Q$15),"")</f>
        <v/>
      </c>
      <c r="W27" s="39" t="str">
        <f ca="1">IF(AND('Mapa final'!$AA$16="Media",'Mapa final'!$AC$16="Moderado"),CONCATENATE("R2C",'Mapa final'!$Q$16),"")</f>
        <v/>
      </c>
      <c r="X27" s="39" t="e">
        <f>IF(AND('Mapa final'!#REF!="Media",'Mapa final'!#REF!="Moderado"),CONCATENATE("R2C",'Mapa final'!$Q$17),"")</f>
        <v>#REF!</v>
      </c>
      <c r="Y27" s="39" t="e">
        <f>IF(AND('Mapa final'!#REF!="Media",'Mapa final'!#REF!="Moderado"),CONCATENATE("R2C",'Mapa final'!#REF!),"")</f>
        <v>#REF!</v>
      </c>
      <c r="Z27" s="39" t="e">
        <f>IF(AND('Mapa final'!#REF!="Media",'Mapa final'!#REF!="Moderado"),CONCATENATE("R2C",'Mapa final'!#REF!),"")</f>
        <v>#REF!</v>
      </c>
      <c r="AA27" s="40" t="e">
        <f>IF(AND('Mapa final'!#REF!="Media",'Mapa final'!#REF!="Moderado"),CONCATENATE("R2C",'Mapa final'!#REF!),"")</f>
        <v>#REF!</v>
      </c>
      <c r="AB27" s="22" t="str">
        <f ca="1">IF(AND('Mapa final'!$AA$15="Media",'Mapa final'!$AC$15="Mayor"),CONCATENATE("R2C",'Mapa final'!$Q$15),"")</f>
        <v>R2C1</v>
      </c>
      <c r="AC27" s="23" t="str">
        <f ca="1">IF(AND('Mapa final'!$AA$16="Media",'Mapa final'!$AC$16="Mayor"),CONCATENATE("R2C",'Mapa final'!$Q$16),"")</f>
        <v/>
      </c>
      <c r="AD27" s="23" t="e">
        <f>IF(AND('Mapa final'!#REF!="Media",'Mapa final'!#REF!="Mayor"),CONCATENATE("R2C",'Mapa final'!$Q$17),"")</f>
        <v>#REF!</v>
      </c>
      <c r="AE27" s="23" t="e">
        <f>IF(AND('Mapa final'!#REF!="Media",'Mapa final'!#REF!="Mayor"),CONCATENATE("R2C",'Mapa final'!#REF!),"")</f>
        <v>#REF!</v>
      </c>
      <c r="AF27" s="23" t="e">
        <f>IF(AND('Mapa final'!#REF!="Media",'Mapa final'!#REF!="Mayor"),CONCATENATE("R2C",'Mapa final'!#REF!),"")</f>
        <v>#REF!</v>
      </c>
      <c r="AG27" s="24" t="e">
        <f>IF(AND('Mapa final'!#REF!="Media",'Mapa final'!#REF!="Mayor"),CONCATENATE("R2C",'Mapa final'!#REF!),"")</f>
        <v>#REF!</v>
      </c>
      <c r="AH27" s="25" t="str">
        <f ca="1">IF(AND('Mapa final'!$AA$15="Media",'Mapa final'!$AC$15="Catastrófico"),CONCATENATE("R2C",'Mapa final'!$Q$15),"")</f>
        <v/>
      </c>
      <c r="AI27" s="26" t="str">
        <f ca="1">IF(AND('Mapa final'!$AA$16="Media",'Mapa final'!$AC$16="Catastrófico"),CONCATENATE("R2C",'Mapa final'!$Q$16),"")</f>
        <v/>
      </c>
      <c r="AJ27" s="26" t="e">
        <f>IF(AND('Mapa final'!#REF!="Media",'Mapa final'!#REF!="Catastrófico"),CONCATENATE("R2C",'Mapa final'!$Q$17),"")</f>
        <v>#REF!</v>
      </c>
      <c r="AK27" s="26" t="e">
        <f>IF(AND('Mapa final'!#REF!="Media",'Mapa final'!#REF!="Catastrófico"),CONCATENATE("R2C",'Mapa final'!#REF!),"")</f>
        <v>#REF!</v>
      </c>
      <c r="AL27" s="26" t="e">
        <f>IF(AND('Mapa final'!#REF!="Media",'Mapa final'!#REF!="Catastrófico"),CONCATENATE("R2C",'Mapa final'!#REF!),"")</f>
        <v>#REF!</v>
      </c>
      <c r="AM27" s="27" t="e">
        <f>IF(AND('Mapa final'!#REF!="Media",'Mapa final'!#REF!="Catastrófico"),CONCATENATE("R2C",'Mapa final'!#REF!),"")</f>
        <v>#REF!</v>
      </c>
      <c r="AN27" s="54"/>
      <c r="AO27" s="423"/>
      <c r="AP27" s="424"/>
      <c r="AQ27" s="424"/>
      <c r="AR27" s="424"/>
      <c r="AS27" s="424"/>
      <c r="AT27" s="425"/>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row>
    <row r="28" spans="1:76" ht="15" customHeight="1" x14ac:dyDescent="0.3">
      <c r="A28" s="54"/>
      <c r="B28" s="292"/>
      <c r="C28" s="292"/>
      <c r="D28" s="293"/>
      <c r="E28" s="393"/>
      <c r="F28" s="394"/>
      <c r="G28" s="394"/>
      <c r="H28" s="394"/>
      <c r="I28" s="409"/>
      <c r="J28" s="38" t="e">
        <f>IF(AND('Mapa final'!#REF!="Media",'Mapa final'!#REF!="Leve"),CONCATENATE("R3C",'Mapa final'!#REF!),"")</f>
        <v>#REF!</v>
      </c>
      <c r="K28" s="39" t="e">
        <f>IF(AND('Mapa final'!#REF!="Media",'Mapa final'!#REF!="Leve"),CONCATENATE("R3C",'Mapa final'!#REF!),"")</f>
        <v>#REF!</v>
      </c>
      <c r="L28" s="39" t="e">
        <f>IF(AND('Mapa final'!#REF!="Media",'Mapa final'!#REF!="Leve"),CONCATENATE("R3C",'Mapa final'!#REF!),"")</f>
        <v>#REF!</v>
      </c>
      <c r="M28" s="39" t="e">
        <f>IF(AND('Mapa final'!#REF!="Media",'Mapa final'!#REF!="Leve"),CONCATENATE("R3C",'Mapa final'!#REF!),"")</f>
        <v>#REF!</v>
      </c>
      <c r="N28" s="39" t="e">
        <f>IF(AND('Mapa final'!#REF!="Media",'Mapa final'!#REF!="Leve"),CONCATENATE("R3C",'Mapa final'!#REF!),"")</f>
        <v>#REF!</v>
      </c>
      <c r="O28" s="40" t="e">
        <f>IF(AND('Mapa final'!#REF!="Media",'Mapa final'!#REF!="Leve"),CONCATENATE("R3C",'Mapa final'!#REF!),"")</f>
        <v>#REF!</v>
      </c>
      <c r="P28" s="38" t="e">
        <f>IF(AND('Mapa final'!#REF!="Media",'Mapa final'!#REF!="Menor"),CONCATENATE("R3C",'Mapa final'!#REF!),"")</f>
        <v>#REF!</v>
      </c>
      <c r="Q28" s="39" t="e">
        <f>IF(AND('Mapa final'!#REF!="Media",'Mapa final'!#REF!="Menor"),CONCATENATE("R3C",'Mapa final'!#REF!),"")</f>
        <v>#REF!</v>
      </c>
      <c r="R28" s="39" t="e">
        <f>IF(AND('Mapa final'!#REF!="Media",'Mapa final'!#REF!="Menor"),CONCATENATE("R3C",'Mapa final'!#REF!),"")</f>
        <v>#REF!</v>
      </c>
      <c r="S28" s="39" t="e">
        <f>IF(AND('Mapa final'!#REF!="Media",'Mapa final'!#REF!="Menor"),CONCATENATE("R3C",'Mapa final'!#REF!),"")</f>
        <v>#REF!</v>
      </c>
      <c r="T28" s="39" t="e">
        <f>IF(AND('Mapa final'!#REF!="Media",'Mapa final'!#REF!="Menor"),CONCATENATE("R3C",'Mapa final'!#REF!),"")</f>
        <v>#REF!</v>
      </c>
      <c r="U28" s="40" t="e">
        <f>IF(AND('Mapa final'!#REF!="Media",'Mapa final'!#REF!="Menor"),CONCATENATE("R3C",'Mapa final'!#REF!),"")</f>
        <v>#REF!</v>
      </c>
      <c r="V28" s="38" t="e">
        <f>IF(AND('Mapa final'!#REF!="Media",'Mapa final'!#REF!="Moderado"),CONCATENATE("R3C",'Mapa final'!#REF!),"")</f>
        <v>#REF!</v>
      </c>
      <c r="W28" s="39" t="e">
        <f>IF(AND('Mapa final'!#REF!="Media",'Mapa final'!#REF!="Moderado"),CONCATENATE("R3C",'Mapa final'!#REF!),"")</f>
        <v>#REF!</v>
      </c>
      <c r="X28" s="39" t="e">
        <f>IF(AND('Mapa final'!#REF!="Media",'Mapa final'!#REF!="Moderado"),CONCATENATE("R3C",'Mapa final'!#REF!),"")</f>
        <v>#REF!</v>
      </c>
      <c r="Y28" s="39" t="e">
        <f>IF(AND('Mapa final'!#REF!="Media",'Mapa final'!#REF!="Moderado"),CONCATENATE("R3C",'Mapa final'!#REF!),"")</f>
        <v>#REF!</v>
      </c>
      <c r="Z28" s="39" t="e">
        <f>IF(AND('Mapa final'!#REF!="Media",'Mapa final'!#REF!="Moderado"),CONCATENATE("R3C",'Mapa final'!#REF!),"")</f>
        <v>#REF!</v>
      </c>
      <c r="AA28" s="40" t="e">
        <f>IF(AND('Mapa final'!#REF!="Media",'Mapa final'!#REF!="Moderado"),CONCATENATE("R3C",'Mapa final'!#REF!),"")</f>
        <v>#REF!</v>
      </c>
      <c r="AB28" s="22" t="e">
        <f>IF(AND('Mapa final'!#REF!="Media",'Mapa final'!#REF!="Mayor"),CONCATENATE("R3C",'Mapa final'!#REF!),"")</f>
        <v>#REF!</v>
      </c>
      <c r="AC28" s="23" t="e">
        <f>IF(AND('Mapa final'!#REF!="Media",'Mapa final'!#REF!="Mayor"),CONCATENATE("R3C",'Mapa final'!#REF!),"")</f>
        <v>#REF!</v>
      </c>
      <c r="AD28" s="23" t="e">
        <f>IF(AND('Mapa final'!#REF!="Media",'Mapa final'!#REF!="Mayor"),CONCATENATE("R3C",'Mapa final'!#REF!),"")</f>
        <v>#REF!</v>
      </c>
      <c r="AE28" s="23" t="e">
        <f>IF(AND('Mapa final'!#REF!="Media",'Mapa final'!#REF!="Mayor"),CONCATENATE("R3C",'Mapa final'!#REF!),"")</f>
        <v>#REF!</v>
      </c>
      <c r="AF28" s="23" t="e">
        <f>IF(AND('Mapa final'!#REF!="Media",'Mapa final'!#REF!="Mayor"),CONCATENATE("R3C",'Mapa final'!#REF!),"")</f>
        <v>#REF!</v>
      </c>
      <c r="AG28" s="24" t="e">
        <f>IF(AND('Mapa final'!#REF!="Media",'Mapa final'!#REF!="Mayor"),CONCATENATE("R3C",'Mapa final'!#REF!),"")</f>
        <v>#REF!</v>
      </c>
      <c r="AH28" s="25" t="e">
        <f>IF(AND('Mapa final'!#REF!="Media",'Mapa final'!#REF!="Catastrófico"),CONCATENATE("R3C",'Mapa final'!#REF!),"")</f>
        <v>#REF!</v>
      </c>
      <c r="AI28" s="26" t="e">
        <f>IF(AND('Mapa final'!#REF!="Media",'Mapa final'!#REF!="Catastrófico"),CONCATENATE("R3C",'Mapa final'!#REF!),"")</f>
        <v>#REF!</v>
      </c>
      <c r="AJ28" s="26" t="e">
        <f>IF(AND('Mapa final'!#REF!="Media",'Mapa final'!#REF!="Catastrófico"),CONCATENATE("R3C",'Mapa final'!#REF!),"")</f>
        <v>#REF!</v>
      </c>
      <c r="AK28" s="26" t="e">
        <f>IF(AND('Mapa final'!#REF!="Media",'Mapa final'!#REF!="Catastrófico"),CONCATENATE("R3C",'Mapa final'!#REF!),"")</f>
        <v>#REF!</v>
      </c>
      <c r="AL28" s="26" t="e">
        <f>IF(AND('Mapa final'!#REF!="Media",'Mapa final'!#REF!="Catastrófico"),CONCATENATE("R3C",'Mapa final'!#REF!),"")</f>
        <v>#REF!</v>
      </c>
      <c r="AM28" s="27" t="e">
        <f>IF(AND('Mapa final'!#REF!="Media",'Mapa final'!#REF!="Catastrófico"),CONCATENATE("R3C",'Mapa final'!#REF!),"")</f>
        <v>#REF!</v>
      </c>
      <c r="AN28" s="54"/>
      <c r="AO28" s="423"/>
      <c r="AP28" s="424"/>
      <c r="AQ28" s="424"/>
      <c r="AR28" s="424"/>
      <c r="AS28" s="424"/>
      <c r="AT28" s="425"/>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row>
    <row r="29" spans="1:76" ht="15" customHeight="1" x14ac:dyDescent="0.3">
      <c r="A29" s="54"/>
      <c r="B29" s="292"/>
      <c r="C29" s="292"/>
      <c r="D29" s="293"/>
      <c r="E29" s="393"/>
      <c r="F29" s="394"/>
      <c r="G29" s="394"/>
      <c r="H29" s="394"/>
      <c r="I29" s="409"/>
      <c r="J29" s="38" t="str">
        <f ca="1">IF(AND('Mapa final'!$AA$19="Media",'Mapa final'!$AC$19="Leve"),CONCATENATE("R4C",'Mapa final'!$Q$19),"")</f>
        <v/>
      </c>
      <c r="K29" s="39" t="str">
        <f ca="1">IF(AND('Mapa final'!$AA$20="Media",'Mapa final'!$AC$20="Leve"),CONCATENATE("R4C",'Mapa final'!$Q$20),"")</f>
        <v/>
      </c>
      <c r="L29" s="39" t="str">
        <f ca="1">IF(AND('Mapa final'!$AA$21="Media",'Mapa final'!$AC$21="Leve"),CONCATENATE("R4C",'Mapa final'!$Q$21),"")</f>
        <v/>
      </c>
      <c r="M29" s="39" t="str">
        <f ca="1">IF(AND('Mapa final'!$AA$22="Media",'Mapa final'!$AC$22="Leve"),CONCATENATE("R4C",'Mapa final'!$Q$22),"")</f>
        <v/>
      </c>
      <c r="N29" s="39" t="e">
        <f>IF(AND('Mapa final'!#REF!="Media",'Mapa final'!#REF!="Leve"),CONCATENATE("R4C",'Mapa final'!#REF!),"")</f>
        <v>#REF!</v>
      </c>
      <c r="O29" s="40" t="e">
        <f>IF(AND('Mapa final'!#REF!="Media",'Mapa final'!#REF!="Leve"),CONCATENATE("R4C",'Mapa final'!#REF!),"")</f>
        <v>#REF!</v>
      </c>
      <c r="P29" s="38" t="str">
        <f ca="1">IF(AND('Mapa final'!$AA$19="Media",'Mapa final'!$AC$19="Menor"),CONCATENATE("R4C",'Mapa final'!$Q$19),"")</f>
        <v/>
      </c>
      <c r="Q29" s="39" t="str">
        <f ca="1">IF(AND('Mapa final'!$AA$20="Media",'Mapa final'!$AC$20="Menor"),CONCATENATE("R4C",'Mapa final'!$Q$20),"")</f>
        <v/>
      </c>
      <c r="R29" s="39" t="str">
        <f ca="1">IF(AND('Mapa final'!$AA$21="Media",'Mapa final'!$AC$21="Menor"),CONCATENATE("R4C",'Mapa final'!$Q$21),"")</f>
        <v/>
      </c>
      <c r="S29" s="39" t="str">
        <f ca="1">IF(AND('Mapa final'!$AA$22="Media",'Mapa final'!$AC$22="Menor"),CONCATENATE("R4C",'Mapa final'!$Q$22),"")</f>
        <v/>
      </c>
      <c r="T29" s="39" t="e">
        <f>IF(AND('Mapa final'!#REF!="Media",'Mapa final'!#REF!="Menor"),CONCATENATE("R4C",'Mapa final'!#REF!),"")</f>
        <v>#REF!</v>
      </c>
      <c r="U29" s="40" t="e">
        <f>IF(AND('Mapa final'!#REF!="Media",'Mapa final'!#REF!="Menor"),CONCATENATE("R4C",'Mapa final'!#REF!),"")</f>
        <v>#REF!</v>
      </c>
      <c r="V29" s="38" t="str">
        <f ca="1">IF(AND('Mapa final'!$AA$19="Media",'Mapa final'!$AC$19="Moderado"),CONCATENATE("R4C",'Mapa final'!$Q$19),"")</f>
        <v/>
      </c>
      <c r="W29" s="39" t="str">
        <f ca="1">IF(AND('Mapa final'!$AA$20="Media",'Mapa final'!$AC$20="Moderado"),CONCATENATE("R4C",'Mapa final'!$Q$20),"")</f>
        <v/>
      </c>
      <c r="X29" s="39" t="str">
        <f ca="1">IF(AND('Mapa final'!$AA$21="Media",'Mapa final'!$AC$21="Moderado"),CONCATENATE("R4C",'Mapa final'!$Q$21),"")</f>
        <v/>
      </c>
      <c r="Y29" s="39" t="str">
        <f ca="1">IF(AND('Mapa final'!$AA$22="Media",'Mapa final'!$AC$22="Moderado"),CONCATENATE("R4C",'Mapa final'!$Q$22),"")</f>
        <v/>
      </c>
      <c r="Z29" s="39" t="e">
        <f>IF(AND('Mapa final'!#REF!="Media",'Mapa final'!#REF!="Moderado"),CONCATENATE("R4C",'Mapa final'!#REF!),"")</f>
        <v>#REF!</v>
      </c>
      <c r="AA29" s="40" t="e">
        <f>IF(AND('Mapa final'!#REF!="Media",'Mapa final'!#REF!="Moderado"),CONCATENATE("R4C",'Mapa final'!#REF!),"")</f>
        <v>#REF!</v>
      </c>
      <c r="AB29" s="22" t="str">
        <f ca="1">IF(AND('Mapa final'!$AA$19="Media",'Mapa final'!$AC$19="Mayor"),CONCATENATE("R4C",'Mapa final'!$Q$19),"")</f>
        <v/>
      </c>
      <c r="AC29" s="23" t="str">
        <f ca="1">IF(AND('Mapa final'!$AA$20="Media",'Mapa final'!$AC$20="Mayor"),CONCATENATE("R4C",'Mapa final'!$Q$20),"")</f>
        <v/>
      </c>
      <c r="AD29" s="28" t="str">
        <f ca="1">IF(AND('Mapa final'!$AA$21="Media",'Mapa final'!$AC$21="Mayor"),CONCATENATE("R4C",'Mapa final'!$Q$21),"")</f>
        <v/>
      </c>
      <c r="AE29" s="28" t="str">
        <f ca="1">IF(AND('Mapa final'!$AA$22="Media",'Mapa final'!$AC$22="Mayor"),CONCATENATE("R4C",'Mapa final'!$Q$22),"")</f>
        <v/>
      </c>
      <c r="AF29" s="28" t="e">
        <f>IF(AND('Mapa final'!#REF!="Media",'Mapa final'!#REF!="Mayor"),CONCATENATE("R4C",'Mapa final'!#REF!),"")</f>
        <v>#REF!</v>
      </c>
      <c r="AG29" s="24" t="e">
        <f>IF(AND('Mapa final'!#REF!="Media",'Mapa final'!#REF!="Mayor"),CONCATENATE("R4C",'Mapa final'!#REF!),"")</f>
        <v>#REF!</v>
      </c>
      <c r="AH29" s="25" t="str">
        <f ca="1">IF(AND('Mapa final'!$AA$19="Media",'Mapa final'!$AC$19="Catastrófico"),CONCATENATE("R4C",'Mapa final'!$Q$19),"")</f>
        <v>R4C1</v>
      </c>
      <c r="AI29" s="26" t="str">
        <f ca="1">IF(AND('Mapa final'!$AA$20="Media",'Mapa final'!$AC$20="Catastrófico"),CONCATENATE("R4C",'Mapa final'!$Q$20),"")</f>
        <v/>
      </c>
      <c r="AJ29" s="26" t="str">
        <f ca="1">IF(AND('Mapa final'!$AA$21="Media",'Mapa final'!$AC$21="Catastrófico"),CONCATENATE("R4C",'Mapa final'!$Q$21),"")</f>
        <v/>
      </c>
      <c r="AK29" s="26" t="str">
        <f ca="1">IF(AND('Mapa final'!$AA$22="Media",'Mapa final'!$AC$22="Catastrófico"),CONCATENATE("R4C",'Mapa final'!$Q$22),"")</f>
        <v/>
      </c>
      <c r="AL29" s="26" t="e">
        <f>IF(AND('Mapa final'!#REF!="Media",'Mapa final'!#REF!="Catastrófico"),CONCATENATE("R4C",'Mapa final'!#REF!),"")</f>
        <v>#REF!</v>
      </c>
      <c r="AM29" s="27" t="e">
        <f>IF(AND('Mapa final'!#REF!="Media",'Mapa final'!#REF!="Catastrófico"),CONCATENATE("R4C",'Mapa final'!#REF!),"")</f>
        <v>#REF!</v>
      </c>
      <c r="AN29" s="54"/>
      <c r="AO29" s="423"/>
      <c r="AP29" s="424"/>
      <c r="AQ29" s="424"/>
      <c r="AR29" s="424"/>
      <c r="AS29" s="424"/>
      <c r="AT29" s="425"/>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row>
    <row r="30" spans="1:76" ht="15" customHeight="1" x14ac:dyDescent="0.3">
      <c r="A30" s="54"/>
      <c r="B30" s="292"/>
      <c r="C30" s="292"/>
      <c r="D30" s="293"/>
      <c r="E30" s="393"/>
      <c r="F30" s="394"/>
      <c r="G30" s="394"/>
      <c r="H30" s="394"/>
      <c r="I30" s="409"/>
      <c r="J30" s="38" t="str">
        <f>IF(AND('Mapa final'!$AA$23="Media",'Mapa final'!$AC$23="Leve"),CONCATENATE("R5C",'Mapa final'!$Q$23),"")</f>
        <v/>
      </c>
      <c r="K30" s="39" t="str">
        <f>IF(AND('Mapa final'!$AA$24="Media",'Mapa final'!$AC$24="Leve"),CONCATENATE("R5C",'Mapa final'!$Q$24),"")</f>
        <v/>
      </c>
      <c r="L30" s="39" t="str">
        <f>IF(AND('Mapa final'!$AA$25="Media",'Mapa final'!$AC$25="Leve"),CONCATENATE("R5C",'Mapa final'!$Q$25),"")</f>
        <v/>
      </c>
      <c r="M30" s="39" t="str">
        <f>IF(AND('Mapa final'!$AA$26="Media",'Mapa final'!$AC$26="Leve"),CONCATENATE("R5C",'Mapa final'!$Q$26),"")</f>
        <v/>
      </c>
      <c r="N30" s="39" t="str">
        <f>IF(AND('Mapa final'!$AA$27="Media",'Mapa final'!$AC$27="Leve"),CONCATENATE("R5C",'Mapa final'!$Q$27),"")</f>
        <v/>
      </c>
      <c r="O30" s="40" t="str">
        <f>IF(AND('Mapa final'!$AA$28="Media",'Mapa final'!$AC$28="Leve"),CONCATENATE("R5C",'Mapa final'!$Q$28),"")</f>
        <v/>
      </c>
      <c r="P30" s="38" t="str">
        <f>IF(AND('Mapa final'!$AA$23="Media",'Mapa final'!$AC$23="Menor"),CONCATENATE("R5C",'Mapa final'!$Q$23),"")</f>
        <v/>
      </c>
      <c r="Q30" s="39" t="str">
        <f>IF(AND('Mapa final'!$AA$24="Media",'Mapa final'!$AC$24="Menor"),CONCATENATE("R5C",'Mapa final'!$Q$24),"")</f>
        <v/>
      </c>
      <c r="R30" s="39" t="str">
        <f>IF(AND('Mapa final'!$AA$25="Media",'Mapa final'!$AC$25="Menor"),CONCATENATE("R5C",'Mapa final'!$Q$25),"")</f>
        <v/>
      </c>
      <c r="S30" s="39" t="str">
        <f>IF(AND('Mapa final'!$AA$26="Media",'Mapa final'!$AC$26="Menor"),CONCATENATE("R5C",'Mapa final'!$Q$26),"")</f>
        <v/>
      </c>
      <c r="T30" s="39" t="str">
        <f>IF(AND('Mapa final'!$AA$27="Media",'Mapa final'!$AC$27="Menor"),CONCATENATE("R5C",'Mapa final'!$Q$27),"")</f>
        <v/>
      </c>
      <c r="U30" s="40" t="str">
        <f>IF(AND('Mapa final'!$AA$28="Media",'Mapa final'!$AC$28="Menor"),CONCATENATE("R5C",'Mapa final'!$Q$28),"")</f>
        <v/>
      </c>
      <c r="V30" s="38" t="str">
        <f>IF(AND('Mapa final'!$AA$23="Media",'Mapa final'!$AC$23="Moderado"),CONCATENATE("R5C",'Mapa final'!$Q$23),"")</f>
        <v/>
      </c>
      <c r="W30" s="39" t="str">
        <f>IF(AND('Mapa final'!$AA$24="Media",'Mapa final'!$AC$24="Moderado"),CONCATENATE("R5C",'Mapa final'!$Q$24),"")</f>
        <v/>
      </c>
      <c r="X30" s="39" t="str">
        <f>IF(AND('Mapa final'!$AA$25="Media",'Mapa final'!$AC$25="Moderado"),CONCATENATE("R5C",'Mapa final'!$Q$25),"")</f>
        <v/>
      </c>
      <c r="Y30" s="39" t="str">
        <f>IF(AND('Mapa final'!$AA$26="Media",'Mapa final'!$AC$26="Moderado"),CONCATENATE("R5C",'Mapa final'!$Q$26),"")</f>
        <v/>
      </c>
      <c r="Z30" s="39" t="str">
        <f>IF(AND('Mapa final'!$AA$27="Media",'Mapa final'!$AC$27="Moderado"),CONCATENATE("R5C",'Mapa final'!$Q$27),"")</f>
        <v/>
      </c>
      <c r="AA30" s="40" t="str">
        <f>IF(AND('Mapa final'!$AA$28="Media",'Mapa final'!$AC$28="Moderado"),CONCATENATE("R5C",'Mapa final'!$Q$28),"")</f>
        <v/>
      </c>
      <c r="AB30" s="22" t="str">
        <f>IF(AND('Mapa final'!$AA$23="Media",'Mapa final'!$AC$23="Mayor"),CONCATENATE("R5C",'Mapa final'!$Q$23),"")</f>
        <v/>
      </c>
      <c r="AC30" s="23" t="str">
        <f>IF(AND('Mapa final'!$AA$24="Media",'Mapa final'!$AC$24="Mayor"),CONCATENATE("R5C",'Mapa final'!$Q$24),"")</f>
        <v/>
      </c>
      <c r="AD30" s="28" t="str">
        <f>IF(AND('Mapa final'!$AA$25="Media",'Mapa final'!$AC$25="Mayor"),CONCATENATE("R5C",'Mapa final'!$Q$25),"")</f>
        <v/>
      </c>
      <c r="AE30" s="28" t="str">
        <f>IF(AND('Mapa final'!$AA$26="Media",'Mapa final'!$AC$26="Mayor"),CONCATENATE("R5C",'Mapa final'!$Q$26),"")</f>
        <v/>
      </c>
      <c r="AF30" s="28" t="str">
        <f>IF(AND('Mapa final'!$AA$27="Media",'Mapa final'!$AC$27="Mayor"),CONCATENATE("R5C",'Mapa final'!$Q$27),"")</f>
        <v/>
      </c>
      <c r="AG30" s="24" t="str">
        <f>IF(AND('Mapa final'!$AA$28="Media",'Mapa final'!$AC$28="Mayor"),CONCATENATE("R5C",'Mapa final'!$Q$28),"")</f>
        <v/>
      </c>
      <c r="AH30" s="25" t="str">
        <f>IF(AND('Mapa final'!$AA$23="Media",'Mapa final'!$AC$23="Catastrófico"),CONCATENATE("R5C",'Mapa final'!$Q$23),"")</f>
        <v/>
      </c>
      <c r="AI30" s="26" t="str">
        <f>IF(AND('Mapa final'!$AA$24="Media",'Mapa final'!$AC$24="Catastrófico"),CONCATENATE("R5C",'Mapa final'!$Q$24),"")</f>
        <v/>
      </c>
      <c r="AJ30" s="26" t="str">
        <f>IF(AND('Mapa final'!$AA$25="Media",'Mapa final'!$AC$25="Catastrófico"),CONCATENATE("R5C",'Mapa final'!$Q$25),"")</f>
        <v/>
      </c>
      <c r="AK30" s="26" t="str">
        <f>IF(AND('Mapa final'!$AA$26="Media",'Mapa final'!$AC$26="Catastrófico"),CONCATENATE("R5C",'Mapa final'!$Q$26),"")</f>
        <v/>
      </c>
      <c r="AL30" s="26" t="str">
        <f>IF(AND('Mapa final'!$AA$27="Media",'Mapa final'!$AC$27="Catastrófico"),CONCATENATE("R5C",'Mapa final'!$Q$27),"")</f>
        <v/>
      </c>
      <c r="AM30" s="27" t="str">
        <f>IF(AND('Mapa final'!$AA$28="Media",'Mapa final'!$AC$28="Catastrófico"),CONCATENATE("R5C",'Mapa final'!$Q$28),"")</f>
        <v/>
      </c>
      <c r="AN30" s="54"/>
      <c r="AO30" s="423"/>
      <c r="AP30" s="424"/>
      <c r="AQ30" s="424"/>
      <c r="AR30" s="424"/>
      <c r="AS30" s="424"/>
      <c r="AT30" s="425"/>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row>
    <row r="31" spans="1:76" ht="15" customHeight="1" x14ac:dyDescent="0.3">
      <c r="A31" s="54"/>
      <c r="B31" s="292"/>
      <c r="C31" s="292"/>
      <c r="D31" s="293"/>
      <c r="E31" s="393"/>
      <c r="F31" s="394"/>
      <c r="G31" s="394"/>
      <c r="H31" s="394"/>
      <c r="I31" s="409"/>
      <c r="J31" s="38" t="str">
        <f>IF(AND('Mapa final'!$AA$29="Media",'Mapa final'!$AC$29="Leve"),CONCATENATE("R6C",'Mapa final'!$Q$29),"")</f>
        <v/>
      </c>
      <c r="K31" s="39" t="str">
        <f>IF(AND('Mapa final'!$AA$30="Media",'Mapa final'!$AC$30="Leve"),CONCATENATE("R6C",'Mapa final'!$Q$30),"")</f>
        <v/>
      </c>
      <c r="L31" s="39" t="str">
        <f>IF(AND('Mapa final'!$AA$31="Media",'Mapa final'!$AC$31="Leve"),CONCATENATE("R6C",'Mapa final'!$Q$31),"")</f>
        <v/>
      </c>
      <c r="M31" s="39" t="str">
        <f>IF(AND('Mapa final'!$AA$32="Media",'Mapa final'!$AC$32="Leve"),CONCATENATE("R6C",'Mapa final'!$Q$32),"")</f>
        <v/>
      </c>
      <c r="N31" s="39" t="str">
        <f>IF(AND('Mapa final'!$AA$33="Media",'Mapa final'!$AC$33="Leve"),CONCATENATE("R6C",'Mapa final'!$Q$33),"")</f>
        <v/>
      </c>
      <c r="O31" s="40" t="str">
        <f>IF(AND('Mapa final'!$AA$34="Media",'Mapa final'!$AC$34="Leve"),CONCATENATE("R6C",'Mapa final'!$Q$34),"")</f>
        <v/>
      </c>
      <c r="P31" s="38" t="str">
        <f>IF(AND('Mapa final'!$AA$29="Media",'Mapa final'!$AC$29="Menor"),CONCATENATE("R6C",'Mapa final'!$Q$29),"")</f>
        <v/>
      </c>
      <c r="Q31" s="39" t="str">
        <f>IF(AND('Mapa final'!$AA$30="Media",'Mapa final'!$AC$30="Menor"),CONCATENATE("R6C",'Mapa final'!$Q$30),"")</f>
        <v/>
      </c>
      <c r="R31" s="39" t="str">
        <f>IF(AND('Mapa final'!$AA$31="Media",'Mapa final'!$AC$31="Menor"),CONCATENATE("R6C",'Mapa final'!$Q$31),"")</f>
        <v/>
      </c>
      <c r="S31" s="39" t="str">
        <f>IF(AND('Mapa final'!$AA$32="Media",'Mapa final'!$AC$32="Menor"),CONCATENATE("R6C",'Mapa final'!$Q$32),"")</f>
        <v/>
      </c>
      <c r="T31" s="39" t="str">
        <f>IF(AND('Mapa final'!$AA$33="Media",'Mapa final'!$AC$33="Menor"),CONCATENATE("R6C",'Mapa final'!$Q$33),"")</f>
        <v/>
      </c>
      <c r="U31" s="40" t="str">
        <f>IF(AND('Mapa final'!$AA$34="Media",'Mapa final'!$AC$34="Menor"),CONCATENATE("R6C",'Mapa final'!$Q$34),"")</f>
        <v/>
      </c>
      <c r="V31" s="38" t="str">
        <f>IF(AND('Mapa final'!$AA$29="Media",'Mapa final'!$AC$29="Moderado"),CONCATENATE("R6C",'Mapa final'!$Q$29),"")</f>
        <v/>
      </c>
      <c r="W31" s="39" t="str">
        <f>IF(AND('Mapa final'!$AA$30="Media",'Mapa final'!$AC$30="Moderado"),CONCATENATE("R6C",'Mapa final'!$Q$30),"")</f>
        <v/>
      </c>
      <c r="X31" s="39" t="str">
        <f>IF(AND('Mapa final'!$AA$31="Media",'Mapa final'!$AC$31="Moderado"),CONCATENATE("R6C",'Mapa final'!$Q$31),"")</f>
        <v/>
      </c>
      <c r="Y31" s="39" t="str">
        <f>IF(AND('Mapa final'!$AA$32="Media",'Mapa final'!$AC$32="Moderado"),CONCATENATE("R6C",'Mapa final'!$Q$32),"")</f>
        <v/>
      </c>
      <c r="Z31" s="39" t="str">
        <f>IF(AND('Mapa final'!$AA$33="Media",'Mapa final'!$AC$33="Moderado"),CONCATENATE("R6C",'Mapa final'!$Q$33),"")</f>
        <v/>
      </c>
      <c r="AA31" s="40" t="str">
        <f>IF(AND('Mapa final'!$AA$34="Media",'Mapa final'!$AC$34="Moderado"),CONCATENATE("R6C",'Mapa final'!$Q$34),"")</f>
        <v/>
      </c>
      <c r="AB31" s="22" t="str">
        <f>IF(AND('Mapa final'!$AA$29="Media",'Mapa final'!$AC$29="Mayor"),CONCATENATE("R6C",'Mapa final'!$Q$29),"")</f>
        <v/>
      </c>
      <c r="AC31" s="23" t="str">
        <f>IF(AND('Mapa final'!$AA$30="Media",'Mapa final'!$AC$30="Mayor"),CONCATENATE("R6C",'Mapa final'!$Q$30),"")</f>
        <v/>
      </c>
      <c r="AD31" s="28" t="str">
        <f>IF(AND('Mapa final'!$AA$31="Media",'Mapa final'!$AC$31="Mayor"),CONCATENATE("R6C",'Mapa final'!$Q$31),"")</f>
        <v/>
      </c>
      <c r="AE31" s="28" t="str">
        <f>IF(AND('Mapa final'!$AA$32="Media",'Mapa final'!$AC$32="Mayor"),CONCATENATE("R6C",'Mapa final'!$Q$32),"")</f>
        <v/>
      </c>
      <c r="AF31" s="28" t="str">
        <f>IF(AND('Mapa final'!$AA$33="Media",'Mapa final'!$AC$33="Mayor"),CONCATENATE("R6C",'Mapa final'!$Q$33),"")</f>
        <v/>
      </c>
      <c r="AG31" s="24" t="str">
        <f>IF(AND('Mapa final'!$AA$34="Media",'Mapa final'!$AC$34="Mayor"),CONCATENATE("R6C",'Mapa final'!$Q$34),"")</f>
        <v/>
      </c>
      <c r="AH31" s="25" t="str">
        <f>IF(AND('Mapa final'!$AA$29="Media",'Mapa final'!$AC$29="Catastrófico"),CONCATENATE("R6C",'Mapa final'!$Q$29),"")</f>
        <v/>
      </c>
      <c r="AI31" s="26" t="str">
        <f>IF(AND('Mapa final'!$AA$30="Media",'Mapa final'!$AC$30="Catastrófico"),CONCATENATE("R6C",'Mapa final'!$Q$30),"")</f>
        <v/>
      </c>
      <c r="AJ31" s="26" t="str">
        <f>IF(AND('Mapa final'!$AA$31="Media",'Mapa final'!$AC$31="Catastrófico"),CONCATENATE("R6C",'Mapa final'!$Q$31),"")</f>
        <v/>
      </c>
      <c r="AK31" s="26" t="str">
        <f>IF(AND('Mapa final'!$AA$32="Media",'Mapa final'!$AC$32="Catastrófico"),CONCATENATE("R6C",'Mapa final'!$Q$32),"")</f>
        <v/>
      </c>
      <c r="AL31" s="26" t="str">
        <f>IF(AND('Mapa final'!$AA$33="Media",'Mapa final'!$AC$33="Catastrófico"),CONCATENATE("R6C",'Mapa final'!$Q$33),"")</f>
        <v/>
      </c>
      <c r="AM31" s="27" t="str">
        <f>IF(AND('Mapa final'!$AA$34="Media",'Mapa final'!$AC$34="Catastrófico"),CONCATENATE("R6C",'Mapa final'!$Q$34),"")</f>
        <v/>
      </c>
      <c r="AN31" s="54"/>
      <c r="AO31" s="423"/>
      <c r="AP31" s="424"/>
      <c r="AQ31" s="424"/>
      <c r="AR31" s="424"/>
      <c r="AS31" s="424"/>
      <c r="AT31" s="425"/>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row>
    <row r="32" spans="1:76" ht="15" customHeight="1" x14ac:dyDescent="0.3">
      <c r="A32" s="54"/>
      <c r="B32" s="292"/>
      <c r="C32" s="292"/>
      <c r="D32" s="293"/>
      <c r="E32" s="393"/>
      <c r="F32" s="394"/>
      <c r="G32" s="394"/>
      <c r="H32" s="394"/>
      <c r="I32" s="409"/>
      <c r="J32" s="38" t="str">
        <f>IF(AND('Mapa final'!$AA$35="Media",'Mapa final'!$AC$35="Leve"),CONCATENATE("R7C",'Mapa final'!$Q$35),"")</f>
        <v/>
      </c>
      <c r="K32" s="39" t="str">
        <f>IF(AND('Mapa final'!$AA$36="Media",'Mapa final'!$AC$36="Leve"),CONCATENATE("R7C",'Mapa final'!$Q$36),"")</f>
        <v/>
      </c>
      <c r="L32" s="39" t="str">
        <f>IF(AND('Mapa final'!$AA$37="Media",'Mapa final'!$AC$37="Leve"),CONCATENATE("R7C",'Mapa final'!$Q$37),"")</f>
        <v/>
      </c>
      <c r="M32" s="39" t="str">
        <f>IF(AND('Mapa final'!$AA$38="Media",'Mapa final'!$AC$38="Leve"),CONCATENATE("R7C",'Mapa final'!$Q$38),"")</f>
        <v/>
      </c>
      <c r="N32" s="39" t="str">
        <f>IF(AND('Mapa final'!$AA$39="Media",'Mapa final'!$AC$39="Leve"),CONCATENATE("R7C",'Mapa final'!$Q$39),"")</f>
        <v/>
      </c>
      <c r="O32" s="40" t="str">
        <f>IF(AND('Mapa final'!$AA$40="Media",'Mapa final'!$AC$40="Leve"),CONCATENATE("R7C",'Mapa final'!$Q$40),"")</f>
        <v/>
      </c>
      <c r="P32" s="38" t="str">
        <f>IF(AND('Mapa final'!$AA$35="Media",'Mapa final'!$AC$35="Menor"),CONCATENATE("R7C",'Mapa final'!$Q$35),"")</f>
        <v/>
      </c>
      <c r="Q32" s="39" t="str">
        <f>IF(AND('Mapa final'!$AA$36="Media",'Mapa final'!$AC$36="Menor"),CONCATENATE("R7C",'Mapa final'!$Q$36),"")</f>
        <v/>
      </c>
      <c r="R32" s="39" t="str">
        <f>IF(AND('Mapa final'!$AA$37="Media",'Mapa final'!$AC$37="Menor"),CONCATENATE("R7C",'Mapa final'!$Q$37),"")</f>
        <v/>
      </c>
      <c r="S32" s="39" t="str">
        <f>IF(AND('Mapa final'!$AA$38="Media",'Mapa final'!$AC$38="Menor"),CONCATENATE("R7C",'Mapa final'!$Q$38),"")</f>
        <v/>
      </c>
      <c r="T32" s="39" t="str">
        <f>IF(AND('Mapa final'!$AA$39="Media",'Mapa final'!$AC$39="Menor"),CONCATENATE("R7C",'Mapa final'!$Q$39),"")</f>
        <v/>
      </c>
      <c r="U32" s="40" t="str">
        <f>IF(AND('Mapa final'!$AA$40="Media",'Mapa final'!$AC$40="Menor"),CONCATENATE("R7C",'Mapa final'!$Q$40),"")</f>
        <v/>
      </c>
      <c r="V32" s="38" t="str">
        <f>IF(AND('Mapa final'!$AA$35="Media",'Mapa final'!$AC$35="Moderado"),CONCATENATE("R7C",'Mapa final'!$Q$35),"")</f>
        <v/>
      </c>
      <c r="W32" s="39" t="str">
        <f>IF(AND('Mapa final'!$AA$36="Media",'Mapa final'!$AC$36="Moderado"),CONCATENATE("R7C",'Mapa final'!$Q$36),"")</f>
        <v/>
      </c>
      <c r="X32" s="39" t="str">
        <f>IF(AND('Mapa final'!$AA$37="Media",'Mapa final'!$AC$37="Moderado"),CONCATENATE("R7C",'Mapa final'!$Q$37),"")</f>
        <v/>
      </c>
      <c r="Y32" s="39" t="str">
        <f>IF(AND('Mapa final'!$AA$38="Media",'Mapa final'!$AC$38="Moderado"),CONCATENATE("R7C",'Mapa final'!$Q$38),"")</f>
        <v/>
      </c>
      <c r="Z32" s="39" t="str">
        <f>IF(AND('Mapa final'!$AA$39="Media",'Mapa final'!$AC$39="Moderado"),CONCATENATE("R7C",'Mapa final'!$Q$39),"")</f>
        <v/>
      </c>
      <c r="AA32" s="40" t="str">
        <f>IF(AND('Mapa final'!$AA$40="Media",'Mapa final'!$AC$40="Moderado"),CONCATENATE("R7C",'Mapa final'!$Q$40),"")</f>
        <v/>
      </c>
      <c r="AB32" s="22" t="str">
        <f>IF(AND('Mapa final'!$AA$35="Media",'Mapa final'!$AC$35="Mayor"),CONCATENATE("R7C",'Mapa final'!$Q$35),"")</f>
        <v/>
      </c>
      <c r="AC32" s="23" t="str">
        <f>IF(AND('Mapa final'!$AA$36="Media",'Mapa final'!$AC$36="Mayor"),CONCATENATE("R7C",'Mapa final'!$Q$36),"")</f>
        <v/>
      </c>
      <c r="AD32" s="28" t="str">
        <f>IF(AND('Mapa final'!$AA$37="Media",'Mapa final'!$AC$37="Mayor"),CONCATENATE("R7C",'Mapa final'!$Q$37),"")</f>
        <v/>
      </c>
      <c r="AE32" s="28" t="str">
        <f>IF(AND('Mapa final'!$AA$38="Media",'Mapa final'!$AC$38="Mayor"),CONCATENATE("R7C",'Mapa final'!$Q$38),"")</f>
        <v/>
      </c>
      <c r="AF32" s="28" t="str">
        <f>IF(AND('Mapa final'!$AA$39="Media",'Mapa final'!$AC$39="Mayor"),CONCATENATE("R7C",'Mapa final'!$Q$39),"")</f>
        <v/>
      </c>
      <c r="AG32" s="24" t="str">
        <f>IF(AND('Mapa final'!$AA$40="Media",'Mapa final'!$AC$40="Mayor"),CONCATENATE("R7C",'Mapa final'!$Q$40),"")</f>
        <v/>
      </c>
      <c r="AH32" s="25" t="str">
        <f>IF(AND('Mapa final'!$AA$35="Media",'Mapa final'!$AC$35="Catastrófico"),CONCATENATE("R7C",'Mapa final'!$Q$35),"")</f>
        <v/>
      </c>
      <c r="AI32" s="26" t="str">
        <f>IF(AND('Mapa final'!$AA$36="Media",'Mapa final'!$AC$36="Catastrófico"),CONCATENATE("R7C",'Mapa final'!$Q$36),"")</f>
        <v/>
      </c>
      <c r="AJ32" s="26" t="str">
        <f>IF(AND('Mapa final'!$AA$37="Media",'Mapa final'!$AC$37="Catastrófico"),CONCATENATE("R7C",'Mapa final'!$Q$37),"")</f>
        <v/>
      </c>
      <c r="AK32" s="26" t="str">
        <f>IF(AND('Mapa final'!$AA$38="Media",'Mapa final'!$AC$38="Catastrófico"),CONCATENATE("R7C",'Mapa final'!$Q$38),"")</f>
        <v/>
      </c>
      <c r="AL32" s="26" t="str">
        <f>IF(AND('Mapa final'!$AA$39="Media",'Mapa final'!$AC$39="Catastrófico"),CONCATENATE("R7C",'Mapa final'!$Q$39),"")</f>
        <v/>
      </c>
      <c r="AM32" s="27" t="str">
        <f>IF(AND('Mapa final'!$AA$40="Media",'Mapa final'!$AC$40="Catastrófico"),CONCATENATE("R7C",'Mapa final'!$Q$40),"")</f>
        <v/>
      </c>
      <c r="AN32" s="54"/>
      <c r="AO32" s="423"/>
      <c r="AP32" s="424"/>
      <c r="AQ32" s="424"/>
      <c r="AR32" s="424"/>
      <c r="AS32" s="424"/>
      <c r="AT32" s="425"/>
      <c r="AU32" s="54"/>
      <c r="AV32" s="54"/>
      <c r="AW32" s="54"/>
      <c r="AX32" s="54"/>
      <c r="AY32" s="54"/>
      <c r="AZ32" s="54"/>
      <c r="BA32" s="54"/>
      <c r="BB32" s="54"/>
      <c r="BC32" s="54"/>
      <c r="BD32" s="54"/>
      <c r="BE32" s="54"/>
      <c r="BF32" s="54"/>
      <c r="BG32" s="54"/>
      <c r="BH32" s="54"/>
      <c r="BI32" s="54"/>
      <c r="BJ32" s="54"/>
      <c r="BK32" s="54"/>
      <c r="BL32" s="54"/>
      <c r="BM32" s="54"/>
      <c r="BN32" s="54"/>
      <c r="BO32" s="54"/>
      <c r="BP32" s="54"/>
      <c r="BQ32" s="54"/>
      <c r="BR32" s="54"/>
      <c r="BS32" s="54"/>
      <c r="BT32" s="54"/>
      <c r="BU32" s="54"/>
      <c r="BV32" s="54"/>
      <c r="BW32" s="54"/>
      <c r="BX32" s="54"/>
    </row>
    <row r="33" spans="1:80" ht="15" customHeight="1" x14ac:dyDescent="0.3">
      <c r="A33" s="54"/>
      <c r="B33" s="292"/>
      <c r="C33" s="292"/>
      <c r="D33" s="293"/>
      <c r="E33" s="393"/>
      <c r="F33" s="394"/>
      <c r="G33" s="394"/>
      <c r="H33" s="394"/>
      <c r="I33" s="409"/>
      <c r="J33" s="38" t="str">
        <f>IF(AND('Mapa final'!$AA$41="Media",'Mapa final'!$AC$41="Leve"),CONCATENATE("R8C",'Mapa final'!$Q$41),"")</f>
        <v/>
      </c>
      <c r="K33" s="39" t="str">
        <f>IF(AND('Mapa final'!$AA$42="Media",'Mapa final'!$AC$42="Leve"),CONCATENATE("R8C",'Mapa final'!$Q$42),"")</f>
        <v/>
      </c>
      <c r="L33" s="39" t="str">
        <f>IF(AND('Mapa final'!$AA$43="Media",'Mapa final'!$AC$43="Leve"),CONCATENATE("R8C",'Mapa final'!$Q$43),"")</f>
        <v/>
      </c>
      <c r="M33" s="39" t="str">
        <f>IF(AND('Mapa final'!$AA$44="Media",'Mapa final'!$AC$44="Leve"),CONCATENATE("R8C",'Mapa final'!$Q$44),"")</f>
        <v/>
      </c>
      <c r="N33" s="39" t="str">
        <f>IF(AND('Mapa final'!$AA$45="Media",'Mapa final'!$AC$45="Leve"),CONCATENATE("R8C",'Mapa final'!$Q$45),"")</f>
        <v/>
      </c>
      <c r="O33" s="40" t="str">
        <f>IF(AND('Mapa final'!$AA$46="Media",'Mapa final'!$AC$46="Leve"),CONCATENATE("R8C",'Mapa final'!$Q$46),"")</f>
        <v/>
      </c>
      <c r="P33" s="38" t="str">
        <f>IF(AND('Mapa final'!$AA$41="Media",'Mapa final'!$AC$41="Menor"),CONCATENATE("R8C",'Mapa final'!$Q$41),"")</f>
        <v/>
      </c>
      <c r="Q33" s="39" t="str">
        <f>IF(AND('Mapa final'!$AA$42="Media",'Mapa final'!$AC$42="Menor"),CONCATENATE("R8C",'Mapa final'!$Q$42),"")</f>
        <v/>
      </c>
      <c r="R33" s="39" t="str">
        <f>IF(AND('Mapa final'!$AA$43="Media",'Mapa final'!$AC$43="Menor"),CONCATENATE("R8C",'Mapa final'!$Q$43),"")</f>
        <v/>
      </c>
      <c r="S33" s="39" t="str">
        <f>IF(AND('Mapa final'!$AA$44="Media",'Mapa final'!$AC$44="Menor"),CONCATENATE("R8C",'Mapa final'!$Q$44),"")</f>
        <v/>
      </c>
      <c r="T33" s="39" t="str">
        <f>IF(AND('Mapa final'!$AA$45="Media",'Mapa final'!$AC$45="Menor"),CONCATENATE("R8C",'Mapa final'!$Q$45),"")</f>
        <v/>
      </c>
      <c r="U33" s="40" t="str">
        <f>IF(AND('Mapa final'!$AA$46="Media",'Mapa final'!$AC$46="Menor"),CONCATENATE("R8C",'Mapa final'!$Q$46),"")</f>
        <v/>
      </c>
      <c r="V33" s="38" t="str">
        <f>IF(AND('Mapa final'!$AA$41="Media",'Mapa final'!$AC$41="Moderado"),CONCATENATE("R8C",'Mapa final'!$Q$41),"")</f>
        <v/>
      </c>
      <c r="W33" s="39" t="str">
        <f>IF(AND('Mapa final'!$AA$42="Media",'Mapa final'!$AC$42="Moderado"),CONCATENATE("R8C",'Mapa final'!$Q$42),"")</f>
        <v/>
      </c>
      <c r="X33" s="39" t="str">
        <f>IF(AND('Mapa final'!$AA$43="Media",'Mapa final'!$AC$43="Moderado"),CONCATENATE("R8C",'Mapa final'!$Q$43),"")</f>
        <v/>
      </c>
      <c r="Y33" s="39" t="str">
        <f>IF(AND('Mapa final'!$AA$44="Media",'Mapa final'!$AC$44="Moderado"),CONCATENATE("R8C",'Mapa final'!$Q$44),"")</f>
        <v/>
      </c>
      <c r="Z33" s="39" t="str">
        <f>IF(AND('Mapa final'!$AA$45="Media",'Mapa final'!$AC$45="Moderado"),CONCATENATE("R8C",'Mapa final'!$Q$45),"")</f>
        <v/>
      </c>
      <c r="AA33" s="40" t="str">
        <f>IF(AND('Mapa final'!$AA$46="Media",'Mapa final'!$AC$46="Moderado"),CONCATENATE("R8C",'Mapa final'!$Q$46),"")</f>
        <v/>
      </c>
      <c r="AB33" s="22" t="str">
        <f>IF(AND('Mapa final'!$AA$41="Media",'Mapa final'!$AC$41="Mayor"),CONCATENATE("R8C",'Mapa final'!$Q$41),"")</f>
        <v/>
      </c>
      <c r="AC33" s="23" t="str">
        <f>IF(AND('Mapa final'!$AA$42="Media",'Mapa final'!$AC$42="Mayor"),CONCATENATE("R8C",'Mapa final'!$Q$42),"")</f>
        <v/>
      </c>
      <c r="AD33" s="28" t="str">
        <f>IF(AND('Mapa final'!$AA$43="Media",'Mapa final'!$AC$43="Mayor"),CONCATENATE("R8C",'Mapa final'!$Q$43),"")</f>
        <v/>
      </c>
      <c r="AE33" s="28" t="str">
        <f>IF(AND('Mapa final'!$AA$44="Media",'Mapa final'!$AC$44="Mayor"),CONCATENATE("R8C",'Mapa final'!$Q$44),"")</f>
        <v/>
      </c>
      <c r="AF33" s="28" t="str">
        <f>IF(AND('Mapa final'!$AA$45="Media",'Mapa final'!$AC$45="Mayor"),CONCATENATE("R8C",'Mapa final'!$Q$45),"")</f>
        <v/>
      </c>
      <c r="AG33" s="24" t="str">
        <f>IF(AND('Mapa final'!$AA$46="Media",'Mapa final'!$AC$46="Mayor"),CONCATENATE("R8C",'Mapa final'!$Q$46),"")</f>
        <v/>
      </c>
      <c r="AH33" s="25" t="str">
        <f>IF(AND('Mapa final'!$AA$41="Media",'Mapa final'!$AC$41="Catastrófico"),CONCATENATE("R8C",'Mapa final'!$Q$41),"")</f>
        <v/>
      </c>
      <c r="AI33" s="26" t="str">
        <f>IF(AND('Mapa final'!$AA$42="Media",'Mapa final'!$AC$42="Catastrófico"),CONCATENATE("R8C",'Mapa final'!$Q$42),"")</f>
        <v/>
      </c>
      <c r="AJ33" s="26" t="str">
        <f>IF(AND('Mapa final'!$AA$43="Media",'Mapa final'!$AC$43="Catastrófico"),CONCATENATE("R8C",'Mapa final'!$Q$43),"")</f>
        <v/>
      </c>
      <c r="AK33" s="26" t="str">
        <f>IF(AND('Mapa final'!$AA$44="Media",'Mapa final'!$AC$44="Catastrófico"),CONCATENATE("R8C",'Mapa final'!$Q$44),"")</f>
        <v/>
      </c>
      <c r="AL33" s="26" t="str">
        <f>IF(AND('Mapa final'!$AA$45="Media",'Mapa final'!$AC$45="Catastrófico"),CONCATENATE("R8C",'Mapa final'!$Q$45),"")</f>
        <v/>
      </c>
      <c r="AM33" s="27" t="str">
        <f>IF(AND('Mapa final'!$AA$46="Media",'Mapa final'!$AC$46="Catastrófico"),CONCATENATE("R8C",'Mapa final'!$Q$46),"")</f>
        <v/>
      </c>
      <c r="AN33" s="54"/>
      <c r="AO33" s="423"/>
      <c r="AP33" s="424"/>
      <c r="AQ33" s="424"/>
      <c r="AR33" s="424"/>
      <c r="AS33" s="424"/>
      <c r="AT33" s="425"/>
      <c r="AU33" s="54"/>
      <c r="AV33" s="54"/>
      <c r="AW33" s="54"/>
      <c r="AX33" s="54"/>
      <c r="AY33" s="54"/>
      <c r="AZ33" s="54"/>
      <c r="BA33" s="54"/>
      <c r="BB33" s="54"/>
      <c r="BC33" s="54"/>
      <c r="BD33" s="54"/>
      <c r="BE33" s="54"/>
      <c r="BF33" s="54"/>
      <c r="BG33" s="54"/>
      <c r="BH33" s="54"/>
      <c r="BI33" s="54"/>
      <c r="BJ33" s="54"/>
      <c r="BK33" s="54"/>
      <c r="BL33" s="54"/>
      <c r="BM33" s="54"/>
      <c r="BN33" s="54"/>
      <c r="BO33" s="54"/>
      <c r="BP33" s="54"/>
      <c r="BQ33" s="54"/>
      <c r="BR33" s="54"/>
      <c r="BS33" s="54"/>
      <c r="BT33" s="54"/>
      <c r="BU33" s="54"/>
      <c r="BV33" s="54"/>
      <c r="BW33" s="54"/>
      <c r="BX33" s="54"/>
    </row>
    <row r="34" spans="1:80" ht="15" customHeight="1" x14ac:dyDescent="0.3">
      <c r="A34" s="54"/>
      <c r="B34" s="292"/>
      <c r="C34" s="292"/>
      <c r="D34" s="293"/>
      <c r="E34" s="393"/>
      <c r="F34" s="394"/>
      <c r="G34" s="394"/>
      <c r="H34" s="394"/>
      <c r="I34" s="409"/>
      <c r="J34" s="38" t="str">
        <f>IF(AND('Mapa final'!$AA$47="Media",'Mapa final'!$AC$47="Leve"),CONCATENATE("R9C",'Mapa final'!$Q$47),"")</f>
        <v/>
      </c>
      <c r="K34" s="39" t="str">
        <f>IF(AND('Mapa final'!$AA$48="Media",'Mapa final'!$AC$48="Leve"),CONCATENATE("R9C",'Mapa final'!$Q$48),"")</f>
        <v/>
      </c>
      <c r="L34" s="39" t="str">
        <f>IF(AND('Mapa final'!$AA$49="Media",'Mapa final'!$AC$49="Leve"),CONCATENATE("R9C",'Mapa final'!$Q$49),"")</f>
        <v/>
      </c>
      <c r="M34" s="39" t="str">
        <f>IF(AND('Mapa final'!$AA$50="Media",'Mapa final'!$AC$50="Leve"),CONCATENATE("R9C",'Mapa final'!$Q$50),"")</f>
        <v/>
      </c>
      <c r="N34" s="39" t="str">
        <f>IF(AND('Mapa final'!$AA$51="Media",'Mapa final'!$AC$51="Leve"),CONCATENATE("R9C",'Mapa final'!$Q$51),"")</f>
        <v/>
      </c>
      <c r="O34" s="40" t="str">
        <f>IF(AND('Mapa final'!$AA$52="Media",'Mapa final'!$AC$52="Leve"),CONCATENATE("R9C",'Mapa final'!$Q$52),"")</f>
        <v/>
      </c>
      <c r="P34" s="38" t="str">
        <f>IF(AND('Mapa final'!$AA$47="Media",'Mapa final'!$AC$47="Menor"),CONCATENATE("R9C",'Mapa final'!$Q$47),"")</f>
        <v/>
      </c>
      <c r="Q34" s="39" t="str">
        <f>IF(AND('Mapa final'!$AA$48="Media",'Mapa final'!$AC$48="Menor"),CONCATENATE("R9C",'Mapa final'!$Q$48),"")</f>
        <v/>
      </c>
      <c r="R34" s="39" t="str">
        <f>IF(AND('Mapa final'!$AA$49="Media",'Mapa final'!$AC$49="Menor"),CONCATENATE("R9C",'Mapa final'!$Q$49),"")</f>
        <v/>
      </c>
      <c r="S34" s="39" t="str">
        <f>IF(AND('Mapa final'!$AA$50="Media",'Mapa final'!$AC$50="Menor"),CONCATENATE("R9C",'Mapa final'!$Q$50),"")</f>
        <v/>
      </c>
      <c r="T34" s="39" t="str">
        <f>IF(AND('Mapa final'!$AA$51="Media",'Mapa final'!$AC$51="Menor"),CONCATENATE("R9C",'Mapa final'!$Q$51),"")</f>
        <v/>
      </c>
      <c r="U34" s="40" t="str">
        <f>IF(AND('Mapa final'!$AA$52="Media",'Mapa final'!$AC$52="Menor"),CONCATENATE("R9C",'Mapa final'!$Q$52),"")</f>
        <v/>
      </c>
      <c r="V34" s="38" t="str">
        <f>IF(AND('Mapa final'!$AA$47="Media",'Mapa final'!$AC$47="Moderado"),CONCATENATE("R9C",'Mapa final'!$Q$47),"")</f>
        <v/>
      </c>
      <c r="W34" s="39" t="str">
        <f>IF(AND('Mapa final'!$AA$48="Media",'Mapa final'!$AC$48="Moderado"),CONCATENATE("R9C",'Mapa final'!$Q$48),"")</f>
        <v/>
      </c>
      <c r="X34" s="39" t="str">
        <f>IF(AND('Mapa final'!$AA$49="Media",'Mapa final'!$AC$49="Moderado"),CONCATENATE("R9C",'Mapa final'!$Q$49),"")</f>
        <v/>
      </c>
      <c r="Y34" s="39" t="str">
        <f>IF(AND('Mapa final'!$AA$50="Media",'Mapa final'!$AC$50="Moderado"),CONCATENATE("R9C",'Mapa final'!$Q$50),"")</f>
        <v/>
      </c>
      <c r="Z34" s="39" t="str">
        <f>IF(AND('Mapa final'!$AA$51="Media",'Mapa final'!$AC$51="Moderado"),CONCATENATE("R9C",'Mapa final'!$Q$51),"")</f>
        <v/>
      </c>
      <c r="AA34" s="40" t="str">
        <f>IF(AND('Mapa final'!$AA$52="Media",'Mapa final'!$AC$52="Moderado"),CONCATENATE("R9C",'Mapa final'!$Q$52),"")</f>
        <v/>
      </c>
      <c r="AB34" s="22" t="str">
        <f>IF(AND('Mapa final'!$AA$47="Media",'Mapa final'!$AC$47="Mayor"),CONCATENATE("R9C",'Mapa final'!$Q$47),"")</f>
        <v/>
      </c>
      <c r="AC34" s="23" t="str">
        <f>IF(AND('Mapa final'!$AA$48="Media",'Mapa final'!$AC$48="Mayor"),CONCATENATE("R9C",'Mapa final'!$Q$48),"")</f>
        <v/>
      </c>
      <c r="AD34" s="28" t="str">
        <f>IF(AND('Mapa final'!$AA$49="Media",'Mapa final'!$AC$49="Mayor"),CONCATENATE("R9C",'Mapa final'!$Q$49),"")</f>
        <v/>
      </c>
      <c r="AE34" s="28" t="str">
        <f>IF(AND('Mapa final'!$AA$50="Media",'Mapa final'!$AC$50="Mayor"),CONCATENATE("R9C",'Mapa final'!$Q$50),"")</f>
        <v/>
      </c>
      <c r="AF34" s="28" t="str">
        <f>IF(AND('Mapa final'!$AA$51="Media",'Mapa final'!$AC$51="Mayor"),CONCATENATE("R9C",'Mapa final'!$Q$51),"")</f>
        <v/>
      </c>
      <c r="AG34" s="24" t="str">
        <f>IF(AND('Mapa final'!$AA$52="Media",'Mapa final'!$AC$52="Mayor"),CONCATENATE("R9C",'Mapa final'!$Q$52),"")</f>
        <v/>
      </c>
      <c r="AH34" s="25" t="str">
        <f>IF(AND('Mapa final'!$AA$47="Media",'Mapa final'!$AC$47="Catastrófico"),CONCATENATE("R9C",'Mapa final'!$Q$47),"")</f>
        <v/>
      </c>
      <c r="AI34" s="26" t="str">
        <f>IF(AND('Mapa final'!$AA$48="Media",'Mapa final'!$AC$48="Catastrófico"),CONCATENATE("R9C",'Mapa final'!$Q$48),"")</f>
        <v/>
      </c>
      <c r="AJ34" s="26" t="str">
        <f>IF(AND('Mapa final'!$AA$49="Media",'Mapa final'!$AC$49="Catastrófico"),CONCATENATE("R9C",'Mapa final'!$Q$49),"")</f>
        <v/>
      </c>
      <c r="AK34" s="26" t="str">
        <f>IF(AND('Mapa final'!$AA$50="Media",'Mapa final'!$AC$50="Catastrófico"),CONCATENATE("R9C",'Mapa final'!$Q$50),"")</f>
        <v/>
      </c>
      <c r="AL34" s="26" t="str">
        <f>IF(AND('Mapa final'!$AA$51="Media",'Mapa final'!$AC$51="Catastrófico"),CONCATENATE("R9C",'Mapa final'!$Q$51),"")</f>
        <v/>
      </c>
      <c r="AM34" s="27" t="str">
        <f>IF(AND('Mapa final'!$AA$52="Media",'Mapa final'!$AC$52="Catastrófico"),CONCATENATE("R9C",'Mapa final'!$Q$52),"")</f>
        <v/>
      </c>
      <c r="AN34" s="54"/>
      <c r="AO34" s="423"/>
      <c r="AP34" s="424"/>
      <c r="AQ34" s="424"/>
      <c r="AR34" s="424"/>
      <c r="AS34" s="424"/>
      <c r="AT34" s="425"/>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54"/>
      <c r="BS34" s="54"/>
      <c r="BT34" s="54"/>
      <c r="BU34" s="54"/>
      <c r="BV34" s="54"/>
      <c r="BW34" s="54"/>
      <c r="BX34" s="54"/>
    </row>
    <row r="35" spans="1:80" ht="15.75" customHeight="1" thickBot="1" x14ac:dyDescent="0.35">
      <c r="A35" s="54"/>
      <c r="B35" s="292"/>
      <c r="C35" s="292"/>
      <c r="D35" s="293"/>
      <c r="E35" s="395"/>
      <c r="F35" s="396"/>
      <c r="G35" s="396"/>
      <c r="H35" s="396"/>
      <c r="I35" s="410"/>
      <c r="J35" s="38" t="str">
        <f>IF(AND('Mapa final'!$AA$53="Media",'Mapa final'!$AC$53="Leve"),CONCATENATE("R10C",'Mapa final'!$Q$53),"")</f>
        <v/>
      </c>
      <c r="K35" s="39" t="str">
        <f>IF(AND('Mapa final'!$AA$54="Media",'Mapa final'!$AC$54="Leve"),CONCATENATE("R10C",'Mapa final'!$Q$54),"")</f>
        <v/>
      </c>
      <c r="L35" s="39" t="str">
        <f>IF(AND('Mapa final'!$AA$55="Media",'Mapa final'!$AC$55="Leve"),CONCATENATE("R10C",'Mapa final'!$Q$55),"")</f>
        <v/>
      </c>
      <c r="M35" s="39" t="str">
        <f>IF(AND('Mapa final'!$AA$56="Media",'Mapa final'!$AC$56="Leve"),CONCATENATE("R10C",'Mapa final'!$Q$56),"")</f>
        <v/>
      </c>
      <c r="N35" s="39" t="str">
        <f>IF(AND('Mapa final'!$AA$57="Media",'Mapa final'!$AC$57="Leve"),CONCATENATE("R10C",'Mapa final'!$Q$57),"")</f>
        <v/>
      </c>
      <c r="O35" s="40" t="str">
        <f>IF(AND('Mapa final'!$AA$58="Media",'Mapa final'!$AC$58="Leve"),CONCATENATE("R10C",'Mapa final'!$Q$58),"")</f>
        <v/>
      </c>
      <c r="P35" s="38" t="str">
        <f>IF(AND('Mapa final'!$AA$53="Media",'Mapa final'!$AC$53="Menor"),CONCATENATE("R10C",'Mapa final'!$Q$53),"")</f>
        <v/>
      </c>
      <c r="Q35" s="39" t="str">
        <f>IF(AND('Mapa final'!$AA$54="Media",'Mapa final'!$AC$54="Menor"),CONCATENATE("R10C",'Mapa final'!$Q$54),"")</f>
        <v/>
      </c>
      <c r="R35" s="39" t="str">
        <f>IF(AND('Mapa final'!$AA$55="Media",'Mapa final'!$AC$55="Menor"),CONCATENATE("R10C",'Mapa final'!$Q$55),"")</f>
        <v/>
      </c>
      <c r="S35" s="39" t="str">
        <f>IF(AND('Mapa final'!$AA$56="Media",'Mapa final'!$AC$56="Menor"),CONCATENATE("R10C",'Mapa final'!$Q$56),"")</f>
        <v/>
      </c>
      <c r="T35" s="39" t="str">
        <f>IF(AND('Mapa final'!$AA$57="Media",'Mapa final'!$AC$57="Menor"),CONCATENATE("R10C",'Mapa final'!$Q$57),"")</f>
        <v/>
      </c>
      <c r="U35" s="40" t="str">
        <f>IF(AND('Mapa final'!$AA$58="Media",'Mapa final'!$AC$58="Menor"),CONCATENATE("R10C",'Mapa final'!$Q$58),"")</f>
        <v/>
      </c>
      <c r="V35" s="38" t="str">
        <f>IF(AND('Mapa final'!$AA$53="Media",'Mapa final'!$AC$53="Moderado"),CONCATENATE("R10C",'Mapa final'!$Q$53),"")</f>
        <v/>
      </c>
      <c r="W35" s="39" t="str">
        <f>IF(AND('Mapa final'!$AA$54="Media",'Mapa final'!$AC$54="Moderado"),CONCATENATE("R10C",'Mapa final'!$Q$54),"")</f>
        <v/>
      </c>
      <c r="X35" s="39" t="str">
        <f>IF(AND('Mapa final'!$AA$55="Media",'Mapa final'!$AC$55="Moderado"),CONCATENATE("R10C",'Mapa final'!$Q$55),"")</f>
        <v/>
      </c>
      <c r="Y35" s="39" t="str">
        <f>IF(AND('Mapa final'!$AA$56="Media",'Mapa final'!$AC$56="Moderado"),CONCATENATE("R10C",'Mapa final'!$Q$56),"")</f>
        <v/>
      </c>
      <c r="Z35" s="39" t="str">
        <f>IF(AND('Mapa final'!$AA$57="Media",'Mapa final'!$AC$57="Moderado"),CONCATENATE("R10C",'Mapa final'!$Q$57),"")</f>
        <v/>
      </c>
      <c r="AA35" s="40" t="str">
        <f>IF(AND('Mapa final'!$AA$58="Media",'Mapa final'!$AC$58="Moderado"),CONCATENATE("R10C",'Mapa final'!$Q$58),"")</f>
        <v/>
      </c>
      <c r="AB35" s="29" t="str">
        <f>IF(AND('Mapa final'!$AA$53="Media",'Mapa final'!$AC$53="Mayor"),CONCATENATE("R10C",'Mapa final'!$Q$53),"")</f>
        <v/>
      </c>
      <c r="AC35" s="30" t="str">
        <f>IF(AND('Mapa final'!$AA$54="Media",'Mapa final'!$AC$54="Mayor"),CONCATENATE("R10C",'Mapa final'!$Q$54),"")</f>
        <v/>
      </c>
      <c r="AD35" s="30" t="str">
        <f>IF(AND('Mapa final'!$AA$55="Media",'Mapa final'!$AC$55="Mayor"),CONCATENATE("R10C",'Mapa final'!$Q$55),"")</f>
        <v/>
      </c>
      <c r="AE35" s="30" t="str">
        <f>IF(AND('Mapa final'!$AA$56="Media",'Mapa final'!$AC$56="Mayor"),CONCATENATE("R10C",'Mapa final'!$Q$56),"")</f>
        <v/>
      </c>
      <c r="AF35" s="30" t="str">
        <f>IF(AND('Mapa final'!$AA$57="Media",'Mapa final'!$AC$57="Mayor"),CONCATENATE("R10C",'Mapa final'!$Q$57),"")</f>
        <v/>
      </c>
      <c r="AG35" s="31" t="str">
        <f>IF(AND('Mapa final'!$AA$58="Media",'Mapa final'!$AC$58="Mayor"),CONCATENATE("R10C",'Mapa final'!$Q$58),"")</f>
        <v/>
      </c>
      <c r="AH35" s="32" t="str">
        <f>IF(AND('Mapa final'!$AA$53="Media",'Mapa final'!$AC$53="Catastrófico"),CONCATENATE("R10C",'Mapa final'!$Q$53),"")</f>
        <v/>
      </c>
      <c r="AI35" s="33" t="str">
        <f>IF(AND('Mapa final'!$AA$54="Media",'Mapa final'!$AC$54="Catastrófico"),CONCATENATE("R10C",'Mapa final'!$Q$54),"")</f>
        <v/>
      </c>
      <c r="AJ35" s="33" t="str">
        <f>IF(AND('Mapa final'!$AA$55="Media",'Mapa final'!$AC$55="Catastrófico"),CONCATENATE("R10C",'Mapa final'!$Q$55),"")</f>
        <v/>
      </c>
      <c r="AK35" s="33" t="str">
        <f>IF(AND('Mapa final'!$AA$56="Media",'Mapa final'!$AC$56="Catastrófico"),CONCATENATE("R10C",'Mapa final'!$Q$56),"")</f>
        <v/>
      </c>
      <c r="AL35" s="33" t="str">
        <f>IF(AND('Mapa final'!$AA$57="Media",'Mapa final'!$AC$57="Catastrófico"),CONCATENATE("R10C",'Mapa final'!$Q$57),"")</f>
        <v/>
      </c>
      <c r="AM35" s="34" t="str">
        <f>IF(AND('Mapa final'!$AA$58="Media",'Mapa final'!$AC$58="Catastrófico"),CONCATENATE("R10C",'Mapa final'!$Q$58),"")</f>
        <v/>
      </c>
      <c r="AN35" s="54"/>
      <c r="AO35" s="426"/>
      <c r="AP35" s="427"/>
      <c r="AQ35" s="427"/>
      <c r="AR35" s="427"/>
      <c r="AS35" s="427"/>
      <c r="AT35" s="428"/>
      <c r="AU35" s="54"/>
      <c r="AV35" s="54"/>
      <c r="AW35" s="54"/>
      <c r="AX35" s="54"/>
      <c r="AY35" s="54"/>
      <c r="AZ35" s="54"/>
      <c r="BA35" s="54"/>
      <c r="BB35" s="54"/>
      <c r="BC35" s="54"/>
      <c r="BD35" s="54"/>
      <c r="BE35" s="54"/>
      <c r="BF35" s="54"/>
      <c r="BG35" s="54"/>
      <c r="BH35" s="54"/>
      <c r="BI35" s="54"/>
      <c r="BJ35" s="54"/>
      <c r="BK35" s="54"/>
      <c r="BL35" s="54"/>
      <c r="BM35" s="54"/>
      <c r="BN35" s="54"/>
      <c r="BO35" s="54"/>
      <c r="BP35" s="54"/>
      <c r="BQ35" s="54"/>
      <c r="BR35" s="54"/>
      <c r="BS35" s="54"/>
      <c r="BT35" s="54"/>
      <c r="BU35" s="54"/>
      <c r="BV35" s="54"/>
      <c r="BW35" s="54"/>
      <c r="BX35" s="54"/>
    </row>
    <row r="36" spans="1:80" ht="15" customHeight="1" x14ac:dyDescent="0.3">
      <c r="A36" s="54"/>
      <c r="B36" s="292"/>
      <c r="C36" s="292"/>
      <c r="D36" s="293"/>
      <c r="E36" s="389" t="s">
        <v>109</v>
      </c>
      <c r="F36" s="390"/>
      <c r="G36" s="390"/>
      <c r="H36" s="390"/>
      <c r="I36" s="390"/>
      <c r="J36" s="44" t="str">
        <f ca="1">IF(AND('Mapa final'!$AA$10="Baja",'Mapa final'!$AC$10="Leve"),CONCATENATE("R1C",'Mapa final'!$Q$10),"")</f>
        <v/>
      </c>
      <c r="K36" s="45" t="str">
        <f ca="1">IF(AND('Mapa final'!$AA$11="Baja",'Mapa final'!$AC$11="Leve"),CONCATENATE("R1C",'Mapa final'!$Q$11),"")</f>
        <v/>
      </c>
      <c r="L36" s="45" t="str">
        <f ca="1">IF(AND('Mapa final'!$AA$12="Baja",'Mapa final'!$AC$12="Leve"),CONCATENATE("R1C",'Mapa final'!$Q$12),"")</f>
        <v/>
      </c>
      <c r="M36" s="45" t="str">
        <f ca="1">IF(AND('Mapa final'!$AA$13="Baja",'Mapa final'!$AC$13="Leve"),CONCATENATE("R1C",'Mapa final'!$Q$13),"")</f>
        <v/>
      </c>
      <c r="N36" s="45" t="str">
        <f ca="1">IF(AND('Mapa final'!$AA$14="Baja",'Mapa final'!$AC$14="Leve"),CONCATENATE("R1C",'Mapa final'!$Q$14),"")</f>
        <v/>
      </c>
      <c r="O36" s="46" t="e">
        <f>IF(AND('Mapa final'!#REF!="Baja",'Mapa final'!#REF!="Leve"),CONCATENATE("R1C",'Mapa final'!#REF!),"")</f>
        <v>#REF!</v>
      </c>
      <c r="P36" s="35" t="str">
        <f ca="1">IF(AND('Mapa final'!$AA$10="Baja",'Mapa final'!$AC$10="Menor"),CONCATENATE("R1C",'Mapa final'!$Q$10),"")</f>
        <v/>
      </c>
      <c r="Q36" s="36" t="str">
        <f ca="1">IF(AND('Mapa final'!$AA$11="Baja",'Mapa final'!$AC$11="Menor"),CONCATENATE("R1C",'Mapa final'!$Q$11),"")</f>
        <v/>
      </c>
      <c r="R36" s="36" t="str">
        <f ca="1">IF(AND('Mapa final'!$AA$12="Baja",'Mapa final'!$AC$12="Menor"),CONCATENATE("R1C",'Mapa final'!$Q$12),"")</f>
        <v/>
      </c>
      <c r="S36" s="36" t="str">
        <f ca="1">IF(AND('Mapa final'!$AA$13="Baja",'Mapa final'!$AC$13="Menor"),CONCATENATE("R1C",'Mapa final'!$Q$13),"")</f>
        <v/>
      </c>
      <c r="T36" s="36" t="str">
        <f ca="1">IF(AND('Mapa final'!$AA$14="Baja",'Mapa final'!$AC$14="Menor"),CONCATENATE("R1C",'Mapa final'!$Q$14),"")</f>
        <v/>
      </c>
      <c r="U36" s="37" t="e">
        <f>IF(AND('Mapa final'!#REF!="Baja",'Mapa final'!#REF!="Menor"),CONCATENATE("R1C",'Mapa final'!#REF!),"")</f>
        <v>#REF!</v>
      </c>
      <c r="V36" s="35" t="str">
        <f ca="1">IF(AND('Mapa final'!$AA$10="Baja",'Mapa final'!$AC$10="Moderado"),CONCATENATE("R1C",'Mapa final'!$Q$10),"")</f>
        <v/>
      </c>
      <c r="W36" s="36" t="str">
        <f ca="1">IF(AND('Mapa final'!$AA$11="Baja",'Mapa final'!$AC$11="Moderado"),CONCATENATE("R1C",'Mapa final'!$Q$11),"")</f>
        <v/>
      </c>
      <c r="X36" s="36" t="str">
        <f ca="1">IF(AND('Mapa final'!$AA$12="Baja",'Mapa final'!$AC$12="Moderado"),CONCATENATE("R1C",'Mapa final'!$Q$12),"")</f>
        <v/>
      </c>
      <c r="Y36" s="36" t="str">
        <f ca="1">IF(AND('Mapa final'!$AA$13="Baja",'Mapa final'!$AC$13="Moderado"),CONCATENATE("R1C",'Mapa final'!$Q$13),"")</f>
        <v/>
      </c>
      <c r="Z36" s="36" t="str">
        <f ca="1">IF(AND('Mapa final'!$AA$14="Baja",'Mapa final'!$AC$14="Moderado"),CONCATENATE("R1C",'Mapa final'!$Q$14),"")</f>
        <v/>
      </c>
      <c r="AA36" s="37" t="e">
        <f>IF(AND('Mapa final'!#REF!="Baja",'Mapa final'!#REF!="Moderado"),CONCATENATE("R1C",'Mapa final'!#REF!),"")</f>
        <v>#REF!</v>
      </c>
      <c r="AB36" s="16" t="str">
        <f ca="1">IF(AND('Mapa final'!$AA$10="Baja",'Mapa final'!$AC$10="Mayor"),CONCATENATE("R1C",'Mapa final'!$Q$10),"")</f>
        <v/>
      </c>
      <c r="AC36" s="17" t="str">
        <f ca="1">IF(AND('Mapa final'!$AA$11="Baja",'Mapa final'!$AC$11="Mayor"),CONCATENATE("R1C",'Mapa final'!$Q$11),"")</f>
        <v>R1C2</v>
      </c>
      <c r="AD36" s="17" t="str">
        <f ca="1">IF(AND('Mapa final'!$AA$12="Baja",'Mapa final'!$AC$12="Mayor"),CONCATENATE("R1C",'Mapa final'!$Q$12),"")</f>
        <v/>
      </c>
      <c r="AE36" s="17" t="str">
        <f ca="1">IF(AND('Mapa final'!$AA$13="Baja",'Mapa final'!$AC$13="Mayor"),CONCATENATE("R1C",'Mapa final'!$Q$13),"")</f>
        <v/>
      </c>
      <c r="AF36" s="17" t="str">
        <f ca="1">IF(AND('Mapa final'!$AA$14="Baja",'Mapa final'!$AC$14="Mayor"),CONCATENATE("R1C",'Mapa final'!$Q$14),"")</f>
        <v/>
      </c>
      <c r="AG36" s="18" t="e">
        <f>IF(AND('Mapa final'!#REF!="Baja",'Mapa final'!#REF!="Mayor"),CONCATENATE("R1C",'Mapa final'!#REF!),"")</f>
        <v>#REF!</v>
      </c>
      <c r="AH36" s="19" t="str">
        <f ca="1">IF(AND('Mapa final'!$AA$10="Baja",'Mapa final'!$AC$10="Catastrófico"),CONCATENATE("R1C",'Mapa final'!$Q$10),"")</f>
        <v/>
      </c>
      <c r="AI36" s="20" t="str">
        <f ca="1">IF(AND('Mapa final'!$AA$11="Baja",'Mapa final'!$AC$11="Catastrófico"),CONCATENATE("R1C",'Mapa final'!$Q$11),"")</f>
        <v/>
      </c>
      <c r="AJ36" s="20" t="str">
        <f ca="1">IF(AND('Mapa final'!$AA$12="Baja",'Mapa final'!$AC$12="Catastrófico"),CONCATENATE("R1C",'Mapa final'!$Q$12),"")</f>
        <v/>
      </c>
      <c r="AK36" s="20" t="str">
        <f ca="1">IF(AND('Mapa final'!$AA$13="Baja",'Mapa final'!$AC$13="Catastrófico"),CONCATENATE("R1C",'Mapa final'!$Q$13),"")</f>
        <v/>
      </c>
      <c r="AL36" s="20" t="str">
        <f ca="1">IF(AND('Mapa final'!$AA$14="Baja",'Mapa final'!$AC$14="Catastrófico"),CONCATENATE("R1C",'Mapa final'!$Q$14),"")</f>
        <v/>
      </c>
      <c r="AM36" s="21" t="e">
        <f>IF(AND('Mapa final'!#REF!="Baja",'Mapa final'!#REF!="Catastrófico"),CONCATENATE("R1C",'Mapa final'!#REF!),"")</f>
        <v>#REF!</v>
      </c>
      <c r="AN36" s="54"/>
      <c r="AO36" s="411" t="s">
        <v>81</v>
      </c>
      <c r="AP36" s="412"/>
      <c r="AQ36" s="412"/>
      <c r="AR36" s="412"/>
      <c r="AS36" s="412"/>
      <c r="AT36" s="413"/>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row>
    <row r="37" spans="1:80" ht="15" customHeight="1" x14ac:dyDescent="0.3">
      <c r="A37" s="54"/>
      <c r="B37" s="292"/>
      <c r="C37" s="292"/>
      <c r="D37" s="293"/>
      <c r="E37" s="391"/>
      <c r="F37" s="392"/>
      <c r="G37" s="392"/>
      <c r="H37" s="392"/>
      <c r="I37" s="392"/>
      <c r="J37" s="47" t="str">
        <f ca="1">IF(AND('Mapa final'!$AA$15="Baja",'Mapa final'!$AC$15="Leve"),CONCATENATE("R2C",'Mapa final'!$Q$15),"")</f>
        <v/>
      </c>
      <c r="K37" s="48" t="str">
        <f ca="1">IF(AND('Mapa final'!$AA$16="Baja",'Mapa final'!$AC$16="Leve"),CONCATENATE("R2C",'Mapa final'!$Q$16),"")</f>
        <v/>
      </c>
      <c r="L37" s="48" t="e">
        <f>IF(AND('Mapa final'!#REF!="Baja",'Mapa final'!#REF!="Leve"),CONCATENATE("R2C",'Mapa final'!$Q$17),"")</f>
        <v>#REF!</v>
      </c>
      <c r="M37" s="48" t="e">
        <f>IF(AND('Mapa final'!#REF!="Baja",'Mapa final'!#REF!="Leve"),CONCATENATE("R2C",'Mapa final'!#REF!),"")</f>
        <v>#REF!</v>
      </c>
      <c r="N37" s="48" t="e">
        <f>IF(AND('Mapa final'!#REF!="Baja",'Mapa final'!#REF!="Leve"),CONCATENATE("R2C",'Mapa final'!#REF!),"")</f>
        <v>#REF!</v>
      </c>
      <c r="O37" s="49" t="e">
        <f>IF(AND('Mapa final'!#REF!="Baja",'Mapa final'!#REF!="Leve"),CONCATENATE("R2C",'Mapa final'!#REF!),"")</f>
        <v>#REF!</v>
      </c>
      <c r="P37" s="38" t="str">
        <f ca="1">IF(AND('Mapa final'!$AA$15="Baja",'Mapa final'!$AC$15="Menor"),CONCATENATE("R2C",'Mapa final'!$Q$15),"")</f>
        <v/>
      </c>
      <c r="Q37" s="39" t="str">
        <f ca="1">IF(AND('Mapa final'!$AA$16="Baja",'Mapa final'!$AC$16="Menor"),CONCATENATE("R2C",'Mapa final'!$Q$16),"")</f>
        <v/>
      </c>
      <c r="R37" s="39" t="e">
        <f>IF(AND('Mapa final'!#REF!="Baja",'Mapa final'!#REF!="Menor"),CONCATENATE("R2C",'Mapa final'!$Q$17),"")</f>
        <v>#REF!</v>
      </c>
      <c r="S37" s="39" t="e">
        <f>IF(AND('Mapa final'!#REF!="Baja",'Mapa final'!#REF!="Menor"),CONCATENATE("R2C",'Mapa final'!#REF!),"")</f>
        <v>#REF!</v>
      </c>
      <c r="T37" s="39" t="e">
        <f>IF(AND('Mapa final'!#REF!="Baja",'Mapa final'!#REF!="Menor"),CONCATENATE("R2C",'Mapa final'!#REF!),"")</f>
        <v>#REF!</v>
      </c>
      <c r="U37" s="40" t="e">
        <f>IF(AND('Mapa final'!#REF!="Baja",'Mapa final'!#REF!="Menor"),CONCATENATE("R2C",'Mapa final'!#REF!),"")</f>
        <v>#REF!</v>
      </c>
      <c r="V37" s="38" t="str">
        <f ca="1">IF(AND('Mapa final'!$AA$15="Baja",'Mapa final'!$AC$15="Moderado"),CONCATENATE("R2C",'Mapa final'!$Q$15),"")</f>
        <v/>
      </c>
      <c r="W37" s="39" t="str">
        <f ca="1">IF(AND('Mapa final'!$AA$16="Baja",'Mapa final'!$AC$16="Moderado"),CONCATENATE("R2C",'Mapa final'!$Q$16),"")</f>
        <v/>
      </c>
      <c r="X37" s="39" t="e">
        <f>IF(AND('Mapa final'!#REF!="Baja",'Mapa final'!#REF!="Moderado"),CONCATENATE("R2C",'Mapa final'!$Q$17),"")</f>
        <v>#REF!</v>
      </c>
      <c r="Y37" s="39" t="e">
        <f>IF(AND('Mapa final'!#REF!="Baja",'Mapa final'!#REF!="Moderado"),CONCATENATE("R2C",'Mapa final'!#REF!),"")</f>
        <v>#REF!</v>
      </c>
      <c r="Z37" s="39" t="e">
        <f>IF(AND('Mapa final'!#REF!="Baja",'Mapa final'!#REF!="Moderado"),CONCATENATE("R2C",'Mapa final'!#REF!),"")</f>
        <v>#REF!</v>
      </c>
      <c r="AA37" s="40" t="e">
        <f>IF(AND('Mapa final'!#REF!="Baja",'Mapa final'!#REF!="Moderado"),CONCATENATE("R2C",'Mapa final'!#REF!),"")</f>
        <v>#REF!</v>
      </c>
      <c r="AB37" s="22" t="str">
        <f ca="1">IF(AND('Mapa final'!$AA$15="Baja",'Mapa final'!$AC$15="Mayor"),CONCATENATE("R2C",'Mapa final'!$Q$15),"")</f>
        <v/>
      </c>
      <c r="AC37" s="23" t="str">
        <f ca="1">IF(AND('Mapa final'!$AA$16="Baja",'Mapa final'!$AC$16="Mayor"),CONCATENATE("R2C",'Mapa final'!$Q$16),"")</f>
        <v>R2C2</v>
      </c>
      <c r="AD37" s="23" t="e">
        <f>IF(AND('Mapa final'!#REF!="Baja",'Mapa final'!#REF!="Mayor"),CONCATENATE("R2C",'Mapa final'!$Q$17),"")</f>
        <v>#REF!</v>
      </c>
      <c r="AE37" s="23" t="e">
        <f>IF(AND('Mapa final'!#REF!="Baja",'Mapa final'!#REF!="Mayor"),CONCATENATE("R2C",'Mapa final'!#REF!),"")</f>
        <v>#REF!</v>
      </c>
      <c r="AF37" s="23" t="e">
        <f>IF(AND('Mapa final'!#REF!="Baja",'Mapa final'!#REF!="Mayor"),CONCATENATE("R2C",'Mapa final'!#REF!),"")</f>
        <v>#REF!</v>
      </c>
      <c r="AG37" s="24" t="e">
        <f>IF(AND('Mapa final'!#REF!="Baja",'Mapa final'!#REF!="Mayor"),CONCATENATE("R2C",'Mapa final'!#REF!),"")</f>
        <v>#REF!</v>
      </c>
      <c r="AH37" s="25" t="str">
        <f ca="1">IF(AND('Mapa final'!$AA$15="Baja",'Mapa final'!$AC$15="Catastrófico"),CONCATENATE("R2C",'Mapa final'!$Q$15),"")</f>
        <v/>
      </c>
      <c r="AI37" s="26" t="str">
        <f ca="1">IF(AND('Mapa final'!$AA$16="Baja",'Mapa final'!$AC$16="Catastrófico"),CONCATENATE("R2C",'Mapa final'!$Q$16),"")</f>
        <v/>
      </c>
      <c r="AJ37" s="26" t="e">
        <f>IF(AND('Mapa final'!#REF!="Baja",'Mapa final'!#REF!="Catastrófico"),CONCATENATE("R2C",'Mapa final'!$Q$17),"")</f>
        <v>#REF!</v>
      </c>
      <c r="AK37" s="26" t="e">
        <f>IF(AND('Mapa final'!#REF!="Baja",'Mapa final'!#REF!="Catastrófico"),CONCATENATE("R2C",'Mapa final'!#REF!),"")</f>
        <v>#REF!</v>
      </c>
      <c r="AL37" s="26" t="e">
        <f>IF(AND('Mapa final'!#REF!="Baja",'Mapa final'!#REF!="Catastrófico"),CONCATENATE("R2C",'Mapa final'!#REF!),"")</f>
        <v>#REF!</v>
      </c>
      <c r="AM37" s="27" t="e">
        <f>IF(AND('Mapa final'!#REF!="Baja",'Mapa final'!#REF!="Catastrófico"),CONCATENATE("R2C",'Mapa final'!#REF!),"")</f>
        <v>#REF!</v>
      </c>
      <c r="AN37" s="54"/>
      <c r="AO37" s="414"/>
      <c r="AP37" s="415"/>
      <c r="AQ37" s="415"/>
      <c r="AR37" s="415"/>
      <c r="AS37" s="415"/>
      <c r="AT37" s="416"/>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row>
    <row r="38" spans="1:80" ht="15" customHeight="1" x14ac:dyDescent="0.3">
      <c r="A38" s="54"/>
      <c r="B38" s="292"/>
      <c r="C38" s="292"/>
      <c r="D38" s="293"/>
      <c r="E38" s="393"/>
      <c r="F38" s="394"/>
      <c r="G38" s="394"/>
      <c r="H38" s="394"/>
      <c r="I38" s="392"/>
      <c r="J38" s="47" t="e">
        <f>IF(AND('Mapa final'!#REF!="Baja",'Mapa final'!#REF!="Leve"),CONCATENATE("R3C",'Mapa final'!#REF!),"")</f>
        <v>#REF!</v>
      </c>
      <c r="K38" s="48" t="e">
        <f>IF(AND('Mapa final'!#REF!="Baja",'Mapa final'!#REF!="Leve"),CONCATENATE("R3C",'Mapa final'!#REF!),"")</f>
        <v>#REF!</v>
      </c>
      <c r="L38" s="48" t="e">
        <f>IF(AND('Mapa final'!#REF!="Baja",'Mapa final'!#REF!="Leve"),CONCATENATE("R3C",'Mapa final'!#REF!),"")</f>
        <v>#REF!</v>
      </c>
      <c r="M38" s="48" t="e">
        <f>IF(AND('Mapa final'!#REF!="Baja",'Mapa final'!#REF!="Leve"),CONCATENATE("R3C",'Mapa final'!#REF!),"")</f>
        <v>#REF!</v>
      </c>
      <c r="N38" s="48" t="e">
        <f>IF(AND('Mapa final'!#REF!="Baja",'Mapa final'!#REF!="Leve"),CONCATENATE("R3C",'Mapa final'!#REF!),"")</f>
        <v>#REF!</v>
      </c>
      <c r="O38" s="49" t="e">
        <f>IF(AND('Mapa final'!#REF!="Baja",'Mapa final'!#REF!="Leve"),CONCATENATE("R3C",'Mapa final'!#REF!),"")</f>
        <v>#REF!</v>
      </c>
      <c r="P38" s="38" t="e">
        <f>IF(AND('Mapa final'!#REF!="Baja",'Mapa final'!#REF!="Menor"),CONCATENATE("R3C",'Mapa final'!#REF!),"")</f>
        <v>#REF!</v>
      </c>
      <c r="Q38" s="39" t="e">
        <f>IF(AND('Mapa final'!#REF!="Baja",'Mapa final'!#REF!="Menor"),CONCATENATE("R3C",'Mapa final'!#REF!),"")</f>
        <v>#REF!</v>
      </c>
      <c r="R38" s="39" t="e">
        <f>IF(AND('Mapa final'!#REF!="Baja",'Mapa final'!#REF!="Menor"),CONCATENATE("R3C",'Mapa final'!#REF!),"")</f>
        <v>#REF!</v>
      </c>
      <c r="S38" s="39" t="e">
        <f>IF(AND('Mapa final'!#REF!="Baja",'Mapa final'!#REF!="Menor"),CONCATENATE("R3C",'Mapa final'!#REF!),"")</f>
        <v>#REF!</v>
      </c>
      <c r="T38" s="39" t="e">
        <f>IF(AND('Mapa final'!#REF!="Baja",'Mapa final'!#REF!="Menor"),CONCATENATE("R3C",'Mapa final'!#REF!),"")</f>
        <v>#REF!</v>
      </c>
      <c r="U38" s="40" t="e">
        <f>IF(AND('Mapa final'!#REF!="Baja",'Mapa final'!#REF!="Menor"),CONCATENATE("R3C",'Mapa final'!#REF!),"")</f>
        <v>#REF!</v>
      </c>
      <c r="V38" s="38" t="e">
        <f>IF(AND('Mapa final'!#REF!="Baja",'Mapa final'!#REF!="Moderado"),CONCATENATE("R3C",'Mapa final'!#REF!),"")</f>
        <v>#REF!</v>
      </c>
      <c r="W38" s="39" t="e">
        <f>IF(AND('Mapa final'!#REF!="Baja",'Mapa final'!#REF!="Moderado"),CONCATENATE("R3C",'Mapa final'!#REF!),"")</f>
        <v>#REF!</v>
      </c>
      <c r="X38" s="39" t="e">
        <f>IF(AND('Mapa final'!#REF!="Baja",'Mapa final'!#REF!="Moderado"),CONCATENATE("R3C",'Mapa final'!#REF!),"")</f>
        <v>#REF!</v>
      </c>
      <c r="Y38" s="39" t="e">
        <f>IF(AND('Mapa final'!#REF!="Baja",'Mapa final'!#REF!="Moderado"),CONCATENATE("R3C",'Mapa final'!#REF!),"")</f>
        <v>#REF!</v>
      </c>
      <c r="Z38" s="39" t="e">
        <f>IF(AND('Mapa final'!#REF!="Baja",'Mapa final'!#REF!="Moderado"),CONCATENATE("R3C",'Mapa final'!#REF!),"")</f>
        <v>#REF!</v>
      </c>
      <c r="AA38" s="40" t="e">
        <f>IF(AND('Mapa final'!#REF!="Baja",'Mapa final'!#REF!="Moderado"),CONCATENATE("R3C",'Mapa final'!#REF!),"")</f>
        <v>#REF!</v>
      </c>
      <c r="AB38" s="22" t="e">
        <f>IF(AND('Mapa final'!#REF!="Baja",'Mapa final'!#REF!="Mayor"),CONCATENATE("R3C",'Mapa final'!#REF!),"")</f>
        <v>#REF!</v>
      </c>
      <c r="AC38" s="23" t="e">
        <f>IF(AND('Mapa final'!#REF!="Baja",'Mapa final'!#REF!="Mayor"),CONCATENATE("R3C",'Mapa final'!#REF!),"")</f>
        <v>#REF!</v>
      </c>
      <c r="AD38" s="23" t="e">
        <f>IF(AND('Mapa final'!#REF!="Baja",'Mapa final'!#REF!="Mayor"),CONCATENATE("R3C",'Mapa final'!#REF!),"")</f>
        <v>#REF!</v>
      </c>
      <c r="AE38" s="23" t="e">
        <f>IF(AND('Mapa final'!#REF!="Baja",'Mapa final'!#REF!="Mayor"),CONCATENATE("R3C",'Mapa final'!#REF!),"")</f>
        <v>#REF!</v>
      </c>
      <c r="AF38" s="23" t="e">
        <f>IF(AND('Mapa final'!#REF!="Baja",'Mapa final'!#REF!="Mayor"),CONCATENATE("R3C",'Mapa final'!#REF!),"")</f>
        <v>#REF!</v>
      </c>
      <c r="AG38" s="24" t="e">
        <f>IF(AND('Mapa final'!#REF!="Baja",'Mapa final'!#REF!="Mayor"),CONCATENATE("R3C",'Mapa final'!#REF!),"")</f>
        <v>#REF!</v>
      </c>
      <c r="AH38" s="25" t="e">
        <f>IF(AND('Mapa final'!#REF!="Baja",'Mapa final'!#REF!="Catastrófico"),CONCATENATE("R3C",'Mapa final'!#REF!),"")</f>
        <v>#REF!</v>
      </c>
      <c r="AI38" s="26" t="e">
        <f>IF(AND('Mapa final'!#REF!="Baja",'Mapa final'!#REF!="Catastrófico"),CONCATENATE("R3C",'Mapa final'!#REF!),"")</f>
        <v>#REF!</v>
      </c>
      <c r="AJ38" s="26" t="e">
        <f>IF(AND('Mapa final'!#REF!="Baja",'Mapa final'!#REF!="Catastrófico"),CONCATENATE("R3C",'Mapa final'!#REF!),"")</f>
        <v>#REF!</v>
      </c>
      <c r="AK38" s="26" t="e">
        <f>IF(AND('Mapa final'!#REF!="Baja",'Mapa final'!#REF!="Catastrófico"),CONCATENATE("R3C",'Mapa final'!#REF!),"")</f>
        <v>#REF!</v>
      </c>
      <c r="AL38" s="26" t="e">
        <f>IF(AND('Mapa final'!#REF!="Baja",'Mapa final'!#REF!="Catastrófico"),CONCATENATE("R3C",'Mapa final'!#REF!),"")</f>
        <v>#REF!</v>
      </c>
      <c r="AM38" s="27" t="e">
        <f>IF(AND('Mapa final'!#REF!="Baja",'Mapa final'!#REF!="Catastrófico"),CONCATENATE("R3C",'Mapa final'!#REF!),"")</f>
        <v>#REF!</v>
      </c>
      <c r="AN38" s="54"/>
      <c r="AO38" s="414"/>
      <c r="AP38" s="415"/>
      <c r="AQ38" s="415"/>
      <c r="AR38" s="415"/>
      <c r="AS38" s="415"/>
      <c r="AT38" s="416"/>
      <c r="AU38" s="54"/>
      <c r="AV38" s="54"/>
      <c r="AW38" s="54"/>
      <c r="AX38" s="54"/>
      <c r="AY38" s="54"/>
      <c r="AZ38" s="54"/>
      <c r="BA38" s="54"/>
      <c r="BB38" s="54"/>
      <c r="BC38" s="54"/>
      <c r="BD38" s="54"/>
      <c r="BE38" s="54"/>
      <c r="BF38" s="54"/>
      <c r="BG38" s="54"/>
      <c r="BH38" s="54"/>
      <c r="BI38" s="54"/>
      <c r="BJ38" s="54"/>
      <c r="BK38" s="54"/>
      <c r="BL38" s="54"/>
      <c r="BM38" s="54"/>
      <c r="BN38" s="54"/>
      <c r="BO38" s="54"/>
      <c r="BP38" s="54"/>
      <c r="BQ38" s="54"/>
      <c r="BR38" s="54"/>
      <c r="BS38" s="54"/>
      <c r="BT38" s="54"/>
      <c r="BU38" s="54"/>
      <c r="BV38" s="54"/>
      <c r="BW38" s="54"/>
      <c r="BX38" s="54"/>
    </row>
    <row r="39" spans="1:80" ht="15" customHeight="1" x14ac:dyDescent="0.3">
      <c r="A39" s="54"/>
      <c r="B39" s="292"/>
      <c r="C39" s="292"/>
      <c r="D39" s="293"/>
      <c r="E39" s="393"/>
      <c r="F39" s="394"/>
      <c r="G39" s="394"/>
      <c r="H39" s="394"/>
      <c r="I39" s="392"/>
      <c r="J39" s="47" t="str">
        <f ca="1">IF(AND('Mapa final'!$AA$19="Baja",'Mapa final'!$AC$19="Leve"),CONCATENATE("R4C",'Mapa final'!$Q$19),"")</f>
        <v/>
      </c>
      <c r="K39" s="48" t="str">
        <f ca="1">IF(AND('Mapa final'!$AA$20="Baja",'Mapa final'!$AC$20="Leve"),CONCATENATE("R4C",'Mapa final'!$Q$20),"")</f>
        <v/>
      </c>
      <c r="L39" s="48" t="str">
        <f ca="1">IF(AND('Mapa final'!$AA$21="Baja",'Mapa final'!$AC$21="Leve"),CONCATENATE("R4C",'Mapa final'!$Q$21),"")</f>
        <v/>
      </c>
      <c r="M39" s="48" t="str">
        <f ca="1">IF(AND('Mapa final'!$AA$22="Baja",'Mapa final'!$AC$22="Leve"),CONCATENATE("R4C",'Mapa final'!$Q$22),"")</f>
        <v/>
      </c>
      <c r="N39" s="48" t="e">
        <f>IF(AND('Mapa final'!#REF!="Baja",'Mapa final'!#REF!="Leve"),CONCATENATE("R4C",'Mapa final'!#REF!),"")</f>
        <v>#REF!</v>
      </c>
      <c r="O39" s="49" t="e">
        <f>IF(AND('Mapa final'!#REF!="Baja",'Mapa final'!#REF!="Leve"),CONCATENATE("R4C",'Mapa final'!#REF!),"")</f>
        <v>#REF!</v>
      </c>
      <c r="P39" s="38" t="str">
        <f ca="1">IF(AND('Mapa final'!$AA$19="Baja",'Mapa final'!$AC$19="Menor"),CONCATENATE("R4C",'Mapa final'!$Q$19),"")</f>
        <v/>
      </c>
      <c r="Q39" s="39" t="str">
        <f ca="1">IF(AND('Mapa final'!$AA$20="Baja",'Mapa final'!$AC$20="Menor"),CONCATENATE("R4C",'Mapa final'!$Q$20),"")</f>
        <v/>
      </c>
      <c r="R39" s="39" t="str">
        <f ca="1">IF(AND('Mapa final'!$AA$21="Baja",'Mapa final'!$AC$21="Menor"),CONCATENATE("R4C",'Mapa final'!$Q$21),"")</f>
        <v/>
      </c>
      <c r="S39" s="39" t="str">
        <f ca="1">IF(AND('Mapa final'!$AA$22="Baja",'Mapa final'!$AC$22="Menor"),CONCATENATE("R4C",'Mapa final'!$Q$22),"")</f>
        <v/>
      </c>
      <c r="T39" s="39" t="e">
        <f>IF(AND('Mapa final'!#REF!="Baja",'Mapa final'!#REF!="Menor"),CONCATENATE("R4C",'Mapa final'!#REF!),"")</f>
        <v>#REF!</v>
      </c>
      <c r="U39" s="40" t="e">
        <f>IF(AND('Mapa final'!#REF!="Baja",'Mapa final'!#REF!="Menor"),CONCATENATE("R4C",'Mapa final'!#REF!),"")</f>
        <v>#REF!</v>
      </c>
      <c r="V39" s="38" t="str">
        <f ca="1">IF(AND('Mapa final'!$AA$19="Baja",'Mapa final'!$AC$19="Moderado"),CONCATENATE("R4C",'Mapa final'!$Q$19),"")</f>
        <v/>
      </c>
      <c r="W39" s="39" t="str">
        <f ca="1">IF(AND('Mapa final'!$AA$20="Baja",'Mapa final'!$AC$20="Moderado"),CONCATENATE("R4C",'Mapa final'!$Q$20),"")</f>
        <v/>
      </c>
      <c r="X39" s="39" t="str">
        <f ca="1">IF(AND('Mapa final'!$AA$21="Baja",'Mapa final'!$AC$21="Moderado"),CONCATENATE("R4C",'Mapa final'!$Q$21),"")</f>
        <v/>
      </c>
      <c r="Y39" s="39" t="str">
        <f ca="1">IF(AND('Mapa final'!$AA$22="Baja",'Mapa final'!$AC$22="Moderado"),CONCATENATE("R4C",'Mapa final'!$Q$22),"")</f>
        <v/>
      </c>
      <c r="Z39" s="39" t="e">
        <f>IF(AND('Mapa final'!#REF!="Baja",'Mapa final'!#REF!="Moderado"),CONCATENATE("R4C",'Mapa final'!#REF!),"")</f>
        <v>#REF!</v>
      </c>
      <c r="AA39" s="40" t="e">
        <f>IF(AND('Mapa final'!#REF!="Baja",'Mapa final'!#REF!="Moderado"),CONCATENATE("R4C",'Mapa final'!#REF!),"")</f>
        <v>#REF!</v>
      </c>
      <c r="AB39" s="22" t="str">
        <f ca="1">IF(AND('Mapa final'!$AA$19="Baja",'Mapa final'!$AC$19="Mayor"),CONCATENATE("R4C",'Mapa final'!$Q$19),"")</f>
        <v/>
      </c>
      <c r="AC39" s="23" t="str">
        <f ca="1">IF(AND('Mapa final'!$AA$20="Baja",'Mapa final'!$AC$20="Mayor"),CONCATENATE("R4C",'Mapa final'!$Q$20),"")</f>
        <v/>
      </c>
      <c r="AD39" s="23" t="str">
        <f ca="1">IF(AND('Mapa final'!$AA$21="Baja",'Mapa final'!$AC$21="Mayor"),CONCATENATE("R4C",'Mapa final'!$Q$21),"")</f>
        <v/>
      </c>
      <c r="AE39" s="23" t="str">
        <f ca="1">IF(AND('Mapa final'!$AA$22="Baja",'Mapa final'!$AC$22="Mayor"),CONCATENATE("R4C",'Mapa final'!$Q$22),"")</f>
        <v/>
      </c>
      <c r="AF39" s="23" t="e">
        <f>IF(AND('Mapa final'!#REF!="Baja",'Mapa final'!#REF!="Mayor"),CONCATENATE("R4C",'Mapa final'!#REF!),"")</f>
        <v>#REF!</v>
      </c>
      <c r="AG39" s="24" t="e">
        <f>IF(AND('Mapa final'!#REF!="Baja",'Mapa final'!#REF!="Mayor"),CONCATENATE("R4C",'Mapa final'!#REF!),"")</f>
        <v>#REF!</v>
      </c>
      <c r="AH39" s="25" t="str">
        <f ca="1">IF(AND('Mapa final'!$AA$19="Baja",'Mapa final'!$AC$19="Catastrófico"),CONCATENATE("R4C",'Mapa final'!$Q$19),"")</f>
        <v/>
      </c>
      <c r="AI39" s="26" t="str">
        <f ca="1">IF(AND('Mapa final'!$AA$20="Baja",'Mapa final'!$AC$20="Catastrófico"),CONCATENATE("R4C",'Mapa final'!$Q$20),"")</f>
        <v>R4C2</v>
      </c>
      <c r="AJ39" s="26" t="str">
        <f ca="1">IF(AND('Mapa final'!$AA$21="Baja",'Mapa final'!$AC$21="Catastrófico"),CONCATENATE("R4C",'Mapa final'!$Q$21),"")</f>
        <v>R4C3</v>
      </c>
      <c r="AK39" s="26" t="str">
        <f ca="1">IF(AND('Mapa final'!$AA$22="Baja",'Mapa final'!$AC$22="Catastrófico"),CONCATENATE("R4C",'Mapa final'!$Q$22),"")</f>
        <v/>
      </c>
      <c r="AL39" s="26" t="e">
        <f>IF(AND('Mapa final'!#REF!="Baja",'Mapa final'!#REF!="Catastrófico"),CONCATENATE("R4C",'Mapa final'!#REF!),"")</f>
        <v>#REF!</v>
      </c>
      <c r="AM39" s="27" t="e">
        <f>IF(AND('Mapa final'!#REF!="Baja",'Mapa final'!#REF!="Catastrófico"),CONCATENATE("R4C",'Mapa final'!#REF!),"")</f>
        <v>#REF!</v>
      </c>
      <c r="AN39" s="54"/>
      <c r="AO39" s="414"/>
      <c r="AP39" s="415"/>
      <c r="AQ39" s="415"/>
      <c r="AR39" s="415"/>
      <c r="AS39" s="415"/>
      <c r="AT39" s="416"/>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54"/>
      <c r="BW39" s="54"/>
      <c r="BX39" s="54"/>
    </row>
    <row r="40" spans="1:80" ht="15" customHeight="1" x14ac:dyDescent="0.3">
      <c r="A40" s="54"/>
      <c r="B40" s="292"/>
      <c r="C40" s="292"/>
      <c r="D40" s="293"/>
      <c r="E40" s="393"/>
      <c r="F40" s="394"/>
      <c r="G40" s="394"/>
      <c r="H40" s="394"/>
      <c r="I40" s="392"/>
      <c r="J40" s="47" t="str">
        <f>IF(AND('Mapa final'!$AA$23="Baja",'Mapa final'!$AC$23="Leve"),CONCATENATE("R5C",'Mapa final'!$Q$23),"")</f>
        <v/>
      </c>
      <c r="K40" s="48" t="str">
        <f>IF(AND('Mapa final'!$AA$24="Baja",'Mapa final'!$AC$24="Leve"),CONCATENATE("R5C",'Mapa final'!$Q$24),"")</f>
        <v/>
      </c>
      <c r="L40" s="48" t="str">
        <f>IF(AND('Mapa final'!$AA$25="Baja",'Mapa final'!$AC$25="Leve"),CONCATENATE("R5C",'Mapa final'!$Q$25),"")</f>
        <v/>
      </c>
      <c r="M40" s="48" t="str">
        <f>IF(AND('Mapa final'!$AA$26="Baja",'Mapa final'!$AC$26="Leve"),CONCATENATE("R5C",'Mapa final'!$Q$26),"")</f>
        <v/>
      </c>
      <c r="N40" s="48" t="str">
        <f>IF(AND('Mapa final'!$AA$27="Baja",'Mapa final'!$AC$27="Leve"),CONCATENATE("R5C",'Mapa final'!$Q$27),"")</f>
        <v/>
      </c>
      <c r="O40" s="49" t="str">
        <f>IF(AND('Mapa final'!$AA$28="Baja",'Mapa final'!$AC$28="Leve"),CONCATENATE("R5C",'Mapa final'!$Q$28),"")</f>
        <v/>
      </c>
      <c r="P40" s="38" t="str">
        <f>IF(AND('Mapa final'!$AA$23="Baja",'Mapa final'!$AC$23="Menor"),CONCATENATE("R5C",'Mapa final'!$Q$23),"")</f>
        <v/>
      </c>
      <c r="Q40" s="39" t="str">
        <f>IF(AND('Mapa final'!$AA$24="Baja",'Mapa final'!$AC$24="Menor"),CONCATENATE("R5C",'Mapa final'!$Q$24),"")</f>
        <v/>
      </c>
      <c r="R40" s="39" t="str">
        <f>IF(AND('Mapa final'!$AA$25="Baja",'Mapa final'!$AC$25="Menor"),CONCATENATE("R5C",'Mapa final'!$Q$25),"")</f>
        <v/>
      </c>
      <c r="S40" s="39" t="str">
        <f>IF(AND('Mapa final'!$AA$26="Baja",'Mapa final'!$AC$26="Menor"),CONCATENATE("R5C",'Mapa final'!$Q$26),"")</f>
        <v/>
      </c>
      <c r="T40" s="39" t="str">
        <f>IF(AND('Mapa final'!$AA$27="Baja",'Mapa final'!$AC$27="Menor"),CONCATENATE("R5C",'Mapa final'!$Q$27),"")</f>
        <v/>
      </c>
      <c r="U40" s="40" t="str">
        <f>IF(AND('Mapa final'!$AA$28="Baja",'Mapa final'!$AC$28="Menor"),CONCATENATE("R5C",'Mapa final'!$Q$28),"")</f>
        <v/>
      </c>
      <c r="V40" s="38" t="str">
        <f>IF(AND('Mapa final'!$AA$23="Baja",'Mapa final'!$AC$23="Moderado"),CONCATENATE("R5C",'Mapa final'!$Q$23),"")</f>
        <v/>
      </c>
      <c r="W40" s="39" t="str">
        <f>IF(AND('Mapa final'!$AA$24="Baja",'Mapa final'!$AC$24="Moderado"),CONCATENATE("R5C",'Mapa final'!$Q$24),"")</f>
        <v/>
      </c>
      <c r="X40" s="39" t="str">
        <f>IF(AND('Mapa final'!$AA$25="Baja",'Mapa final'!$AC$25="Moderado"),CONCATENATE("R5C",'Mapa final'!$Q$25),"")</f>
        <v/>
      </c>
      <c r="Y40" s="39" t="str">
        <f>IF(AND('Mapa final'!$AA$26="Baja",'Mapa final'!$AC$26="Moderado"),CONCATENATE("R5C",'Mapa final'!$Q$26),"")</f>
        <v/>
      </c>
      <c r="Z40" s="39" t="str">
        <f>IF(AND('Mapa final'!$AA$27="Baja",'Mapa final'!$AC$27="Moderado"),CONCATENATE("R5C",'Mapa final'!$Q$27),"")</f>
        <v/>
      </c>
      <c r="AA40" s="40" t="str">
        <f>IF(AND('Mapa final'!$AA$28="Baja",'Mapa final'!$AC$28="Moderado"),CONCATENATE("R5C",'Mapa final'!$Q$28),"")</f>
        <v/>
      </c>
      <c r="AB40" s="22" t="str">
        <f>IF(AND('Mapa final'!$AA$23="Baja",'Mapa final'!$AC$23="Mayor"),CONCATENATE("R5C",'Mapa final'!$Q$23),"")</f>
        <v/>
      </c>
      <c r="AC40" s="23" t="str">
        <f>IF(AND('Mapa final'!$AA$24="Baja",'Mapa final'!$AC$24="Mayor"),CONCATENATE("R5C",'Mapa final'!$Q$24),"")</f>
        <v/>
      </c>
      <c r="AD40" s="28" t="str">
        <f>IF(AND('Mapa final'!$AA$25="Baja",'Mapa final'!$AC$25="Mayor"),CONCATENATE("R5C",'Mapa final'!$Q$25),"")</f>
        <v/>
      </c>
      <c r="AE40" s="28" t="str">
        <f>IF(AND('Mapa final'!$AA$26="Baja",'Mapa final'!$AC$26="Mayor"),CONCATENATE("R5C",'Mapa final'!$Q$26),"")</f>
        <v/>
      </c>
      <c r="AF40" s="28" t="str">
        <f>IF(AND('Mapa final'!$AA$27="Baja",'Mapa final'!$AC$27="Mayor"),CONCATENATE("R5C",'Mapa final'!$Q$27),"")</f>
        <v/>
      </c>
      <c r="AG40" s="24" t="str">
        <f>IF(AND('Mapa final'!$AA$28="Baja",'Mapa final'!$AC$28="Mayor"),CONCATENATE("R5C",'Mapa final'!$Q$28),"")</f>
        <v/>
      </c>
      <c r="AH40" s="25" t="str">
        <f>IF(AND('Mapa final'!$AA$23="Baja",'Mapa final'!$AC$23="Catastrófico"),CONCATENATE("R5C",'Mapa final'!$Q$23),"")</f>
        <v/>
      </c>
      <c r="AI40" s="26" t="str">
        <f>IF(AND('Mapa final'!$AA$24="Baja",'Mapa final'!$AC$24="Catastrófico"),CONCATENATE("R5C",'Mapa final'!$Q$24),"")</f>
        <v/>
      </c>
      <c r="AJ40" s="26" t="str">
        <f>IF(AND('Mapa final'!$AA$25="Baja",'Mapa final'!$AC$25="Catastrófico"),CONCATENATE("R5C",'Mapa final'!$Q$25),"")</f>
        <v/>
      </c>
      <c r="AK40" s="26" t="str">
        <f>IF(AND('Mapa final'!$AA$26="Baja",'Mapa final'!$AC$26="Catastrófico"),CONCATENATE("R5C",'Mapa final'!$Q$26),"")</f>
        <v/>
      </c>
      <c r="AL40" s="26" t="str">
        <f>IF(AND('Mapa final'!$AA$27="Baja",'Mapa final'!$AC$27="Catastrófico"),CONCATENATE("R5C",'Mapa final'!$Q$27),"")</f>
        <v/>
      </c>
      <c r="AM40" s="27" t="str">
        <f>IF(AND('Mapa final'!$AA$28="Baja",'Mapa final'!$AC$28="Catastrófico"),CONCATENATE("R5C",'Mapa final'!$Q$28),"")</f>
        <v/>
      </c>
      <c r="AN40" s="54"/>
      <c r="AO40" s="414"/>
      <c r="AP40" s="415"/>
      <c r="AQ40" s="415"/>
      <c r="AR40" s="415"/>
      <c r="AS40" s="415"/>
      <c r="AT40" s="416"/>
      <c r="AU40" s="54"/>
      <c r="AV40" s="54"/>
      <c r="AW40" s="54"/>
      <c r="AX40" s="54"/>
      <c r="AY40" s="54"/>
      <c r="AZ40" s="54"/>
      <c r="BA40" s="54"/>
      <c r="BB40" s="54"/>
      <c r="BC40" s="54"/>
      <c r="BD40" s="54"/>
      <c r="BE40" s="54"/>
      <c r="BF40" s="54"/>
      <c r="BG40" s="54"/>
      <c r="BH40" s="54"/>
      <c r="BI40" s="54"/>
      <c r="BJ40" s="54"/>
      <c r="BK40" s="54"/>
      <c r="BL40" s="54"/>
      <c r="BM40" s="54"/>
      <c r="BN40" s="54"/>
      <c r="BO40" s="54"/>
      <c r="BP40" s="54"/>
      <c r="BQ40" s="54"/>
      <c r="BR40" s="54"/>
      <c r="BS40" s="54"/>
      <c r="BT40" s="54"/>
      <c r="BU40" s="54"/>
      <c r="BV40" s="54"/>
      <c r="BW40" s="54"/>
      <c r="BX40" s="54"/>
    </row>
    <row r="41" spans="1:80" ht="15" customHeight="1" x14ac:dyDescent="0.3">
      <c r="A41" s="54"/>
      <c r="B41" s="292"/>
      <c r="C41" s="292"/>
      <c r="D41" s="293"/>
      <c r="E41" s="393"/>
      <c r="F41" s="394"/>
      <c r="G41" s="394"/>
      <c r="H41" s="394"/>
      <c r="I41" s="392"/>
      <c r="J41" s="47" t="str">
        <f>IF(AND('Mapa final'!$AA$29="Baja",'Mapa final'!$AC$29="Leve"),CONCATENATE("R6C",'Mapa final'!$Q$29),"")</f>
        <v/>
      </c>
      <c r="K41" s="48" t="str">
        <f>IF(AND('Mapa final'!$AA$30="Baja",'Mapa final'!$AC$30="Leve"),CONCATENATE("R6C",'Mapa final'!$Q$30),"")</f>
        <v/>
      </c>
      <c r="L41" s="48" t="str">
        <f>IF(AND('Mapa final'!$AA$31="Baja",'Mapa final'!$AC$31="Leve"),CONCATENATE("R6C",'Mapa final'!$Q$31),"")</f>
        <v/>
      </c>
      <c r="M41" s="48" t="str">
        <f>IF(AND('Mapa final'!$AA$32="Baja",'Mapa final'!$AC$32="Leve"),CONCATENATE("R6C",'Mapa final'!$Q$32),"")</f>
        <v/>
      </c>
      <c r="N41" s="48" t="str">
        <f>IF(AND('Mapa final'!$AA$33="Baja",'Mapa final'!$AC$33="Leve"),CONCATENATE("R6C",'Mapa final'!$Q$33),"")</f>
        <v/>
      </c>
      <c r="O41" s="49" t="str">
        <f>IF(AND('Mapa final'!$AA$34="Baja",'Mapa final'!$AC$34="Leve"),CONCATENATE("R6C",'Mapa final'!$Q$34),"")</f>
        <v/>
      </c>
      <c r="P41" s="38" t="str">
        <f>IF(AND('Mapa final'!$AA$29="Baja",'Mapa final'!$AC$29="Menor"),CONCATENATE("R6C",'Mapa final'!$Q$29),"")</f>
        <v/>
      </c>
      <c r="Q41" s="39" t="str">
        <f>IF(AND('Mapa final'!$AA$30="Baja",'Mapa final'!$AC$30="Menor"),CONCATENATE("R6C",'Mapa final'!$Q$30),"")</f>
        <v/>
      </c>
      <c r="R41" s="39" t="str">
        <f>IF(AND('Mapa final'!$AA$31="Baja",'Mapa final'!$AC$31="Menor"),CONCATENATE("R6C",'Mapa final'!$Q$31),"")</f>
        <v/>
      </c>
      <c r="S41" s="39" t="str">
        <f>IF(AND('Mapa final'!$AA$32="Baja",'Mapa final'!$AC$32="Menor"),CONCATENATE("R6C",'Mapa final'!$Q$32),"")</f>
        <v/>
      </c>
      <c r="T41" s="39" t="str">
        <f>IF(AND('Mapa final'!$AA$33="Baja",'Mapa final'!$AC$33="Menor"),CONCATENATE("R6C",'Mapa final'!$Q$33),"")</f>
        <v/>
      </c>
      <c r="U41" s="40" t="str">
        <f>IF(AND('Mapa final'!$AA$34="Baja",'Mapa final'!$AC$34="Menor"),CONCATENATE("R6C",'Mapa final'!$Q$34),"")</f>
        <v/>
      </c>
      <c r="V41" s="38" t="str">
        <f>IF(AND('Mapa final'!$AA$29="Baja",'Mapa final'!$AC$29="Moderado"),CONCATENATE("R6C",'Mapa final'!$Q$29),"")</f>
        <v/>
      </c>
      <c r="W41" s="39" t="str">
        <f>IF(AND('Mapa final'!$AA$30="Baja",'Mapa final'!$AC$30="Moderado"),CONCATENATE("R6C",'Mapa final'!$Q$30),"")</f>
        <v/>
      </c>
      <c r="X41" s="39" t="str">
        <f>IF(AND('Mapa final'!$AA$31="Baja",'Mapa final'!$AC$31="Moderado"),CONCATENATE("R6C",'Mapa final'!$Q$31),"")</f>
        <v/>
      </c>
      <c r="Y41" s="39" t="str">
        <f>IF(AND('Mapa final'!$AA$32="Baja",'Mapa final'!$AC$32="Moderado"),CONCATENATE("R6C",'Mapa final'!$Q$32),"")</f>
        <v/>
      </c>
      <c r="Z41" s="39" t="str">
        <f>IF(AND('Mapa final'!$AA$33="Baja",'Mapa final'!$AC$33="Moderado"),CONCATENATE("R6C",'Mapa final'!$Q$33),"")</f>
        <v/>
      </c>
      <c r="AA41" s="40" t="str">
        <f>IF(AND('Mapa final'!$AA$34="Baja",'Mapa final'!$AC$34="Moderado"),CONCATENATE("R6C",'Mapa final'!$Q$34),"")</f>
        <v/>
      </c>
      <c r="AB41" s="22" t="str">
        <f>IF(AND('Mapa final'!$AA$29="Baja",'Mapa final'!$AC$29="Mayor"),CONCATENATE("R6C",'Mapa final'!$Q$29),"")</f>
        <v/>
      </c>
      <c r="AC41" s="23" t="str">
        <f>IF(AND('Mapa final'!$AA$30="Baja",'Mapa final'!$AC$30="Mayor"),CONCATENATE("R6C",'Mapa final'!$Q$30),"")</f>
        <v/>
      </c>
      <c r="AD41" s="28" t="str">
        <f>IF(AND('Mapa final'!$AA$31="Baja",'Mapa final'!$AC$31="Mayor"),CONCATENATE("R6C",'Mapa final'!$Q$31),"")</f>
        <v/>
      </c>
      <c r="AE41" s="28" t="str">
        <f>IF(AND('Mapa final'!$AA$32="Baja",'Mapa final'!$AC$32="Mayor"),CONCATENATE("R6C",'Mapa final'!$Q$32),"")</f>
        <v/>
      </c>
      <c r="AF41" s="28" t="str">
        <f>IF(AND('Mapa final'!$AA$33="Baja",'Mapa final'!$AC$33="Mayor"),CONCATENATE("R6C",'Mapa final'!$Q$33),"")</f>
        <v/>
      </c>
      <c r="AG41" s="24" t="str">
        <f>IF(AND('Mapa final'!$AA$34="Baja",'Mapa final'!$AC$34="Mayor"),CONCATENATE("R6C",'Mapa final'!$Q$34),"")</f>
        <v/>
      </c>
      <c r="AH41" s="25" t="str">
        <f>IF(AND('Mapa final'!$AA$29="Baja",'Mapa final'!$AC$29="Catastrófico"),CONCATENATE("R6C",'Mapa final'!$Q$29),"")</f>
        <v/>
      </c>
      <c r="AI41" s="26" t="str">
        <f>IF(AND('Mapa final'!$AA$30="Baja",'Mapa final'!$AC$30="Catastrófico"),CONCATENATE("R6C",'Mapa final'!$Q$30),"")</f>
        <v/>
      </c>
      <c r="AJ41" s="26" t="str">
        <f>IF(AND('Mapa final'!$AA$31="Baja",'Mapa final'!$AC$31="Catastrófico"),CONCATENATE("R6C",'Mapa final'!$Q$31),"")</f>
        <v/>
      </c>
      <c r="AK41" s="26" t="str">
        <f>IF(AND('Mapa final'!$AA$32="Baja",'Mapa final'!$AC$32="Catastrófico"),CONCATENATE("R6C",'Mapa final'!$Q$32),"")</f>
        <v/>
      </c>
      <c r="AL41" s="26" t="str">
        <f>IF(AND('Mapa final'!$AA$33="Baja",'Mapa final'!$AC$33="Catastrófico"),CONCATENATE("R6C",'Mapa final'!$Q$33),"")</f>
        <v/>
      </c>
      <c r="AM41" s="27" t="str">
        <f>IF(AND('Mapa final'!$AA$34="Baja",'Mapa final'!$AC$34="Catastrófico"),CONCATENATE("R6C",'Mapa final'!$Q$34),"")</f>
        <v/>
      </c>
      <c r="AN41" s="54"/>
      <c r="AO41" s="414"/>
      <c r="AP41" s="415"/>
      <c r="AQ41" s="415"/>
      <c r="AR41" s="415"/>
      <c r="AS41" s="415"/>
      <c r="AT41" s="416"/>
      <c r="AU41" s="54"/>
      <c r="AV41" s="54"/>
      <c r="AW41" s="54"/>
      <c r="AX41" s="54"/>
      <c r="AY41" s="54"/>
      <c r="AZ41" s="54"/>
      <c r="BA41" s="54"/>
      <c r="BB41" s="54"/>
      <c r="BC41" s="54"/>
      <c r="BD41" s="54"/>
      <c r="BE41" s="54"/>
      <c r="BF41" s="54"/>
      <c r="BG41" s="54"/>
      <c r="BH41" s="54"/>
      <c r="BI41" s="54"/>
      <c r="BJ41" s="54"/>
      <c r="BK41" s="54"/>
      <c r="BL41" s="54"/>
      <c r="BM41" s="54"/>
      <c r="BN41" s="54"/>
      <c r="BO41" s="54"/>
      <c r="BP41" s="54"/>
      <c r="BQ41" s="54"/>
      <c r="BR41" s="54"/>
      <c r="BS41" s="54"/>
      <c r="BT41" s="54"/>
      <c r="BU41" s="54"/>
      <c r="BV41" s="54"/>
      <c r="BW41" s="54"/>
      <c r="BX41" s="54"/>
    </row>
    <row r="42" spans="1:80" ht="15" customHeight="1" x14ac:dyDescent="0.3">
      <c r="A42" s="54"/>
      <c r="B42" s="292"/>
      <c r="C42" s="292"/>
      <c r="D42" s="293"/>
      <c r="E42" s="393"/>
      <c r="F42" s="394"/>
      <c r="G42" s="394"/>
      <c r="H42" s="394"/>
      <c r="I42" s="392"/>
      <c r="J42" s="47" t="str">
        <f>IF(AND('Mapa final'!$AA$35="Baja",'Mapa final'!$AC$35="Leve"),CONCATENATE("R7C",'Mapa final'!$Q$35),"")</f>
        <v/>
      </c>
      <c r="K42" s="48" t="str">
        <f>IF(AND('Mapa final'!$AA$36="Baja",'Mapa final'!$AC$36="Leve"),CONCATENATE("R7C",'Mapa final'!$Q$36),"")</f>
        <v/>
      </c>
      <c r="L42" s="48" t="str">
        <f>IF(AND('Mapa final'!$AA$37="Baja",'Mapa final'!$AC$37="Leve"),CONCATENATE("R7C",'Mapa final'!$Q$37),"")</f>
        <v/>
      </c>
      <c r="M42" s="48" t="str">
        <f>IF(AND('Mapa final'!$AA$38="Baja",'Mapa final'!$AC$38="Leve"),CONCATENATE("R7C",'Mapa final'!$Q$38),"")</f>
        <v/>
      </c>
      <c r="N42" s="48" t="str">
        <f>IF(AND('Mapa final'!$AA$39="Baja",'Mapa final'!$AC$39="Leve"),CONCATENATE("R7C",'Mapa final'!$Q$39),"")</f>
        <v/>
      </c>
      <c r="O42" s="49" t="str">
        <f>IF(AND('Mapa final'!$AA$40="Baja",'Mapa final'!$AC$40="Leve"),CONCATENATE("R7C",'Mapa final'!$Q$40),"")</f>
        <v/>
      </c>
      <c r="P42" s="38" t="str">
        <f>IF(AND('Mapa final'!$AA$35="Baja",'Mapa final'!$AC$35="Menor"),CONCATENATE("R7C",'Mapa final'!$Q$35),"")</f>
        <v/>
      </c>
      <c r="Q42" s="39" t="str">
        <f>IF(AND('Mapa final'!$AA$36="Baja",'Mapa final'!$AC$36="Menor"),CONCATENATE("R7C",'Mapa final'!$Q$36),"")</f>
        <v/>
      </c>
      <c r="R42" s="39" t="str">
        <f>IF(AND('Mapa final'!$AA$37="Baja",'Mapa final'!$AC$37="Menor"),CONCATENATE("R7C",'Mapa final'!$Q$37),"")</f>
        <v/>
      </c>
      <c r="S42" s="39" t="str">
        <f>IF(AND('Mapa final'!$AA$38="Baja",'Mapa final'!$AC$38="Menor"),CONCATENATE("R7C",'Mapa final'!$Q$38),"")</f>
        <v/>
      </c>
      <c r="T42" s="39" t="str">
        <f>IF(AND('Mapa final'!$AA$39="Baja",'Mapa final'!$AC$39="Menor"),CONCATENATE("R7C",'Mapa final'!$Q$39),"")</f>
        <v/>
      </c>
      <c r="U42" s="40" t="str">
        <f>IF(AND('Mapa final'!$AA$40="Baja",'Mapa final'!$AC$40="Menor"),CONCATENATE("R7C",'Mapa final'!$Q$40),"")</f>
        <v/>
      </c>
      <c r="V42" s="38" t="str">
        <f>IF(AND('Mapa final'!$AA$35="Baja",'Mapa final'!$AC$35="Moderado"),CONCATENATE("R7C",'Mapa final'!$Q$35),"")</f>
        <v/>
      </c>
      <c r="W42" s="39" t="str">
        <f>IF(AND('Mapa final'!$AA$36="Baja",'Mapa final'!$AC$36="Moderado"),CONCATENATE("R7C",'Mapa final'!$Q$36),"")</f>
        <v/>
      </c>
      <c r="X42" s="39" t="str">
        <f>IF(AND('Mapa final'!$AA$37="Baja",'Mapa final'!$AC$37="Moderado"),CONCATENATE("R7C",'Mapa final'!$Q$37),"")</f>
        <v/>
      </c>
      <c r="Y42" s="39" t="str">
        <f>IF(AND('Mapa final'!$AA$38="Baja",'Mapa final'!$AC$38="Moderado"),CONCATENATE("R7C",'Mapa final'!$Q$38),"")</f>
        <v/>
      </c>
      <c r="Z42" s="39" t="str">
        <f>IF(AND('Mapa final'!$AA$39="Baja",'Mapa final'!$AC$39="Moderado"),CONCATENATE("R7C",'Mapa final'!$Q$39),"")</f>
        <v/>
      </c>
      <c r="AA42" s="40" t="str">
        <f>IF(AND('Mapa final'!$AA$40="Baja",'Mapa final'!$AC$40="Moderado"),CONCATENATE("R7C",'Mapa final'!$Q$40),"")</f>
        <v/>
      </c>
      <c r="AB42" s="22" t="str">
        <f>IF(AND('Mapa final'!$AA$35="Baja",'Mapa final'!$AC$35="Mayor"),CONCATENATE("R7C",'Mapa final'!$Q$35),"")</f>
        <v/>
      </c>
      <c r="AC42" s="23" t="str">
        <f>IF(AND('Mapa final'!$AA$36="Baja",'Mapa final'!$AC$36="Mayor"),CONCATENATE("R7C",'Mapa final'!$Q$36),"")</f>
        <v/>
      </c>
      <c r="AD42" s="28" t="str">
        <f>IF(AND('Mapa final'!$AA$37="Baja",'Mapa final'!$AC$37="Mayor"),CONCATENATE("R7C",'Mapa final'!$Q$37),"")</f>
        <v/>
      </c>
      <c r="AE42" s="28" t="str">
        <f>IF(AND('Mapa final'!$AA$38="Baja",'Mapa final'!$AC$38="Mayor"),CONCATENATE("R7C",'Mapa final'!$Q$38),"")</f>
        <v/>
      </c>
      <c r="AF42" s="28" t="str">
        <f>IF(AND('Mapa final'!$AA$39="Baja",'Mapa final'!$AC$39="Mayor"),CONCATENATE("R7C",'Mapa final'!$Q$39),"")</f>
        <v/>
      </c>
      <c r="AG42" s="24" t="str">
        <f>IF(AND('Mapa final'!$AA$40="Baja",'Mapa final'!$AC$40="Mayor"),CONCATENATE("R7C",'Mapa final'!$Q$40),"")</f>
        <v/>
      </c>
      <c r="AH42" s="25" t="str">
        <f>IF(AND('Mapa final'!$AA$35="Baja",'Mapa final'!$AC$35="Catastrófico"),CONCATENATE("R7C",'Mapa final'!$Q$35),"")</f>
        <v/>
      </c>
      <c r="AI42" s="26" t="str">
        <f>IF(AND('Mapa final'!$AA$36="Baja",'Mapa final'!$AC$36="Catastrófico"),CONCATENATE("R7C",'Mapa final'!$Q$36),"")</f>
        <v/>
      </c>
      <c r="AJ42" s="26" t="str">
        <f>IF(AND('Mapa final'!$AA$37="Baja",'Mapa final'!$AC$37="Catastrófico"),CONCATENATE("R7C",'Mapa final'!$Q$37),"")</f>
        <v/>
      </c>
      <c r="AK42" s="26" t="str">
        <f>IF(AND('Mapa final'!$AA$38="Baja",'Mapa final'!$AC$38="Catastrófico"),CONCATENATE("R7C",'Mapa final'!$Q$38),"")</f>
        <v/>
      </c>
      <c r="AL42" s="26" t="str">
        <f>IF(AND('Mapa final'!$AA$39="Baja",'Mapa final'!$AC$39="Catastrófico"),CONCATENATE("R7C",'Mapa final'!$Q$39),"")</f>
        <v/>
      </c>
      <c r="AM42" s="27" t="str">
        <f>IF(AND('Mapa final'!$AA$40="Baja",'Mapa final'!$AC$40="Catastrófico"),CONCATENATE("R7C",'Mapa final'!$Q$40),"")</f>
        <v/>
      </c>
      <c r="AN42" s="54"/>
      <c r="AO42" s="414"/>
      <c r="AP42" s="415"/>
      <c r="AQ42" s="415"/>
      <c r="AR42" s="415"/>
      <c r="AS42" s="415"/>
      <c r="AT42" s="416"/>
      <c r="AU42" s="54"/>
      <c r="AV42" s="54"/>
      <c r="AW42" s="54"/>
      <c r="AX42" s="54"/>
      <c r="AY42" s="54"/>
      <c r="AZ42" s="54"/>
      <c r="BA42" s="54"/>
      <c r="BB42" s="54"/>
      <c r="BC42" s="54"/>
      <c r="BD42" s="54"/>
      <c r="BE42" s="54"/>
      <c r="BF42" s="54"/>
      <c r="BG42" s="54"/>
      <c r="BH42" s="54"/>
      <c r="BI42" s="54"/>
      <c r="BJ42" s="54"/>
      <c r="BK42" s="54"/>
      <c r="BL42" s="54"/>
      <c r="BM42" s="54"/>
      <c r="BN42" s="54"/>
      <c r="BO42" s="54"/>
      <c r="BP42" s="54"/>
      <c r="BQ42" s="54"/>
      <c r="BR42" s="54"/>
      <c r="BS42" s="54"/>
      <c r="BT42" s="54"/>
      <c r="BU42" s="54"/>
      <c r="BV42" s="54"/>
      <c r="BW42" s="54"/>
      <c r="BX42" s="54"/>
    </row>
    <row r="43" spans="1:80" ht="15" customHeight="1" x14ac:dyDescent="0.3">
      <c r="A43" s="54"/>
      <c r="B43" s="292"/>
      <c r="C43" s="292"/>
      <c r="D43" s="293"/>
      <c r="E43" s="393"/>
      <c r="F43" s="394"/>
      <c r="G43" s="394"/>
      <c r="H43" s="394"/>
      <c r="I43" s="392"/>
      <c r="J43" s="47" t="str">
        <f>IF(AND('Mapa final'!$AA$41="Baja",'Mapa final'!$AC$41="Leve"),CONCATENATE("R8C",'Mapa final'!$Q$41),"")</f>
        <v/>
      </c>
      <c r="K43" s="48" t="str">
        <f>IF(AND('Mapa final'!$AA$42="Baja",'Mapa final'!$AC$42="Leve"),CONCATENATE("R8C",'Mapa final'!$Q$42),"")</f>
        <v/>
      </c>
      <c r="L43" s="48" t="str">
        <f>IF(AND('Mapa final'!$AA$43="Baja",'Mapa final'!$AC$43="Leve"),CONCATENATE("R8C",'Mapa final'!$Q$43),"")</f>
        <v/>
      </c>
      <c r="M43" s="48" t="str">
        <f>IF(AND('Mapa final'!$AA$44="Baja",'Mapa final'!$AC$44="Leve"),CONCATENATE("R8C",'Mapa final'!$Q$44),"")</f>
        <v/>
      </c>
      <c r="N43" s="48" t="str">
        <f>IF(AND('Mapa final'!$AA$45="Baja",'Mapa final'!$AC$45="Leve"),CONCATENATE("R8C",'Mapa final'!$Q$45),"")</f>
        <v/>
      </c>
      <c r="O43" s="49" t="str">
        <f>IF(AND('Mapa final'!$AA$46="Baja",'Mapa final'!$AC$46="Leve"),CONCATENATE("R8C",'Mapa final'!$Q$46),"")</f>
        <v/>
      </c>
      <c r="P43" s="38" t="str">
        <f>IF(AND('Mapa final'!$AA$41="Baja",'Mapa final'!$AC$41="Menor"),CONCATENATE("R8C",'Mapa final'!$Q$41),"")</f>
        <v/>
      </c>
      <c r="Q43" s="39" t="str">
        <f>IF(AND('Mapa final'!$AA$42="Baja",'Mapa final'!$AC$42="Menor"),CONCATENATE("R8C",'Mapa final'!$Q$42),"")</f>
        <v/>
      </c>
      <c r="R43" s="39" t="str">
        <f>IF(AND('Mapa final'!$AA$43="Baja",'Mapa final'!$AC$43="Menor"),CONCATENATE("R8C",'Mapa final'!$Q$43),"")</f>
        <v/>
      </c>
      <c r="S43" s="39" t="str">
        <f>IF(AND('Mapa final'!$AA$44="Baja",'Mapa final'!$AC$44="Menor"),CONCATENATE("R8C",'Mapa final'!$Q$44),"")</f>
        <v/>
      </c>
      <c r="T43" s="39" t="str">
        <f>IF(AND('Mapa final'!$AA$45="Baja",'Mapa final'!$AC$45="Menor"),CONCATENATE("R8C",'Mapa final'!$Q$45),"")</f>
        <v/>
      </c>
      <c r="U43" s="40" t="str">
        <f>IF(AND('Mapa final'!$AA$46="Baja",'Mapa final'!$AC$46="Menor"),CONCATENATE("R8C",'Mapa final'!$Q$46),"")</f>
        <v/>
      </c>
      <c r="V43" s="38" t="str">
        <f>IF(AND('Mapa final'!$AA$41="Baja",'Mapa final'!$AC$41="Moderado"),CONCATENATE("R8C",'Mapa final'!$Q$41),"")</f>
        <v/>
      </c>
      <c r="W43" s="39" t="str">
        <f>IF(AND('Mapa final'!$AA$42="Baja",'Mapa final'!$AC$42="Moderado"),CONCATENATE("R8C",'Mapa final'!$Q$42),"")</f>
        <v/>
      </c>
      <c r="X43" s="39" t="str">
        <f>IF(AND('Mapa final'!$AA$43="Baja",'Mapa final'!$AC$43="Moderado"),CONCATENATE("R8C",'Mapa final'!$Q$43),"")</f>
        <v/>
      </c>
      <c r="Y43" s="39" t="str">
        <f>IF(AND('Mapa final'!$AA$44="Baja",'Mapa final'!$AC$44="Moderado"),CONCATENATE("R8C",'Mapa final'!$Q$44),"")</f>
        <v/>
      </c>
      <c r="Z43" s="39" t="str">
        <f>IF(AND('Mapa final'!$AA$45="Baja",'Mapa final'!$AC$45="Moderado"),CONCATENATE("R8C",'Mapa final'!$Q$45),"")</f>
        <v/>
      </c>
      <c r="AA43" s="40" t="str">
        <f>IF(AND('Mapa final'!$AA$46="Baja",'Mapa final'!$AC$46="Moderado"),CONCATENATE("R8C",'Mapa final'!$Q$46),"")</f>
        <v/>
      </c>
      <c r="AB43" s="22" t="str">
        <f>IF(AND('Mapa final'!$AA$41="Baja",'Mapa final'!$AC$41="Mayor"),CONCATENATE("R8C",'Mapa final'!$Q$41),"")</f>
        <v/>
      </c>
      <c r="AC43" s="23" t="str">
        <f>IF(AND('Mapa final'!$AA$42="Baja",'Mapa final'!$AC$42="Mayor"),CONCATENATE("R8C",'Mapa final'!$Q$42),"")</f>
        <v/>
      </c>
      <c r="AD43" s="28" t="str">
        <f>IF(AND('Mapa final'!$AA$43="Baja",'Mapa final'!$AC$43="Mayor"),CONCATENATE("R8C",'Mapa final'!$Q$43),"")</f>
        <v/>
      </c>
      <c r="AE43" s="28" t="str">
        <f>IF(AND('Mapa final'!$AA$44="Baja",'Mapa final'!$AC$44="Mayor"),CONCATENATE("R8C",'Mapa final'!$Q$44),"")</f>
        <v/>
      </c>
      <c r="AF43" s="28" t="str">
        <f>IF(AND('Mapa final'!$AA$45="Baja",'Mapa final'!$AC$45="Mayor"),CONCATENATE("R8C",'Mapa final'!$Q$45),"")</f>
        <v/>
      </c>
      <c r="AG43" s="24" t="str">
        <f>IF(AND('Mapa final'!$AA$46="Baja",'Mapa final'!$AC$46="Mayor"),CONCATENATE("R8C",'Mapa final'!$Q$46),"")</f>
        <v/>
      </c>
      <c r="AH43" s="25" t="str">
        <f>IF(AND('Mapa final'!$AA$41="Baja",'Mapa final'!$AC$41="Catastrófico"),CONCATENATE("R8C",'Mapa final'!$Q$41),"")</f>
        <v/>
      </c>
      <c r="AI43" s="26" t="str">
        <f>IF(AND('Mapa final'!$AA$42="Baja",'Mapa final'!$AC$42="Catastrófico"),CONCATENATE("R8C",'Mapa final'!$Q$42),"")</f>
        <v/>
      </c>
      <c r="AJ43" s="26" t="str">
        <f>IF(AND('Mapa final'!$AA$43="Baja",'Mapa final'!$AC$43="Catastrófico"),CONCATENATE("R8C",'Mapa final'!$Q$43),"")</f>
        <v/>
      </c>
      <c r="AK43" s="26" t="str">
        <f>IF(AND('Mapa final'!$AA$44="Baja",'Mapa final'!$AC$44="Catastrófico"),CONCATENATE("R8C",'Mapa final'!$Q$44),"")</f>
        <v/>
      </c>
      <c r="AL43" s="26" t="str">
        <f>IF(AND('Mapa final'!$AA$45="Baja",'Mapa final'!$AC$45="Catastrófico"),CONCATENATE("R8C",'Mapa final'!$Q$45),"")</f>
        <v/>
      </c>
      <c r="AM43" s="27" t="str">
        <f>IF(AND('Mapa final'!$AA$46="Baja",'Mapa final'!$AC$46="Catastrófico"),CONCATENATE("R8C",'Mapa final'!$Q$46),"")</f>
        <v/>
      </c>
      <c r="AN43" s="54"/>
      <c r="AO43" s="414"/>
      <c r="AP43" s="415"/>
      <c r="AQ43" s="415"/>
      <c r="AR43" s="415"/>
      <c r="AS43" s="415"/>
      <c r="AT43" s="416"/>
      <c r="AU43" s="54"/>
      <c r="AV43" s="54"/>
      <c r="AW43" s="54"/>
      <c r="AX43" s="54"/>
      <c r="AY43" s="54"/>
      <c r="AZ43" s="54"/>
      <c r="BA43" s="54"/>
      <c r="BB43" s="54"/>
      <c r="BC43" s="54"/>
      <c r="BD43" s="54"/>
      <c r="BE43" s="54"/>
      <c r="BF43" s="54"/>
      <c r="BG43" s="54"/>
      <c r="BH43" s="54"/>
      <c r="BI43" s="54"/>
      <c r="BJ43" s="54"/>
      <c r="BK43" s="54"/>
      <c r="BL43" s="54"/>
      <c r="BM43" s="54"/>
      <c r="BN43" s="54"/>
      <c r="BO43" s="54"/>
      <c r="BP43" s="54"/>
      <c r="BQ43" s="54"/>
      <c r="BR43" s="54"/>
      <c r="BS43" s="54"/>
      <c r="BT43" s="54"/>
      <c r="BU43" s="54"/>
      <c r="BV43" s="54"/>
      <c r="BW43" s="54"/>
      <c r="BX43" s="54"/>
    </row>
    <row r="44" spans="1:80" ht="15" customHeight="1" x14ac:dyDescent="0.3">
      <c r="A44" s="54"/>
      <c r="B44" s="292"/>
      <c r="C44" s="292"/>
      <c r="D44" s="293"/>
      <c r="E44" s="393"/>
      <c r="F44" s="394"/>
      <c r="G44" s="394"/>
      <c r="H44" s="394"/>
      <c r="I44" s="392"/>
      <c r="J44" s="47" t="str">
        <f>IF(AND('Mapa final'!$AA$47="Baja",'Mapa final'!$AC$47="Leve"),CONCATENATE("R9C",'Mapa final'!$Q$47),"")</f>
        <v/>
      </c>
      <c r="K44" s="48" t="str">
        <f>IF(AND('Mapa final'!$AA$48="Baja",'Mapa final'!$AC$48="Leve"),CONCATENATE("R9C",'Mapa final'!$Q$48),"")</f>
        <v/>
      </c>
      <c r="L44" s="48" t="str">
        <f>IF(AND('Mapa final'!$AA$49="Baja",'Mapa final'!$AC$49="Leve"),CONCATENATE("R9C",'Mapa final'!$Q$49),"")</f>
        <v/>
      </c>
      <c r="M44" s="48" t="str">
        <f>IF(AND('Mapa final'!$AA$50="Baja",'Mapa final'!$AC$50="Leve"),CONCATENATE("R9C",'Mapa final'!$Q$50),"")</f>
        <v/>
      </c>
      <c r="N44" s="48" t="str">
        <f>IF(AND('Mapa final'!$AA$51="Baja",'Mapa final'!$AC$51="Leve"),CONCATENATE("R9C",'Mapa final'!$Q$51),"")</f>
        <v/>
      </c>
      <c r="O44" s="49" t="str">
        <f>IF(AND('Mapa final'!$AA$52="Baja",'Mapa final'!$AC$52="Leve"),CONCATENATE("R9C",'Mapa final'!$Q$52),"")</f>
        <v/>
      </c>
      <c r="P44" s="38" t="str">
        <f>IF(AND('Mapa final'!$AA$47="Baja",'Mapa final'!$AC$47="Menor"),CONCATENATE("R9C",'Mapa final'!$Q$47),"")</f>
        <v/>
      </c>
      <c r="Q44" s="39" t="str">
        <f>IF(AND('Mapa final'!$AA$48="Baja",'Mapa final'!$AC$48="Menor"),CONCATENATE("R9C",'Mapa final'!$Q$48),"")</f>
        <v/>
      </c>
      <c r="R44" s="39" t="str">
        <f>IF(AND('Mapa final'!$AA$49="Baja",'Mapa final'!$AC$49="Menor"),CONCATENATE("R9C",'Mapa final'!$Q$49),"")</f>
        <v/>
      </c>
      <c r="S44" s="39" t="str">
        <f>IF(AND('Mapa final'!$AA$50="Baja",'Mapa final'!$AC$50="Menor"),CONCATENATE("R9C",'Mapa final'!$Q$50),"")</f>
        <v/>
      </c>
      <c r="T44" s="39" t="str">
        <f>IF(AND('Mapa final'!$AA$51="Baja",'Mapa final'!$AC$51="Menor"),CONCATENATE("R9C",'Mapa final'!$Q$51),"")</f>
        <v/>
      </c>
      <c r="U44" s="40" t="str">
        <f>IF(AND('Mapa final'!$AA$52="Baja",'Mapa final'!$AC$52="Menor"),CONCATENATE("R9C",'Mapa final'!$Q$52),"")</f>
        <v/>
      </c>
      <c r="V44" s="38" t="str">
        <f>IF(AND('Mapa final'!$AA$47="Baja",'Mapa final'!$AC$47="Moderado"),CONCATENATE("R9C",'Mapa final'!$Q$47),"")</f>
        <v/>
      </c>
      <c r="W44" s="39" t="str">
        <f>IF(AND('Mapa final'!$AA$48="Baja",'Mapa final'!$AC$48="Moderado"),CONCATENATE("R9C",'Mapa final'!$Q$48),"")</f>
        <v/>
      </c>
      <c r="X44" s="39" t="str">
        <f>IF(AND('Mapa final'!$AA$49="Baja",'Mapa final'!$AC$49="Moderado"),CONCATENATE("R9C",'Mapa final'!$Q$49),"")</f>
        <v/>
      </c>
      <c r="Y44" s="39" t="str">
        <f>IF(AND('Mapa final'!$AA$50="Baja",'Mapa final'!$AC$50="Moderado"),CONCATENATE("R9C",'Mapa final'!$Q$50),"")</f>
        <v/>
      </c>
      <c r="Z44" s="39" t="str">
        <f>IF(AND('Mapa final'!$AA$51="Baja",'Mapa final'!$AC$51="Moderado"),CONCATENATE("R9C",'Mapa final'!$Q$51),"")</f>
        <v/>
      </c>
      <c r="AA44" s="40" t="str">
        <f>IF(AND('Mapa final'!$AA$52="Baja",'Mapa final'!$AC$52="Moderado"),CONCATENATE("R9C",'Mapa final'!$Q$52),"")</f>
        <v/>
      </c>
      <c r="AB44" s="22" t="str">
        <f>IF(AND('Mapa final'!$AA$47="Baja",'Mapa final'!$AC$47="Mayor"),CONCATENATE("R9C",'Mapa final'!$Q$47),"")</f>
        <v/>
      </c>
      <c r="AC44" s="23" t="str">
        <f>IF(AND('Mapa final'!$AA$48="Baja",'Mapa final'!$AC$48="Mayor"),CONCATENATE("R9C",'Mapa final'!$Q$48),"")</f>
        <v/>
      </c>
      <c r="AD44" s="28" t="str">
        <f>IF(AND('Mapa final'!$AA$49="Baja",'Mapa final'!$AC$49="Mayor"),CONCATENATE("R9C",'Mapa final'!$Q$49),"")</f>
        <v/>
      </c>
      <c r="AE44" s="28" t="str">
        <f>IF(AND('Mapa final'!$AA$50="Baja",'Mapa final'!$AC$50="Mayor"),CONCATENATE("R9C",'Mapa final'!$Q$50),"")</f>
        <v/>
      </c>
      <c r="AF44" s="28" t="str">
        <f>IF(AND('Mapa final'!$AA$51="Baja",'Mapa final'!$AC$51="Mayor"),CONCATENATE("R9C",'Mapa final'!$Q$51),"")</f>
        <v/>
      </c>
      <c r="AG44" s="24" t="str">
        <f>IF(AND('Mapa final'!$AA$52="Baja",'Mapa final'!$AC$52="Mayor"),CONCATENATE("R9C",'Mapa final'!$Q$52),"")</f>
        <v/>
      </c>
      <c r="AH44" s="25" t="str">
        <f>IF(AND('Mapa final'!$AA$47="Baja",'Mapa final'!$AC$47="Catastrófico"),CONCATENATE("R9C",'Mapa final'!$Q$47),"")</f>
        <v/>
      </c>
      <c r="AI44" s="26" t="str">
        <f>IF(AND('Mapa final'!$AA$48="Baja",'Mapa final'!$AC$48="Catastrófico"),CONCATENATE("R9C",'Mapa final'!$Q$48),"")</f>
        <v/>
      </c>
      <c r="AJ44" s="26" t="str">
        <f>IF(AND('Mapa final'!$AA$49="Baja",'Mapa final'!$AC$49="Catastrófico"),CONCATENATE("R9C",'Mapa final'!$Q$49),"")</f>
        <v/>
      </c>
      <c r="AK44" s="26" t="str">
        <f>IF(AND('Mapa final'!$AA$50="Baja",'Mapa final'!$AC$50="Catastrófico"),CONCATENATE("R9C",'Mapa final'!$Q$50),"")</f>
        <v/>
      </c>
      <c r="AL44" s="26" t="str">
        <f>IF(AND('Mapa final'!$AA$51="Baja",'Mapa final'!$AC$51="Catastrófico"),CONCATENATE("R9C",'Mapa final'!$Q$51),"")</f>
        <v/>
      </c>
      <c r="AM44" s="27" t="str">
        <f>IF(AND('Mapa final'!$AA$52="Baja",'Mapa final'!$AC$52="Catastrófico"),CONCATENATE("R9C",'Mapa final'!$Q$52),"")</f>
        <v/>
      </c>
      <c r="AN44" s="54"/>
      <c r="AO44" s="414"/>
      <c r="AP44" s="415"/>
      <c r="AQ44" s="415"/>
      <c r="AR44" s="415"/>
      <c r="AS44" s="415"/>
      <c r="AT44" s="416"/>
      <c r="AU44" s="54"/>
      <c r="AV44" s="54"/>
      <c r="AW44" s="54"/>
      <c r="AX44" s="54"/>
      <c r="AY44" s="54"/>
      <c r="AZ44" s="54"/>
      <c r="BA44" s="54"/>
      <c r="BB44" s="54"/>
      <c r="BC44" s="54"/>
      <c r="BD44" s="54"/>
      <c r="BE44" s="54"/>
      <c r="BF44" s="54"/>
      <c r="BG44" s="54"/>
      <c r="BH44" s="54"/>
      <c r="BI44" s="54"/>
      <c r="BJ44" s="54"/>
      <c r="BK44" s="54"/>
      <c r="BL44" s="54"/>
      <c r="BM44" s="54"/>
      <c r="BN44" s="54"/>
      <c r="BO44" s="54"/>
      <c r="BP44" s="54"/>
      <c r="BQ44" s="54"/>
      <c r="BR44" s="54"/>
      <c r="BS44" s="54"/>
      <c r="BT44" s="54"/>
      <c r="BU44" s="54"/>
      <c r="BV44" s="54"/>
      <c r="BW44" s="54"/>
      <c r="BX44" s="54"/>
    </row>
    <row r="45" spans="1:80" ht="15.75" customHeight="1" thickBot="1" x14ac:dyDescent="0.35">
      <c r="A45" s="54"/>
      <c r="B45" s="292"/>
      <c r="C45" s="292"/>
      <c r="D45" s="293"/>
      <c r="E45" s="395"/>
      <c r="F45" s="396"/>
      <c r="G45" s="396"/>
      <c r="H45" s="396"/>
      <c r="I45" s="396"/>
      <c r="J45" s="50" t="str">
        <f>IF(AND('Mapa final'!$AA$53="Baja",'Mapa final'!$AC$53="Leve"),CONCATENATE("R10C",'Mapa final'!$Q$53),"")</f>
        <v/>
      </c>
      <c r="K45" s="51" t="str">
        <f>IF(AND('Mapa final'!$AA$54="Baja",'Mapa final'!$AC$54="Leve"),CONCATENATE("R10C",'Mapa final'!$Q$54),"")</f>
        <v/>
      </c>
      <c r="L45" s="51" t="str">
        <f>IF(AND('Mapa final'!$AA$55="Baja",'Mapa final'!$AC$55="Leve"),CONCATENATE("R10C",'Mapa final'!$Q$55),"")</f>
        <v/>
      </c>
      <c r="M45" s="51" t="str">
        <f>IF(AND('Mapa final'!$AA$56="Baja",'Mapa final'!$AC$56="Leve"),CONCATENATE("R10C",'Mapa final'!$Q$56),"")</f>
        <v/>
      </c>
      <c r="N45" s="51" t="str">
        <f>IF(AND('Mapa final'!$AA$57="Baja",'Mapa final'!$AC$57="Leve"),CONCATENATE("R10C",'Mapa final'!$Q$57),"")</f>
        <v/>
      </c>
      <c r="O45" s="52" t="str">
        <f>IF(AND('Mapa final'!$AA$58="Baja",'Mapa final'!$AC$58="Leve"),CONCATENATE("R10C",'Mapa final'!$Q$58),"")</f>
        <v/>
      </c>
      <c r="P45" s="38" t="str">
        <f>IF(AND('Mapa final'!$AA$53="Baja",'Mapa final'!$AC$53="Menor"),CONCATENATE("R10C",'Mapa final'!$Q$53),"")</f>
        <v/>
      </c>
      <c r="Q45" s="39" t="str">
        <f>IF(AND('Mapa final'!$AA$54="Baja",'Mapa final'!$AC$54="Menor"),CONCATENATE("R10C",'Mapa final'!$Q$54),"")</f>
        <v/>
      </c>
      <c r="R45" s="39" t="str">
        <f>IF(AND('Mapa final'!$AA$55="Baja",'Mapa final'!$AC$55="Menor"),CONCATENATE("R10C",'Mapa final'!$Q$55),"")</f>
        <v/>
      </c>
      <c r="S45" s="39" t="str">
        <f>IF(AND('Mapa final'!$AA$56="Baja",'Mapa final'!$AC$56="Menor"),CONCATENATE("R10C",'Mapa final'!$Q$56),"")</f>
        <v/>
      </c>
      <c r="T45" s="39" t="str">
        <f>IF(AND('Mapa final'!$AA$57="Baja",'Mapa final'!$AC$57="Menor"),CONCATENATE("R10C",'Mapa final'!$Q$57),"")</f>
        <v/>
      </c>
      <c r="U45" s="40" t="str">
        <f>IF(AND('Mapa final'!$AA$58="Baja",'Mapa final'!$AC$58="Menor"),CONCATENATE("R10C",'Mapa final'!$Q$58),"")</f>
        <v/>
      </c>
      <c r="V45" s="41" t="str">
        <f>IF(AND('Mapa final'!$AA$53="Baja",'Mapa final'!$AC$53="Moderado"),CONCATENATE("R10C",'Mapa final'!$Q$53),"")</f>
        <v/>
      </c>
      <c r="W45" s="42" t="str">
        <f>IF(AND('Mapa final'!$AA$54="Baja",'Mapa final'!$AC$54="Moderado"),CONCATENATE("R10C",'Mapa final'!$Q$54),"")</f>
        <v/>
      </c>
      <c r="X45" s="42" t="str">
        <f>IF(AND('Mapa final'!$AA$55="Baja",'Mapa final'!$AC$55="Moderado"),CONCATENATE("R10C",'Mapa final'!$Q$55),"")</f>
        <v/>
      </c>
      <c r="Y45" s="42" t="str">
        <f>IF(AND('Mapa final'!$AA$56="Baja",'Mapa final'!$AC$56="Moderado"),CONCATENATE("R10C",'Mapa final'!$Q$56),"")</f>
        <v/>
      </c>
      <c r="Z45" s="42" t="str">
        <f>IF(AND('Mapa final'!$AA$57="Baja",'Mapa final'!$AC$57="Moderado"),CONCATENATE("R10C",'Mapa final'!$Q$57),"")</f>
        <v/>
      </c>
      <c r="AA45" s="43" t="str">
        <f>IF(AND('Mapa final'!$AA$58="Baja",'Mapa final'!$AC$58="Moderado"),CONCATENATE("R10C",'Mapa final'!$Q$58),"")</f>
        <v/>
      </c>
      <c r="AB45" s="29" t="str">
        <f>IF(AND('Mapa final'!$AA$53="Baja",'Mapa final'!$AC$53="Mayor"),CONCATENATE("R10C",'Mapa final'!$Q$53),"")</f>
        <v/>
      </c>
      <c r="AC45" s="30" t="str">
        <f>IF(AND('Mapa final'!$AA$54="Baja",'Mapa final'!$AC$54="Mayor"),CONCATENATE("R10C",'Mapa final'!$Q$54),"")</f>
        <v/>
      </c>
      <c r="AD45" s="30" t="str">
        <f>IF(AND('Mapa final'!$AA$55="Baja",'Mapa final'!$AC$55="Mayor"),CONCATENATE("R10C",'Mapa final'!$Q$55),"")</f>
        <v/>
      </c>
      <c r="AE45" s="30" t="str">
        <f>IF(AND('Mapa final'!$AA$56="Baja",'Mapa final'!$AC$56="Mayor"),CONCATENATE("R10C",'Mapa final'!$Q$56),"")</f>
        <v/>
      </c>
      <c r="AF45" s="30" t="str">
        <f>IF(AND('Mapa final'!$AA$57="Baja",'Mapa final'!$AC$57="Mayor"),CONCATENATE("R10C",'Mapa final'!$Q$57),"")</f>
        <v/>
      </c>
      <c r="AG45" s="31" t="str">
        <f>IF(AND('Mapa final'!$AA$58="Baja",'Mapa final'!$AC$58="Mayor"),CONCATENATE("R10C",'Mapa final'!$Q$58),"")</f>
        <v/>
      </c>
      <c r="AH45" s="32" t="str">
        <f>IF(AND('Mapa final'!$AA$53="Baja",'Mapa final'!$AC$53="Catastrófico"),CONCATENATE("R10C",'Mapa final'!$Q$53),"")</f>
        <v/>
      </c>
      <c r="AI45" s="33" t="str">
        <f>IF(AND('Mapa final'!$AA$54="Baja",'Mapa final'!$AC$54="Catastrófico"),CONCATENATE("R10C",'Mapa final'!$Q$54),"")</f>
        <v/>
      </c>
      <c r="AJ45" s="33" t="str">
        <f>IF(AND('Mapa final'!$AA$55="Baja",'Mapa final'!$AC$55="Catastrófico"),CONCATENATE("R10C",'Mapa final'!$Q$55),"")</f>
        <v/>
      </c>
      <c r="AK45" s="33" t="str">
        <f>IF(AND('Mapa final'!$AA$56="Baja",'Mapa final'!$AC$56="Catastrófico"),CONCATENATE("R10C",'Mapa final'!$Q$56),"")</f>
        <v/>
      </c>
      <c r="AL45" s="33" t="str">
        <f>IF(AND('Mapa final'!$AA$57="Baja",'Mapa final'!$AC$57="Catastrófico"),CONCATENATE("R10C",'Mapa final'!$Q$57),"")</f>
        <v/>
      </c>
      <c r="AM45" s="34" t="str">
        <f>IF(AND('Mapa final'!$AA$58="Baja",'Mapa final'!$AC$58="Catastrófico"),CONCATENATE("R10C",'Mapa final'!$Q$58),"")</f>
        <v/>
      </c>
      <c r="AN45" s="54"/>
      <c r="AO45" s="417"/>
      <c r="AP45" s="418"/>
      <c r="AQ45" s="418"/>
      <c r="AR45" s="418"/>
      <c r="AS45" s="418"/>
      <c r="AT45" s="419"/>
    </row>
    <row r="46" spans="1:80" ht="46.5" customHeight="1" x14ac:dyDescent="0.45">
      <c r="A46" s="54"/>
      <c r="B46" s="292"/>
      <c r="C46" s="292"/>
      <c r="D46" s="293"/>
      <c r="E46" s="389" t="s">
        <v>108</v>
      </c>
      <c r="F46" s="390"/>
      <c r="G46" s="390"/>
      <c r="H46" s="390"/>
      <c r="I46" s="408"/>
      <c r="J46" s="44" t="str">
        <f ca="1">IF(AND('Mapa final'!$AA$10="Muy Baja",'Mapa final'!$AC$10="Leve"),CONCATENATE("R1C",'Mapa final'!$Q$10),"")</f>
        <v/>
      </c>
      <c r="K46" s="45" t="str">
        <f ca="1">IF(AND('Mapa final'!$AA$11="Muy Baja",'Mapa final'!$AC$11="Leve"),CONCATENATE("R1C",'Mapa final'!$Q$11),"")</f>
        <v/>
      </c>
      <c r="L46" s="45" t="str">
        <f ca="1">IF(AND('Mapa final'!$AA$12="Muy Baja",'Mapa final'!$AC$12="Leve"),CONCATENATE("R1C",'Mapa final'!$Q$12),"")</f>
        <v/>
      </c>
      <c r="M46" s="45" t="str">
        <f ca="1">IF(AND('Mapa final'!$AA$13="Muy Baja",'Mapa final'!$AC$13="Leve"),CONCATENATE("R1C",'Mapa final'!$Q$13),"")</f>
        <v/>
      </c>
      <c r="N46" s="45" t="str">
        <f ca="1">IF(AND('Mapa final'!$AA$14="Muy Baja",'Mapa final'!$AC$14="Leve"),CONCATENATE("R1C",'Mapa final'!$Q$14),"")</f>
        <v/>
      </c>
      <c r="O46" s="46" t="e">
        <f>IF(AND('Mapa final'!#REF!="Muy Baja",'Mapa final'!#REF!="Leve"),CONCATENATE("R1C",'Mapa final'!#REF!),"")</f>
        <v>#REF!</v>
      </c>
      <c r="P46" s="44" t="str">
        <f ca="1">IF(AND('Mapa final'!$AA$10="Muy Baja",'Mapa final'!$AC$10="Menor"),CONCATENATE("R1C",'Mapa final'!$Q$10),"")</f>
        <v/>
      </c>
      <c r="Q46" s="45" t="str">
        <f ca="1">IF(AND('Mapa final'!$AA$11="Muy Baja",'Mapa final'!$AC$11="Menor"),CONCATENATE("R1C",'Mapa final'!$Q$11),"")</f>
        <v/>
      </c>
      <c r="R46" s="45" t="str">
        <f ca="1">IF(AND('Mapa final'!$AA$12="Muy Baja",'Mapa final'!$AC$12="Menor"),CONCATENATE("R1C",'Mapa final'!$Q$12),"")</f>
        <v/>
      </c>
      <c r="S46" s="45" t="str">
        <f ca="1">IF(AND('Mapa final'!$AA$13="Muy Baja",'Mapa final'!$AC$13="Menor"),CONCATENATE("R1C",'Mapa final'!$Q$13),"")</f>
        <v/>
      </c>
      <c r="T46" s="45" t="str">
        <f ca="1">IF(AND('Mapa final'!$AA$14="Muy Baja",'Mapa final'!$AC$14="Menor"),CONCATENATE("R1C",'Mapa final'!$Q$14),"")</f>
        <v/>
      </c>
      <c r="U46" s="46" t="e">
        <f>IF(AND('Mapa final'!#REF!="Muy Baja",'Mapa final'!#REF!="Menor"),CONCATENATE("R1C",'Mapa final'!#REF!),"")</f>
        <v>#REF!</v>
      </c>
      <c r="V46" s="35" t="str">
        <f ca="1">IF(AND('Mapa final'!$AA$10="Muy Baja",'Mapa final'!$AC$10="Moderado"),CONCATENATE("R1C",'Mapa final'!$Q$10),"")</f>
        <v/>
      </c>
      <c r="W46" s="53" t="str">
        <f ca="1">IF(AND('Mapa final'!$AA$11="Muy Baja",'Mapa final'!$AC$11="Moderado"),CONCATENATE("R1C",'Mapa final'!$Q$11),"")</f>
        <v/>
      </c>
      <c r="X46" s="36" t="str">
        <f ca="1">IF(AND('Mapa final'!$AA$12="Muy Baja",'Mapa final'!$AC$12="Moderado"),CONCATENATE("R1C",'Mapa final'!$Q$12),"")</f>
        <v/>
      </c>
      <c r="Y46" s="36" t="str">
        <f ca="1">IF(AND('Mapa final'!$AA$13="Muy Baja",'Mapa final'!$AC$13="Moderado"),CONCATENATE("R1C",'Mapa final'!$Q$13),"")</f>
        <v/>
      </c>
      <c r="Z46" s="36" t="str">
        <f ca="1">IF(AND('Mapa final'!$AA$14="Muy Baja",'Mapa final'!$AC$14="Moderado"),CONCATENATE("R1C",'Mapa final'!$Q$14),"")</f>
        <v/>
      </c>
      <c r="AA46" s="37" t="e">
        <f>IF(AND('Mapa final'!#REF!="Muy Baja",'Mapa final'!#REF!="Moderado"),CONCATENATE("R1C",'Mapa final'!#REF!),"")</f>
        <v>#REF!</v>
      </c>
      <c r="AB46" s="16" t="str">
        <f ca="1">IF(AND('Mapa final'!$AA$10="Muy Baja",'Mapa final'!$AC$10="Mayor"),CONCATENATE("R1C",'Mapa final'!$Q$10),"")</f>
        <v/>
      </c>
      <c r="AC46" s="17" t="str">
        <f ca="1">IF(AND('Mapa final'!$AA$11="Muy Baja",'Mapa final'!$AC$11="Mayor"),CONCATENATE("R1C",'Mapa final'!$Q$11),"")</f>
        <v/>
      </c>
      <c r="AD46" s="17" t="str">
        <f ca="1">IF(AND('Mapa final'!$AA$12="Muy Baja",'Mapa final'!$AC$12="Mayor"),CONCATENATE("R1C",'Mapa final'!$Q$12),"")</f>
        <v>R1C3</v>
      </c>
      <c r="AE46" s="17" t="str">
        <f ca="1">IF(AND('Mapa final'!$AA$13="Muy Baja",'Mapa final'!$AC$13="Mayor"),CONCATENATE("R1C",'Mapa final'!$Q$13),"")</f>
        <v>R1C4</v>
      </c>
      <c r="AF46" s="17" t="str">
        <f ca="1">IF(AND('Mapa final'!$AA$14="Muy Baja",'Mapa final'!$AC$14="Mayor"),CONCATENATE("R1C",'Mapa final'!$Q$14),"")</f>
        <v>R1C5</v>
      </c>
      <c r="AG46" s="18" t="e">
        <f>IF(AND('Mapa final'!#REF!="Muy Baja",'Mapa final'!#REF!="Mayor"),CONCATENATE("R1C",'Mapa final'!#REF!),"")</f>
        <v>#REF!</v>
      </c>
      <c r="AH46" s="19" t="str">
        <f ca="1">IF(AND('Mapa final'!$AA$10="Muy Baja",'Mapa final'!$AC$10="Catastrófico"),CONCATENATE("R1C",'Mapa final'!$Q$10),"")</f>
        <v/>
      </c>
      <c r="AI46" s="20" t="str">
        <f ca="1">IF(AND('Mapa final'!$AA$11="Muy Baja",'Mapa final'!$AC$11="Catastrófico"),CONCATENATE("R1C",'Mapa final'!$Q$11),"")</f>
        <v/>
      </c>
      <c r="AJ46" s="20" t="str">
        <f ca="1">IF(AND('Mapa final'!$AA$12="Muy Baja",'Mapa final'!$AC$12="Catastrófico"),CONCATENATE("R1C",'Mapa final'!$Q$12),"")</f>
        <v/>
      </c>
      <c r="AK46" s="20" t="str">
        <f ca="1">IF(AND('Mapa final'!$AA$13="Muy Baja",'Mapa final'!$AC$13="Catastrófico"),CONCATENATE("R1C",'Mapa final'!$Q$13),"")</f>
        <v/>
      </c>
      <c r="AL46" s="20" t="str">
        <f ca="1">IF(AND('Mapa final'!$AA$14="Muy Baja",'Mapa final'!$AC$14="Catastrófico"),CONCATENATE("R1C",'Mapa final'!$Q$14),"")</f>
        <v/>
      </c>
      <c r="AM46" s="21" t="e">
        <f>IF(AND('Mapa final'!#REF!="Muy Baja",'Mapa final'!#REF!="Catastrófico"),CONCATENATE("R1C",'Mapa final'!#REF!),"")</f>
        <v>#REF!</v>
      </c>
      <c r="AN46" s="54"/>
      <c r="AO46" s="54"/>
      <c r="AP46" s="54"/>
      <c r="AQ46" s="54"/>
      <c r="AR46" s="54"/>
      <c r="AS46" s="54"/>
      <c r="AT46" s="54"/>
      <c r="AU46" s="54"/>
      <c r="AV46" s="54"/>
      <c r="AW46" s="54"/>
      <c r="AX46" s="54"/>
      <c r="AY46" s="54"/>
      <c r="AZ46" s="54"/>
      <c r="BA46" s="54"/>
      <c r="BB46" s="54"/>
      <c r="BC46" s="54"/>
      <c r="BD46" s="54"/>
      <c r="BE46" s="54"/>
      <c r="BF46" s="54"/>
      <c r="BG46" s="54"/>
      <c r="BH46" s="54"/>
      <c r="BI46" s="54"/>
      <c r="BJ46" s="54"/>
      <c r="BK46" s="54"/>
      <c r="BL46" s="54"/>
      <c r="BM46" s="54"/>
      <c r="BN46" s="54"/>
      <c r="BO46" s="54"/>
      <c r="BP46" s="54"/>
      <c r="BQ46" s="54"/>
      <c r="BR46" s="54"/>
      <c r="BS46" s="54"/>
      <c r="BT46" s="54"/>
      <c r="BU46" s="54"/>
      <c r="BV46" s="54"/>
      <c r="BW46" s="54"/>
      <c r="BX46" s="54"/>
      <c r="BY46" s="54"/>
      <c r="BZ46" s="54"/>
      <c r="CA46" s="54"/>
      <c r="CB46" s="54"/>
    </row>
    <row r="47" spans="1:80" ht="46.5" customHeight="1" x14ac:dyDescent="0.3">
      <c r="A47" s="54"/>
      <c r="B47" s="292"/>
      <c r="C47" s="292"/>
      <c r="D47" s="293"/>
      <c r="E47" s="391"/>
      <c r="F47" s="392"/>
      <c r="G47" s="392"/>
      <c r="H47" s="392"/>
      <c r="I47" s="409"/>
      <c r="J47" s="47" t="str">
        <f ca="1">IF(AND('Mapa final'!$AA$15="Muy Baja",'Mapa final'!$AC$15="Leve"),CONCATENATE("R2C",'Mapa final'!$Q$15),"")</f>
        <v/>
      </c>
      <c r="K47" s="48" t="str">
        <f ca="1">IF(AND('Mapa final'!$AA$16="Muy Baja",'Mapa final'!$AC$16="Leve"),CONCATENATE("R2C",'Mapa final'!$Q$16),"")</f>
        <v/>
      </c>
      <c r="L47" s="48" t="e">
        <f>IF(AND('Mapa final'!#REF!="Muy Baja",'Mapa final'!#REF!="Leve"),CONCATENATE("R2C",'Mapa final'!$Q$17),"")</f>
        <v>#REF!</v>
      </c>
      <c r="M47" s="48" t="e">
        <f>IF(AND('Mapa final'!#REF!="Muy Baja",'Mapa final'!#REF!="Leve"),CONCATENATE("R2C",'Mapa final'!#REF!),"")</f>
        <v>#REF!</v>
      </c>
      <c r="N47" s="48" t="e">
        <f>IF(AND('Mapa final'!#REF!="Muy Baja",'Mapa final'!#REF!="Leve"),CONCATENATE("R2C",'Mapa final'!#REF!),"")</f>
        <v>#REF!</v>
      </c>
      <c r="O47" s="49" t="e">
        <f>IF(AND('Mapa final'!#REF!="Muy Baja",'Mapa final'!#REF!="Leve"),CONCATENATE("R2C",'Mapa final'!#REF!),"")</f>
        <v>#REF!</v>
      </c>
      <c r="P47" s="47" t="str">
        <f ca="1">IF(AND('Mapa final'!$AA$15="Muy Baja",'Mapa final'!$AC$15="Menor"),CONCATENATE("R2C",'Mapa final'!$Q$15),"")</f>
        <v/>
      </c>
      <c r="Q47" s="48" t="str">
        <f ca="1">IF(AND('Mapa final'!$AA$16="Muy Baja",'Mapa final'!$AC$16="Menor"),CONCATENATE("R2C",'Mapa final'!$Q$16),"")</f>
        <v/>
      </c>
      <c r="R47" s="48" t="e">
        <f>IF(AND('Mapa final'!#REF!="Muy Baja",'Mapa final'!#REF!="Menor"),CONCATENATE("R2C",'Mapa final'!$Q$17),"")</f>
        <v>#REF!</v>
      </c>
      <c r="S47" s="48" t="e">
        <f>IF(AND('Mapa final'!#REF!="Muy Baja",'Mapa final'!#REF!="Menor"),CONCATENATE("R2C",'Mapa final'!#REF!),"")</f>
        <v>#REF!</v>
      </c>
      <c r="T47" s="48" t="e">
        <f>IF(AND('Mapa final'!#REF!="Muy Baja",'Mapa final'!#REF!="Menor"),CONCATENATE("R2C",'Mapa final'!#REF!),"")</f>
        <v>#REF!</v>
      </c>
      <c r="U47" s="49" t="e">
        <f>IF(AND('Mapa final'!#REF!="Muy Baja",'Mapa final'!#REF!="Menor"),CONCATENATE("R2C",'Mapa final'!#REF!),"")</f>
        <v>#REF!</v>
      </c>
      <c r="V47" s="38" t="str">
        <f ca="1">IF(AND('Mapa final'!$AA$15="Muy Baja",'Mapa final'!$AC$15="Moderado"),CONCATENATE("R2C",'Mapa final'!$Q$15),"")</f>
        <v/>
      </c>
      <c r="W47" s="39" t="str">
        <f ca="1">IF(AND('Mapa final'!$AA$16="Muy Baja",'Mapa final'!$AC$16="Moderado"),CONCATENATE("R2C",'Mapa final'!$Q$16),"")</f>
        <v/>
      </c>
      <c r="X47" s="39" t="e">
        <f>IF(AND('Mapa final'!#REF!="Muy Baja",'Mapa final'!#REF!="Moderado"),CONCATENATE("R2C",'Mapa final'!$Q$17),"")</f>
        <v>#REF!</v>
      </c>
      <c r="Y47" s="39" t="e">
        <f>IF(AND('Mapa final'!#REF!="Muy Baja",'Mapa final'!#REF!="Moderado"),CONCATENATE("R2C",'Mapa final'!#REF!),"")</f>
        <v>#REF!</v>
      </c>
      <c r="Z47" s="39" t="e">
        <f>IF(AND('Mapa final'!#REF!="Muy Baja",'Mapa final'!#REF!="Moderado"),CONCATENATE("R2C",'Mapa final'!#REF!),"")</f>
        <v>#REF!</v>
      </c>
      <c r="AA47" s="40" t="e">
        <f>IF(AND('Mapa final'!#REF!="Muy Baja",'Mapa final'!#REF!="Moderado"),CONCATENATE("R2C",'Mapa final'!#REF!),"")</f>
        <v>#REF!</v>
      </c>
      <c r="AB47" s="22" t="str">
        <f ca="1">IF(AND('Mapa final'!$AA$15="Muy Baja",'Mapa final'!$AC$15="Mayor"),CONCATENATE("R2C",'Mapa final'!$Q$15),"")</f>
        <v/>
      </c>
      <c r="AC47" s="23" t="str">
        <f ca="1">IF(AND('Mapa final'!$AA$16="Muy Baja",'Mapa final'!$AC$16="Mayor"),CONCATENATE("R2C",'Mapa final'!$Q$16),"")</f>
        <v/>
      </c>
      <c r="AD47" s="23" t="e">
        <f>IF(AND('Mapa final'!#REF!="Muy Baja",'Mapa final'!#REF!="Mayor"),CONCATENATE("R2C",'Mapa final'!$Q$17),"")</f>
        <v>#REF!</v>
      </c>
      <c r="AE47" s="23" t="e">
        <f>IF(AND('Mapa final'!#REF!="Muy Baja",'Mapa final'!#REF!="Mayor"),CONCATENATE("R2C",'Mapa final'!#REF!),"")</f>
        <v>#REF!</v>
      </c>
      <c r="AF47" s="23" t="e">
        <f>IF(AND('Mapa final'!#REF!="Muy Baja",'Mapa final'!#REF!="Mayor"),CONCATENATE("R2C",'Mapa final'!#REF!),"")</f>
        <v>#REF!</v>
      </c>
      <c r="AG47" s="24" t="e">
        <f>IF(AND('Mapa final'!#REF!="Muy Baja",'Mapa final'!#REF!="Mayor"),CONCATENATE("R2C",'Mapa final'!#REF!),"")</f>
        <v>#REF!</v>
      </c>
      <c r="AH47" s="25" t="str">
        <f ca="1">IF(AND('Mapa final'!$AA$15="Muy Baja",'Mapa final'!$AC$15="Catastrófico"),CONCATENATE("R2C",'Mapa final'!$Q$15),"")</f>
        <v/>
      </c>
      <c r="AI47" s="26" t="str">
        <f ca="1">IF(AND('Mapa final'!$AA$16="Muy Baja",'Mapa final'!$AC$16="Catastrófico"),CONCATENATE("R2C",'Mapa final'!$Q$16),"")</f>
        <v/>
      </c>
      <c r="AJ47" s="26" t="e">
        <f>IF(AND('Mapa final'!#REF!="Muy Baja",'Mapa final'!#REF!="Catastrófico"),CONCATENATE("R2C",'Mapa final'!$Q$17),"")</f>
        <v>#REF!</v>
      </c>
      <c r="AK47" s="26" t="e">
        <f>IF(AND('Mapa final'!#REF!="Muy Baja",'Mapa final'!#REF!="Catastrófico"),CONCATENATE("R2C",'Mapa final'!#REF!),"")</f>
        <v>#REF!</v>
      </c>
      <c r="AL47" s="26" t="e">
        <f>IF(AND('Mapa final'!#REF!="Muy Baja",'Mapa final'!#REF!="Catastrófico"),CONCATENATE("R2C",'Mapa final'!#REF!),"")</f>
        <v>#REF!</v>
      </c>
      <c r="AM47" s="27" t="e">
        <f>IF(AND('Mapa final'!#REF!="Muy Baja",'Mapa final'!#REF!="Catastrófico"),CONCATENATE("R2C",'Mapa final'!#REF!),"")</f>
        <v>#REF!</v>
      </c>
      <c r="AN47" s="54"/>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row>
    <row r="48" spans="1:80" ht="15" customHeight="1" x14ac:dyDescent="0.3">
      <c r="A48" s="54"/>
      <c r="B48" s="292"/>
      <c r="C48" s="292"/>
      <c r="D48" s="293"/>
      <c r="E48" s="391"/>
      <c r="F48" s="392"/>
      <c r="G48" s="392"/>
      <c r="H48" s="392"/>
      <c r="I48" s="409"/>
      <c r="J48" s="47" t="e">
        <f>IF(AND('Mapa final'!#REF!="Muy Baja",'Mapa final'!#REF!="Leve"),CONCATENATE("R3C",'Mapa final'!#REF!),"")</f>
        <v>#REF!</v>
      </c>
      <c r="K48" s="48" t="e">
        <f>IF(AND('Mapa final'!#REF!="Muy Baja",'Mapa final'!#REF!="Leve"),CONCATENATE("R3C",'Mapa final'!#REF!),"")</f>
        <v>#REF!</v>
      </c>
      <c r="L48" s="48" t="e">
        <f>IF(AND('Mapa final'!#REF!="Muy Baja",'Mapa final'!#REF!="Leve"),CONCATENATE("R3C",'Mapa final'!#REF!),"")</f>
        <v>#REF!</v>
      </c>
      <c r="M48" s="48" t="e">
        <f>IF(AND('Mapa final'!#REF!="Muy Baja",'Mapa final'!#REF!="Leve"),CONCATENATE("R3C",'Mapa final'!#REF!),"")</f>
        <v>#REF!</v>
      </c>
      <c r="N48" s="48" t="e">
        <f>IF(AND('Mapa final'!#REF!="Muy Baja",'Mapa final'!#REF!="Leve"),CONCATENATE("R3C",'Mapa final'!#REF!),"")</f>
        <v>#REF!</v>
      </c>
      <c r="O48" s="49" t="e">
        <f>IF(AND('Mapa final'!#REF!="Muy Baja",'Mapa final'!#REF!="Leve"),CONCATENATE("R3C",'Mapa final'!#REF!),"")</f>
        <v>#REF!</v>
      </c>
      <c r="P48" s="47" t="e">
        <f>IF(AND('Mapa final'!#REF!="Muy Baja",'Mapa final'!#REF!="Menor"),CONCATENATE("R3C",'Mapa final'!#REF!),"")</f>
        <v>#REF!</v>
      </c>
      <c r="Q48" s="48" t="e">
        <f>IF(AND('Mapa final'!#REF!="Muy Baja",'Mapa final'!#REF!="Menor"),CONCATENATE("R3C",'Mapa final'!#REF!),"")</f>
        <v>#REF!</v>
      </c>
      <c r="R48" s="48" t="e">
        <f>IF(AND('Mapa final'!#REF!="Muy Baja",'Mapa final'!#REF!="Menor"),CONCATENATE("R3C",'Mapa final'!#REF!),"")</f>
        <v>#REF!</v>
      </c>
      <c r="S48" s="48" t="e">
        <f>IF(AND('Mapa final'!#REF!="Muy Baja",'Mapa final'!#REF!="Menor"),CONCATENATE("R3C",'Mapa final'!#REF!),"")</f>
        <v>#REF!</v>
      </c>
      <c r="T48" s="48" t="e">
        <f>IF(AND('Mapa final'!#REF!="Muy Baja",'Mapa final'!#REF!="Menor"),CONCATENATE("R3C",'Mapa final'!#REF!),"")</f>
        <v>#REF!</v>
      </c>
      <c r="U48" s="49" t="e">
        <f>IF(AND('Mapa final'!#REF!="Muy Baja",'Mapa final'!#REF!="Menor"),CONCATENATE("R3C",'Mapa final'!#REF!),"")</f>
        <v>#REF!</v>
      </c>
      <c r="V48" s="38" t="e">
        <f>IF(AND('Mapa final'!#REF!="Muy Baja",'Mapa final'!#REF!="Moderado"),CONCATENATE("R3C",'Mapa final'!#REF!),"")</f>
        <v>#REF!</v>
      </c>
      <c r="W48" s="39" t="e">
        <f>IF(AND('Mapa final'!#REF!="Muy Baja",'Mapa final'!#REF!="Moderado"),CONCATENATE("R3C",'Mapa final'!#REF!),"")</f>
        <v>#REF!</v>
      </c>
      <c r="X48" s="39" t="e">
        <f>IF(AND('Mapa final'!#REF!="Muy Baja",'Mapa final'!#REF!="Moderado"),CONCATENATE("R3C",'Mapa final'!#REF!),"")</f>
        <v>#REF!</v>
      </c>
      <c r="Y48" s="39" t="e">
        <f>IF(AND('Mapa final'!#REF!="Muy Baja",'Mapa final'!#REF!="Moderado"),CONCATENATE("R3C",'Mapa final'!#REF!),"")</f>
        <v>#REF!</v>
      </c>
      <c r="Z48" s="39" t="e">
        <f>IF(AND('Mapa final'!#REF!="Muy Baja",'Mapa final'!#REF!="Moderado"),CONCATENATE("R3C",'Mapa final'!#REF!),"")</f>
        <v>#REF!</v>
      </c>
      <c r="AA48" s="40" t="e">
        <f>IF(AND('Mapa final'!#REF!="Muy Baja",'Mapa final'!#REF!="Moderado"),CONCATENATE("R3C",'Mapa final'!#REF!),"")</f>
        <v>#REF!</v>
      </c>
      <c r="AB48" s="22" t="e">
        <f>IF(AND('Mapa final'!#REF!="Muy Baja",'Mapa final'!#REF!="Mayor"),CONCATENATE("R3C",'Mapa final'!#REF!),"")</f>
        <v>#REF!</v>
      </c>
      <c r="AC48" s="23" t="e">
        <f>IF(AND('Mapa final'!#REF!="Muy Baja",'Mapa final'!#REF!="Mayor"),CONCATENATE("R3C",'Mapa final'!#REF!),"")</f>
        <v>#REF!</v>
      </c>
      <c r="AD48" s="23" t="e">
        <f>IF(AND('Mapa final'!#REF!="Muy Baja",'Mapa final'!#REF!="Mayor"),CONCATENATE("R3C",'Mapa final'!#REF!),"")</f>
        <v>#REF!</v>
      </c>
      <c r="AE48" s="23" t="e">
        <f>IF(AND('Mapa final'!#REF!="Muy Baja",'Mapa final'!#REF!="Mayor"),CONCATENATE("R3C",'Mapa final'!#REF!),"")</f>
        <v>#REF!</v>
      </c>
      <c r="AF48" s="23" t="e">
        <f>IF(AND('Mapa final'!#REF!="Muy Baja",'Mapa final'!#REF!="Mayor"),CONCATENATE("R3C",'Mapa final'!#REF!),"")</f>
        <v>#REF!</v>
      </c>
      <c r="AG48" s="24" t="e">
        <f>IF(AND('Mapa final'!#REF!="Muy Baja",'Mapa final'!#REF!="Mayor"),CONCATENATE("R3C",'Mapa final'!#REF!),"")</f>
        <v>#REF!</v>
      </c>
      <c r="AH48" s="25" t="e">
        <f>IF(AND('Mapa final'!#REF!="Muy Baja",'Mapa final'!#REF!="Catastrófico"),CONCATENATE("R3C",'Mapa final'!#REF!),"")</f>
        <v>#REF!</v>
      </c>
      <c r="AI48" s="26" t="e">
        <f>IF(AND('Mapa final'!#REF!="Muy Baja",'Mapa final'!#REF!="Catastrófico"),CONCATENATE("R3C",'Mapa final'!#REF!),"")</f>
        <v>#REF!</v>
      </c>
      <c r="AJ48" s="26" t="e">
        <f>IF(AND('Mapa final'!#REF!="Muy Baja",'Mapa final'!#REF!="Catastrófico"),CONCATENATE("R3C",'Mapa final'!#REF!),"")</f>
        <v>#REF!</v>
      </c>
      <c r="AK48" s="26" t="e">
        <f>IF(AND('Mapa final'!#REF!="Muy Baja",'Mapa final'!#REF!="Catastrófico"),CONCATENATE("R3C",'Mapa final'!#REF!),"")</f>
        <v>#REF!</v>
      </c>
      <c r="AL48" s="26" t="e">
        <f>IF(AND('Mapa final'!#REF!="Muy Baja",'Mapa final'!#REF!="Catastrófico"),CONCATENATE("R3C",'Mapa final'!#REF!),"")</f>
        <v>#REF!</v>
      </c>
      <c r="AM48" s="27" t="e">
        <f>IF(AND('Mapa final'!#REF!="Muy Baja",'Mapa final'!#REF!="Catastrófico"),CONCATENATE("R3C",'Mapa final'!#REF!),"")</f>
        <v>#REF!</v>
      </c>
      <c r="AN48" s="54"/>
      <c r="AO48" s="54"/>
      <c r="AP48" s="54"/>
      <c r="AQ48" s="54"/>
      <c r="AR48" s="54"/>
      <c r="AS48" s="54"/>
      <c r="AT48" s="54"/>
      <c r="AU48" s="54"/>
      <c r="AV48" s="54"/>
      <c r="AW48" s="54"/>
      <c r="AX48" s="54"/>
      <c r="AY48" s="54"/>
      <c r="AZ48" s="54"/>
      <c r="BA48" s="54"/>
      <c r="BB48" s="54"/>
      <c r="BC48" s="54"/>
      <c r="BD48" s="54"/>
      <c r="BE48" s="54"/>
      <c r="BF48" s="54"/>
      <c r="BG48" s="54"/>
      <c r="BH48" s="54"/>
      <c r="BI48" s="54"/>
      <c r="BJ48" s="54"/>
      <c r="BK48" s="54"/>
      <c r="BL48" s="54"/>
      <c r="BM48" s="54"/>
      <c r="BN48" s="54"/>
      <c r="BO48" s="54"/>
      <c r="BP48" s="54"/>
      <c r="BQ48" s="54"/>
      <c r="BR48" s="54"/>
      <c r="BS48" s="54"/>
      <c r="BT48" s="54"/>
      <c r="BU48" s="54"/>
      <c r="BV48" s="54"/>
      <c r="BW48" s="54"/>
      <c r="BX48" s="54"/>
      <c r="BY48" s="54"/>
      <c r="BZ48" s="54"/>
      <c r="CA48" s="54"/>
      <c r="CB48" s="54"/>
    </row>
    <row r="49" spans="1:80" ht="15" customHeight="1" x14ac:dyDescent="0.3">
      <c r="A49" s="54"/>
      <c r="B49" s="292"/>
      <c r="C49" s="292"/>
      <c r="D49" s="293"/>
      <c r="E49" s="393"/>
      <c r="F49" s="394"/>
      <c r="G49" s="394"/>
      <c r="H49" s="394"/>
      <c r="I49" s="409"/>
      <c r="J49" s="47" t="str">
        <f ca="1">IF(AND('Mapa final'!$AA$19="Muy Baja",'Mapa final'!$AC$19="Leve"),CONCATENATE("R4C",'Mapa final'!$Q$19),"")</f>
        <v/>
      </c>
      <c r="K49" s="48" t="str">
        <f ca="1">IF(AND('Mapa final'!$AA$20="Muy Baja",'Mapa final'!$AC$20="Leve"),CONCATENATE("R4C",'Mapa final'!$Q$20),"")</f>
        <v/>
      </c>
      <c r="L49" s="48" t="str">
        <f ca="1">IF(AND('Mapa final'!$AA$21="Muy Baja",'Mapa final'!$AC$21="Leve"),CONCATENATE("R4C",'Mapa final'!$Q$21),"")</f>
        <v/>
      </c>
      <c r="M49" s="48" t="str">
        <f ca="1">IF(AND('Mapa final'!$AA$22="Muy Baja",'Mapa final'!$AC$22="Leve"),CONCATENATE("R4C",'Mapa final'!$Q$22),"")</f>
        <v/>
      </c>
      <c r="N49" s="48" t="e">
        <f>IF(AND('Mapa final'!#REF!="Muy Baja",'Mapa final'!#REF!="Leve"),CONCATENATE("R4C",'Mapa final'!#REF!),"")</f>
        <v>#REF!</v>
      </c>
      <c r="O49" s="49" t="e">
        <f>IF(AND('Mapa final'!#REF!="Muy Baja",'Mapa final'!#REF!="Leve"),CONCATENATE("R4C",'Mapa final'!#REF!),"")</f>
        <v>#REF!</v>
      </c>
      <c r="P49" s="47" t="str">
        <f ca="1">IF(AND('Mapa final'!$AA$19="Muy Baja",'Mapa final'!$AC$19="Menor"),CONCATENATE("R4C",'Mapa final'!$Q$19),"")</f>
        <v/>
      </c>
      <c r="Q49" s="48" t="str">
        <f ca="1">IF(AND('Mapa final'!$AA$20="Muy Baja",'Mapa final'!$AC$20="Menor"),CONCATENATE("R4C",'Mapa final'!$Q$20),"")</f>
        <v/>
      </c>
      <c r="R49" s="48" t="str">
        <f ca="1">IF(AND('Mapa final'!$AA$21="Muy Baja",'Mapa final'!$AC$21="Menor"),CONCATENATE("R4C",'Mapa final'!$Q$21),"")</f>
        <v/>
      </c>
      <c r="S49" s="48" t="str">
        <f ca="1">IF(AND('Mapa final'!$AA$22="Muy Baja",'Mapa final'!$AC$22="Menor"),CONCATENATE("R4C",'Mapa final'!$Q$22),"")</f>
        <v/>
      </c>
      <c r="T49" s="48" t="e">
        <f>IF(AND('Mapa final'!#REF!="Muy Baja",'Mapa final'!#REF!="Menor"),CONCATENATE("R4C",'Mapa final'!#REF!),"")</f>
        <v>#REF!</v>
      </c>
      <c r="U49" s="49" t="e">
        <f>IF(AND('Mapa final'!#REF!="Muy Baja",'Mapa final'!#REF!="Menor"),CONCATENATE("R4C",'Mapa final'!#REF!),"")</f>
        <v>#REF!</v>
      </c>
      <c r="V49" s="38" t="str">
        <f ca="1">IF(AND('Mapa final'!$AA$19="Muy Baja",'Mapa final'!$AC$19="Moderado"),CONCATENATE("R4C",'Mapa final'!$Q$19),"")</f>
        <v/>
      </c>
      <c r="W49" s="39" t="str">
        <f ca="1">IF(AND('Mapa final'!$AA$20="Muy Baja",'Mapa final'!$AC$20="Moderado"),CONCATENATE("R4C",'Mapa final'!$Q$20),"")</f>
        <v/>
      </c>
      <c r="X49" s="39" t="str">
        <f ca="1">IF(AND('Mapa final'!$AA$21="Muy Baja",'Mapa final'!$AC$21="Moderado"),CONCATENATE("R4C",'Mapa final'!$Q$21),"")</f>
        <v/>
      </c>
      <c r="Y49" s="39" t="str">
        <f ca="1">IF(AND('Mapa final'!$AA$22="Muy Baja",'Mapa final'!$AC$22="Moderado"),CONCATENATE("R4C",'Mapa final'!$Q$22),"")</f>
        <v/>
      </c>
      <c r="Z49" s="39" t="e">
        <f>IF(AND('Mapa final'!#REF!="Muy Baja",'Mapa final'!#REF!="Moderado"),CONCATENATE("R4C",'Mapa final'!#REF!),"")</f>
        <v>#REF!</v>
      </c>
      <c r="AA49" s="40" t="e">
        <f>IF(AND('Mapa final'!#REF!="Muy Baja",'Mapa final'!#REF!="Moderado"),CONCATENATE("R4C",'Mapa final'!#REF!),"")</f>
        <v>#REF!</v>
      </c>
      <c r="AB49" s="22" t="str">
        <f ca="1">IF(AND('Mapa final'!$AA$19="Muy Baja",'Mapa final'!$AC$19="Mayor"),CONCATENATE("R4C",'Mapa final'!$Q$19),"")</f>
        <v/>
      </c>
      <c r="AC49" s="23" t="str">
        <f ca="1">IF(AND('Mapa final'!$AA$20="Muy Baja",'Mapa final'!$AC$20="Mayor"),CONCATENATE("R4C",'Mapa final'!$Q$20),"")</f>
        <v/>
      </c>
      <c r="AD49" s="23" t="str">
        <f ca="1">IF(AND('Mapa final'!$AA$21="Muy Baja",'Mapa final'!$AC$21="Mayor"),CONCATENATE("R4C",'Mapa final'!$Q$21),"")</f>
        <v/>
      </c>
      <c r="AE49" s="23" t="str">
        <f ca="1">IF(AND('Mapa final'!$AA$22="Muy Baja",'Mapa final'!$AC$22="Mayor"),CONCATENATE("R4C",'Mapa final'!$Q$22),"")</f>
        <v/>
      </c>
      <c r="AF49" s="23" t="e">
        <f>IF(AND('Mapa final'!#REF!="Muy Baja",'Mapa final'!#REF!="Mayor"),CONCATENATE("R4C",'Mapa final'!#REF!),"")</f>
        <v>#REF!</v>
      </c>
      <c r="AG49" s="24" t="e">
        <f>IF(AND('Mapa final'!#REF!="Muy Baja",'Mapa final'!#REF!="Mayor"),CONCATENATE("R4C",'Mapa final'!#REF!),"")</f>
        <v>#REF!</v>
      </c>
      <c r="AH49" s="25" t="str">
        <f ca="1">IF(AND('Mapa final'!$AA$19="Muy Baja",'Mapa final'!$AC$19="Catastrófico"),CONCATENATE("R4C",'Mapa final'!$Q$19),"")</f>
        <v/>
      </c>
      <c r="AI49" s="26" t="str">
        <f ca="1">IF(AND('Mapa final'!$AA$20="Muy Baja",'Mapa final'!$AC$20="Catastrófico"),CONCATENATE("R4C",'Mapa final'!$Q$20),"")</f>
        <v/>
      </c>
      <c r="AJ49" s="26" t="str">
        <f ca="1">IF(AND('Mapa final'!$AA$21="Muy Baja",'Mapa final'!$AC$21="Catastrófico"),CONCATENATE("R4C",'Mapa final'!$Q$21),"")</f>
        <v/>
      </c>
      <c r="AK49" s="26" t="str">
        <f ca="1">IF(AND('Mapa final'!$AA$22="Muy Baja",'Mapa final'!$AC$22="Catastrófico"),CONCATENATE("R4C",'Mapa final'!$Q$22),"")</f>
        <v>R4C4</v>
      </c>
      <c r="AL49" s="26" t="e">
        <f>IF(AND('Mapa final'!#REF!="Muy Baja",'Mapa final'!#REF!="Catastrófico"),CONCATENATE("R4C",'Mapa final'!#REF!),"")</f>
        <v>#REF!</v>
      </c>
      <c r="AM49" s="27" t="e">
        <f>IF(AND('Mapa final'!#REF!="Muy Baja",'Mapa final'!#REF!="Catastrófico"),CONCATENATE("R4C",'Mapa final'!#REF!),"")</f>
        <v>#REF!</v>
      </c>
      <c r="AN49" s="54"/>
      <c r="AO49" s="54"/>
      <c r="AP49" s="54"/>
      <c r="AQ49" s="54"/>
      <c r="AR49" s="54"/>
      <c r="AS49" s="54"/>
      <c r="AT49" s="54"/>
      <c r="AU49" s="54"/>
      <c r="AV49" s="54"/>
      <c r="AW49" s="54"/>
      <c r="AX49" s="54"/>
      <c r="AY49" s="54"/>
      <c r="AZ49" s="54"/>
      <c r="BA49" s="54"/>
      <c r="BB49" s="54"/>
      <c r="BC49" s="54"/>
      <c r="BD49" s="54"/>
      <c r="BE49" s="54"/>
      <c r="BF49" s="54"/>
      <c r="BG49" s="54"/>
      <c r="BH49" s="54"/>
      <c r="BI49" s="54"/>
      <c r="BJ49" s="54"/>
      <c r="BK49" s="54"/>
      <c r="BL49" s="54"/>
      <c r="BM49" s="54"/>
      <c r="BN49" s="54"/>
      <c r="BO49" s="54"/>
      <c r="BP49" s="54"/>
      <c r="BQ49" s="54"/>
      <c r="BR49" s="54"/>
      <c r="BS49" s="54"/>
      <c r="BT49" s="54"/>
      <c r="BU49" s="54"/>
      <c r="BV49" s="54"/>
      <c r="BW49" s="54"/>
      <c r="BX49" s="54"/>
      <c r="BY49" s="54"/>
      <c r="BZ49" s="54"/>
      <c r="CA49" s="54"/>
      <c r="CB49" s="54"/>
    </row>
    <row r="50" spans="1:80" ht="15" customHeight="1" x14ac:dyDescent="0.3">
      <c r="A50" s="54"/>
      <c r="B50" s="292"/>
      <c r="C50" s="292"/>
      <c r="D50" s="293"/>
      <c r="E50" s="393"/>
      <c r="F50" s="394"/>
      <c r="G50" s="394"/>
      <c r="H50" s="394"/>
      <c r="I50" s="409"/>
      <c r="J50" s="47" t="str">
        <f>IF(AND('Mapa final'!$AA$23="Muy Baja",'Mapa final'!$AC$23="Leve"),CONCATENATE("R5C",'Mapa final'!$Q$23),"")</f>
        <v/>
      </c>
      <c r="K50" s="48" t="str">
        <f>IF(AND('Mapa final'!$AA$24="Muy Baja",'Mapa final'!$AC$24="Leve"),CONCATENATE("R5C",'Mapa final'!$Q$24),"")</f>
        <v/>
      </c>
      <c r="L50" s="48" t="str">
        <f>IF(AND('Mapa final'!$AA$25="Muy Baja",'Mapa final'!$AC$25="Leve"),CONCATENATE("R5C",'Mapa final'!$Q$25),"")</f>
        <v/>
      </c>
      <c r="M50" s="48" t="str">
        <f>IF(AND('Mapa final'!$AA$26="Muy Baja",'Mapa final'!$AC$26="Leve"),CONCATENATE("R5C",'Mapa final'!$Q$26),"")</f>
        <v/>
      </c>
      <c r="N50" s="48" t="str">
        <f>IF(AND('Mapa final'!$AA$27="Muy Baja",'Mapa final'!$AC$27="Leve"),CONCATENATE("R5C",'Mapa final'!$Q$27),"")</f>
        <v/>
      </c>
      <c r="O50" s="49" t="str">
        <f>IF(AND('Mapa final'!$AA$28="Muy Baja",'Mapa final'!$AC$28="Leve"),CONCATENATE("R5C",'Mapa final'!$Q$28),"")</f>
        <v/>
      </c>
      <c r="P50" s="47" t="str">
        <f>IF(AND('Mapa final'!$AA$23="Muy Baja",'Mapa final'!$AC$23="Menor"),CONCATENATE("R5C",'Mapa final'!$Q$23),"")</f>
        <v/>
      </c>
      <c r="Q50" s="48" t="str">
        <f>IF(AND('Mapa final'!$AA$24="Muy Baja",'Mapa final'!$AC$24="Menor"),CONCATENATE("R5C",'Mapa final'!$Q$24),"")</f>
        <v/>
      </c>
      <c r="R50" s="48" t="str">
        <f>IF(AND('Mapa final'!$AA$25="Muy Baja",'Mapa final'!$AC$25="Menor"),CONCATENATE("R5C",'Mapa final'!$Q$25),"")</f>
        <v/>
      </c>
      <c r="S50" s="48" t="str">
        <f>IF(AND('Mapa final'!$AA$26="Muy Baja",'Mapa final'!$AC$26="Menor"),CONCATENATE("R5C",'Mapa final'!$Q$26),"")</f>
        <v/>
      </c>
      <c r="T50" s="48" t="str">
        <f>IF(AND('Mapa final'!$AA$27="Muy Baja",'Mapa final'!$AC$27="Menor"),CONCATENATE("R5C",'Mapa final'!$Q$27),"")</f>
        <v/>
      </c>
      <c r="U50" s="49" t="str">
        <f>IF(AND('Mapa final'!$AA$28="Muy Baja",'Mapa final'!$AC$28="Menor"),CONCATENATE("R5C",'Mapa final'!$Q$28),"")</f>
        <v/>
      </c>
      <c r="V50" s="38" t="str">
        <f>IF(AND('Mapa final'!$AA$23="Muy Baja",'Mapa final'!$AC$23="Moderado"),CONCATENATE("R5C",'Mapa final'!$Q$23),"")</f>
        <v/>
      </c>
      <c r="W50" s="39" t="str">
        <f>IF(AND('Mapa final'!$AA$24="Muy Baja",'Mapa final'!$AC$24="Moderado"),CONCATENATE("R5C",'Mapa final'!$Q$24),"")</f>
        <v/>
      </c>
      <c r="X50" s="39" t="str">
        <f>IF(AND('Mapa final'!$AA$25="Muy Baja",'Mapa final'!$AC$25="Moderado"),CONCATENATE("R5C",'Mapa final'!$Q$25),"")</f>
        <v/>
      </c>
      <c r="Y50" s="39" t="str">
        <f>IF(AND('Mapa final'!$AA$26="Muy Baja",'Mapa final'!$AC$26="Moderado"),CONCATENATE("R5C",'Mapa final'!$Q$26),"")</f>
        <v/>
      </c>
      <c r="Z50" s="39" t="str">
        <f>IF(AND('Mapa final'!$AA$27="Muy Baja",'Mapa final'!$AC$27="Moderado"),CONCATENATE("R5C",'Mapa final'!$Q$27),"")</f>
        <v/>
      </c>
      <c r="AA50" s="40" t="str">
        <f>IF(AND('Mapa final'!$AA$28="Muy Baja",'Mapa final'!$AC$28="Moderado"),CONCATENATE("R5C",'Mapa final'!$Q$28),"")</f>
        <v/>
      </c>
      <c r="AB50" s="22" t="str">
        <f>IF(AND('Mapa final'!$AA$23="Muy Baja",'Mapa final'!$AC$23="Mayor"),CONCATENATE("R5C",'Mapa final'!$Q$23),"")</f>
        <v/>
      </c>
      <c r="AC50" s="23" t="str">
        <f>IF(AND('Mapa final'!$AA$24="Muy Baja",'Mapa final'!$AC$24="Mayor"),CONCATENATE("R5C",'Mapa final'!$Q$24),"")</f>
        <v/>
      </c>
      <c r="AD50" s="28" t="str">
        <f>IF(AND('Mapa final'!$AA$25="Muy Baja",'Mapa final'!$AC$25="Mayor"),CONCATENATE("R5C",'Mapa final'!$Q$25),"")</f>
        <v/>
      </c>
      <c r="AE50" s="28" t="str">
        <f>IF(AND('Mapa final'!$AA$26="Muy Baja",'Mapa final'!$AC$26="Mayor"),CONCATENATE("R5C",'Mapa final'!$Q$26),"")</f>
        <v/>
      </c>
      <c r="AF50" s="28" t="str">
        <f>IF(AND('Mapa final'!$AA$27="Muy Baja",'Mapa final'!$AC$27="Mayor"),CONCATENATE("R5C",'Mapa final'!$Q$27),"")</f>
        <v/>
      </c>
      <c r="AG50" s="24" t="str">
        <f>IF(AND('Mapa final'!$AA$28="Muy Baja",'Mapa final'!$AC$28="Mayor"),CONCATENATE("R5C",'Mapa final'!$Q$28),"")</f>
        <v/>
      </c>
      <c r="AH50" s="25" t="str">
        <f>IF(AND('Mapa final'!$AA$23="Muy Baja",'Mapa final'!$AC$23="Catastrófico"),CONCATENATE("R5C",'Mapa final'!$Q$23),"")</f>
        <v/>
      </c>
      <c r="AI50" s="26" t="str">
        <f>IF(AND('Mapa final'!$AA$24="Muy Baja",'Mapa final'!$AC$24="Catastrófico"),CONCATENATE("R5C",'Mapa final'!$Q$24),"")</f>
        <v/>
      </c>
      <c r="AJ50" s="26" t="str">
        <f>IF(AND('Mapa final'!$AA$25="Muy Baja",'Mapa final'!$AC$25="Catastrófico"),CONCATENATE("R5C",'Mapa final'!$Q$25),"")</f>
        <v/>
      </c>
      <c r="AK50" s="26" t="str">
        <f>IF(AND('Mapa final'!$AA$26="Muy Baja",'Mapa final'!$AC$26="Catastrófico"),CONCATENATE("R5C",'Mapa final'!$Q$26),"")</f>
        <v/>
      </c>
      <c r="AL50" s="26" t="str">
        <f>IF(AND('Mapa final'!$AA$27="Muy Baja",'Mapa final'!$AC$27="Catastrófico"),CONCATENATE("R5C",'Mapa final'!$Q$27),"")</f>
        <v/>
      </c>
      <c r="AM50" s="27" t="str">
        <f>IF(AND('Mapa final'!$AA$28="Muy Baja",'Mapa final'!$AC$28="Catastrófico"),CONCATENATE("R5C",'Mapa final'!$Q$28),"")</f>
        <v/>
      </c>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row>
    <row r="51" spans="1:80" ht="15" customHeight="1" x14ac:dyDescent="0.3">
      <c r="A51" s="54"/>
      <c r="B51" s="292"/>
      <c r="C51" s="292"/>
      <c r="D51" s="293"/>
      <c r="E51" s="393"/>
      <c r="F51" s="394"/>
      <c r="G51" s="394"/>
      <c r="H51" s="394"/>
      <c r="I51" s="409"/>
      <c r="J51" s="47" t="str">
        <f>IF(AND('Mapa final'!$AA$29="Muy Baja",'Mapa final'!$AC$29="Leve"),CONCATENATE("R6C",'Mapa final'!$Q$29),"")</f>
        <v/>
      </c>
      <c r="K51" s="48" t="str">
        <f>IF(AND('Mapa final'!$AA$30="Muy Baja",'Mapa final'!$AC$30="Leve"),CONCATENATE("R6C",'Mapa final'!$Q$30),"")</f>
        <v/>
      </c>
      <c r="L51" s="48" t="str">
        <f>IF(AND('Mapa final'!$AA$31="Muy Baja",'Mapa final'!$AC$31="Leve"),CONCATENATE("R6C",'Mapa final'!$Q$31),"")</f>
        <v/>
      </c>
      <c r="M51" s="48" t="str">
        <f>IF(AND('Mapa final'!$AA$32="Muy Baja",'Mapa final'!$AC$32="Leve"),CONCATENATE("R6C",'Mapa final'!$Q$32),"")</f>
        <v/>
      </c>
      <c r="N51" s="48" t="str">
        <f>IF(AND('Mapa final'!$AA$33="Muy Baja",'Mapa final'!$AC$33="Leve"),CONCATENATE("R6C",'Mapa final'!$Q$33),"")</f>
        <v/>
      </c>
      <c r="O51" s="49" t="str">
        <f>IF(AND('Mapa final'!$AA$34="Muy Baja",'Mapa final'!$AC$34="Leve"),CONCATENATE("R6C",'Mapa final'!$Q$34),"")</f>
        <v/>
      </c>
      <c r="P51" s="47" t="str">
        <f>IF(AND('Mapa final'!$AA$29="Muy Baja",'Mapa final'!$AC$29="Menor"),CONCATENATE("R6C",'Mapa final'!$Q$29),"")</f>
        <v/>
      </c>
      <c r="Q51" s="48" t="str">
        <f>IF(AND('Mapa final'!$AA$30="Muy Baja",'Mapa final'!$AC$30="Menor"),CONCATENATE("R6C",'Mapa final'!$Q$30),"")</f>
        <v/>
      </c>
      <c r="R51" s="48" t="str">
        <f>IF(AND('Mapa final'!$AA$31="Muy Baja",'Mapa final'!$AC$31="Menor"),CONCATENATE("R6C",'Mapa final'!$Q$31),"")</f>
        <v/>
      </c>
      <c r="S51" s="48" t="str">
        <f>IF(AND('Mapa final'!$AA$32="Muy Baja",'Mapa final'!$AC$32="Menor"),CONCATENATE("R6C",'Mapa final'!$Q$32),"")</f>
        <v/>
      </c>
      <c r="T51" s="48" t="str">
        <f>IF(AND('Mapa final'!$AA$33="Muy Baja",'Mapa final'!$AC$33="Menor"),CONCATENATE("R6C",'Mapa final'!$Q$33),"")</f>
        <v/>
      </c>
      <c r="U51" s="49" t="str">
        <f>IF(AND('Mapa final'!$AA$34="Muy Baja",'Mapa final'!$AC$34="Menor"),CONCATENATE("R6C",'Mapa final'!$Q$34),"")</f>
        <v/>
      </c>
      <c r="V51" s="38" t="str">
        <f>IF(AND('Mapa final'!$AA$29="Muy Baja",'Mapa final'!$AC$29="Moderado"),CONCATENATE("R6C",'Mapa final'!$Q$29),"")</f>
        <v/>
      </c>
      <c r="W51" s="39" t="str">
        <f>IF(AND('Mapa final'!$AA$30="Muy Baja",'Mapa final'!$AC$30="Moderado"),CONCATENATE("R6C",'Mapa final'!$Q$30),"")</f>
        <v/>
      </c>
      <c r="X51" s="39" t="str">
        <f>IF(AND('Mapa final'!$AA$31="Muy Baja",'Mapa final'!$AC$31="Moderado"),CONCATENATE("R6C",'Mapa final'!$Q$31),"")</f>
        <v/>
      </c>
      <c r="Y51" s="39" t="str">
        <f>IF(AND('Mapa final'!$AA$32="Muy Baja",'Mapa final'!$AC$32="Moderado"),CONCATENATE("R6C",'Mapa final'!$Q$32),"")</f>
        <v/>
      </c>
      <c r="Z51" s="39" t="str">
        <f>IF(AND('Mapa final'!$AA$33="Muy Baja",'Mapa final'!$AC$33="Moderado"),CONCATENATE("R6C",'Mapa final'!$Q$33),"")</f>
        <v/>
      </c>
      <c r="AA51" s="40" t="str">
        <f>IF(AND('Mapa final'!$AA$34="Muy Baja",'Mapa final'!$AC$34="Moderado"),CONCATENATE("R6C",'Mapa final'!$Q$34),"")</f>
        <v/>
      </c>
      <c r="AB51" s="22" t="str">
        <f>IF(AND('Mapa final'!$AA$29="Muy Baja",'Mapa final'!$AC$29="Mayor"),CONCATENATE("R6C",'Mapa final'!$Q$29),"")</f>
        <v/>
      </c>
      <c r="AC51" s="23" t="str">
        <f>IF(AND('Mapa final'!$AA$30="Muy Baja",'Mapa final'!$AC$30="Mayor"),CONCATENATE("R6C",'Mapa final'!$Q$30),"")</f>
        <v/>
      </c>
      <c r="AD51" s="28" t="str">
        <f>IF(AND('Mapa final'!$AA$31="Muy Baja",'Mapa final'!$AC$31="Mayor"),CONCATENATE("R6C",'Mapa final'!$Q$31),"")</f>
        <v/>
      </c>
      <c r="AE51" s="28" t="str">
        <f>IF(AND('Mapa final'!$AA$32="Muy Baja",'Mapa final'!$AC$32="Mayor"),CONCATENATE("R6C",'Mapa final'!$Q$32),"")</f>
        <v/>
      </c>
      <c r="AF51" s="28" t="str">
        <f>IF(AND('Mapa final'!$AA$33="Muy Baja",'Mapa final'!$AC$33="Mayor"),CONCATENATE("R6C",'Mapa final'!$Q$33),"")</f>
        <v/>
      </c>
      <c r="AG51" s="24" t="str">
        <f>IF(AND('Mapa final'!$AA$34="Muy Baja",'Mapa final'!$AC$34="Mayor"),CONCATENATE("R6C",'Mapa final'!$Q$34),"")</f>
        <v/>
      </c>
      <c r="AH51" s="25" t="str">
        <f>IF(AND('Mapa final'!$AA$29="Muy Baja",'Mapa final'!$AC$29="Catastrófico"),CONCATENATE("R6C",'Mapa final'!$Q$29),"")</f>
        <v/>
      </c>
      <c r="AI51" s="26" t="str">
        <f>IF(AND('Mapa final'!$AA$30="Muy Baja",'Mapa final'!$AC$30="Catastrófico"),CONCATENATE("R6C",'Mapa final'!$Q$30),"")</f>
        <v/>
      </c>
      <c r="AJ51" s="26" t="str">
        <f>IF(AND('Mapa final'!$AA$31="Muy Baja",'Mapa final'!$AC$31="Catastrófico"),CONCATENATE("R6C",'Mapa final'!$Q$31),"")</f>
        <v/>
      </c>
      <c r="AK51" s="26" t="str">
        <f>IF(AND('Mapa final'!$AA$32="Muy Baja",'Mapa final'!$AC$32="Catastrófico"),CONCATENATE("R6C",'Mapa final'!$Q$32),"")</f>
        <v/>
      </c>
      <c r="AL51" s="26" t="str">
        <f>IF(AND('Mapa final'!$AA$33="Muy Baja",'Mapa final'!$AC$33="Catastrófico"),CONCATENATE("R6C",'Mapa final'!$Q$33),"")</f>
        <v/>
      </c>
      <c r="AM51" s="27" t="str">
        <f>IF(AND('Mapa final'!$AA$34="Muy Baja",'Mapa final'!$AC$34="Catastrófico"),CONCATENATE("R6C",'Mapa final'!$Q$34),"")</f>
        <v/>
      </c>
      <c r="AN51" s="54"/>
      <c r="AO51" s="54"/>
      <c r="AP51" s="54"/>
      <c r="AQ51" s="54"/>
      <c r="AR51" s="54"/>
      <c r="AS51" s="54"/>
      <c r="AT51" s="54"/>
      <c r="AU51" s="54"/>
      <c r="AV51" s="54"/>
      <c r="AW51" s="54"/>
      <c r="AX51" s="54"/>
      <c r="AY51" s="54"/>
      <c r="AZ51" s="54"/>
      <c r="BA51" s="54"/>
      <c r="BB51" s="54"/>
      <c r="BC51" s="54"/>
      <c r="BD51" s="54"/>
      <c r="BE51" s="54"/>
      <c r="BF51" s="54"/>
      <c r="BG51" s="54"/>
      <c r="BH51" s="54"/>
      <c r="BI51" s="54"/>
      <c r="BJ51" s="54"/>
      <c r="BK51" s="54"/>
      <c r="BL51" s="54"/>
      <c r="BM51" s="54"/>
      <c r="BN51" s="54"/>
      <c r="BO51" s="54"/>
      <c r="BP51" s="54"/>
      <c r="BQ51" s="54"/>
      <c r="BR51" s="54"/>
      <c r="BS51" s="54"/>
      <c r="BT51" s="54"/>
      <c r="BU51" s="54"/>
      <c r="BV51" s="54"/>
      <c r="BW51" s="54"/>
      <c r="BX51" s="54"/>
      <c r="BY51" s="54"/>
      <c r="BZ51" s="54"/>
      <c r="CA51" s="54"/>
      <c r="CB51" s="54"/>
    </row>
    <row r="52" spans="1:80" ht="15" customHeight="1" x14ac:dyDescent="0.3">
      <c r="A52" s="54"/>
      <c r="B52" s="292"/>
      <c r="C52" s="292"/>
      <c r="D52" s="293"/>
      <c r="E52" s="393"/>
      <c r="F52" s="394"/>
      <c r="G52" s="394"/>
      <c r="H52" s="394"/>
      <c r="I52" s="409"/>
      <c r="J52" s="47" t="str">
        <f>IF(AND('Mapa final'!$AA$35="Muy Baja",'Mapa final'!$AC$35="Leve"),CONCATENATE("R7C",'Mapa final'!$Q$35),"")</f>
        <v/>
      </c>
      <c r="K52" s="48" t="str">
        <f>IF(AND('Mapa final'!$AA$36="Muy Baja",'Mapa final'!$AC$36="Leve"),CONCATENATE("R7C",'Mapa final'!$Q$36),"")</f>
        <v/>
      </c>
      <c r="L52" s="48" t="str">
        <f>IF(AND('Mapa final'!$AA$37="Muy Baja",'Mapa final'!$AC$37="Leve"),CONCATENATE("R7C",'Mapa final'!$Q$37),"")</f>
        <v/>
      </c>
      <c r="M52" s="48" t="str">
        <f>IF(AND('Mapa final'!$AA$38="Muy Baja",'Mapa final'!$AC$38="Leve"),CONCATENATE("R7C",'Mapa final'!$Q$38),"")</f>
        <v/>
      </c>
      <c r="N52" s="48" t="str">
        <f>IF(AND('Mapa final'!$AA$39="Muy Baja",'Mapa final'!$AC$39="Leve"),CONCATENATE("R7C",'Mapa final'!$Q$39),"")</f>
        <v/>
      </c>
      <c r="O52" s="49" t="str">
        <f>IF(AND('Mapa final'!$AA$40="Muy Baja",'Mapa final'!$AC$40="Leve"),CONCATENATE("R7C",'Mapa final'!$Q$40),"")</f>
        <v/>
      </c>
      <c r="P52" s="47" t="str">
        <f>IF(AND('Mapa final'!$AA$35="Muy Baja",'Mapa final'!$AC$35="Menor"),CONCATENATE("R7C",'Mapa final'!$Q$35),"")</f>
        <v/>
      </c>
      <c r="Q52" s="48" t="str">
        <f>IF(AND('Mapa final'!$AA$36="Muy Baja",'Mapa final'!$AC$36="Menor"),CONCATENATE("R7C",'Mapa final'!$Q$36),"")</f>
        <v/>
      </c>
      <c r="R52" s="48" t="str">
        <f>IF(AND('Mapa final'!$AA$37="Muy Baja",'Mapa final'!$AC$37="Menor"),CONCATENATE("R7C",'Mapa final'!$Q$37),"")</f>
        <v/>
      </c>
      <c r="S52" s="48" t="str">
        <f>IF(AND('Mapa final'!$AA$38="Muy Baja",'Mapa final'!$AC$38="Menor"),CONCATENATE("R7C",'Mapa final'!$Q$38),"")</f>
        <v/>
      </c>
      <c r="T52" s="48" t="str">
        <f>IF(AND('Mapa final'!$AA$39="Muy Baja",'Mapa final'!$AC$39="Menor"),CONCATENATE("R7C",'Mapa final'!$Q$39),"")</f>
        <v/>
      </c>
      <c r="U52" s="49" t="str">
        <f>IF(AND('Mapa final'!$AA$40="Muy Baja",'Mapa final'!$AC$40="Menor"),CONCATENATE("R7C",'Mapa final'!$Q$40),"")</f>
        <v/>
      </c>
      <c r="V52" s="38" t="str">
        <f>IF(AND('Mapa final'!$AA$35="Muy Baja",'Mapa final'!$AC$35="Moderado"),CONCATENATE("R7C",'Mapa final'!$Q$35),"")</f>
        <v/>
      </c>
      <c r="W52" s="39" t="str">
        <f>IF(AND('Mapa final'!$AA$36="Muy Baja",'Mapa final'!$AC$36="Moderado"),CONCATENATE("R7C",'Mapa final'!$Q$36),"")</f>
        <v/>
      </c>
      <c r="X52" s="39" t="str">
        <f>IF(AND('Mapa final'!$AA$37="Muy Baja",'Mapa final'!$AC$37="Moderado"),CONCATENATE("R7C",'Mapa final'!$Q$37),"")</f>
        <v/>
      </c>
      <c r="Y52" s="39" t="str">
        <f>IF(AND('Mapa final'!$AA$38="Muy Baja",'Mapa final'!$AC$38="Moderado"),CONCATENATE("R7C",'Mapa final'!$Q$38),"")</f>
        <v/>
      </c>
      <c r="Z52" s="39" t="str">
        <f>IF(AND('Mapa final'!$AA$39="Muy Baja",'Mapa final'!$AC$39="Moderado"),CONCATENATE("R7C",'Mapa final'!$Q$39),"")</f>
        <v/>
      </c>
      <c r="AA52" s="40" t="str">
        <f>IF(AND('Mapa final'!$AA$40="Muy Baja",'Mapa final'!$AC$40="Moderado"),CONCATENATE("R7C",'Mapa final'!$Q$40),"")</f>
        <v/>
      </c>
      <c r="AB52" s="22" t="str">
        <f>IF(AND('Mapa final'!$AA$35="Muy Baja",'Mapa final'!$AC$35="Mayor"),CONCATENATE("R7C",'Mapa final'!$Q$35),"")</f>
        <v/>
      </c>
      <c r="AC52" s="23" t="str">
        <f>IF(AND('Mapa final'!$AA$36="Muy Baja",'Mapa final'!$AC$36="Mayor"),CONCATENATE("R7C",'Mapa final'!$Q$36),"")</f>
        <v/>
      </c>
      <c r="AD52" s="28" t="str">
        <f>IF(AND('Mapa final'!$AA$37="Muy Baja",'Mapa final'!$AC$37="Mayor"),CONCATENATE("R7C",'Mapa final'!$Q$37),"")</f>
        <v/>
      </c>
      <c r="AE52" s="28" t="str">
        <f>IF(AND('Mapa final'!$AA$38="Muy Baja",'Mapa final'!$AC$38="Mayor"),CONCATENATE("R7C",'Mapa final'!$Q$38),"")</f>
        <v/>
      </c>
      <c r="AF52" s="28" t="str">
        <f>IF(AND('Mapa final'!$AA$39="Muy Baja",'Mapa final'!$AC$39="Mayor"),CONCATENATE("R7C",'Mapa final'!$Q$39),"")</f>
        <v/>
      </c>
      <c r="AG52" s="24" t="str">
        <f>IF(AND('Mapa final'!$AA$40="Muy Baja",'Mapa final'!$AC$40="Mayor"),CONCATENATE("R7C",'Mapa final'!$Q$40),"")</f>
        <v/>
      </c>
      <c r="AH52" s="25" t="str">
        <f>IF(AND('Mapa final'!$AA$35="Muy Baja",'Mapa final'!$AC$35="Catastrófico"),CONCATENATE("R7C",'Mapa final'!$Q$35),"")</f>
        <v/>
      </c>
      <c r="AI52" s="26" t="str">
        <f>IF(AND('Mapa final'!$AA$36="Muy Baja",'Mapa final'!$AC$36="Catastrófico"),CONCATENATE("R7C",'Mapa final'!$Q$36),"")</f>
        <v/>
      </c>
      <c r="AJ52" s="26" t="str">
        <f>IF(AND('Mapa final'!$AA$37="Muy Baja",'Mapa final'!$AC$37="Catastrófico"),CONCATENATE("R7C",'Mapa final'!$Q$37),"")</f>
        <v/>
      </c>
      <c r="AK52" s="26" t="str">
        <f>IF(AND('Mapa final'!$AA$38="Muy Baja",'Mapa final'!$AC$38="Catastrófico"),CONCATENATE("R7C",'Mapa final'!$Q$38),"")</f>
        <v/>
      </c>
      <c r="AL52" s="26" t="str">
        <f>IF(AND('Mapa final'!$AA$39="Muy Baja",'Mapa final'!$AC$39="Catastrófico"),CONCATENATE("R7C",'Mapa final'!$Q$39),"")</f>
        <v/>
      </c>
      <c r="AM52" s="27" t="str">
        <f>IF(AND('Mapa final'!$AA$40="Muy Baja",'Mapa final'!$AC$40="Catastrófico"),CONCATENATE("R7C",'Mapa final'!$Q$40),"")</f>
        <v/>
      </c>
      <c r="AN52" s="54"/>
      <c r="AO52" s="54"/>
      <c r="AP52" s="54"/>
      <c r="AQ52" s="54"/>
      <c r="AR52" s="54"/>
      <c r="AS52" s="54"/>
      <c r="AT52" s="54"/>
      <c r="AU52" s="54"/>
      <c r="AV52" s="54"/>
      <c r="AW52" s="54"/>
      <c r="AX52" s="54"/>
      <c r="AY52" s="54"/>
      <c r="AZ52" s="54"/>
      <c r="BA52" s="54"/>
      <c r="BB52" s="54"/>
      <c r="BC52" s="54"/>
      <c r="BD52" s="54"/>
      <c r="BE52" s="54"/>
      <c r="BF52" s="54"/>
      <c r="BG52" s="54"/>
      <c r="BH52" s="54"/>
      <c r="BI52" s="54"/>
      <c r="BJ52" s="54"/>
      <c r="BK52" s="54"/>
      <c r="BL52" s="54"/>
      <c r="BM52" s="54"/>
      <c r="BN52" s="54"/>
      <c r="BO52" s="54"/>
      <c r="BP52" s="54"/>
      <c r="BQ52" s="54"/>
      <c r="BR52" s="54"/>
      <c r="BS52" s="54"/>
      <c r="BT52" s="54"/>
      <c r="BU52" s="54"/>
      <c r="BV52" s="54"/>
      <c r="BW52" s="54"/>
      <c r="BX52" s="54"/>
      <c r="BY52" s="54"/>
      <c r="BZ52" s="54"/>
      <c r="CA52" s="54"/>
      <c r="CB52" s="54"/>
    </row>
    <row r="53" spans="1:80" ht="15" customHeight="1" x14ac:dyDescent="0.3">
      <c r="A53" s="54"/>
      <c r="B53" s="292"/>
      <c r="C53" s="292"/>
      <c r="D53" s="293"/>
      <c r="E53" s="393"/>
      <c r="F53" s="394"/>
      <c r="G53" s="394"/>
      <c r="H53" s="394"/>
      <c r="I53" s="409"/>
      <c r="J53" s="47" t="str">
        <f>IF(AND('Mapa final'!$AA$41="Muy Baja",'Mapa final'!$AC$41="Leve"),CONCATENATE("R8C",'Mapa final'!$Q$41),"")</f>
        <v/>
      </c>
      <c r="K53" s="48" t="str">
        <f>IF(AND('Mapa final'!$AA$42="Muy Baja",'Mapa final'!$AC$42="Leve"),CONCATENATE("R8C",'Mapa final'!$Q$42),"")</f>
        <v/>
      </c>
      <c r="L53" s="48" t="str">
        <f>IF(AND('Mapa final'!$AA$43="Muy Baja",'Mapa final'!$AC$43="Leve"),CONCATENATE("R8C",'Mapa final'!$Q$43),"")</f>
        <v/>
      </c>
      <c r="M53" s="48" t="str">
        <f>IF(AND('Mapa final'!$AA$44="Muy Baja",'Mapa final'!$AC$44="Leve"),CONCATENATE("R8C",'Mapa final'!$Q$44),"")</f>
        <v/>
      </c>
      <c r="N53" s="48" t="str">
        <f>IF(AND('Mapa final'!$AA$45="Muy Baja",'Mapa final'!$AC$45="Leve"),CONCATENATE("R8C",'Mapa final'!$Q$45),"")</f>
        <v/>
      </c>
      <c r="O53" s="49" t="str">
        <f>IF(AND('Mapa final'!$AA$46="Muy Baja",'Mapa final'!$AC$46="Leve"),CONCATENATE("R8C",'Mapa final'!$Q$46),"")</f>
        <v/>
      </c>
      <c r="P53" s="47" t="str">
        <f>IF(AND('Mapa final'!$AA$41="Muy Baja",'Mapa final'!$AC$41="Menor"),CONCATENATE("R8C",'Mapa final'!$Q$41),"")</f>
        <v/>
      </c>
      <c r="Q53" s="48" t="str">
        <f>IF(AND('Mapa final'!$AA$42="Muy Baja",'Mapa final'!$AC$42="Menor"),CONCATENATE("R8C",'Mapa final'!$Q$42),"")</f>
        <v/>
      </c>
      <c r="R53" s="48" t="str">
        <f>IF(AND('Mapa final'!$AA$43="Muy Baja",'Mapa final'!$AC$43="Menor"),CONCATENATE("R8C",'Mapa final'!$Q$43),"")</f>
        <v/>
      </c>
      <c r="S53" s="48" t="str">
        <f>IF(AND('Mapa final'!$AA$44="Muy Baja",'Mapa final'!$AC$44="Menor"),CONCATENATE("R8C",'Mapa final'!$Q$44),"")</f>
        <v/>
      </c>
      <c r="T53" s="48" t="str">
        <f>IF(AND('Mapa final'!$AA$45="Muy Baja",'Mapa final'!$AC$45="Menor"),CONCATENATE("R8C",'Mapa final'!$Q$45),"")</f>
        <v/>
      </c>
      <c r="U53" s="49" t="str">
        <f>IF(AND('Mapa final'!$AA$46="Muy Baja",'Mapa final'!$AC$46="Menor"),CONCATENATE("R8C",'Mapa final'!$Q$46),"")</f>
        <v/>
      </c>
      <c r="V53" s="38" t="str">
        <f>IF(AND('Mapa final'!$AA$41="Muy Baja",'Mapa final'!$AC$41="Moderado"),CONCATENATE("R8C",'Mapa final'!$Q$41),"")</f>
        <v/>
      </c>
      <c r="W53" s="39" t="str">
        <f>IF(AND('Mapa final'!$AA$42="Muy Baja",'Mapa final'!$AC$42="Moderado"),CONCATENATE("R8C",'Mapa final'!$Q$42),"")</f>
        <v/>
      </c>
      <c r="X53" s="39" t="str">
        <f>IF(AND('Mapa final'!$AA$43="Muy Baja",'Mapa final'!$AC$43="Moderado"),CONCATENATE("R8C",'Mapa final'!$Q$43),"")</f>
        <v/>
      </c>
      <c r="Y53" s="39" t="str">
        <f>IF(AND('Mapa final'!$AA$44="Muy Baja",'Mapa final'!$AC$44="Moderado"),CONCATENATE("R8C",'Mapa final'!$Q$44),"")</f>
        <v/>
      </c>
      <c r="Z53" s="39" t="str">
        <f>IF(AND('Mapa final'!$AA$45="Muy Baja",'Mapa final'!$AC$45="Moderado"),CONCATENATE("R8C",'Mapa final'!$Q$45),"")</f>
        <v/>
      </c>
      <c r="AA53" s="40" t="str">
        <f>IF(AND('Mapa final'!$AA$46="Muy Baja",'Mapa final'!$AC$46="Moderado"),CONCATENATE("R8C",'Mapa final'!$Q$46),"")</f>
        <v/>
      </c>
      <c r="AB53" s="22" t="str">
        <f>IF(AND('Mapa final'!$AA$41="Muy Baja",'Mapa final'!$AC$41="Mayor"),CONCATENATE("R8C",'Mapa final'!$Q$41),"")</f>
        <v/>
      </c>
      <c r="AC53" s="23" t="str">
        <f>IF(AND('Mapa final'!$AA$42="Muy Baja",'Mapa final'!$AC$42="Mayor"),CONCATENATE("R8C",'Mapa final'!$Q$42),"")</f>
        <v/>
      </c>
      <c r="AD53" s="28" t="str">
        <f>IF(AND('Mapa final'!$AA$43="Muy Baja",'Mapa final'!$AC$43="Mayor"),CONCATENATE("R8C",'Mapa final'!$Q$43),"")</f>
        <v/>
      </c>
      <c r="AE53" s="28" t="str">
        <f>IF(AND('Mapa final'!$AA$44="Muy Baja",'Mapa final'!$AC$44="Mayor"),CONCATENATE("R8C",'Mapa final'!$Q$44),"")</f>
        <v/>
      </c>
      <c r="AF53" s="28" t="str">
        <f>IF(AND('Mapa final'!$AA$45="Muy Baja",'Mapa final'!$AC$45="Mayor"),CONCATENATE("R8C",'Mapa final'!$Q$45),"")</f>
        <v/>
      </c>
      <c r="AG53" s="24" t="str">
        <f>IF(AND('Mapa final'!$AA$46="Muy Baja",'Mapa final'!$AC$46="Mayor"),CONCATENATE("R8C",'Mapa final'!$Q$46),"")</f>
        <v/>
      </c>
      <c r="AH53" s="25" t="str">
        <f>IF(AND('Mapa final'!$AA$41="Muy Baja",'Mapa final'!$AC$41="Catastrófico"),CONCATENATE("R8C",'Mapa final'!$Q$41),"")</f>
        <v/>
      </c>
      <c r="AI53" s="26" t="str">
        <f>IF(AND('Mapa final'!$AA$42="Muy Baja",'Mapa final'!$AC$42="Catastrófico"),CONCATENATE("R8C",'Mapa final'!$Q$42),"")</f>
        <v/>
      </c>
      <c r="AJ53" s="26" t="str">
        <f>IF(AND('Mapa final'!$AA$43="Muy Baja",'Mapa final'!$AC$43="Catastrófico"),CONCATENATE("R8C",'Mapa final'!$Q$43),"")</f>
        <v/>
      </c>
      <c r="AK53" s="26" t="str">
        <f>IF(AND('Mapa final'!$AA$44="Muy Baja",'Mapa final'!$AC$44="Catastrófico"),CONCATENATE("R8C",'Mapa final'!$Q$44),"")</f>
        <v/>
      </c>
      <c r="AL53" s="26" t="str">
        <f>IF(AND('Mapa final'!$AA$45="Muy Baja",'Mapa final'!$AC$45="Catastrófico"),CONCATENATE("R8C",'Mapa final'!$Q$45),"")</f>
        <v/>
      </c>
      <c r="AM53" s="27" t="str">
        <f>IF(AND('Mapa final'!$AA$46="Muy Baja",'Mapa final'!$AC$46="Catastrófico"),CONCATENATE("R8C",'Mapa final'!$Q$46),"")</f>
        <v/>
      </c>
      <c r="AN53" s="54"/>
      <c r="AO53" s="54"/>
      <c r="AP53" s="54"/>
      <c r="AQ53" s="54"/>
      <c r="AR53" s="54"/>
      <c r="AS53" s="54"/>
      <c r="AT53" s="54"/>
      <c r="AU53" s="54"/>
      <c r="AV53" s="54"/>
      <c r="AW53" s="54"/>
      <c r="AX53" s="54"/>
      <c r="AY53" s="54"/>
      <c r="AZ53" s="54"/>
      <c r="BA53" s="54"/>
      <c r="BB53" s="54"/>
      <c r="BC53" s="54"/>
      <c r="BD53" s="54"/>
      <c r="BE53" s="54"/>
      <c r="BF53" s="54"/>
      <c r="BG53" s="54"/>
      <c r="BH53" s="54"/>
      <c r="BI53" s="54"/>
      <c r="BJ53" s="54"/>
      <c r="BK53" s="54"/>
      <c r="BL53" s="54"/>
      <c r="BM53" s="54"/>
      <c r="BN53" s="54"/>
      <c r="BO53" s="54"/>
      <c r="BP53" s="54"/>
      <c r="BQ53" s="54"/>
      <c r="BR53" s="54"/>
      <c r="BS53" s="54"/>
      <c r="BT53" s="54"/>
      <c r="BU53" s="54"/>
      <c r="BV53" s="54"/>
      <c r="BW53" s="54"/>
      <c r="BX53" s="54"/>
      <c r="BY53" s="54"/>
      <c r="BZ53" s="54"/>
      <c r="CA53" s="54"/>
      <c r="CB53" s="54"/>
    </row>
    <row r="54" spans="1:80" ht="15" customHeight="1" x14ac:dyDescent="0.3">
      <c r="A54" s="54"/>
      <c r="B54" s="292"/>
      <c r="C54" s="292"/>
      <c r="D54" s="293"/>
      <c r="E54" s="393"/>
      <c r="F54" s="394"/>
      <c r="G54" s="394"/>
      <c r="H54" s="394"/>
      <c r="I54" s="409"/>
      <c r="J54" s="47" t="str">
        <f>IF(AND('Mapa final'!$AA$47="Muy Baja",'Mapa final'!$AC$47="Leve"),CONCATENATE("R9C",'Mapa final'!$Q$47),"")</f>
        <v/>
      </c>
      <c r="K54" s="48" t="str">
        <f>IF(AND('Mapa final'!$AA$48="Muy Baja",'Mapa final'!$AC$48="Leve"),CONCATENATE("R9C",'Mapa final'!$Q$48),"")</f>
        <v/>
      </c>
      <c r="L54" s="48" t="str">
        <f>IF(AND('Mapa final'!$AA$49="Muy Baja",'Mapa final'!$AC$49="Leve"),CONCATENATE("R9C",'Mapa final'!$Q$49),"")</f>
        <v/>
      </c>
      <c r="M54" s="48" t="str">
        <f>IF(AND('Mapa final'!$AA$50="Muy Baja",'Mapa final'!$AC$50="Leve"),CONCATENATE("R9C",'Mapa final'!$Q$50),"")</f>
        <v/>
      </c>
      <c r="N54" s="48" t="str">
        <f>IF(AND('Mapa final'!$AA$51="Muy Baja",'Mapa final'!$AC$51="Leve"),CONCATENATE("R9C",'Mapa final'!$Q$51),"")</f>
        <v/>
      </c>
      <c r="O54" s="49" t="str">
        <f>IF(AND('Mapa final'!$AA$52="Muy Baja",'Mapa final'!$AC$52="Leve"),CONCATENATE("R9C",'Mapa final'!$Q$52),"")</f>
        <v/>
      </c>
      <c r="P54" s="47" t="str">
        <f>IF(AND('Mapa final'!$AA$47="Muy Baja",'Mapa final'!$AC$47="Menor"),CONCATENATE("R9C",'Mapa final'!$Q$47),"")</f>
        <v/>
      </c>
      <c r="Q54" s="48" t="str">
        <f>IF(AND('Mapa final'!$AA$48="Muy Baja",'Mapa final'!$AC$48="Menor"),CONCATENATE("R9C",'Mapa final'!$Q$48),"")</f>
        <v/>
      </c>
      <c r="R54" s="48" t="str">
        <f>IF(AND('Mapa final'!$AA$49="Muy Baja",'Mapa final'!$AC$49="Menor"),CONCATENATE("R9C",'Mapa final'!$Q$49),"")</f>
        <v/>
      </c>
      <c r="S54" s="48" t="str">
        <f>IF(AND('Mapa final'!$AA$50="Muy Baja",'Mapa final'!$AC$50="Menor"),CONCATENATE("R9C",'Mapa final'!$Q$50),"")</f>
        <v/>
      </c>
      <c r="T54" s="48" t="str">
        <f>IF(AND('Mapa final'!$AA$51="Muy Baja",'Mapa final'!$AC$51="Menor"),CONCATENATE("R9C",'Mapa final'!$Q$51),"")</f>
        <v/>
      </c>
      <c r="U54" s="49" t="str">
        <f>IF(AND('Mapa final'!$AA$52="Muy Baja",'Mapa final'!$AC$52="Menor"),CONCATENATE("R9C",'Mapa final'!$Q$52),"")</f>
        <v/>
      </c>
      <c r="V54" s="38" t="str">
        <f>IF(AND('Mapa final'!$AA$47="Muy Baja",'Mapa final'!$AC$47="Moderado"),CONCATENATE("R9C",'Mapa final'!$Q$47),"")</f>
        <v/>
      </c>
      <c r="W54" s="39" t="str">
        <f>IF(AND('Mapa final'!$AA$48="Muy Baja",'Mapa final'!$AC$48="Moderado"),CONCATENATE("R9C",'Mapa final'!$Q$48),"")</f>
        <v/>
      </c>
      <c r="X54" s="39" t="str">
        <f>IF(AND('Mapa final'!$AA$49="Muy Baja",'Mapa final'!$AC$49="Moderado"),CONCATENATE("R9C",'Mapa final'!$Q$49),"")</f>
        <v/>
      </c>
      <c r="Y54" s="39" t="str">
        <f>IF(AND('Mapa final'!$AA$50="Muy Baja",'Mapa final'!$AC$50="Moderado"),CONCATENATE("R9C",'Mapa final'!$Q$50),"")</f>
        <v/>
      </c>
      <c r="Z54" s="39" t="str">
        <f>IF(AND('Mapa final'!$AA$51="Muy Baja",'Mapa final'!$AC$51="Moderado"),CONCATENATE("R9C",'Mapa final'!$Q$51),"")</f>
        <v/>
      </c>
      <c r="AA54" s="40" t="str">
        <f>IF(AND('Mapa final'!$AA$52="Muy Baja",'Mapa final'!$AC$52="Moderado"),CONCATENATE("R9C",'Mapa final'!$Q$52),"")</f>
        <v/>
      </c>
      <c r="AB54" s="22" t="str">
        <f>IF(AND('Mapa final'!$AA$47="Muy Baja",'Mapa final'!$AC$47="Mayor"),CONCATENATE("R9C",'Mapa final'!$Q$47),"")</f>
        <v/>
      </c>
      <c r="AC54" s="23" t="str">
        <f>IF(AND('Mapa final'!$AA$48="Muy Baja",'Mapa final'!$AC$48="Mayor"),CONCATENATE("R9C",'Mapa final'!$Q$48),"")</f>
        <v/>
      </c>
      <c r="AD54" s="28" t="str">
        <f>IF(AND('Mapa final'!$AA$49="Muy Baja",'Mapa final'!$AC$49="Mayor"),CONCATENATE("R9C",'Mapa final'!$Q$49),"")</f>
        <v/>
      </c>
      <c r="AE54" s="28" t="str">
        <f>IF(AND('Mapa final'!$AA$50="Muy Baja",'Mapa final'!$AC$50="Mayor"),CONCATENATE("R9C",'Mapa final'!$Q$50),"")</f>
        <v/>
      </c>
      <c r="AF54" s="28" t="str">
        <f>IF(AND('Mapa final'!$AA$51="Muy Baja",'Mapa final'!$AC$51="Mayor"),CONCATENATE("R9C",'Mapa final'!$Q$51),"")</f>
        <v/>
      </c>
      <c r="AG54" s="24" t="str">
        <f>IF(AND('Mapa final'!$AA$52="Muy Baja",'Mapa final'!$AC$52="Mayor"),CONCATENATE("R9C",'Mapa final'!$Q$52),"")</f>
        <v/>
      </c>
      <c r="AH54" s="25" t="str">
        <f>IF(AND('Mapa final'!$AA$47="Muy Baja",'Mapa final'!$AC$47="Catastrófico"),CONCATENATE("R9C",'Mapa final'!$Q$47),"")</f>
        <v/>
      </c>
      <c r="AI54" s="26" t="str">
        <f>IF(AND('Mapa final'!$AA$48="Muy Baja",'Mapa final'!$AC$48="Catastrófico"),CONCATENATE("R9C",'Mapa final'!$Q$48),"")</f>
        <v/>
      </c>
      <c r="AJ54" s="26" t="str">
        <f>IF(AND('Mapa final'!$AA$49="Muy Baja",'Mapa final'!$AC$49="Catastrófico"),CONCATENATE("R9C",'Mapa final'!$Q$49),"")</f>
        <v/>
      </c>
      <c r="AK54" s="26" t="str">
        <f>IF(AND('Mapa final'!$AA$50="Muy Baja",'Mapa final'!$AC$50="Catastrófico"),CONCATENATE("R9C",'Mapa final'!$Q$50),"")</f>
        <v/>
      </c>
      <c r="AL54" s="26" t="str">
        <f>IF(AND('Mapa final'!$AA$51="Muy Baja",'Mapa final'!$AC$51="Catastrófico"),CONCATENATE("R9C",'Mapa final'!$Q$51),"")</f>
        <v/>
      </c>
      <c r="AM54" s="27" t="str">
        <f>IF(AND('Mapa final'!$AA$52="Muy Baja",'Mapa final'!$AC$52="Catastrófico"),CONCATENATE("R9C",'Mapa final'!$Q$52),"")</f>
        <v/>
      </c>
      <c r="AN54" s="54"/>
      <c r="AO54" s="54"/>
      <c r="AP54" s="54"/>
      <c r="AQ54" s="54"/>
      <c r="AR54" s="54"/>
      <c r="AS54" s="54"/>
      <c r="AT54" s="54"/>
      <c r="AU54" s="54"/>
      <c r="AV54" s="54"/>
      <c r="AW54" s="54"/>
      <c r="AX54" s="54"/>
      <c r="AY54" s="54"/>
      <c r="AZ54" s="54"/>
      <c r="BA54" s="54"/>
      <c r="BB54" s="54"/>
      <c r="BC54" s="54"/>
      <c r="BD54" s="54"/>
      <c r="BE54" s="54"/>
      <c r="BF54" s="54"/>
      <c r="BG54" s="54"/>
      <c r="BH54" s="54"/>
      <c r="BI54" s="54"/>
      <c r="BJ54" s="54"/>
      <c r="BK54" s="54"/>
      <c r="BL54" s="54"/>
      <c r="BM54" s="54"/>
      <c r="BN54" s="54"/>
      <c r="BO54" s="54"/>
      <c r="BP54" s="54"/>
      <c r="BQ54" s="54"/>
      <c r="BR54" s="54"/>
      <c r="BS54" s="54"/>
      <c r="BT54" s="54"/>
      <c r="BU54" s="54"/>
      <c r="BV54" s="54"/>
      <c r="BW54" s="54"/>
      <c r="BX54" s="54"/>
      <c r="BY54" s="54"/>
      <c r="BZ54" s="54"/>
      <c r="CA54" s="54"/>
      <c r="CB54" s="54"/>
    </row>
    <row r="55" spans="1:80" ht="15.75" customHeight="1" thickBot="1" x14ac:dyDescent="0.35">
      <c r="A55" s="54"/>
      <c r="B55" s="292"/>
      <c r="C55" s="292"/>
      <c r="D55" s="293"/>
      <c r="E55" s="395"/>
      <c r="F55" s="396"/>
      <c r="G55" s="396"/>
      <c r="H55" s="396"/>
      <c r="I55" s="410"/>
      <c r="J55" s="50" t="str">
        <f>IF(AND('Mapa final'!$AA$53="Muy Baja",'Mapa final'!$AC$53="Leve"),CONCATENATE("R10C",'Mapa final'!$Q$53),"")</f>
        <v/>
      </c>
      <c r="K55" s="51" t="str">
        <f>IF(AND('Mapa final'!$AA$54="Muy Baja",'Mapa final'!$AC$54="Leve"),CONCATENATE("R10C",'Mapa final'!$Q$54),"")</f>
        <v/>
      </c>
      <c r="L55" s="51" t="str">
        <f>IF(AND('Mapa final'!$AA$55="Muy Baja",'Mapa final'!$AC$55="Leve"),CONCATENATE("R10C",'Mapa final'!$Q$55),"")</f>
        <v/>
      </c>
      <c r="M55" s="51" t="str">
        <f>IF(AND('Mapa final'!$AA$56="Muy Baja",'Mapa final'!$AC$56="Leve"),CONCATENATE("R10C",'Mapa final'!$Q$56),"")</f>
        <v/>
      </c>
      <c r="N55" s="51" t="str">
        <f>IF(AND('Mapa final'!$AA$57="Muy Baja",'Mapa final'!$AC$57="Leve"),CONCATENATE("R10C",'Mapa final'!$Q$57),"")</f>
        <v/>
      </c>
      <c r="O55" s="52" t="str">
        <f>IF(AND('Mapa final'!$AA$58="Muy Baja",'Mapa final'!$AC$58="Leve"),CONCATENATE("R10C",'Mapa final'!$Q$58),"")</f>
        <v/>
      </c>
      <c r="P55" s="50" t="str">
        <f>IF(AND('Mapa final'!$AA$53="Muy Baja",'Mapa final'!$AC$53="Menor"),CONCATENATE("R10C",'Mapa final'!$Q$53),"")</f>
        <v/>
      </c>
      <c r="Q55" s="51" t="str">
        <f>IF(AND('Mapa final'!$AA$54="Muy Baja",'Mapa final'!$AC$54="Menor"),CONCATENATE("R10C",'Mapa final'!$Q$54),"")</f>
        <v/>
      </c>
      <c r="R55" s="51" t="str">
        <f>IF(AND('Mapa final'!$AA$55="Muy Baja",'Mapa final'!$AC$55="Menor"),CONCATENATE("R10C",'Mapa final'!$Q$55),"")</f>
        <v/>
      </c>
      <c r="S55" s="51" t="str">
        <f>IF(AND('Mapa final'!$AA$56="Muy Baja",'Mapa final'!$AC$56="Menor"),CONCATENATE("R10C",'Mapa final'!$Q$56),"")</f>
        <v/>
      </c>
      <c r="T55" s="51" t="str">
        <f>IF(AND('Mapa final'!$AA$57="Muy Baja",'Mapa final'!$AC$57="Menor"),CONCATENATE("R10C",'Mapa final'!$Q$57),"")</f>
        <v/>
      </c>
      <c r="U55" s="52" t="str">
        <f>IF(AND('Mapa final'!$AA$58="Muy Baja",'Mapa final'!$AC$58="Menor"),CONCATENATE("R10C",'Mapa final'!$Q$58),"")</f>
        <v/>
      </c>
      <c r="V55" s="41" t="str">
        <f>IF(AND('Mapa final'!$AA$53="Muy Baja",'Mapa final'!$AC$53="Moderado"),CONCATENATE("R10C",'Mapa final'!$Q$53),"")</f>
        <v/>
      </c>
      <c r="W55" s="42" t="str">
        <f>IF(AND('Mapa final'!$AA$54="Muy Baja",'Mapa final'!$AC$54="Moderado"),CONCATENATE("R10C",'Mapa final'!$Q$54),"")</f>
        <v/>
      </c>
      <c r="X55" s="42" t="str">
        <f>IF(AND('Mapa final'!$AA$55="Muy Baja",'Mapa final'!$AC$55="Moderado"),CONCATENATE("R10C",'Mapa final'!$Q$55),"")</f>
        <v/>
      </c>
      <c r="Y55" s="42" t="str">
        <f>IF(AND('Mapa final'!$AA$56="Muy Baja",'Mapa final'!$AC$56="Moderado"),CONCATENATE("R10C",'Mapa final'!$Q$56),"")</f>
        <v/>
      </c>
      <c r="Z55" s="42" t="str">
        <f>IF(AND('Mapa final'!$AA$57="Muy Baja",'Mapa final'!$AC$57="Moderado"),CONCATENATE("R10C",'Mapa final'!$Q$57),"")</f>
        <v/>
      </c>
      <c r="AA55" s="43" t="str">
        <f>IF(AND('Mapa final'!$AA$58="Muy Baja",'Mapa final'!$AC$58="Moderado"),CONCATENATE("R10C",'Mapa final'!$Q$58),"")</f>
        <v/>
      </c>
      <c r="AB55" s="29" t="str">
        <f>IF(AND('Mapa final'!$AA$53="Muy Baja",'Mapa final'!$AC$53="Mayor"),CONCATENATE("R10C",'Mapa final'!$Q$53),"")</f>
        <v/>
      </c>
      <c r="AC55" s="30" t="str">
        <f>IF(AND('Mapa final'!$AA$54="Muy Baja",'Mapa final'!$AC$54="Mayor"),CONCATENATE("R10C",'Mapa final'!$Q$54),"")</f>
        <v/>
      </c>
      <c r="AD55" s="30" t="str">
        <f>IF(AND('Mapa final'!$AA$55="Muy Baja",'Mapa final'!$AC$55="Mayor"),CONCATENATE("R10C",'Mapa final'!$Q$55),"")</f>
        <v/>
      </c>
      <c r="AE55" s="30" t="str">
        <f>IF(AND('Mapa final'!$AA$56="Muy Baja",'Mapa final'!$AC$56="Mayor"),CONCATENATE("R10C",'Mapa final'!$Q$56),"")</f>
        <v/>
      </c>
      <c r="AF55" s="30" t="str">
        <f>IF(AND('Mapa final'!$AA$57="Muy Baja",'Mapa final'!$AC$57="Mayor"),CONCATENATE("R10C",'Mapa final'!$Q$57),"")</f>
        <v/>
      </c>
      <c r="AG55" s="31" t="str">
        <f>IF(AND('Mapa final'!$AA$58="Muy Baja",'Mapa final'!$AC$58="Mayor"),CONCATENATE("R10C",'Mapa final'!$Q$58),"")</f>
        <v/>
      </c>
      <c r="AH55" s="32" t="str">
        <f>IF(AND('Mapa final'!$AA$53="Muy Baja",'Mapa final'!$AC$53="Catastrófico"),CONCATENATE("R10C",'Mapa final'!$Q$53),"")</f>
        <v/>
      </c>
      <c r="AI55" s="33" t="str">
        <f>IF(AND('Mapa final'!$AA$54="Muy Baja",'Mapa final'!$AC$54="Catastrófico"),CONCATENATE("R10C",'Mapa final'!$Q$54),"")</f>
        <v/>
      </c>
      <c r="AJ55" s="33" t="str">
        <f>IF(AND('Mapa final'!$AA$55="Muy Baja",'Mapa final'!$AC$55="Catastrófico"),CONCATENATE("R10C",'Mapa final'!$Q$55),"")</f>
        <v/>
      </c>
      <c r="AK55" s="33" t="str">
        <f>IF(AND('Mapa final'!$AA$56="Muy Baja",'Mapa final'!$AC$56="Catastrófico"),CONCATENATE("R10C",'Mapa final'!$Q$56),"")</f>
        <v/>
      </c>
      <c r="AL55" s="33" t="str">
        <f>IF(AND('Mapa final'!$AA$57="Muy Baja",'Mapa final'!$AC$57="Catastrófico"),CONCATENATE("R10C",'Mapa final'!$Q$57),"")</f>
        <v/>
      </c>
      <c r="AM55" s="34" t="str">
        <f>IF(AND('Mapa final'!$AA$58="Muy Baja",'Mapa final'!$AC$58="Catastrófico"),CONCATENATE("R10C",'Mapa final'!$Q$58),"")</f>
        <v/>
      </c>
      <c r="AN55" s="54"/>
      <c r="AO55" s="54"/>
      <c r="AP55" s="54"/>
      <c r="AQ55" s="54"/>
      <c r="AR55" s="54"/>
      <c r="AS55" s="54"/>
      <c r="AT55" s="54"/>
      <c r="AU55" s="54"/>
      <c r="AV55" s="54"/>
      <c r="AW55" s="54"/>
      <c r="AX55" s="54"/>
      <c r="AY55" s="54"/>
      <c r="AZ55" s="54"/>
      <c r="BA55" s="54"/>
      <c r="BB55" s="54"/>
      <c r="BC55" s="54"/>
      <c r="BD55" s="54"/>
      <c r="BE55" s="54"/>
      <c r="BF55" s="54"/>
      <c r="BG55" s="54"/>
      <c r="BH55" s="54"/>
      <c r="BI55" s="54"/>
      <c r="BJ55" s="54"/>
      <c r="BK55" s="54"/>
      <c r="BL55" s="54"/>
      <c r="BM55" s="54"/>
      <c r="BN55" s="54"/>
      <c r="BO55" s="54"/>
      <c r="BP55" s="54"/>
      <c r="BQ55" s="54"/>
      <c r="BR55" s="54"/>
      <c r="BS55" s="54"/>
      <c r="BT55" s="54"/>
      <c r="BU55" s="54"/>
      <c r="BV55" s="54"/>
      <c r="BW55" s="54"/>
      <c r="BX55" s="54"/>
      <c r="BY55" s="54"/>
      <c r="BZ55" s="54"/>
      <c r="CA55" s="54"/>
      <c r="CB55" s="54"/>
    </row>
    <row r="56" spans="1:80" x14ac:dyDescent="0.3">
      <c r="A56" s="54"/>
      <c r="B56" s="54"/>
      <c r="C56" s="54"/>
      <c r="D56" s="54"/>
      <c r="E56" s="54"/>
      <c r="F56" s="54"/>
      <c r="G56" s="54"/>
      <c r="H56" s="54"/>
      <c r="I56" s="54"/>
      <c r="J56" s="389" t="s">
        <v>107</v>
      </c>
      <c r="K56" s="390"/>
      <c r="L56" s="390"/>
      <c r="M56" s="390"/>
      <c r="N56" s="390"/>
      <c r="O56" s="408"/>
      <c r="P56" s="389" t="s">
        <v>106</v>
      </c>
      <c r="Q56" s="390"/>
      <c r="R56" s="390"/>
      <c r="S56" s="390"/>
      <c r="T56" s="390"/>
      <c r="U56" s="408"/>
      <c r="V56" s="389" t="s">
        <v>105</v>
      </c>
      <c r="W56" s="390"/>
      <c r="X56" s="390"/>
      <c r="Y56" s="390"/>
      <c r="Z56" s="390"/>
      <c r="AA56" s="408"/>
      <c r="AB56" s="389" t="s">
        <v>104</v>
      </c>
      <c r="AC56" s="429"/>
      <c r="AD56" s="390"/>
      <c r="AE56" s="390"/>
      <c r="AF56" s="390"/>
      <c r="AG56" s="408"/>
      <c r="AH56" s="389" t="s">
        <v>103</v>
      </c>
      <c r="AI56" s="390"/>
      <c r="AJ56" s="390"/>
      <c r="AK56" s="390"/>
      <c r="AL56" s="390"/>
      <c r="AM56" s="408"/>
      <c r="AN56" s="54"/>
      <c r="AO56" s="54"/>
      <c r="AP56" s="54"/>
      <c r="AQ56" s="54"/>
      <c r="AR56" s="54"/>
      <c r="AS56" s="54"/>
      <c r="AT56" s="54"/>
      <c r="AU56" s="54"/>
      <c r="AV56" s="54"/>
      <c r="AW56" s="54"/>
      <c r="AX56" s="54"/>
      <c r="AY56" s="54"/>
      <c r="AZ56" s="54"/>
      <c r="BA56" s="54"/>
      <c r="BB56" s="54"/>
      <c r="BC56" s="54"/>
      <c r="BD56" s="54"/>
      <c r="BE56" s="54"/>
      <c r="BF56" s="54"/>
      <c r="BG56" s="54"/>
      <c r="BH56" s="54"/>
      <c r="BI56" s="54"/>
      <c r="BJ56" s="54"/>
      <c r="BK56" s="54"/>
      <c r="BL56" s="54"/>
      <c r="BM56" s="54"/>
      <c r="BN56" s="54"/>
      <c r="BO56" s="54"/>
      <c r="BP56" s="54"/>
      <c r="BQ56" s="54"/>
      <c r="BR56" s="54"/>
      <c r="BS56" s="54"/>
      <c r="BT56" s="54"/>
      <c r="BU56" s="54"/>
      <c r="BV56" s="54"/>
      <c r="BW56" s="54"/>
      <c r="BX56" s="54"/>
      <c r="BY56" s="54"/>
      <c r="BZ56" s="54"/>
      <c r="CA56" s="54"/>
      <c r="CB56" s="54"/>
    </row>
    <row r="57" spans="1:80" x14ac:dyDescent="0.3">
      <c r="A57" s="54"/>
      <c r="B57" s="54"/>
      <c r="C57" s="54"/>
      <c r="D57" s="54"/>
      <c r="E57" s="54"/>
      <c r="F57" s="54"/>
      <c r="G57" s="54"/>
      <c r="H57" s="54"/>
      <c r="I57" s="54"/>
      <c r="J57" s="393"/>
      <c r="K57" s="394"/>
      <c r="L57" s="394"/>
      <c r="M57" s="394"/>
      <c r="N57" s="394"/>
      <c r="O57" s="409"/>
      <c r="P57" s="393"/>
      <c r="Q57" s="394"/>
      <c r="R57" s="394"/>
      <c r="S57" s="394"/>
      <c r="T57" s="394"/>
      <c r="U57" s="409"/>
      <c r="V57" s="393"/>
      <c r="W57" s="394"/>
      <c r="X57" s="394"/>
      <c r="Y57" s="394"/>
      <c r="Z57" s="394"/>
      <c r="AA57" s="409"/>
      <c r="AB57" s="393"/>
      <c r="AC57" s="394"/>
      <c r="AD57" s="394"/>
      <c r="AE57" s="394"/>
      <c r="AF57" s="394"/>
      <c r="AG57" s="409"/>
      <c r="AH57" s="393"/>
      <c r="AI57" s="394"/>
      <c r="AJ57" s="394"/>
      <c r="AK57" s="394"/>
      <c r="AL57" s="394"/>
      <c r="AM57" s="409"/>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54"/>
      <c r="BX57" s="54"/>
      <c r="BY57" s="54"/>
      <c r="BZ57" s="54"/>
      <c r="CA57" s="54"/>
      <c r="CB57" s="54"/>
    </row>
    <row r="58" spans="1:80" x14ac:dyDescent="0.3">
      <c r="A58" s="54"/>
      <c r="B58" s="54"/>
      <c r="C58" s="54"/>
      <c r="D58" s="54"/>
      <c r="E58" s="54"/>
      <c r="F58" s="54"/>
      <c r="G58" s="54"/>
      <c r="H58" s="54"/>
      <c r="I58" s="54"/>
      <c r="J58" s="393"/>
      <c r="K58" s="394"/>
      <c r="L58" s="394"/>
      <c r="M58" s="394"/>
      <c r="N58" s="394"/>
      <c r="O58" s="409"/>
      <c r="P58" s="393"/>
      <c r="Q58" s="394"/>
      <c r="R58" s="394"/>
      <c r="S58" s="394"/>
      <c r="T58" s="394"/>
      <c r="U58" s="409"/>
      <c r="V58" s="393"/>
      <c r="W58" s="394"/>
      <c r="X58" s="394"/>
      <c r="Y58" s="394"/>
      <c r="Z58" s="394"/>
      <c r="AA58" s="409"/>
      <c r="AB58" s="393"/>
      <c r="AC58" s="394"/>
      <c r="AD58" s="394"/>
      <c r="AE58" s="394"/>
      <c r="AF58" s="394"/>
      <c r="AG58" s="409"/>
      <c r="AH58" s="393"/>
      <c r="AI58" s="394"/>
      <c r="AJ58" s="394"/>
      <c r="AK58" s="394"/>
      <c r="AL58" s="394"/>
      <c r="AM58" s="409"/>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54"/>
      <c r="BX58" s="54"/>
      <c r="BY58" s="54"/>
      <c r="BZ58" s="54"/>
      <c r="CA58" s="54"/>
      <c r="CB58" s="54"/>
    </row>
    <row r="59" spans="1:80" x14ac:dyDescent="0.3">
      <c r="A59" s="54"/>
      <c r="B59" s="54"/>
      <c r="C59" s="54"/>
      <c r="D59" s="54"/>
      <c r="E59" s="54"/>
      <c r="F59" s="54"/>
      <c r="G59" s="54"/>
      <c r="H59" s="54"/>
      <c r="I59" s="54"/>
      <c r="J59" s="393"/>
      <c r="K59" s="394"/>
      <c r="L59" s="394"/>
      <c r="M59" s="394"/>
      <c r="N59" s="394"/>
      <c r="O59" s="409"/>
      <c r="P59" s="393"/>
      <c r="Q59" s="394"/>
      <c r="R59" s="394"/>
      <c r="S59" s="394"/>
      <c r="T59" s="394"/>
      <c r="U59" s="409"/>
      <c r="V59" s="393"/>
      <c r="W59" s="394"/>
      <c r="X59" s="394"/>
      <c r="Y59" s="394"/>
      <c r="Z59" s="394"/>
      <c r="AA59" s="409"/>
      <c r="AB59" s="393"/>
      <c r="AC59" s="394"/>
      <c r="AD59" s="394"/>
      <c r="AE59" s="394"/>
      <c r="AF59" s="394"/>
      <c r="AG59" s="409"/>
      <c r="AH59" s="393"/>
      <c r="AI59" s="394"/>
      <c r="AJ59" s="394"/>
      <c r="AK59" s="394"/>
      <c r="AL59" s="394"/>
      <c r="AM59" s="409"/>
      <c r="AN59" s="54"/>
      <c r="AO59" s="54"/>
      <c r="AP59" s="54"/>
      <c r="AQ59" s="54"/>
      <c r="AR59" s="54"/>
      <c r="AS59" s="54"/>
      <c r="AT59" s="54"/>
      <c r="AU59" s="54"/>
      <c r="AV59" s="54"/>
      <c r="AW59" s="54"/>
      <c r="AX59" s="54"/>
      <c r="AY59" s="54"/>
      <c r="AZ59" s="54"/>
      <c r="BA59" s="54"/>
      <c r="BB59" s="54"/>
      <c r="BC59" s="54"/>
      <c r="BD59" s="54"/>
      <c r="BE59" s="54"/>
      <c r="BF59" s="54"/>
      <c r="BG59" s="54"/>
      <c r="BH59" s="54"/>
      <c r="BI59" s="54"/>
      <c r="BJ59" s="54"/>
      <c r="BK59" s="54"/>
      <c r="BL59" s="54"/>
      <c r="BM59" s="54"/>
      <c r="BN59" s="54"/>
      <c r="BO59" s="54"/>
      <c r="BP59" s="54"/>
      <c r="BQ59" s="54"/>
      <c r="BR59" s="54"/>
      <c r="BS59" s="54"/>
      <c r="BT59" s="54"/>
      <c r="BU59" s="54"/>
      <c r="BV59" s="54"/>
      <c r="BW59" s="54"/>
      <c r="BX59" s="54"/>
      <c r="BY59" s="54"/>
      <c r="BZ59" s="54"/>
      <c r="CA59" s="54"/>
      <c r="CB59" s="54"/>
    </row>
    <row r="60" spans="1:80" x14ac:dyDescent="0.3">
      <c r="A60" s="54"/>
      <c r="B60" s="54"/>
      <c r="C60" s="54"/>
      <c r="D60" s="54"/>
      <c r="E60" s="54"/>
      <c r="F60" s="54"/>
      <c r="G60" s="54"/>
      <c r="H60" s="54"/>
      <c r="I60" s="54"/>
      <c r="J60" s="393"/>
      <c r="K60" s="394"/>
      <c r="L60" s="394"/>
      <c r="M60" s="394"/>
      <c r="N60" s="394"/>
      <c r="O60" s="409"/>
      <c r="P60" s="393"/>
      <c r="Q60" s="394"/>
      <c r="R60" s="394"/>
      <c r="S60" s="394"/>
      <c r="T60" s="394"/>
      <c r="U60" s="409"/>
      <c r="V60" s="393"/>
      <c r="W60" s="394"/>
      <c r="X60" s="394"/>
      <c r="Y60" s="394"/>
      <c r="Z60" s="394"/>
      <c r="AA60" s="409"/>
      <c r="AB60" s="393"/>
      <c r="AC60" s="394"/>
      <c r="AD60" s="394"/>
      <c r="AE60" s="394"/>
      <c r="AF60" s="394"/>
      <c r="AG60" s="409"/>
      <c r="AH60" s="393"/>
      <c r="AI60" s="394"/>
      <c r="AJ60" s="394"/>
      <c r="AK60" s="394"/>
      <c r="AL60" s="394"/>
      <c r="AM60" s="409"/>
      <c r="AN60" s="54"/>
      <c r="AO60" s="54"/>
      <c r="AP60" s="54"/>
      <c r="AQ60" s="54"/>
      <c r="AR60" s="54"/>
      <c r="AS60" s="54"/>
      <c r="AT60" s="54"/>
      <c r="AU60" s="54"/>
      <c r="AV60" s="54"/>
      <c r="AW60" s="54"/>
      <c r="AX60" s="54"/>
      <c r="AY60" s="54"/>
      <c r="AZ60" s="54"/>
      <c r="BA60" s="54"/>
      <c r="BB60" s="54"/>
      <c r="BC60" s="54"/>
      <c r="BD60" s="54"/>
      <c r="BE60" s="54"/>
      <c r="BF60" s="54"/>
      <c r="BG60" s="54"/>
      <c r="BH60" s="54"/>
      <c r="BI60" s="54"/>
      <c r="BJ60" s="54"/>
      <c r="BK60" s="54"/>
      <c r="BL60" s="54"/>
      <c r="BM60" s="54"/>
      <c r="BN60" s="54"/>
      <c r="BO60" s="54"/>
      <c r="BP60" s="54"/>
      <c r="BQ60" s="54"/>
      <c r="BR60" s="54"/>
      <c r="BS60" s="54"/>
      <c r="BT60" s="54"/>
      <c r="BU60" s="54"/>
      <c r="BV60" s="54"/>
      <c r="BW60" s="54"/>
      <c r="BX60" s="54"/>
      <c r="BY60" s="54"/>
      <c r="BZ60" s="54"/>
      <c r="CA60" s="54"/>
      <c r="CB60" s="54"/>
    </row>
    <row r="61" spans="1:80" ht="15" thickBot="1" x14ac:dyDescent="0.35">
      <c r="A61" s="54"/>
      <c r="B61" s="54"/>
      <c r="C61" s="54"/>
      <c r="D61" s="54"/>
      <c r="E61" s="54"/>
      <c r="F61" s="54"/>
      <c r="G61" s="54"/>
      <c r="H61" s="54"/>
      <c r="I61" s="54"/>
      <c r="J61" s="395"/>
      <c r="K61" s="396"/>
      <c r="L61" s="396"/>
      <c r="M61" s="396"/>
      <c r="N61" s="396"/>
      <c r="O61" s="410"/>
      <c r="P61" s="395"/>
      <c r="Q61" s="396"/>
      <c r="R61" s="396"/>
      <c r="S61" s="396"/>
      <c r="T61" s="396"/>
      <c r="U61" s="410"/>
      <c r="V61" s="395"/>
      <c r="W61" s="396"/>
      <c r="X61" s="396"/>
      <c r="Y61" s="396"/>
      <c r="Z61" s="396"/>
      <c r="AA61" s="410"/>
      <c r="AB61" s="395"/>
      <c r="AC61" s="396"/>
      <c r="AD61" s="396"/>
      <c r="AE61" s="396"/>
      <c r="AF61" s="396"/>
      <c r="AG61" s="410"/>
      <c r="AH61" s="395"/>
      <c r="AI61" s="396"/>
      <c r="AJ61" s="396"/>
      <c r="AK61" s="396"/>
      <c r="AL61" s="396"/>
      <c r="AM61" s="410"/>
      <c r="AN61" s="54"/>
      <c r="AO61" s="54"/>
      <c r="AP61" s="54"/>
      <c r="AQ61" s="54"/>
      <c r="AR61" s="54"/>
      <c r="AS61" s="54"/>
      <c r="AT61" s="54"/>
      <c r="AU61" s="54"/>
      <c r="AV61" s="54"/>
      <c r="AW61" s="54"/>
      <c r="AX61" s="54"/>
      <c r="AY61" s="54"/>
      <c r="AZ61" s="54"/>
      <c r="BA61" s="54"/>
      <c r="BB61" s="54"/>
      <c r="BC61" s="54"/>
      <c r="BD61" s="54"/>
      <c r="BE61" s="54"/>
      <c r="BF61" s="54"/>
      <c r="BG61" s="54"/>
      <c r="BH61" s="54"/>
      <c r="BI61" s="54"/>
      <c r="BJ61" s="54"/>
      <c r="BK61" s="54"/>
      <c r="BL61" s="54"/>
      <c r="BM61" s="54"/>
      <c r="BN61" s="54"/>
      <c r="BO61" s="54"/>
      <c r="BP61" s="54"/>
      <c r="BQ61" s="54"/>
      <c r="BR61" s="54"/>
      <c r="BS61" s="54"/>
      <c r="BT61" s="54"/>
      <c r="BU61" s="54"/>
      <c r="BV61" s="54"/>
      <c r="BW61" s="54"/>
      <c r="BX61" s="54"/>
      <c r="BY61" s="54"/>
      <c r="BZ61" s="54"/>
      <c r="CA61" s="54"/>
      <c r="CB61" s="54"/>
    </row>
    <row r="62" spans="1:80" x14ac:dyDescent="0.3">
      <c r="A62" s="54"/>
      <c r="B62" s="54"/>
      <c r="C62" s="54"/>
      <c r="D62" s="54"/>
      <c r="E62" s="54"/>
      <c r="F62" s="54"/>
      <c r="G62" s="54"/>
      <c r="H62" s="54"/>
      <c r="I62" s="54"/>
      <c r="J62" s="54"/>
      <c r="K62" s="54"/>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row>
    <row r="63" spans="1:80" ht="15" customHeight="1" x14ac:dyDescent="0.3">
      <c r="A63" s="54"/>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4"/>
      <c r="AV63" s="54"/>
      <c r="AW63" s="54"/>
      <c r="AX63" s="54"/>
      <c r="AY63" s="54"/>
      <c r="AZ63" s="54"/>
      <c r="BA63" s="54"/>
      <c r="BB63" s="54"/>
      <c r="BC63" s="54"/>
      <c r="BD63" s="54"/>
      <c r="BE63" s="54"/>
      <c r="BF63" s="54"/>
      <c r="BG63" s="54"/>
      <c r="BH63" s="54"/>
    </row>
    <row r="64" spans="1:80" ht="15" customHeight="1" x14ac:dyDescent="0.3">
      <c r="A64" s="54"/>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4"/>
      <c r="AV64" s="54"/>
      <c r="AW64" s="54"/>
      <c r="AX64" s="54"/>
      <c r="AY64" s="54"/>
      <c r="AZ64" s="54"/>
      <c r="BA64" s="54"/>
      <c r="BB64" s="54"/>
      <c r="BC64" s="54"/>
      <c r="BD64" s="54"/>
      <c r="BE64" s="54"/>
      <c r="BF64" s="54"/>
      <c r="BG64" s="54"/>
      <c r="BH64" s="54"/>
    </row>
    <row r="65" spans="1:60" x14ac:dyDescent="0.3">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54"/>
      <c r="AU65" s="54"/>
      <c r="AV65" s="54"/>
      <c r="AW65" s="54"/>
      <c r="AX65" s="54"/>
      <c r="AY65" s="54"/>
      <c r="AZ65" s="54"/>
      <c r="BA65" s="54"/>
      <c r="BB65" s="54"/>
      <c r="BC65" s="54"/>
      <c r="BD65" s="54"/>
      <c r="BE65" s="54"/>
      <c r="BF65" s="54"/>
      <c r="BG65" s="54"/>
      <c r="BH65" s="54"/>
    </row>
    <row r="66" spans="1:60" x14ac:dyDescent="0.3">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c r="AN66" s="54"/>
      <c r="AO66" s="54"/>
      <c r="AP66" s="54"/>
      <c r="AQ66" s="54"/>
      <c r="AR66" s="54"/>
      <c r="AS66" s="54"/>
      <c r="AT66" s="54"/>
      <c r="AU66" s="54"/>
      <c r="AV66" s="54"/>
      <c r="AW66" s="54"/>
      <c r="AX66" s="54"/>
      <c r="AY66" s="54"/>
      <c r="AZ66" s="54"/>
      <c r="BA66" s="54"/>
      <c r="BB66" s="54"/>
      <c r="BC66" s="54"/>
      <c r="BD66" s="54"/>
      <c r="BE66" s="54"/>
      <c r="BF66" s="54"/>
      <c r="BG66" s="54"/>
      <c r="BH66" s="54"/>
    </row>
    <row r="67" spans="1:60" x14ac:dyDescent="0.3">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c r="AN67" s="54"/>
      <c r="AO67" s="54"/>
      <c r="AP67" s="54"/>
      <c r="AQ67" s="54"/>
      <c r="AR67" s="54"/>
      <c r="AS67" s="54"/>
      <c r="AT67" s="54"/>
      <c r="AU67" s="54"/>
      <c r="AV67" s="54"/>
      <c r="AW67" s="54"/>
      <c r="AX67" s="54"/>
      <c r="AY67" s="54"/>
      <c r="AZ67" s="54"/>
      <c r="BA67" s="54"/>
      <c r="BB67" s="54"/>
      <c r="BC67" s="54"/>
      <c r="BD67" s="54"/>
      <c r="BE67" s="54"/>
      <c r="BF67" s="54"/>
      <c r="BG67" s="54"/>
      <c r="BH67" s="54"/>
    </row>
    <row r="68" spans="1:60" x14ac:dyDescent="0.3">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c r="AN68" s="54"/>
      <c r="AO68" s="54"/>
      <c r="AP68" s="54"/>
      <c r="AQ68" s="54"/>
      <c r="AR68" s="54"/>
      <c r="AS68" s="54"/>
      <c r="AT68" s="54"/>
      <c r="AU68" s="54"/>
      <c r="AV68" s="54"/>
      <c r="AW68" s="54"/>
      <c r="AX68" s="54"/>
      <c r="AY68" s="54"/>
      <c r="AZ68" s="54"/>
      <c r="BA68" s="54"/>
      <c r="BB68" s="54"/>
      <c r="BC68" s="54"/>
      <c r="BD68" s="54"/>
      <c r="BE68" s="54"/>
      <c r="BF68" s="54"/>
      <c r="BG68" s="54"/>
      <c r="BH68" s="54"/>
    </row>
    <row r="69" spans="1:60" x14ac:dyDescent="0.3">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row>
    <row r="70" spans="1:60" x14ac:dyDescent="0.3">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54"/>
      <c r="AS70" s="54"/>
      <c r="AT70" s="54"/>
      <c r="AU70" s="54"/>
      <c r="AV70" s="54"/>
      <c r="AW70" s="54"/>
      <c r="AX70" s="54"/>
      <c r="AY70" s="54"/>
      <c r="AZ70" s="54"/>
      <c r="BA70" s="54"/>
      <c r="BB70" s="54"/>
      <c r="BC70" s="54"/>
      <c r="BD70" s="54"/>
      <c r="BE70" s="54"/>
      <c r="BF70" s="54"/>
      <c r="BG70" s="54"/>
      <c r="BH70" s="54"/>
    </row>
    <row r="71" spans="1:60" x14ac:dyDescent="0.3">
      <c r="A71" s="54"/>
      <c r="B71" s="54"/>
      <c r="C71" s="54"/>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54"/>
      <c r="AS71" s="54"/>
      <c r="AT71" s="54"/>
      <c r="AU71" s="54"/>
      <c r="AV71" s="54"/>
      <c r="AW71" s="54"/>
      <c r="AX71" s="54"/>
      <c r="AY71" s="54"/>
      <c r="AZ71" s="54"/>
      <c r="BA71" s="54"/>
      <c r="BB71" s="54"/>
      <c r="BC71" s="54"/>
      <c r="BD71" s="54"/>
      <c r="BE71" s="54"/>
      <c r="BF71" s="54"/>
      <c r="BG71" s="54"/>
      <c r="BH71" s="54"/>
    </row>
    <row r="72" spans="1:60" x14ac:dyDescent="0.3">
      <c r="A72" s="54"/>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54"/>
      <c r="AS72" s="54"/>
      <c r="AT72" s="54"/>
      <c r="AU72" s="54"/>
      <c r="AV72" s="54"/>
      <c r="AW72" s="54"/>
      <c r="AX72" s="54"/>
      <c r="AY72" s="54"/>
      <c r="AZ72" s="54"/>
      <c r="BA72" s="54"/>
      <c r="BB72" s="54"/>
      <c r="BC72" s="54"/>
      <c r="BD72" s="54"/>
      <c r="BE72" s="54"/>
      <c r="BF72" s="54"/>
      <c r="BG72" s="54"/>
      <c r="BH72" s="54"/>
    </row>
    <row r="73" spans="1:60" x14ac:dyDescent="0.3">
      <c r="A73" s="54"/>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54"/>
      <c r="AS73" s="54"/>
      <c r="AT73" s="54"/>
      <c r="AU73" s="54"/>
      <c r="AV73" s="54"/>
      <c r="AW73" s="54"/>
      <c r="AX73" s="54"/>
      <c r="AY73" s="54"/>
      <c r="AZ73" s="54"/>
      <c r="BA73" s="54"/>
      <c r="BB73" s="54"/>
      <c r="BC73" s="54"/>
      <c r="BD73" s="54"/>
      <c r="BE73" s="54"/>
      <c r="BF73" s="54"/>
      <c r="BG73" s="54"/>
      <c r="BH73" s="54"/>
    </row>
    <row r="74" spans="1:60" x14ac:dyDescent="0.3">
      <c r="A74" s="54"/>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row>
    <row r="75" spans="1:60" x14ac:dyDescent="0.3">
      <c r="A75" s="54"/>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row>
    <row r="76" spans="1:60" x14ac:dyDescent="0.3">
      <c r="A76" s="54"/>
      <c r="B76" s="54"/>
      <c r="C76" s="54"/>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4"/>
      <c r="AP76" s="54"/>
      <c r="AQ76" s="54"/>
      <c r="AR76" s="54"/>
      <c r="AS76" s="54"/>
      <c r="AT76" s="54"/>
      <c r="AU76" s="54"/>
      <c r="AV76" s="54"/>
      <c r="AW76" s="54"/>
      <c r="AX76" s="54"/>
      <c r="AY76" s="54"/>
      <c r="AZ76" s="54"/>
      <c r="BA76" s="54"/>
      <c r="BB76" s="54"/>
      <c r="BC76" s="54"/>
      <c r="BD76" s="54"/>
      <c r="BE76" s="54"/>
      <c r="BF76" s="54"/>
      <c r="BG76" s="54"/>
      <c r="BH76" s="54"/>
    </row>
    <row r="77" spans="1:60" x14ac:dyDescent="0.3">
      <c r="A77" s="54"/>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4"/>
      <c r="AP77" s="54"/>
      <c r="AQ77" s="54"/>
      <c r="AR77" s="54"/>
      <c r="AS77" s="54"/>
      <c r="AT77" s="54"/>
      <c r="AU77" s="54"/>
      <c r="AV77" s="54"/>
      <c r="AW77" s="54"/>
      <c r="AX77" s="54"/>
      <c r="AY77" s="54"/>
      <c r="AZ77" s="54"/>
      <c r="BA77" s="54"/>
      <c r="BB77" s="54"/>
      <c r="BC77" s="54"/>
      <c r="BD77" s="54"/>
      <c r="BE77" s="54"/>
      <c r="BF77" s="54"/>
      <c r="BG77" s="54"/>
      <c r="BH77" s="54"/>
    </row>
    <row r="78" spans="1:60" x14ac:dyDescent="0.3">
      <c r="A78" s="54"/>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4"/>
      <c r="AE78" s="54"/>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c r="BE78" s="54"/>
      <c r="BF78" s="54"/>
      <c r="BG78" s="54"/>
      <c r="BH78" s="54"/>
    </row>
    <row r="79" spans="1:60" x14ac:dyDescent="0.3">
      <c r="A79" s="54"/>
      <c r="B79" s="54"/>
      <c r="C79" s="54"/>
      <c r="D79" s="54"/>
      <c r="E79" s="54"/>
      <c r="F79" s="54"/>
      <c r="G79" s="54"/>
      <c r="H79" s="54"/>
      <c r="I79" s="54"/>
      <c r="J79" s="54"/>
      <c r="K79" s="54"/>
      <c r="L79" s="54"/>
      <c r="M79" s="54"/>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c r="BE79" s="54"/>
      <c r="BF79" s="54"/>
      <c r="BG79" s="54"/>
      <c r="BH79" s="54"/>
    </row>
    <row r="80" spans="1:60" x14ac:dyDescent="0.3">
      <c r="A80" s="54"/>
      <c r="B80" s="54"/>
      <c r="C80" s="54"/>
      <c r="D80" s="54"/>
      <c r="E80" s="54"/>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c r="BE80" s="54"/>
      <c r="BF80" s="54"/>
      <c r="BG80" s="54"/>
      <c r="BH80" s="54"/>
    </row>
    <row r="81" spans="1:60" x14ac:dyDescent="0.3">
      <c r="A81" s="54"/>
      <c r="B81" s="54"/>
      <c r="C81" s="54"/>
      <c r="D81" s="54"/>
      <c r="E81" s="54"/>
      <c r="F81" s="54"/>
      <c r="G81" s="54"/>
      <c r="H81" s="54"/>
      <c r="I81" s="54"/>
      <c r="J81" s="54"/>
      <c r="K81" s="54"/>
      <c r="L81" s="54"/>
      <c r="M81" s="54"/>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54"/>
      <c r="AS81" s="54"/>
      <c r="AT81" s="54"/>
      <c r="AU81" s="54"/>
      <c r="AV81" s="54"/>
      <c r="AW81" s="54"/>
      <c r="AX81" s="54"/>
      <c r="AY81" s="54"/>
      <c r="AZ81" s="54"/>
      <c r="BA81" s="54"/>
      <c r="BB81" s="54"/>
      <c r="BC81" s="54"/>
      <c r="BD81" s="54"/>
      <c r="BE81" s="54"/>
      <c r="BF81" s="54"/>
      <c r="BG81" s="54"/>
      <c r="BH81" s="54"/>
    </row>
    <row r="82" spans="1:60" x14ac:dyDescent="0.3">
      <c r="A82" s="54"/>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54"/>
      <c r="AS82" s="54"/>
      <c r="AT82" s="54"/>
      <c r="AU82" s="54"/>
      <c r="AV82" s="54"/>
      <c r="AW82" s="54"/>
      <c r="AX82" s="54"/>
      <c r="AY82" s="54"/>
      <c r="AZ82" s="54"/>
      <c r="BA82" s="54"/>
      <c r="BB82" s="54"/>
      <c r="BC82" s="54"/>
      <c r="BD82" s="54"/>
      <c r="BE82" s="54"/>
      <c r="BF82" s="54"/>
      <c r="BG82" s="54"/>
      <c r="BH82" s="54"/>
    </row>
    <row r="83" spans="1:60" x14ac:dyDescent="0.3">
      <c r="A83" s="54"/>
      <c r="B83" s="54"/>
      <c r="C83" s="54"/>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54"/>
      <c r="AS83" s="54"/>
      <c r="AT83" s="54"/>
      <c r="AU83" s="54"/>
      <c r="AV83" s="54"/>
      <c r="AW83" s="54"/>
      <c r="AX83" s="54"/>
      <c r="AY83" s="54"/>
      <c r="AZ83" s="54"/>
      <c r="BA83" s="54"/>
      <c r="BB83" s="54"/>
      <c r="BC83" s="54"/>
      <c r="BD83" s="54"/>
      <c r="BE83" s="54"/>
      <c r="BF83" s="54"/>
      <c r="BG83" s="54"/>
      <c r="BH83" s="54"/>
    </row>
    <row r="84" spans="1:60" x14ac:dyDescent="0.3">
      <c r="A84" s="54"/>
      <c r="B84" s="54"/>
      <c r="C84" s="54"/>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54"/>
      <c r="AS84" s="54"/>
      <c r="AT84" s="54"/>
      <c r="AU84" s="54"/>
      <c r="AV84" s="54"/>
      <c r="AW84" s="54"/>
      <c r="AX84" s="54"/>
      <c r="AY84" s="54"/>
      <c r="AZ84" s="54"/>
      <c r="BA84" s="54"/>
      <c r="BB84" s="54"/>
      <c r="BC84" s="54"/>
      <c r="BD84" s="54"/>
      <c r="BE84" s="54"/>
      <c r="BF84" s="54"/>
      <c r="BG84" s="54"/>
      <c r="BH84" s="54"/>
    </row>
    <row r="85" spans="1:60" x14ac:dyDescent="0.3">
      <c r="A85" s="54"/>
      <c r="B85" s="54"/>
      <c r="C85" s="54"/>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L85" s="54"/>
      <c r="AM85" s="54"/>
      <c r="AN85" s="54"/>
      <c r="AO85" s="54"/>
      <c r="AP85" s="54"/>
      <c r="AQ85" s="54"/>
      <c r="AR85" s="54"/>
      <c r="AS85" s="54"/>
      <c r="AT85" s="54"/>
      <c r="AU85" s="54"/>
      <c r="AV85" s="54"/>
      <c r="AW85" s="54"/>
      <c r="AX85" s="54"/>
      <c r="AY85" s="54"/>
      <c r="AZ85" s="54"/>
      <c r="BA85" s="54"/>
      <c r="BB85" s="54"/>
      <c r="BC85" s="54"/>
      <c r="BD85" s="54"/>
      <c r="BE85" s="54"/>
      <c r="BF85" s="54"/>
      <c r="BG85" s="54"/>
      <c r="BH85" s="54"/>
    </row>
    <row r="86" spans="1:60" x14ac:dyDescent="0.3">
      <c r="A86" s="54"/>
      <c r="B86" s="54"/>
      <c r="C86" s="54"/>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4"/>
      <c r="AD86" s="54"/>
      <c r="AE86" s="54"/>
      <c r="AF86" s="54"/>
      <c r="AG86" s="54"/>
      <c r="AH86" s="54"/>
      <c r="AI86" s="54"/>
      <c r="AJ86" s="54"/>
      <c r="AK86" s="54"/>
      <c r="AL86" s="54"/>
      <c r="AM86" s="54"/>
      <c r="AN86" s="54"/>
      <c r="AO86" s="54"/>
      <c r="AP86" s="54"/>
      <c r="AQ86" s="54"/>
      <c r="AR86" s="54"/>
      <c r="AS86" s="54"/>
      <c r="AT86" s="54"/>
      <c r="AU86" s="54"/>
      <c r="AV86" s="54"/>
      <c r="AW86" s="54"/>
      <c r="AX86" s="54"/>
      <c r="AY86" s="54"/>
      <c r="AZ86" s="54"/>
      <c r="BA86" s="54"/>
      <c r="BB86" s="54"/>
      <c r="BC86" s="54"/>
      <c r="BD86" s="54"/>
      <c r="BE86" s="54"/>
      <c r="BF86" s="54"/>
      <c r="BG86" s="54"/>
      <c r="BH86" s="54"/>
    </row>
    <row r="87" spans="1:60" x14ac:dyDescent="0.3">
      <c r="A87" s="54"/>
      <c r="B87" s="54"/>
      <c r="C87" s="54"/>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54"/>
      <c r="AU87" s="54"/>
      <c r="AV87" s="54"/>
      <c r="AW87" s="54"/>
      <c r="AX87" s="54"/>
      <c r="AY87" s="54"/>
      <c r="AZ87" s="54"/>
      <c r="BA87" s="54"/>
      <c r="BB87" s="54"/>
      <c r="BC87" s="54"/>
      <c r="BD87" s="54"/>
      <c r="BE87" s="54"/>
      <c r="BF87" s="54"/>
      <c r="BG87" s="54"/>
      <c r="BH87" s="54"/>
    </row>
    <row r="88" spans="1:60" x14ac:dyDescent="0.3">
      <c r="A88" s="54"/>
      <c r="B88" s="54"/>
      <c r="C88" s="54"/>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54"/>
      <c r="AI88" s="54"/>
      <c r="AJ88" s="54"/>
      <c r="AK88" s="54"/>
      <c r="AL88" s="54"/>
      <c r="AM88" s="54"/>
      <c r="AN88" s="54"/>
      <c r="AO88" s="54"/>
      <c r="AP88" s="54"/>
      <c r="AQ88" s="54"/>
      <c r="AR88" s="54"/>
      <c r="AS88" s="54"/>
      <c r="AT88" s="54"/>
      <c r="AU88" s="54"/>
      <c r="AV88" s="54"/>
      <c r="AW88" s="54"/>
      <c r="AX88" s="54"/>
      <c r="AY88" s="54"/>
      <c r="AZ88" s="54"/>
      <c r="BA88" s="54"/>
      <c r="BB88" s="54"/>
      <c r="BC88" s="54"/>
      <c r="BD88" s="54"/>
      <c r="BE88" s="54"/>
      <c r="BF88" s="54"/>
      <c r="BG88" s="54"/>
      <c r="BH88" s="54"/>
    </row>
    <row r="89" spans="1:60" x14ac:dyDescent="0.3">
      <c r="A89" s="54"/>
      <c r="B89" s="54"/>
      <c r="C89" s="54"/>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4"/>
      <c r="AD89" s="54"/>
      <c r="AE89" s="54"/>
      <c r="AF89" s="54"/>
      <c r="AG89" s="54"/>
      <c r="AH89" s="54"/>
      <c r="AI89" s="54"/>
      <c r="AJ89" s="54"/>
      <c r="AK89" s="54"/>
      <c r="AL89" s="54"/>
      <c r="AM89" s="54"/>
      <c r="AN89" s="54"/>
      <c r="AO89" s="54"/>
      <c r="AP89" s="54"/>
      <c r="AQ89" s="54"/>
      <c r="AR89" s="54"/>
      <c r="AS89" s="54"/>
      <c r="AT89" s="54"/>
      <c r="AU89" s="54"/>
      <c r="AV89" s="54"/>
      <c r="AW89" s="54"/>
      <c r="AX89" s="54"/>
      <c r="AY89" s="54"/>
      <c r="AZ89" s="54"/>
      <c r="BA89" s="54"/>
      <c r="BB89" s="54"/>
      <c r="BC89" s="54"/>
      <c r="BD89" s="54"/>
      <c r="BE89" s="54"/>
      <c r="BF89" s="54"/>
      <c r="BG89" s="54"/>
      <c r="BH89" s="54"/>
    </row>
    <row r="90" spans="1:60" x14ac:dyDescent="0.3">
      <c r="A90" s="54"/>
      <c r="B90" s="54"/>
      <c r="C90" s="54"/>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4"/>
      <c r="AD90" s="54"/>
      <c r="AE90" s="54"/>
      <c r="AF90" s="54"/>
      <c r="AG90" s="54"/>
      <c r="AH90" s="54"/>
      <c r="AI90" s="54"/>
      <c r="AJ90" s="54"/>
      <c r="AK90" s="54"/>
      <c r="AL90" s="54"/>
      <c r="AM90" s="54"/>
      <c r="AN90" s="54"/>
      <c r="AO90" s="54"/>
      <c r="AP90" s="54"/>
      <c r="AQ90" s="54"/>
      <c r="AR90" s="54"/>
      <c r="AS90" s="54"/>
      <c r="AT90" s="54"/>
      <c r="AU90" s="54"/>
      <c r="AV90" s="54"/>
      <c r="AW90" s="54"/>
      <c r="AX90" s="54"/>
      <c r="AY90" s="54"/>
      <c r="AZ90" s="54"/>
      <c r="BA90" s="54"/>
      <c r="BB90" s="54"/>
      <c r="BC90" s="54"/>
      <c r="BD90" s="54"/>
      <c r="BE90" s="54"/>
      <c r="BF90" s="54"/>
      <c r="BG90" s="54"/>
      <c r="BH90" s="54"/>
    </row>
    <row r="91" spans="1:60" x14ac:dyDescent="0.3">
      <c r="A91" s="54"/>
      <c r="B91" s="54"/>
      <c r="C91" s="54"/>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4"/>
      <c r="AD91" s="54"/>
      <c r="AE91" s="54"/>
      <c r="AF91" s="54"/>
      <c r="AG91" s="54"/>
      <c r="AH91" s="54"/>
      <c r="AI91" s="54"/>
      <c r="AJ91" s="54"/>
      <c r="AK91" s="54"/>
      <c r="AL91" s="54"/>
      <c r="AM91" s="54"/>
      <c r="AN91" s="54"/>
      <c r="AO91" s="54"/>
      <c r="AP91" s="54"/>
      <c r="AQ91" s="54"/>
      <c r="AR91" s="54"/>
      <c r="AS91" s="54"/>
      <c r="AT91" s="54"/>
      <c r="AU91" s="54"/>
      <c r="AV91" s="54"/>
      <c r="AW91" s="54"/>
      <c r="AX91" s="54"/>
      <c r="AY91" s="54"/>
      <c r="AZ91" s="54"/>
      <c r="BA91" s="54"/>
      <c r="BB91" s="54"/>
      <c r="BC91" s="54"/>
      <c r="BD91" s="54"/>
      <c r="BE91" s="54"/>
      <c r="BF91" s="54"/>
      <c r="BG91" s="54"/>
      <c r="BH91" s="54"/>
    </row>
    <row r="92" spans="1:60" x14ac:dyDescent="0.3">
      <c r="A92" s="54"/>
      <c r="B92" s="54"/>
      <c r="C92" s="54"/>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4"/>
      <c r="AD92" s="54"/>
      <c r="AE92" s="54"/>
      <c r="AF92" s="54"/>
      <c r="AG92" s="54"/>
      <c r="AH92" s="54"/>
      <c r="AI92" s="54"/>
      <c r="AJ92" s="54"/>
      <c r="AK92" s="54"/>
      <c r="AL92" s="54"/>
      <c r="AM92" s="54"/>
      <c r="AN92" s="54"/>
      <c r="AO92" s="54"/>
      <c r="AP92" s="54"/>
      <c r="AQ92" s="54"/>
      <c r="AR92" s="54"/>
      <c r="AS92" s="54"/>
      <c r="AT92" s="54"/>
      <c r="AU92" s="54"/>
      <c r="AV92" s="54"/>
      <c r="AW92" s="54"/>
      <c r="AX92" s="54"/>
      <c r="AY92" s="54"/>
      <c r="AZ92" s="54"/>
      <c r="BA92" s="54"/>
      <c r="BB92" s="54"/>
      <c r="BC92" s="54"/>
      <c r="BD92" s="54"/>
      <c r="BE92" s="54"/>
      <c r="BF92" s="54"/>
      <c r="BG92" s="54"/>
      <c r="BH92" s="54"/>
    </row>
    <row r="93" spans="1:60" x14ac:dyDescent="0.3">
      <c r="A93" s="54"/>
      <c r="B93" s="54"/>
      <c r="C93" s="54"/>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4"/>
      <c r="AD93" s="54"/>
      <c r="AE93" s="54"/>
      <c r="AF93" s="54"/>
      <c r="AG93" s="54"/>
      <c r="AH93" s="54"/>
      <c r="AI93" s="54"/>
      <c r="AJ93" s="54"/>
      <c r="AK93" s="54"/>
      <c r="AL93" s="54"/>
      <c r="AM93" s="54"/>
      <c r="AN93" s="54"/>
      <c r="AO93" s="54"/>
      <c r="AP93" s="54"/>
      <c r="AQ93" s="54"/>
      <c r="AR93" s="54"/>
      <c r="AS93" s="54"/>
      <c r="AT93" s="54"/>
      <c r="AU93" s="54"/>
      <c r="AV93" s="54"/>
      <c r="AW93" s="54"/>
      <c r="AX93" s="54"/>
      <c r="AY93" s="54"/>
      <c r="AZ93" s="54"/>
      <c r="BA93" s="54"/>
      <c r="BB93" s="54"/>
      <c r="BC93" s="54"/>
      <c r="BD93" s="54"/>
      <c r="BE93" s="54"/>
      <c r="BF93" s="54"/>
      <c r="BG93" s="54"/>
      <c r="BH93" s="54"/>
    </row>
    <row r="94" spans="1:60" x14ac:dyDescent="0.3">
      <c r="A94" s="54"/>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row>
    <row r="95" spans="1:60" x14ac:dyDescent="0.3">
      <c r="A95" s="54"/>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54"/>
      <c r="AS95" s="54"/>
      <c r="AT95" s="54"/>
      <c r="AU95" s="54"/>
      <c r="AV95" s="54"/>
      <c r="AW95" s="54"/>
      <c r="AX95" s="54"/>
      <c r="AY95" s="54"/>
      <c r="AZ95" s="54"/>
      <c r="BA95" s="54"/>
      <c r="BB95" s="54"/>
      <c r="BC95" s="54"/>
      <c r="BD95" s="54"/>
      <c r="BE95" s="54"/>
      <c r="BF95" s="54"/>
      <c r="BG95" s="54"/>
      <c r="BH95" s="54"/>
    </row>
    <row r="96" spans="1:60" x14ac:dyDescent="0.3">
      <c r="A96" s="54"/>
      <c r="B96" s="54"/>
      <c r="C96" s="54"/>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4"/>
      <c r="AD96" s="54"/>
      <c r="AE96" s="54"/>
      <c r="AF96" s="54"/>
      <c r="AG96" s="54"/>
      <c r="AH96" s="54"/>
      <c r="AI96" s="54"/>
      <c r="AJ96" s="54"/>
      <c r="AK96" s="54"/>
      <c r="AL96" s="54"/>
      <c r="AM96" s="54"/>
      <c r="AN96" s="54"/>
      <c r="AO96" s="54"/>
      <c r="AP96" s="54"/>
      <c r="AQ96" s="54"/>
      <c r="AR96" s="54"/>
      <c r="AS96" s="54"/>
      <c r="AT96" s="54"/>
      <c r="AU96" s="54"/>
      <c r="AV96" s="54"/>
      <c r="AW96" s="54"/>
      <c r="AX96" s="54"/>
      <c r="AY96" s="54"/>
      <c r="AZ96" s="54"/>
      <c r="BA96" s="54"/>
      <c r="BB96" s="54"/>
      <c r="BC96" s="54"/>
      <c r="BD96" s="54"/>
      <c r="BE96" s="54"/>
      <c r="BF96" s="54"/>
      <c r="BG96" s="54"/>
      <c r="BH96" s="54"/>
    </row>
    <row r="97" spans="1:60" x14ac:dyDescent="0.3">
      <c r="A97" s="54"/>
      <c r="B97" s="54"/>
      <c r="C97" s="54"/>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4"/>
      <c r="AD97" s="54"/>
      <c r="AE97" s="54"/>
      <c r="AF97" s="54"/>
      <c r="AG97" s="54"/>
      <c r="AH97" s="54"/>
      <c r="AI97" s="54"/>
      <c r="AJ97" s="54"/>
      <c r="AK97" s="54"/>
      <c r="AL97" s="54"/>
      <c r="AM97" s="54"/>
      <c r="AN97" s="54"/>
      <c r="AO97" s="54"/>
      <c r="AP97" s="54"/>
      <c r="AQ97" s="54"/>
      <c r="AR97" s="54"/>
      <c r="AS97" s="54"/>
      <c r="AT97" s="54"/>
      <c r="AU97" s="54"/>
      <c r="AV97" s="54"/>
      <c r="AW97" s="54"/>
      <c r="AX97" s="54"/>
      <c r="AY97" s="54"/>
      <c r="AZ97" s="54"/>
      <c r="BA97" s="54"/>
      <c r="BB97" s="54"/>
      <c r="BC97" s="54"/>
      <c r="BD97" s="54"/>
      <c r="BE97" s="54"/>
      <c r="BF97" s="54"/>
      <c r="BG97" s="54"/>
      <c r="BH97" s="54"/>
    </row>
    <row r="98" spans="1:60" x14ac:dyDescent="0.3">
      <c r="A98" s="54"/>
      <c r="B98" s="54"/>
      <c r="C98" s="54"/>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4"/>
      <c r="AD98" s="54"/>
      <c r="AE98" s="54"/>
      <c r="AF98" s="54"/>
      <c r="AG98" s="54"/>
      <c r="AH98" s="54"/>
      <c r="AI98" s="54"/>
      <c r="AJ98" s="54"/>
      <c r="AK98" s="54"/>
      <c r="AL98" s="54"/>
      <c r="AM98" s="54"/>
      <c r="AN98" s="54"/>
      <c r="AO98" s="54"/>
      <c r="AP98" s="54"/>
      <c r="AQ98" s="54"/>
      <c r="AR98" s="54"/>
      <c r="AS98" s="54"/>
      <c r="AT98" s="54"/>
      <c r="AU98" s="54"/>
      <c r="AV98" s="54"/>
      <c r="AW98" s="54"/>
      <c r="AX98" s="54"/>
      <c r="AY98" s="54"/>
      <c r="AZ98" s="54"/>
      <c r="BA98" s="54"/>
      <c r="BB98" s="54"/>
      <c r="BC98" s="54"/>
      <c r="BD98" s="54"/>
      <c r="BE98" s="54"/>
      <c r="BF98" s="54"/>
      <c r="BG98" s="54"/>
      <c r="BH98" s="54"/>
    </row>
    <row r="99" spans="1:60" x14ac:dyDescent="0.3">
      <c r="A99" s="54"/>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54"/>
      <c r="AS99" s="54"/>
      <c r="AT99" s="54"/>
      <c r="AU99" s="54"/>
      <c r="AV99" s="54"/>
      <c r="AW99" s="54"/>
      <c r="AX99" s="54"/>
      <c r="AY99" s="54"/>
      <c r="AZ99" s="54"/>
      <c r="BA99" s="54"/>
      <c r="BB99" s="54"/>
      <c r="BC99" s="54"/>
      <c r="BD99" s="54"/>
      <c r="BE99" s="54"/>
      <c r="BF99" s="54"/>
      <c r="BG99" s="54"/>
      <c r="BH99" s="54"/>
    </row>
    <row r="100" spans="1:60" x14ac:dyDescent="0.3">
      <c r="A100" s="54"/>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54"/>
      <c r="AS100" s="54"/>
      <c r="AT100" s="54"/>
      <c r="AU100" s="54"/>
      <c r="AV100" s="54"/>
      <c r="AW100" s="54"/>
      <c r="AX100" s="54"/>
      <c r="AY100" s="54"/>
      <c r="AZ100" s="54"/>
      <c r="BA100" s="54"/>
      <c r="BB100" s="54"/>
      <c r="BC100" s="54"/>
      <c r="BD100" s="54"/>
      <c r="BE100" s="54"/>
      <c r="BF100" s="54"/>
      <c r="BG100" s="54"/>
      <c r="BH100" s="54"/>
    </row>
    <row r="101" spans="1:60" x14ac:dyDescent="0.3">
      <c r="A101" s="54"/>
      <c r="B101" s="54"/>
      <c r="C101" s="54"/>
      <c r="D101" s="54"/>
      <c r="E101" s="54"/>
      <c r="F101" s="54"/>
      <c r="G101" s="54"/>
      <c r="H101" s="54"/>
      <c r="I101" s="54"/>
      <c r="J101" s="54"/>
      <c r="K101" s="54"/>
      <c r="L101" s="54"/>
      <c r="M101" s="54"/>
      <c r="N101" s="54"/>
      <c r="O101" s="54"/>
      <c r="P101" s="54"/>
      <c r="Q101" s="54"/>
      <c r="R101" s="54"/>
      <c r="S101" s="54"/>
      <c r="T101" s="54"/>
      <c r="U101" s="54"/>
      <c r="V101" s="54"/>
      <c r="W101" s="54"/>
      <c r="X101" s="54"/>
      <c r="Y101" s="54"/>
      <c r="Z101" s="54"/>
      <c r="AA101" s="54"/>
      <c r="AB101" s="54"/>
      <c r="AC101" s="54"/>
      <c r="AD101" s="54"/>
      <c r="AE101" s="54"/>
      <c r="AF101" s="54"/>
      <c r="AG101" s="54"/>
      <c r="AH101" s="54"/>
      <c r="AI101" s="54"/>
      <c r="AJ101" s="54"/>
      <c r="AK101" s="54"/>
      <c r="AL101" s="54"/>
      <c r="AM101" s="54"/>
      <c r="AN101" s="54"/>
      <c r="AO101" s="54"/>
      <c r="AP101" s="54"/>
      <c r="AQ101" s="54"/>
      <c r="AR101" s="54"/>
      <c r="AS101" s="54"/>
      <c r="AT101" s="54"/>
      <c r="AU101" s="54"/>
      <c r="AV101" s="54"/>
      <c r="AW101" s="54"/>
      <c r="AX101" s="54"/>
      <c r="AY101" s="54"/>
      <c r="AZ101" s="54"/>
      <c r="BA101" s="54"/>
      <c r="BB101" s="54"/>
      <c r="BC101" s="54"/>
      <c r="BD101" s="54"/>
      <c r="BE101" s="54"/>
      <c r="BF101" s="54"/>
      <c r="BG101" s="54"/>
      <c r="BH101" s="54"/>
    </row>
    <row r="102" spans="1:60" x14ac:dyDescent="0.3">
      <c r="A102" s="54"/>
      <c r="B102" s="54"/>
      <c r="C102" s="54"/>
      <c r="D102" s="54"/>
      <c r="E102" s="54"/>
      <c r="F102" s="54"/>
      <c r="G102" s="54"/>
      <c r="H102" s="54"/>
      <c r="I102" s="54"/>
      <c r="J102" s="54"/>
      <c r="K102" s="54"/>
      <c r="L102" s="54"/>
      <c r="M102" s="54"/>
      <c r="N102" s="54"/>
      <c r="O102" s="54"/>
      <c r="P102" s="54"/>
      <c r="Q102" s="54"/>
      <c r="R102" s="54"/>
      <c r="S102" s="54"/>
      <c r="T102" s="54"/>
      <c r="U102" s="54"/>
      <c r="V102" s="54"/>
      <c r="W102" s="54"/>
      <c r="X102" s="54"/>
      <c r="Y102" s="54"/>
      <c r="Z102" s="54"/>
      <c r="AA102" s="54"/>
      <c r="AB102" s="54"/>
      <c r="AC102" s="54"/>
      <c r="AD102" s="54"/>
      <c r="AE102" s="54"/>
      <c r="AF102" s="54"/>
      <c r="AG102" s="54"/>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row>
    <row r="103" spans="1:60" x14ac:dyDescent="0.3">
      <c r="A103" s="54"/>
      <c r="B103" s="54"/>
      <c r="C103" s="54"/>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4"/>
      <c r="AD103" s="54"/>
      <c r="AE103" s="54"/>
      <c r="AF103" s="54"/>
      <c r="AG103" s="54"/>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row>
    <row r="104" spans="1:60" x14ac:dyDescent="0.3">
      <c r="A104" s="54"/>
      <c r="B104" s="54"/>
      <c r="C104" s="54"/>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4"/>
      <c r="AD104" s="54"/>
      <c r="AE104" s="54"/>
      <c r="AF104" s="54"/>
      <c r="AG104" s="54"/>
      <c r="AH104" s="54"/>
      <c r="AI104" s="54"/>
      <c r="AJ104" s="54"/>
      <c r="AK104" s="54"/>
      <c r="AL104" s="54"/>
      <c r="AM104" s="54"/>
      <c r="AN104" s="54"/>
      <c r="AO104" s="54"/>
      <c r="AP104" s="54"/>
      <c r="AQ104" s="54"/>
      <c r="AR104" s="54"/>
      <c r="AS104" s="54"/>
      <c r="AT104" s="54"/>
      <c r="AU104" s="54"/>
      <c r="AV104" s="54"/>
      <c r="AW104" s="54"/>
      <c r="AX104" s="54"/>
      <c r="AY104" s="54"/>
      <c r="AZ104" s="54"/>
      <c r="BA104" s="54"/>
      <c r="BB104" s="54"/>
      <c r="BC104" s="54"/>
      <c r="BD104" s="54"/>
      <c r="BE104" s="54"/>
      <c r="BF104" s="54"/>
      <c r="BG104" s="54"/>
      <c r="BH104" s="54"/>
    </row>
    <row r="105" spans="1:60" x14ac:dyDescent="0.3">
      <c r="A105" s="54"/>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4"/>
      <c r="AD105" s="54"/>
      <c r="AE105" s="54"/>
      <c r="AF105" s="54"/>
      <c r="AG105" s="54"/>
      <c r="AH105" s="54"/>
      <c r="AI105" s="54"/>
      <c r="AJ105" s="54"/>
      <c r="AK105" s="54"/>
      <c r="AL105" s="54"/>
      <c r="AM105" s="54"/>
      <c r="AN105" s="54"/>
      <c r="AO105" s="54"/>
      <c r="AP105" s="54"/>
      <c r="AQ105" s="54"/>
      <c r="AR105" s="54"/>
      <c r="AS105" s="54"/>
      <c r="AT105" s="54"/>
      <c r="AU105" s="54"/>
      <c r="AV105" s="54"/>
      <c r="AW105" s="54"/>
      <c r="AX105" s="54"/>
      <c r="AY105" s="54"/>
      <c r="AZ105" s="54"/>
      <c r="BA105" s="54"/>
      <c r="BB105" s="54"/>
      <c r="BC105" s="54"/>
      <c r="BD105" s="54"/>
      <c r="BE105" s="54"/>
      <c r="BF105" s="54"/>
      <c r="BG105" s="54"/>
      <c r="BH105" s="54"/>
    </row>
    <row r="106" spans="1:60" x14ac:dyDescent="0.3">
      <c r="A106" s="54"/>
      <c r="B106" s="54"/>
      <c r="C106" s="54"/>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4"/>
      <c r="AD106" s="54"/>
      <c r="AE106" s="54"/>
      <c r="AF106" s="54"/>
      <c r="AG106" s="54"/>
      <c r="AH106" s="54"/>
      <c r="AI106" s="54"/>
      <c r="AJ106" s="54"/>
      <c r="AK106" s="54"/>
      <c r="AL106" s="54"/>
      <c r="AM106" s="54"/>
      <c r="AN106" s="54"/>
      <c r="AO106" s="54"/>
      <c r="AP106" s="54"/>
      <c r="AQ106" s="54"/>
      <c r="AR106" s="54"/>
      <c r="AS106" s="54"/>
      <c r="AT106" s="54"/>
      <c r="AU106" s="54"/>
      <c r="AV106" s="54"/>
      <c r="AW106" s="54"/>
      <c r="AX106" s="54"/>
      <c r="AY106" s="54"/>
      <c r="AZ106" s="54"/>
      <c r="BA106" s="54"/>
      <c r="BB106" s="54"/>
      <c r="BC106" s="54"/>
      <c r="BD106" s="54"/>
      <c r="BE106" s="54"/>
      <c r="BF106" s="54"/>
      <c r="BG106" s="54"/>
      <c r="BH106" s="54"/>
    </row>
    <row r="107" spans="1:60" x14ac:dyDescent="0.3">
      <c r="A107" s="54"/>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4"/>
      <c r="AY107" s="54"/>
      <c r="AZ107" s="54"/>
      <c r="BA107" s="54"/>
      <c r="BB107" s="54"/>
      <c r="BC107" s="54"/>
      <c r="BD107" s="54"/>
      <c r="BE107" s="54"/>
      <c r="BF107" s="54"/>
      <c r="BG107" s="54"/>
      <c r="BH107" s="54"/>
    </row>
    <row r="108" spans="1:60" x14ac:dyDescent="0.3">
      <c r="A108" s="54"/>
      <c r="B108" s="54"/>
      <c r="C108" s="54"/>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4"/>
      <c r="AY108" s="54"/>
      <c r="AZ108" s="54"/>
      <c r="BA108" s="54"/>
      <c r="BB108" s="54"/>
      <c r="BC108" s="54"/>
      <c r="BD108" s="54"/>
      <c r="BE108" s="54"/>
      <c r="BF108" s="54"/>
      <c r="BG108" s="54"/>
      <c r="BH108" s="54"/>
    </row>
    <row r="109" spans="1:60" x14ac:dyDescent="0.3">
      <c r="A109" s="54"/>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4"/>
      <c r="AY109" s="54"/>
      <c r="AZ109" s="54"/>
      <c r="BA109" s="54"/>
      <c r="BB109" s="54"/>
      <c r="BC109" s="54"/>
      <c r="BD109" s="54"/>
      <c r="BE109" s="54"/>
      <c r="BF109" s="54"/>
      <c r="BG109" s="54"/>
      <c r="BH109" s="54"/>
    </row>
    <row r="110" spans="1:60" x14ac:dyDescent="0.3">
      <c r="A110" s="54"/>
      <c r="B110" s="54"/>
      <c r="C110" s="54"/>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4"/>
      <c r="AY110" s="54"/>
      <c r="AZ110" s="54"/>
      <c r="BA110" s="54"/>
      <c r="BB110" s="54"/>
      <c r="BC110" s="54"/>
      <c r="BD110" s="54"/>
      <c r="BE110" s="54"/>
      <c r="BF110" s="54"/>
      <c r="BG110" s="54"/>
      <c r="BH110" s="54"/>
    </row>
    <row r="111" spans="1:60" x14ac:dyDescent="0.3">
      <c r="A111" s="54"/>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4"/>
      <c r="AY111" s="54"/>
      <c r="AZ111" s="54"/>
      <c r="BA111" s="54"/>
      <c r="BB111" s="54"/>
      <c r="BC111" s="54"/>
      <c r="BD111" s="54"/>
      <c r="BE111" s="54"/>
      <c r="BF111" s="54"/>
      <c r="BG111" s="54"/>
      <c r="BH111" s="54"/>
    </row>
    <row r="112" spans="1:60" x14ac:dyDescent="0.3">
      <c r="A112" s="54"/>
      <c r="B112" s="54"/>
      <c r="C112" s="54"/>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4"/>
      <c r="AY112" s="54"/>
      <c r="AZ112" s="54"/>
      <c r="BA112" s="54"/>
      <c r="BB112" s="54"/>
      <c r="BC112" s="54"/>
      <c r="BD112" s="54"/>
      <c r="BE112" s="54"/>
      <c r="BF112" s="54"/>
      <c r="BG112" s="54"/>
      <c r="BH112" s="54"/>
    </row>
    <row r="113" spans="1:60" x14ac:dyDescent="0.3">
      <c r="A113" s="54"/>
      <c r="B113" s="54"/>
      <c r="C113" s="54"/>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4"/>
      <c r="AY113" s="54"/>
      <c r="AZ113" s="54"/>
      <c r="BA113" s="54"/>
      <c r="BB113" s="54"/>
      <c r="BC113" s="54"/>
      <c r="BD113" s="54"/>
      <c r="BE113" s="54"/>
      <c r="BF113" s="54"/>
      <c r="BG113" s="54"/>
      <c r="BH113" s="54"/>
    </row>
    <row r="114" spans="1:60" x14ac:dyDescent="0.3">
      <c r="A114" s="54"/>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4"/>
      <c r="AY114" s="54"/>
      <c r="AZ114" s="54"/>
      <c r="BA114" s="54"/>
      <c r="BB114" s="54"/>
      <c r="BC114" s="54"/>
      <c r="BD114" s="54"/>
      <c r="BE114" s="54"/>
      <c r="BF114" s="54"/>
      <c r="BG114" s="54"/>
      <c r="BH114" s="54"/>
    </row>
    <row r="115" spans="1:60" x14ac:dyDescent="0.3">
      <c r="A115" s="54"/>
      <c r="B115" s="54"/>
      <c r="C115" s="54"/>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4"/>
      <c r="AY115" s="54"/>
      <c r="AZ115" s="54"/>
      <c r="BA115" s="54"/>
      <c r="BB115" s="54"/>
      <c r="BC115" s="54"/>
      <c r="BD115" s="54"/>
      <c r="BE115" s="54"/>
      <c r="BF115" s="54"/>
      <c r="BG115" s="54"/>
      <c r="BH115" s="54"/>
    </row>
    <row r="116" spans="1:60" x14ac:dyDescent="0.3">
      <c r="A116" s="54"/>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4"/>
      <c r="AY116" s="54"/>
      <c r="AZ116" s="54"/>
      <c r="BA116" s="54"/>
      <c r="BB116" s="54"/>
      <c r="BC116" s="54"/>
      <c r="BD116" s="54"/>
      <c r="BE116" s="54"/>
      <c r="BF116" s="54"/>
      <c r="BG116" s="54"/>
      <c r="BH116" s="54"/>
    </row>
    <row r="117" spans="1:60" x14ac:dyDescent="0.3">
      <c r="A117" s="54"/>
      <c r="B117" s="54"/>
      <c r="C117" s="54"/>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54"/>
      <c r="BC117" s="54"/>
      <c r="BD117" s="54"/>
      <c r="BE117" s="54"/>
      <c r="BF117" s="54"/>
      <c r="BG117" s="54"/>
      <c r="BH117" s="54"/>
    </row>
    <row r="118" spans="1:60" x14ac:dyDescent="0.3">
      <c r="A118" s="54"/>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54"/>
      <c r="BC118" s="54"/>
      <c r="BD118" s="54"/>
      <c r="BE118" s="54"/>
      <c r="BF118" s="54"/>
      <c r="BG118" s="54"/>
      <c r="BH118" s="54"/>
    </row>
    <row r="119" spans="1:60" x14ac:dyDescent="0.3">
      <c r="A119" s="54"/>
      <c r="B119" s="54"/>
      <c r="C119" s="54"/>
      <c r="D119" s="54"/>
      <c r="E119" s="54"/>
      <c r="F119" s="54"/>
      <c r="G119" s="54"/>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54"/>
      <c r="BC119" s="54"/>
      <c r="BD119" s="54"/>
      <c r="BE119" s="54"/>
      <c r="BF119" s="54"/>
      <c r="BG119" s="54"/>
      <c r="BH119" s="54"/>
    </row>
    <row r="120" spans="1:60" x14ac:dyDescent="0.3">
      <c r="A120" s="54"/>
      <c r="B120" s="54"/>
      <c r="C120" s="54"/>
      <c r="D120" s="54"/>
      <c r="E120" s="54"/>
      <c r="F120" s="54"/>
      <c r="G120" s="54"/>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54"/>
      <c r="BC120" s="54"/>
      <c r="BD120" s="54"/>
      <c r="BE120" s="54"/>
      <c r="BF120" s="54"/>
      <c r="BG120" s="54"/>
      <c r="BH120" s="54"/>
    </row>
    <row r="121" spans="1:60" x14ac:dyDescent="0.3">
      <c r="A121" s="54"/>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54"/>
      <c r="BC121" s="54"/>
      <c r="BD121" s="54"/>
      <c r="BE121" s="54"/>
      <c r="BF121" s="54"/>
      <c r="BG121" s="54"/>
      <c r="BH121" s="54"/>
    </row>
    <row r="122" spans="1:60" x14ac:dyDescent="0.3">
      <c r="A122" s="54"/>
      <c r="B122" s="54"/>
      <c r="C122" s="54"/>
      <c r="D122" s="54"/>
      <c r="E122" s="54"/>
      <c r="F122" s="54"/>
      <c r="G122" s="54"/>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4"/>
      <c r="AY122" s="54"/>
      <c r="AZ122" s="54"/>
      <c r="BA122" s="54"/>
      <c r="BB122" s="54"/>
      <c r="BC122" s="54"/>
      <c r="BD122" s="54"/>
      <c r="BE122" s="54"/>
      <c r="BF122" s="54"/>
      <c r="BG122" s="54"/>
      <c r="BH122" s="54"/>
    </row>
    <row r="123" spans="1:60" x14ac:dyDescent="0.3">
      <c r="A123" s="54"/>
      <c r="B123" s="54"/>
      <c r="C123" s="54"/>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4"/>
      <c r="AY123" s="54"/>
      <c r="AZ123" s="54"/>
      <c r="BA123" s="54"/>
      <c r="BB123" s="54"/>
      <c r="BC123" s="54"/>
      <c r="BD123" s="54"/>
      <c r="BE123" s="54"/>
      <c r="BF123" s="54"/>
      <c r="BG123" s="54"/>
      <c r="BH123" s="54"/>
    </row>
    <row r="124" spans="1:60" x14ac:dyDescent="0.3">
      <c r="A124" s="54"/>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4"/>
      <c r="AY124" s="54"/>
      <c r="AZ124" s="54"/>
      <c r="BA124" s="54"/>
      <c r="BB124" s="54"/>
      <c r="BC124" s="54"/>
      <c r="BD124" s="54"/>
      <c r="BE124" s="54"/>
      <c r="BF124" s="54"/>
      <c r="BG124" s="54"/>
      <c r="BH124" s="54"/>
    </row>
    <row r="125" spans="1:60" x14ac:dyDescent="0.3">
      <c r="A125" s="54"/>
      <c r="B125" s="54"/>
      <c r="C125" s="54"/>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c r="AG125" s="54"/>
      <c r="AH125" s="54"/>
      <c r="AI125" s="54"/>
      <c r="AJ125" s="54"/>
      <c r="AK125" s="54"/>
      <c r="AL125" s="54"/>
      <c r="AM125" s="54"/>
      <c r="AN125" s="54"/>
      <c r="AO125" s="54"/>
      <c r="AP125" s="54"/>
      <c r="AQ125" s="54"/>
      <c r="AR125" s="54"/>
      <c r="AS125" s="54"/>
      <c r="AT125" s="54"/>
      <c r="AU125" s="54"/>
      <c r="AV125" s="54"/>
      <c r="AW125" s="54"/>
      <c r="AX125" s="54"/>
      <c r="AY125" s="54"/>
      <c r="AZ125" s="54"/>
      <c r="BA125" s="54"/>
      <c r="BB125" s="54"/>
      <c r="BC125" s="54"/>
      <c r="BD125" s="54"/>
      <c r="BE125" s="54"/>
      <c r="BF125" s="54"/>
      <c r="BG125" s="54"/>
      <c r="BH125" s="54"/>
    </row>
    <row r="126" spans="1:60" x14ac:dyDescent="0.3">
      <c r="A126" s="54"/>
      <c r="B126" s="54"/>
      <c r="C126" s="54"/>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4"/>
      <c r="AD126" s="54"/>
      <c r="AE126" s="54"/>
      <c r="AF126" s="54"/>
      <c r="AG126" s="54"/>
      <c r="AH126" s="54"/>
      <c r="AI126" s="54"/>
      <c r="AJ126" s="54"/>
      <c r="AK126" s="54"/>
      <c r="AL126" s="54"/>
      <c r="AM126" s="54"/>
      <c r="AN126" s="54"/>
      <c r="AO126" s="54"/>
      <c r="AP126" s="54"/>
      <c r="AQ126" s="54"/>
      <c r="AR126" s="54"/>
      <c r="AS126" s="54"/>
      <c r="AT126" s="54"/>
      <c r="AU126" s="54"/>
      <c r="AV126" s="54"/>
      <c r="AW126" s="54"/>
      <c r="AX126" s="54"/>
      <c r="AY126" s="54"/>
      <c r="AZ126" s="54"/>
      <c r="BA126" s="54"/>
      <c r="BB126" s="54"/>
      <c r="BC126" s="54"/>
      <c r="BD126" s="54"/>
      <c r="BE126" s="54"/>
      <c r="BF126" s="54"/>
      <c r="BG126" s="54"/>
      <c r="BH126" s="54"/>
    </row>
    <row r="127" spans="1:60" x14ac:dyDescent="0.3">
      <c r="A127" s="54"/>
      <c r="B127" s="54"/>
      <c r="C127" s="54"/>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c r="AG127" s="54"/>
      <c r="AH127" s="54"/>
      <c r="AI127" s="54"/>
      <c r="AJ127" s="54"/>
      <c r="AK127" s="54"/>
      <c r="AL127" s="54"/>
      <c r="AM127" s="54"/>
      <c r="AN127" s="54"/>
      <c r="AO127" s="54"/>
      <c r="AP127" s="54"/>
      <c r="AQ127" s="54"/>
      <c r="AR127" s="54"/>
      <c r="AS127" s="54"/>
      <c r="AT127" s="54"/>
      <c r="AU127" s="54"/>
      <c r="AV127" s="54"/>
      <c r="AW127" s="54"/>
      <c r="AX127" s="54"/>
      <c r="AY127" s="54"/>
      <c r="AZ127" s="54"/>
      <c r="BA127" s="54"/>
      <c r="BB127" s="54"/>
      <c r="BC127" s="54"/>
      <c r="BD127" s="54"/>
      <c r="BE127" s="54"/>
      <c r="BF127" s="54"/>
      <c r="BG127" s="54"/>
      <c r="BH127" s="54"/>
    </row>
    <row r="128" spans="1:60" x14ac:dyDescent="0.3">
      <c r="A128" s="54"/>
      <c r="B128" s="54"/>
      <c r="C128" s="54"/>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4"/>
      <c r="AD128" s="54"/>
      <c r="AE128" s="54"/>
      <c r="AF128" s="54"/>
      <c r="AG128" s="54"/>
      <c r="AH128" s="54"/>
      <c r="AI128" s="54"/>
      <c r="AJ128" s="54"/>
      <c r="AK128" s="54"/>
      <c r="AL128" s="54"/>
      <c r="AM128" s="54"/>
      <c r="AN128" s="54"/>
      <c r="AO128" s="54"/>
      <c r="AP128" s="54"/>
      <c r="AQ128" s="54"/>
      <c r="AR128" s="54"/>
      <c r="AS128" s="54"/>
      <c r="AT128" s="54"/>
      <c r="AU128" s="54"/>
      <c r="AV128" s="54"/>
      <c r="AW128" s="54"/>
      <c r="AX128" s="54"/>
      <c r="AY128" s="54"/>
      <c r="AZ128" s="54"/>
      <c r="BA128" s="54"/>
      <c r="BB128" s="54"/>
      <c r="BC128" s="54"/>
      <c r="BD128" s="54"/>
      <c r="BE128" s="54"/>
      <c r="BF128" s="54"/>
      <c r="BG128" s="54"/>
      <c r="BH128" s="54"/>
    </row>
    <row r="129" spans="1:60" x14ac:dyDescent="0.3">
      <c r="A129" s="54"/>
      <c r="B129" s="54"/>
      <c r="C129" s="54"/>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c r="AR129" s="54"/>
      <c r="AS129" s="54"/>
      <c r="AT129" s="54"/>
      <c r="AU129" s="54"/>
      <c r="AV129" s="54"/>
      <c r="AW129" s="54"/>
      <c r="AX129" s="54"/>
      <c r="AY129" s="54"/>
      <c r="AZ129" s="54"/>
      <c r="BA129" s="54"/>
      <c r="BB129" s="54"/>
      <c r="BC129" s="54"/>
      <c r="BD129" s="54"/>
      <c r="BE129" s="54"/>
      <c r="BF129" s="54"/>
      <c r="BG129" s="54"/>
      <c r="BH129" s="54"/>
    </row>
    <row r="130" spans="1:60" x14ac:dyDescent="0.3">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c r="AH130" s="54"/>
      <c r="AI130" s="54"/>
      <c r="AJ130" s="54"/>
      <c r="AK130" s="54"/>
      <c r="AL130" s="54"/>
      <c r="AM130" s="54"/>
      <c r="AN130" s="54"/>
      <c r="AO130" s="54"/>
      <c r="AP130" s="54"/>
      <c r="AQ130" s="54"/>
      <c r="AR130" s="54"/>
      <c r="AS130" s="54"/>
      <c r="AT130" s="54"/>
      <c r="AU130" s="54"/>
      <c r="AV130" s="54"/>
      <c r="AW130" s="54"/>
      <c r="AX130" s="54"/>
      <c r="AY130" s="54"/>
      <c r="AZ130" s="54"/>
      <c r="BA130" s="54"/>
      <c r="BB130" s="54"/>
      <c r="BC130" s="54"/>
      <c r="BD130" s="54"/>
      <c r="BE130" s="54"/>
      <c r="BF130" s="54"/>
      <c r="BG130" s="54"/>
      <c r="BH130" s="54"/>
    </row>
    <row r="131" spans="1:60" x14ac:dyDescent="0.3">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c r="AH131" s="54"/>
      <c r="AI131" s="54"/>
      <c r="AJ131" s="54"/>
      <c r="AK131" s="54"/>
      <c r="AL131" s="54"/>
      <c r="AM131" s="54"/>
      <c r="AN131" s="54"/>
      <c r="AO131" s="54"/>
      <c r="AP131" s="54"/>
      <c r="AQ131" s="54"/>
      <c r="AR131" s="54"/>
      <c r="AS131" s="54"/>
      <c r="AT131" s="54"/>
      <c r="AU131" s="54"/>
      <c r="AV131" s="54"/>
      <c r="AW131" s="54"/>
      <c r="AX131" s="54"/>
      <c r="AY131" s="54"/>
      <c r="AZ131" s="54"/>
      <c r="BA131" s="54"/>
      <c r="BB131" s="54"/>
      <c r="BC131" s="54"/>
      <c r="BD131" s="54"/>
      <c r="BE131" s="54"/>
      <c r="BF131" s="54"/>
      <c r="BG131" s="54"/>
      <c r="BH131" s="54"/>
    </row>
    <row r="132" spans="1:60" x14ac:dyDescent="0.3">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c r="AH132" s="54"/>
      <c r="AI132" s="54"/>
      <c r="AJ132" s="54"/>
      <c r="AK132" s="54"/>
      <c r="AL132" s="54"/>
      <c r="AM132" s="54"/>
      <c r="AN132" s="54"/>
      <c r="AO132" s="54"/>
      <c r="AP132" s="54"/>
      <c r="AQ132" s="54"/>
      <c r="AR132" s="54"/>
      <c r="AS132" s="54"/>
      <c r="AT132" s="54"/>
      <c r="AU132" s="54"/>
      <c r="AV132" s="54"/>
      <c r="AW132" s="54"/>
      <c r="AX132" s="54"/>
      <c r="AY132" s="54"/>
      <c r="AZ132" s="54"/>
      <c r="BA132" s="54"/>
      <c r="BB132" s="54"/>
      <c r="BC132" s="54"/>
      <c r="BD132" s="54"/>
      <c r="BE132" s="54"/>
      <c r="BF132" s="54"/>
      <c r="BG132" s="54"/>
      <c r="BH132" s="54"/>
    </row>
    <row r="133" spans="1:60" x14ac:dyDescent="0.3">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c r="AH133" s="54"/>
      <c r="AI133" s="54"/>
      <c r="AJ133" s="54"/>
      <c r="AK133" s="54"/>
      <c r="AL133" s="54"/>
      <c r="AM133" s="54"/>
      <c r="AN133" s="54"/>
      <c r="AO133" s="54"/>
      <c r="AP133" s="54"/>
      <c r="AQ133" s="54"/>
      <c r="AR133" s="54"/>
      <c r="AS133" s="54"/>
      <c r="AT133" s="54"/>
      <c r="AU133" s="54"/>
      <c r="AV133" s="54"/>
      <c r="AW133" s="54"/>
      <c r="AX133" s="54"/>
      <c r="AY133" s="54"/>
      <c r="AZ133" s="54"/>
      <c r="BA133" s="54"/>
      <c r="BB133" s="54"/>
      <c r="BC133" s="54"/>
      <c r="BD133" s="54"/>
      <c r="BE133" s="54"/>
      <c r="BF133" s="54"/>
      <c r="BG133" s="54"/>
      <c r="BH133" s="54"/>
    </row>
    <row r="134" spans="1:60" x14ac:dyDescent="0.3">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c r="AH134" s="54"/>
      <c r="AI134" s="54"/>
      <c r="AJ134" s="54"/>
      <c r="AK134" s="54"/>
      <c r="AL134" s="54"/>
      <c r="AM134" s="54"/>
      <c r="AN134" s="54"/>
      <c r="AO134" s="54"/>
      <c r="AP134" s="54"/>
      <c r="AQ134" s="54"/>
      <c r="AR134" s="54"/>
      <c r="AS134" s="54"/>
      <c r="AT134" s="54"/>
      <c r="AU134" s="54"/>
      <c r="AV134" s="54"/>
      <c r="AW134" s="54"/>
      <c r="AX134" s="54"/>
      <c r="AY134" s="54"/>
      <c r="AZ134" s="54"/>
      <c r="BA134" s="54"/>
      <c r="BB134" s="54"/>
      <c r="BC134" s="54"/>
      <c r="BD134" s="54"/>
      <c r="BE134" s="54"/>
      <c r="BF134" s="54"/>
      <c r="BG134" s="54"/>
      <c r="BH134" s="54"/>
    </row>
    <row r="135" spans="1:60" x14ac:dyDescent="0.3">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c r="AH135" s="54"/>
      <c r="AI135" s="54"/>
      <c r="AJ135" s="54"/>
      <c r="AK135" s="54"/>
      <c r="AL135" s="54"/>
      <c r="AM135" s="54"/>
      <c r="AN135" s="54"/>
      <c r="AO135" s="54"/>
      <c r="AP135" s="54"/>
      <c r="AQ135" s="54"/>
      <c r="AR135" s="54"/>
      <c r="AS135" s="54"/>
      <c r="AT135" s="54"/>
      <c r="AU135" s="54"/>
      <c r="AV135" s="54"/>
      <c r="AW135" s="54"/>
      <c r="AX135" s="54"/>
      <c r="AY135" s="54"/>
      <c r="AZ135" s="54"/>
      <c r="BA135" s="54"/>
      <c r="BB135" s="54"/>
      <c r="BC135" s="54"/>
      <c r="BD135" s="54"/>
      <c r="BE135" s="54"/>
      <c r="BF135" s="54"/>
      <c r="BG135" s="54"/>
      <c r="BH135" s="54"/>
    </row>
    <row r="136" spans="1:60" x14ac:dyDescent="0.3">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c r="AH136" s="54"/>
      <c r="AI136" s="54"/>
      <c r="AJ136" s="54"/>
      <c r="AK136" s="54"/>
      <c r="AL136" s="54"/>
      <c r="AM136" s="54"/>
      <c r="AN136" s="54"/>
      <c r="AO136" s="54"/>
      <c r="AP136" s="54"/>
      <c r="AQ136" s="54"/>
      <c r="AR136" s="54"/>
      <c r="AS136" s="54"/>
      <c r="AT136" s="54"/>
      <c r="AU136" s="54"/>
      <c r="AV136" s="54"/>
      <c r="AW136" s="54"/>
      <c r="AX136" s="54"/>
      <c r="AY136" s="54"/>
      <c r="AZ136" s="54"/>
      <c r="BA136" s="54"/>
      <c r="BB136" s="54"/>
      <c r="BC136" s="54"/>
      <c r="BD136" s="54"/>
      <c r="BE136" s="54"/>
      <c r="BF136" s="54"/>
      <c r="BG136" s="54"/>
      <c r="BH136" s="54"/>
    </row>
    <row r="137" spans="1:60" x14ac:dyDescent="0.3">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c r="AH137" s="54"/>
      <c r="AI137" s="54"/>
      <c r="AJ137" s="54"/>
      <c r="AK137" s="54"/>
      <c r="AL137" s="54"/>
      <c r="AM137" s="54"/>
      <c r="AN137" s="54"/>
      <c r="AO137" s="54"/>
      <c r="AP137" s="54"/>
      <c r="AQ137" s="54"/>
      <c r="AR137" s="54"/>
      <c r="AS137" s="54"/>
      <c r="AT137" s="54"/>
      <c r="AU137" s="54"/>
      <c r="AV137" s="54"/>
      <c r="AW137" s="54"/>
      <c r="AX137" s="54"/>
      <c r="AY137" s="54"/>
      <c r="AZ137" s="54"/>
      <c r="BA137" s="54"/>
      <c r="BB137" s="54"/>
      <c r="BC137" s="54"/>
      <c r="BD137" s="54"/>
      <c r="BE137" s="54"/>
      <c r="BF137" s="54"/>
      <c r="BG137" s="54"/>
      <c r="BH137" s="54"/>
    </row>
    <row r="138" spans="1:60" x14ac:dyDescent="0.3">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c r="AH138" s="54"/>
      <c r="AI138" s="54"/>
      <c r="AJ138" s="54"/>
      <c r="AK138" s="54"/>
      <c r="AL138" s="54"/>
      <c r="AM138" s="54"/>
      <c r="AN138" s="54"/>
      <c r="AO138" s="54"/>
      <c r="AP138" s="54"/>
      <c r="AQ138" s="54"/>
      <c r="AR138" s="54"/>
      <c r="AS138" s="54"/>
      <c r="AT138" s="54"/>
      <c r="AU138" s="54"/>
      <c r="AV138" s="54"/>
      <c r="AW138" s="54"/>
      <c r="AX138" s="54"/>
      <c r="AY138" s="54"/>
      <c r="AZ138" s="54"/>
      <c r="BA138" s="54"/>
      <c r="BB138" s="54"/>
      <c r="BC138" s="54"/>
      <c r="BD138" s="54"/>
      <c r="BE138" s="54"/>
      <c r="BF138" s="54"/>
      <c r="BG138" s="54"/>
      <c r="BH138" s="54"/>
    </row>
    <row r="139" spans="1:60" x14ac:dyDescent="0.3">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c r="AH139" s="54"/>
      <c r="AI139" s="54"/>
      <c r="AJ139" s="54"/>
      <c r="AK139" s="54"/>
      <c r="AL139" s="54"/>
      <c r="AM139" s="54"/>
      <c r="AN139" s="54"/>
      <c r="AO139" s="54"/>
      <c r="AP139" s="54"/>
      <c r="AQ139" s="54"/>
      <c r="AR139" s="54"/>
      <c r="AS139" s="54"/>
      <c r="AT139" s="54"/>
      <c r="AU139" s="54"/>
      <c r="AV139" s="54"/>
      <c r="AW139" s="54"/>
      <c r="AX139" s="54"/>
      <c r="AY139" s="54"/>
      <c r="AZ139" s="54"/>
      <c r="BA139" s="54"/>
      <c r="BB139" s="54"/>
      <c r="BC139" s="54"/>
      <c r="BD139" s="54"/>
      <c r="BE139" s="54"/>
      <c r="BF139" s="54"/>
      <c r="BG139" s="54"/>
      <c r="BH139" s="54"/>
    </row>
    <row r="140" spans="1:60" x14ac:dyDescent="0.3">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row>
    <row r="141" spans="1:60" x14ac:dyDescent="0.3">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row>
    <row r="142" spans="1:60" x14ac:dyDescent="0.3">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row>
    <row r="143" spans="1:60" x14ac:dyDescent="0.3">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row>
    <row r="144" spans="1:60" x14ac:dyDescent="0.3">
      <c r="A144" s="54"/>
      <c r="B144" s="54"/>
      <c r="C144" s="54"/>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54"/>
      <c r="AV144" s="54"/>
      <c r="AW144" s="54"/>
      <c r="AX144" s="54"/>
      <c r="AY144" s="54"/>
      <c r="AZ144" s="54"/>
      <c r="BA144" s="54"/>
      <c r="BB144" s="54"/>
      <c r="BC144" s="54"/>
      <c r="BD144" s="54"/>
      <c r="BE144" s="54"/>
      <c r="BF144" s="54"/>
      <c r="BG144" s="54"/>
      <c r="BH144" s="54"/>
    </row>
    <row r="145" spans="1:60" x14ac:dyDescent="0.3">
      <c r="A145" s="54"/>
      <c r="B145" s="54"/>
      <c r="C145" s="54"/>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54"/>
      <c r="AV145" s="54"/>
      <c r="AW145" s="54"/>
      <c r="AX145" s="54"/>
      <c r="AY145" s="54"/>
      <c r="AZ145" s="54"/>
      <c r="BA145" s="54"/>
      <c r="BB145" s="54"/>
      <c r="BC145" s="54"/>
      <c r="BD145" s="54"/>
      <c r="BE145" s="54"/>
      <c r="BF145" s="54"/>
      <c r="BG145" s="54"/>
      <c r="BH145" s="54"/>
    </row>
    <row r="146" spans="1:60" x14ac:dyDescent="0.3">
      <c r="A146" s="54"/>
      <c r="B146" s="54"/>
      <c r="C146" s="54"/>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54"/>
      <c r="AV146" s="54"/>
      <c r="AW146" s="54"/>
      <c r="AX146" s="54"/>
      <c r="AY146" s="54"/>
      <c r="AZ146" s="54"/>
      <c r="BA146" s="54"/>
      <c r="BB146" s="54"/>
      <c r="BC146" s="54"/>
      <c r="BD146" s="54"/>
      <c r="BE146" s="54"/>
      <c r="BF146" s="54"/>
      <c r="BG146" s="54"/>
      <c r="BH146" s="54"/>
    </row>
    <row r="147" spans="1:60" x14ac:dyDescent="0.3">
      <c r="A147" s="54"/>
      <c r="B147" s="54"/>
      <c r="C147" s="54"/>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4"/>
      <c r="AD147" s="54"/>
      <c r="AE147" s="54"/>
      <c r="AF147" s="54"/>
      <c r="AG147" s="54"/>
      <c r="AH147" s="54"/>
      <c r="AI147" s="54"/>
      <c r="AJ147" s="54"/>
      <c r="AK147" s="54"/>
      <c r="AL147" s="54"/>
      <c r="AM147" s="54"/>
      <c r="AN147" s="54"/>
      <c r="AO147" s="54"/>
      <c r="AP147" s="54"/>
      <c r="AQ147" s="54"/>
      <c r="AR147" s="54"/>
      <c r="AS147" s="54"/>
      <c r="AT147" s="54"/>
      <c r="AU147" s="54"/>
      <c r="AV147" s="54"/>
      <c r="AW147" s="54"/>
      <c r="AX147" s="54"/>
      <c r="AY147" s="54"/>
      <c r="AZ147" s="54"/>
      <c r="BA147" s="54"/>
      <c r="BB147" s="54"/>
      <c r="BC147" s="54"/>
      <c r="BD147" s="54"/>
      <c r="BE147" s="54"/>
      <c r="BF147" s="54"/>
      <c r="BG147" s="54"/>
      <c r="BH147" s="54"/>
    </row>
    <row r="148" spans="1:60" x14ac:dyDescent="0.3">
      <c r="A148" s="54"/>
      <c r="B148" s="54"/>
      <c r="C148" s="54"/>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4"/>
      <c r="AD148" s="54"/>
      <c r="AE148" s="54"/>
      <c r="AF148" s="54"/>
      <c r="AG148" s="54"/>
      <c r="AH148" s="54"/>
      <c r="AI148" s="54"/>
      <c r="AJ148" s="54"/>
      <c r="AK148" s="54"/>
      <c r="AL148" s="54"/>
      <c r="AM148" s="54"/>
      <c r="AN148" s="54"/>
      <c r="AO148" s="54"/>
      <c r="AP148" s="54"/>
      <c r="AQ148" s="54"/>
      <c r="AR148" s="54"/>
      <c r="AS148" s="54"/>
      <c r="AT148" s="54"/>
      <c r="AU148" s="54"/>
      <c r="AV148" s="54"/>
      <c r="AW148" s="54"/>
      <c r="AX148" s="54"/>
      <c r="AY148" s="54"/>
      <c r="AZ148" s="54"/>
      <c r="BA148" s="54"/>
      <c r="BB148" s="54"/>
      <c r="BC148" s="54"/>
      <c r="BD148" s="54"/>
      <c r="BE148" s="54"/>
      <c r="BF148" s="54"/>
      <c r="BG148" s="54"/>
      <c r="BH148" s="54"/>
    </row>
    <row r="149" spans="1:60" x14ac:dyDescent="0.3">
      <c r="A149" s="54"/>
      <c r="B149" s="54"/>
      <c r="C149" s="54"/>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54"/>
      <c r="AV149" s="54"/>
      <c r="AW149" s="54"/>
      <c r="AX149" s="54"/>
      <c r="AY149" s="54"/>
      <c r="AZ149" s="54"/>
      <c r="BA149" s="54"/>
      <c r="BB149" s="54"/>
      <c r="BC149" s="54"/>
      <c r="BD149" s="54"/>
      <c r="BE149" s="54"/>
      <c r="BF149" s="54"/>
      <c r="BG149" s="54"/>
      <c r="BH149" s="54"/>
    </row>
    <row r="150" spans="1:60" x14ac:dyDescent="0.3">
      <c r="A150" s="54"/>
      <c r="B150" s="54"/>
      <c r="C150" s="54"/>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54"/>
      <c r="AV150" s="54"/>
      <c r="AW150" s="54"/>
      <c r="AX150" s="54"/>
      <c r="AY150" s="54"/>
      <c r="AZ150" s="54"/>
      <c r="BA150" s="54"/>
      <c r="BB150" s="54"/>
      <c r="BC150" s="54"/>
      <c r="BD150" s="54"/>
      <c r="BE150" s="54"/>
      <c r="BF150" s="54"/>
      <c r="BG150" s="54"/>
      <c r="BH150" s="54"/>
    </row>
    <row r="151" spans="1:60" x14ac:dyDescent="0.3">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row>
    <row r="152" spans="1:60" x14ac:dyDescent="0.3">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54"/>
      <c r="AV152" s="54"/>
      <c r="AW152" s="54"/>
      <c r="AX152" s="54"/>
      <c r="AY152" s="54"/>
      <c r="AZ152" s="54"/>
      <c r="BA152" s="54"/>
      <c r="BB152" s="54"/>
      <c r="BC152" s="54"/>
      <c r="BD152" s="54"/>
      <c r="BE152" s="54"/>
      <c r="BF152" s="54"/>
      <c r="BG152" s="54"/>
      <c r="BH152" s="54"/>
    </row>
    <row r="153" spans="1:60" x14ac:dyDescent="0.3">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row>
    <row r="154" spans="1:60" x14ac:dyDescent="0.3">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54"/>
      <c r="AV154" s="54"/>
      <c r="AW154" s="54"/>
      <c r="AX154" s="54"/>
      <c r="AY154" s="54"/>
      <c r="AZ154" s="54"/>
      <c r="BA154" s="54"/>
      <c r="BB154" s="54"/>
      <c r="BC154" s="54"/>
      <c r="BD154" s="54"/>
      <c r="BE154" s="54"/>
      <c r="BF154" s="54"/>
      <c r="BG154" s="54"/>
      <c r="BH154" s="54"/>
    </row>
    <row r="155" spans="1:60" x14ac:dyDescent="0.3">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54"/>
      <c r="AV155" s="54"/>
      <c r="AW155" s="54"/>
      <c r="AX155" s="54"/>
      <c r="AY155" s="54"/>
      <c r="AZ155" s="54"/>
      <c r="BA155" s="54"/>
      <c r="BB155" s="54"/>
      <c r="BC155" s="54"/>
      <c r="BD155" s="54"/>
      <c r="BE155" s="54"/>
      <c r="BF155" s="54"/>
      <c r="BG155" s="54"/>
      <c r="BH155" s="54"/>
    </row>
    <row r="156" spans="1:60" x14ac:dyDescent="0.3">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54"/>
      <c r="AV156" s="54"/>
      <c r="AW156" s="54"/>
      <c r="AX156" s="54"/>
      <c r="AY156" s="54"/>
      <c r="AZ156" s="54"/>
      <c r="BA156" s="54"/>
      <c r="BB156" s="54"/>
      <c r="BC156" s="54"/>
      <c r="BD156" s="54"/>
      <c r="BE156" s="54"/>
      <c r="BF156" s="54"/>
      <c r="BG156" s="54"/>
      <c r="BH156" s="54"/>
    </row>
    <row r="157" spans="1:60" x14ac:dyDescent="0.3">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54"/>
      <c r="AV157" s="54"/>
      <c r="AW157" s="54"/>
      <c r="AX157" s="54"/>
      <c r="AY157" s="54"/>
      <c r="AZ157" s="54"/>
      <c r="BA157" s="54"/>
      <c r="BB157" s="54"/>
      <c r="BC157" s="54"/>
      <c r="BD157" s="54"/>
      <c r="BE157" s="54"/>
      <c r="BF157" s="54"/>
      <c r="BG157" s="54"/>
      <c r="BH157" s="54"/>
    </row>
    <row r="158" spans="1:60" x14ac:dyDescent="0.3">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54"/>
      <c r="AV158" s="54"/>
      <c r="AW158" s="54"/>
      <c r="AX158" s="54"/>
      <c r="AY158" s="54"/>
      <c r="AZ158" s="54"/>
      <c r="BA158" s="54"/>
      <c r="BB158" s="54"/>
      <c r="BC158" s="54"/>
      <c r="BD158" s="54"/>
      <c r="BE158" s="54"/>
      <c r="BF158" s="54"/>
      <c r="BG158" s="54"/>
      <c r="BH158" s="54"/>
    </row>
    <row r="159" spans="1:60" x14ac:dyDescent="0.3">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54"/>
      <c r="AV159" s="54"/>
      <c r="AW159" s="54"/>
      <c r="AX159" s="54"/>
      <c r="AY159" s="54"/>
      <c r="AZ159" s="54"/>
      <c r="BA159" s="54"/>
      <c r="BB159" s="54"/>
      <c r="BC159" s="54"/>
      <c r="BD159" s="54"/>
      <c r="BE159" s="54"/>
      <c r="BF159" s="54"/>
      <c r="BG159" s="54"/>
      <c r="BH159" s="54"/>
    </row>
    <row r="160" spans="1:60" x14ac:dyDescent="0.3">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54"/>
      <c r="BA160" s="54"/>
      <c r="BB160" s="54"/>
      <c r="BC160" s="54"/>
      <c r="BD160" s="54"/>
      <c r="BE160" s="54"/>
      <c r="BF160" s="54"/>
      <c r="BG160" s="54"/>
      <c r="BH160" s="54"/>
    </row>
    <row r="161" spans="1:60" x14ac:dyDescent="0.3">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54"/>
      <c r="BA161" s="54"/>
      <c r="BB161" s="54"/>
      <c r="BC161" s="54"/>
      <c r="BD161" s="54"/>
      <c r="BE161" s="54"/>
      <c r="BF161" s="54"/>
      <c r="BG161" s="54"/>
      <c r="BH161" s="54"/>
    </row>
    <row r="162" spans="1:60" x14ac:dyDescent="0.3">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54"/>
      <c r="AV162" s="54"/>
      <c r="AW162" s="54"/>
      <c r="AX162" s="54"/>
      <c r="AY162" s="54"/>
      <c r="AZ162" s="54"/>
      <c r="BA162" s="54"/>
      <c r="BB162" s="54"/>
      <c r="BC162" s="54"/>
      <c r="BD162" s="54"/>
      <c r="BE162" s="54"/>
      <c r="BF162" s="54"/>
      <c r="BG162" s="54"/>
      <c r="BH162" s="54"/>
    </row>
    <row r="163" spans="1:60" x14ac:dyDescent="0.3">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54"/>
      <c r="AV163" s="54"/>
      <c r="AW163" s="54"/>
      <c r="AX163" s="54"/>
      <c r="AY163" s="54"/>
      <c r="AZ163" s="54"/>
      <c r="BA163" s="54"/>
      <c r="BB163" s="54"/>
      <c r="BC163" s="54"/>
      <c r="BD163" s="54"/>
      <c r="BE163" s="54"/>
      <c r="BF163" s="54"/>
      <c r="BG163" s="54"/>
      <c r="BH163" s="54"/>
    </row>
    <row r="164" spans="1:60" x14ac:dyDescent="0.3">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54"/>
      <c r="AV164" s="54"/>
      <c r="AW164" s="54"/>
      <c r="AX164" s="54"/>
      <c r="AY164" s="54"/>
      <c r="AZ164" s="54"/>
      <c r="BA164" s="54"/>
      <c r="BB164" s="54"/>
      <c r="BC164" s="54"/>
      <c r="BD164" s="54"/>
      <c r="BE164" s="54"/>
      <c r="BF164" s="54"/>
      <c r="BG164" s="54"/>
      <c r="BH164" s="54"/>
    </row>
    <row r="165" spans="1:60" x14ac:dyDescent="0.3">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54"/>
      <c r="AV165" s="54"/>
      <c r="AW165" s="54"/>
      <c r="AX165" s="54"/>
      <c r="AY165" s="54"/>
      <c r="AZ165" s="54"/>
      <c r="BA165" s="54"/>
      <c r="BB165" s="54"/>
      <c r="BC165" s="54"/>
      <c r="BD165" s="54"/>
      <c r="BE165" s="54"/>
      <c r="BF165" s="54"/>
      <c r="BG165" s="54"/>
      <c r="BH165" s="54"/>
    </row>
    <row r="166" spans="1:60" x14ac:dyDescent="0.3">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54"/>
      <c r="AV166" s="54"/>
      <c r="AW166" s="54"/>
      <c r="AX166" s="54"/>
      <c r="AY166" s="54"/>
      <c r="AZ166" s="54"/>
      <c r="BA166" s="54"/>
      <c r="BB166" s="54"/>
      <c r="BC166" s="54"/>
      <c r="BD166" s="54"/>
      <c r="BE166" s="54"/>
      <c r="BF166" s="54"/>
      <c r="BG166" s="54"/>
      <c r="BH166" s="54"/>
    </row>
    <row r="167" spans="1:60" x14ac:dyDescent="0.3">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54"/>
      <c r="AV167" s="54"/>
      <c r="AW167" s="54"/>
      <c r="AX167" s="54"/>
      <c r="AY167" s="54"/>
      <c r="AZ167" s="54"/>
      <c r="BA167" s="54"/>
      <c r="BB167" s="54"/>
      <c r="BC167" s="54"/>
      <c r="BD167" s="54"/>
      <c r="BE167" s="54"/>
      <c r="BF167" s="54"/>
      <c r="BG167" s="54"/>
      <c r="BH167" s="54"/>
    </row>
    <row r="168" spans="1:60" x14ac:dyDescent="0.3">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row>
    <row r="169" spans="1:60" x14ac:dyDescent="0.3">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row>
    <row r="170" spans="1:60" x14ac:dyDescent="0.3">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row>
    <row r="171" spans="1:60" x14ac:dyDescent="0.3">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row>
    <row r="172" spans="1:60" x14ac:dyDescent="0.3">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row>
    <row r="173" spans="1:60" x14ac:dyDescent="0.3">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row>
    <row r="174" spans="1:60" x14ac:dyDescent="0.3">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row>
    <row r="175" spans="1:60" x14ac:dyDescent="0.3">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row>
    <row r="176" spans="1:60" x14ac:dyDescent="0.3">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row>
    <row r="177" spans="1:60" x14ac:dyDescent="0.3">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row>
    <row r="178" spans="1:60" x14ac:dyDescent="0.3">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row>
    <row r="179" spans="1:60" x14ac:dyDescent="0.3">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row>
    <row r="180" spans="1:60" x14ac:dyDescent="0.3">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row>
    <row r="181" spans="1:60" x14ac:dyDescent="0.3">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row>
    <row r="182" spans="1:60" x14ac:dyDescent="0.3">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row>
    <row r="183" spans="1:60" x14ac:dyDescent="0.3">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row>
    <row r="184" spans="1:60" x14ac:dyDescent="0.3">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row>
    <row r="185" spans="1:60" x14ac:dyDescent="0.3">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row>
    <row r="186" spans="1:60" x14ac:dyDescent="0.3">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row>
    <row r="187" spans="1:60" x14ac:dyDescent="0.3">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row>
    <row r="188" spans="1:60" x14ac:dyDescent="0.3">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row>
    <row r="189" spans="1:60" x14ac:dyDescent="0.3">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row>
    <row r="190" spans="1:60" x14ac:dyDescent="0.3">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row>
    <row r="191" spans="1:60" x14ac:dyDescent="0.3">
      <c r="A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row>
    <row r="192" spans="1:60" x14ac:dyDescent="0.3">
      <c r="A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row>
    <row r="193" spans="1:60" x14ac:dyDescent="0.3">
      <c r="A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row>
    <row r="194" spans="1:60" x14ac:dyDescent="0.3">
      <c r="A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row>
    <row r="195" spans="1:60" x14ac:dyDescent="0.3">
      <c r="A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row>
    <row r="196" spans="1:60" x14ac:dyDescent="0.3">
      <c r="A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row>
    <row r="197" spans="1:60" x14ac:dyDescent="0.3">
      <c r="A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row>
    <row r="198" spans="1:60" x14ac:dyDescent="0.3">
      <c r="A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row>
    <row r="199" spans="1:60" x14ac:dyDescent="0.3">
      <c r="A199" s="54"/>
      <c r="J199" s="54"/>
      <c r="K199" s="54"/>
      <c r="L199" s="54"/>
      <c r="M199" s="54"/>
      <c r="N199" s="54"/>
      <c r="O199" s="54"/>
      <c r="P199" s="54"/>
      <c r="Q199" s="54"/>
      <c r="R199" s="54"/>
      <c r="S199" s="54"/>
      <c r="T199" s="54"/>
      <c r="U199" s="54"/>
      <c r="V199" s="54"/>
      <c r="W199" s="54"/>
      <c r="X199" s="54"/>
      <c r="Y199" s="54"/>
      <c r="Z199" s="54"/>
      <c r="AA199" s="54"/>
      <c r="AB199" s="54"/>
      <c r="AC199" s="54"/>
      <c r="AD199" s="54"/>
      <c r="AE199" s="54"/>
      <c r="AF199" s="54"/>
      <c r="AG199" s="54"/>
      <c r="AH199" s="54"/>
      <c r="AI199" s="54"/>
      <c r="AJ199" s="54"/>
      <c r="AK199" s="54"/>
      <c r="AL199" s="54"/>
      <c r="AM199" s="54"/>
      <c r="AN199" s="54"/>
      <c r="AO199" s="54"/>
      <c r="AP199" s="54"/>
      <c r="AQ199" s="54"/>
      <c r="AR199" s="54"/>
      <c r="AS199" s="54"/>
      <c r="AT199" s="54"/>
      <c r="AU199" s="54"/>
      <c r="AV199" s="54"/>
      <c r="AW199" s="54"/>
      <c r="AX199" s="54"/>
      <c r="AY199" s="54"/>
      <c r="AZ199" s="54"/>
      <c r="BA199" s="54"/>
      <c r="BB199" s="54"/>
      <c r="BC199" s="54"/>
      <c r="BD199" s="54"/>
      <c r="BE199" s="54"/>
      <c r="BF199" s="54"/>
      <c r="BG199" s="54"/>
      <c r="BH199" s="54"/>
    </row>
    <row r="200" spans="1:60" x14ac:dyDescent="0.3">
      <c r="A200" s="54"/>
      <c r="J200" s="54"/>
      <c r="K200" s="54"/>
      <c r="L200" s="54"/>
      <c r="M200" s="54"/>
      <c r="N200" s="54"/>
      <c r="O200" s="54"/>
      <c r="P200" s="54"/>
      <c r="Q200" s="54"/>
      <c r="R200" s="54"/>
      <c r="S200" s="54"/>
      <c r="T200" s="54"/>
      <c r="U200" s="54"/>
      <c r="V200" s="54"/>
      <c r="W200" s="54"/>
      <c r="X200" s="54"/>
      <c r="Y200" s="54"/>
      <c r="Z200" s="54"/>
      <c r="AA200" s="54"/>
      <c r="AB200" s="54"/>
      <c r="AC200" s="54"/>
      <c r="AD200" s="54"/>
      <c r="AE200" s="54"/>
      <c r="AF200" s="54"/>
      <c r="AG200" s="54"/>
      <c r="AH200" s="54"/>
      <c r="AI200" s="54"/>
      <c r="AJ200" s="54"/>
      <c r="AK200" s="54"/>
      <c r="AL200" s="54"/>
      <c r="AM200" s="54"/>
      <c r="AN200" s="54"/>
      <c r="AO200" s="54"/>
      <c r="AP200" s="54"/>
      <c r="AQ200" s="54"/>
      <c r="AR200" s="54"/>
      <c r="AS200" s="54"/>
      <c r="AT200" s="54"/>
      <c r="AU200" s="54"/>
      <c r="AV200" s="54"/>
      <c r="AW200" s="54"/>
      <c r="AX200" s="54"/>
      <c r="AY200" s="54"/>
      <c r="AZ200" s="54"/>
      <c r="BA200" s="54"/>
      <c r="BB200" s="54"/>
      <c r="BC200" s="54"/>
      <c r="BD200" s="54"/>
      <c r="BE200" s="54"/>
      <c r="BF200" s="54"/>
      <c r="BG200" s="54"/>
      <c r="BH200" s="54"/>
    </row>
    <row r="201" spans="1:60" x14ac:dyDescent="0.3">
      <c r="A201" s="54"/>
      <c r="J201" s="54"/>
      <c r="K201" s="54"/>
      <c r="L201" s="54"/>
      <c r="M201" s="54"/>
      <c r="N201" s="54"/>
      <c r="O201" s="54"/>
      <c r="P201" s="54"/>
      <c r="Q201" s="54"/>
      <c r="R201" s="54"/>
      <c r="S201" s="54"/>
      <c r="T201" s="54"/>
      <c r="U201" s="54"/>
      <c r="V201" s="54"/>
      <c r="W201" s="54"/>
      <c r="X201" s="54"/>
      <c r="Y201" s="54"/>
      <c r="Z201" s="54"/>
      <c r="AA201" s="54"/>
      <c r="AB201" s="54"/>
      <c r="AC201" s="54"/>
      <c r="AD201" s="54"/>
      <c r="AE201" s="54"/>
      <c r="AF201" s="54"/>
      <c r="AG201" s="54"/>
      <c r="AH201" s="54"/>
      <c r="AI201" s="54"/>
      <c r="AJ201" s="54"/>
      <c r="AK201" s="54"/>
      <c r="AL201" s="54"/>
      <c r="AM201" s="54"/>
      <c r="AN201" s="54"/>
      <c r="AO201" s="54"/>
      <c r="AP201" s="54"/>
      <c r="AQ201" s="54"/>
      <c r="AR201" s="54"/>
      <c r="AS201" s="54"/>
      <c r="AT201" s="54"/>
      <c r="AU201" s="54"/>
      <c r="AV201" s="54"/>
      <c r="AW201" s="54"/>
      <c r="AX201" s="54"/>
      <c r="AY201" s="54"/>
      <c r="AZ201" s="54"/>
      <c r="BA201" s="54"/>
      <c r="BB201" s="54"/>
      <c r="BC201" s="54"/>
      <c r="BD201" s="54"/>
      <c r="BE201" s="54"/>
      <c r="BF201" s="54"/>
      <c r="BG201" s="54"/>
      <c r="BH201" s="54"/>
    </row>
    <row r="202" spans="1:60" x14ac:dyDescent="0.3">
      <c r="A202" s="54"/>
      <c r="J202" s="54"/>
      <c r="K202" s="54"/>
      <c r="L202" s="54"/>
      <c r="M202" s="54"/>
      <c r="N202" s="54"/>
      <c r="O202" s="54"/>
      <c r="P202" s="54"/>
      <c r="Q202" s="54"/>
      <c r="R202" s="54"/>
      <c r="S202" s="54"/>
      <c r="T202" s="54"/>
      <c r="U202" s="54"/>
      <c r="V202" s="54"/>
      <c r="W202" s="54"/>
      <c r="X202" s="54"/>
      <c r="Y202" s="54"/>
      <c r="Z202" s="54"/>
      <c r="AA202" s="54"/>
      <c r="AB202" s="54"/>
      <c r="AC202" s="54"/>
      <c r="AD202" s="54"/>
      <c r="AE202" s="54"/>
      <c r="AF202" s="54"/>
      <c r="AG202" s="54"/>
      <c r="AH202" s="54"/>
      <c r="AI202" s="54"/>
      <c r="AJ202" s="54"/>
      <c r="AK202" s="54"/>
      <c r="AL202" s="54"/>
      <c r="AM202" s="54"/>
      <c r="AN202" s="54"/>
      <c r="AO202" s="54"/>
      <c r="AP202" s="54"/>
      <c r="AQ202" s="54"/>
      <c r="AR202" s="54"/>
      <c r="AS202" s="54"/>
      <c r="AT202" s="54"/>
      <c r="AU202" s="54"/>
      <c r="AV202" s="54"/>
      <c r="AW202" s="54"/>
      <c r="AX202" s="54"/>
      <c r="AY202" s="54"/>
      <c r="AZ202" s="54"/>
      <c r="BA202" s="54"/>
      <c r="BB202" s="54"/>
      <c r="BC202" s="54"/>
      <c r="BD202" s="54"/>
      <c r="BE202" s="54"/>
      <c r="BF202" s="54"/>
      <c r="BG202" s="54"/>
      <c r="BH202" s="54"/>
    </row>
    <row r="203" spans="1:60" x14ac:dyDescent="0.3">
      <c r="A203" s="54"/>
      <c r="J203" s="54"/>
      <c r="K203" s="54"/>
      <c r="L203" s="54"/>
      <c r="M203" s="54"/>
      <c r="N203" s="54"/>
      <c r="O203" s="54"/>
      <c r="P203" s="54"/>
      <c r="Q203" s="54"/>
      <c r="R203" s="54"/>
      <c r="S203" s="54"/>
      <c r="T203" s="54"/>
      <c r="U203" s="54"/>
      <c r="V203" s="54"/>
      <c r="W203" s="54"/>
      <c r="X203" s="54"/>
      <c r="Y203" s="54"/>
      <c r="Z203" s="54"/>
      <c r="AA203" s="54"/>
      <c r="AB203" s="54"/>
      <c r="AC203" s="54"/>
      <c r="AD203" s="54"/>
      <c r="AE203" s="54"/>
      <c r="AF203" s="54"/>
      <c r="AG203" s="54"/>
      <c r="AH203" s="54"/>
      <c r="AI203" s="54"/>
      <c r="AJ203" s="54"/>
      <c r="AK203" s="54"/>
      <c r="AL203" s="54"/>
      <c r="AM203" s="54"/>
      <c r="AN203" s="54"/>
      <c r="AO203" s="54"/>
      <c r="AP203" s="54"/>
      <c r="AQ203" s="54"/>
      <c r="AR203" s="54"/>
      <c r="AS203" s="54"/>
      <c r="AT203" s="54"/>
      <c r="AU203" s="54"/>
      <c r="AV203" s="54"/>
      <c r="AW203" s="54"/>
      <c r="AX203" s="54"/>
      <c r="AY203" s="54"/>
      <c r="AZ203" s="54"/>
      <c r="BA203" s="54"/>
      <c r="BB203" s="54"/>
      <c r="BC203" s="54"/>
      <c r="BD203" s="54"/>
      <c r="BE203" s="54"/>
      <c r="BF203" s="54"/>
      <c r="BG203" s="54"/>
      <c r="BH203" s="54"/>
    </row>
    <row r="204" spans="1:60" x14ac:dyDescent="0.3">
      <c r="A204" s="54"/>
      <c r="J204" s="54"/>
      <c r="K204" s="54"/>
      <c r="L204" s="54"/>
      <c r="M204" s="54"/>
      <c r="N204" s="54"/>
      <c r="O204" s="54"/>
      <c r="P204" s="54"/>
      <c r="Q204" s="54"/>
      <c r="R204" s="54"/>
      <c r="S204" s="54"/>
      <c r="T204" s="54"/>
      <c r="U204" s="54"/>
      <c r="V204" s="54"/>
      <c r="W204" s="54"/>
      <c r="X204" s="54"/>
      <c r="Y204" s="54"/>
      <c r="Z204" s="54"/>
      <c r="AA204" s="54"/>
      <c r="AB204" s="54"/>
      <c r="AC204" s="54"/>
      <c r="AD204" s="54"/>
      <c r="AE204" s="54"/>
      <c r="AF204" s="54"/>
      <c r="AG204" s="54"/>
      <c r="AH204" s="54"/>
      <c r="AI204" s="54"/>
      <c r="AJ204" s="54"/>
      <c r="AK204" s="54"/>
      <c r="AL204" s="54"/>
      <c r="AM204" s="54"/>
      <c r="AN204" s="54"/>
      <c r="AO204" s="54"/>
      <c r="AP204" s="54"/>
      <c r="AQ204" s="54"/>
      <c r="AR204" s="54"/>
      <c r="AS204" s="54"/>
      <c r="AT204" s="54"/>
      <c r="AU204" s="54"/>
      <c r="AV204" s="54"/>
      <c r="AW204" s="54"/>
      <c r="AX204" s="54"/>
      <c r="AY204" s="54"/>
      <c r="AZ204" s="54"/>
      <c r="BA204" s="54"/>
      <c r="BB204" s="54"/>
      <c r="BC204" s="54"/>
      <c r="BD204" s="54"/>
      <c r="BE204" s="54"/>
      <c r="BF204" s="54"/>
      <c r="BG204" s="54"/>
      <c r="BH204" s="54"/>
    </row>
    <row r="205" spans="1:60" x14ac:dyDescent="0.3">
      <c r="A205" s="54"/>
      <c r="J205" s="54"/>
      <c r="K205" s="54"/>
      <c r="L205" s="54"/>
      <c r="M205" s="54"/>
      <c r="N205" s="54"/>
      <c r="O205" s="54"/>
      <c r="P205" s="54"/>
      <c r="Q205" s="54"/>
      <c r="R205" s="54"/>
      <c r="S205" s="54"/>
      <c r="T205" s="54"/>
      <c r="U205" s="54"/>
      <c r="V205" s="54"/>
      <c r="W205" s="54"/>
      <c r="X205" s="54"/>
      <c r="Y205" s="54"/>
      <c r="Z205" s="54"/>
      <c r="AA205" s="54"/>
      <c r="AB205" s="54"/>
      <c r="AC205" s="54"/>
      <c r="AD205" s="54"/>
      <c r="AE205" s="54"/>
      <c r="AF205" s="54"/>
      <c r="AG205" s="54"/>
      <c r="AH205" s="54"/>
      <c r="AI205" s="54"/>
      <c r="AJ205" s="54"/>
      <c r="AK205" s="54"/>
      <c r="AL205" s="54"/>
      <c r="AM205" s="54"/>
      <c r="AN205" s="54"/>
      <c r="AO205" s="54"/>
      <c r="AP205" s="54"/>
      <c r="AQ205" s="54"/>
      <c r="AR205" s="54"/>
      <c r="AS205" s="54"/>
      <c r="AT205" s="54"/>
      <c r="AU205" s="54"/>
      <c r="AV205" s="54"/>
      <c r="AW205" s="54"/>
      <c r="AX205" s="54"/>
      <c r="AY205" s="54"/>
      <c r="AZ205" s="54"/>
      <c r="BA205" s="54"/>
      <c r="BB205" s="54"/>
      <c r="BC205" s="54"/>
      <c r="BD205" s="54"/>
      <c r="BE205" s="54"/>
      <c r="BF205" s="54"/>
      <c r="BG205" s="54"/>
      <c r="BH205" s="54"/>
    </row>
    <row r="206" spans="1:60" x14ac:dyDescent="0.3">
      <c r="A206" s="54"/>
      <c r="J206" s="54"/>
      <c r="K206" s="54"/>
      <c r="L206" s="54"/>
      <c r="M206" s="54"/>
      <c r="N206" s="54"/>
      <c r="O206" s="54"/>
      <c r="P206" s="54"/>
      <c r="Q206" s="54"/>
      <c r="R206" s="54"/>
      <c r="S206" s="54"/>
      <c r="T206" s="54"/>
      <c r="U206" s="54"/>
      <c r="V206" s="54"/>
      <c r="W206" s="54"/>
      <c r="X206" s="54"/>
      <c r="Y206" s="54"/>
      <c r="Z206" s="54"/>
      <c r="AA206" s="54"/>
      <c r="AB206" s="54"/>
      <c r="AC206" s="54"/>
      <c r="AD206" s="54"/>
      <c r="AE206" s="54"/>
      <c r="AF206" s="54"/>
      <c r="AG206" s="54"/>
      <c r="AH206" s="54"/>
      <c r="AI206" s="54"/>
      <c r="AJ206" s="54"/>
      <c r="AK206" s="54"/>
      <c r="AL206" s="54"/>
      <c r="AM206" s="54"/>
      <c r="AN206" s="54"/>
      <c r="AO206" s="54"/>
      <c r="AP206" s="54"/>
      <c r="AQ206" s="54"/>
      <c r="AR206" s="54"/>
      <c r="AS206" s="54"/>
      <c r="AT206" s="54"/>
      <c r="AU206" s="54"/>
      <c r="AV206" s="54"/>
      <c r="AW206" s="54"/>
      <c r="AX206" s="54"/>
      <c r="AY206" s="54"/>
      <c r="AZ206" s="54"/>
      <c r="BA206" s="54"/>
      <c r="BB206" s="54"/>
      <c r="BC206" s="54"/>
      <c r="BD206" s="54"/>
      <c r="BE206" s="54"/>
      <c r="BF206" s="54"/>
      <c r="BG206" s="54"/>
      <c r="BH206" s="54"/>
    </row>
    <row r="207" spans="1:60" x14ac:dyDescent="0.3">
      <c r="A207" s="54"/>
      <c r="J207" s="54"/>
      <c r="K207" s="54"/>
      <c r="L207" s="54"/>
      <c r="M207" s="54"/>
      <c r="N207" s="54"/>
      <c r="O207" s="54"/>
      <c r="P207" s="54"/>
      <c r="Q207" s="54"/>
      <c r="R207" s="54"/>
      <c r="S207" s="54"/>
      <c r="T207" s="54"/>
      <c r="U207" s="54"/>
      <c r="V207" s="54"/>
      <c r="W207" s="54"/>
      <c r="X207" s="54"/>
      <c r="Y207" s="54"/>
      <c r="Z207" s="54"/>
      <c r="AA207" s="54"/>
      <c r="AB207" s="54"/>
      <c r="AC207" s="54"/>
      <c r="AD207" s="54"/>
      <c r="AE207" s="54"/>
      <c r="AF207" s="54"/>
      <c r="AG207" s="54"/>
      <c r="AH207" s="54"/>
      <c r="AI207" s="54"/>
      <c r="AJ207" s="54"/>
      <c r="AK207" s="54"/>
      <c r="AL207" s="54"/>
      <c r="AM207" s="54"/>
      <c r="AN207" s="54"/>
      <c r="AO207" s="54"/>
      <c r="AP207" s="54"/>
      <c r="AQ207" s="54"/>
      <c r="AR207" s="54"/>
      <c r="AS207" s="54"/>
      <c r="AT207" s="54"/>
      <c r="AU207" s="54"/>
      <c r="AV207" s="54"/>
      <c r="AW207" s="54"/>
      <c r="AX207" s="54"/>
      <c r="AY207" s="54"/>
      <c r="AZ207" s="54"/>
      <c r="BA207" s="54"/>
      <c r="BB207" s="54"/>
      <c r="BC207" s="54"/>
      <c r="BD207" s="54"/>
      <c r="BE207" s="54"/>
      <c r="BF207" s="54"/>
      <c r="BG207" s="54"/>
      <c r="BH207" s="54"/>
    </row>
    <row r="208" spans="1:60" x14ac:dyDescent="0.3">
      <c r="A208" s="54"/>
      <c r="J208" s="54"/>
      <c r="K208" s="54"/>
      <c r="L208" s="54"/>
      <c r="M208" s="54"/>
      <c r="N208" s="54"/>
      <c r="O208" s="54"/>
      <c r="P208" s="54"/>
      <c r="Q208" s="54"/>
      <c r="R208" s="54"/>
      <c r="S208" s="54"/>
      <c r="T208" s="54"/>
      <c r="U208" s="54"/>
      <c r="V208" s="54"/>
      <c r="W208" s="54"/>
      <c r="X208" s="54"/>
      <c r="Y208" s="54"/>
      <c r="Z208" s="54"/>
      <c r="AA208" s="54"/>
      <c r="AB208" s="54"/>
      <c r="AC208" s="54"/>
      <c r="AD208" s="54"/>
      <c r="AE208" s="54"/>
      <c r="AF208" s="54"/>
      <c r="AG208" s="54"/>
      <c r="AH208" s="54"/>
      <c r="AI208" s="54"/>
      <c r="AJ208" s="54"/>
      <c r="AK208" s="54"/>
      <c r="AL208" s="54"/>
      <c r="AM208" s="54"/>
      <c r="AN208" s="54"/>
      <c r="AO208" s="54"/>
      <c r="AP208" s="54"/>
      <c r="AQ208" s="54"/>
      <c r="AR208" s="54"/>
      <c r="AS208" s="54"/>
      <c r="AT208" s="54"/>
      <c r="AU208" s="54"/>
      <c r="AV208" s="54"/>
      <c r="AW208" s="54"/>
      <c r="AX208" s="54"/>
      <c r="AY208" s="54"/>
      <c r="AZ208" s="54"/>
      <c r="BA208" s="54"/>
      <c r="BB208" s="54"/>
      <c r="BC208" s="54"/>
      <c r="BD208" s="54"/>
      <c r="BE208" s="54"/>
      <c r="BF208" s="54"/>
      <c r="BG208" s="54"/>
      <c r="BH208" s="54"/>
    </row>
    <row r="209" spans="1:60" x14ac:dyDescent="0.3">
      <c r="A209" s="54"/>
      <c r="J209" s="54"/>
      <c r="K209" s="54"/>
      <c r="L209" s="54"/>
      <c r="M209" s="54"/>
      <c r="N209" s="54"/>
      <c r="O209" s="54"/>
      <c r="P209" s="54"/>
      <c r="Q209" s="54"/>
      <c r="R209" s="54"/>
      <c r="S209" s="54"/>
      <c r="T209" s="54"/>
      <c r="U209" s="54"/>
      <c r="V209" s="54"/>
      <c r="W209" s="54"/>
      <c r="X209" s="54"/>
      <c r="Y209" s="54"/>
      <c r="Z209" s="54"/>
      <c r="AA209" s="54"/>
      <c r="AB209" s="54"/>
      <c r="AC209" s="54"/>
      <c r="AD209" s="54"/>
      <c r="AE209" s="54"/>
      <c r="AF209" s="54"/>
      <c r="AG209" s="54"/>
      <c r="AH209" s="54"/>
      <c r="AI209" s="54"/>
      <c r="AJ209" s="54"/>
      <c r="AK209" s="54"/>
      <c r="AL209" s="54"/>
      <c r="AM209" s="54"/>
      <c r="AN209" s="54"/>
      <c r="AO209" s="54"/>
      <c r="AP209" s="54"/>
      <c r="AQ209" s="54"/>
      <c r="AR209" s="54"/>
      <c r="AS209" s="54"/>
      <c r="AT209" s="54"/>
      <c r="AU209" s="54"/>
      <c r="AV209" s="54"/>
      <c r="AW209" s="54"/>
      <c r="AX209" s="54"/>
      <c r="AY209" s="54"/>
      <c r="AZ209" s="54"/>
      <c r="BA209" s="54"/>
      <c r="BB209" s="54"/>
      <c r="BC209" s="54"/>
      <c r="BD209" s="54"/>
      <c r="BE209" s="54"/>
      <c r="BF209" s="54"/>
      <c r="BG209" s="54"/>
      <c r="BH209" s="54"/>
    </row>
    <row r="210" spans="1:60" x14ac:dyDescent="0.3">
      <c r="A210" s="54"/>
      <c r="J210" s="54"/>
      <c r="K210" s="54"/>
      <c r="L210" s="54"/>
      <c r="M210" s="54"/>
      <c r="N210" s="54"/>
      <c r="O210" s="54"/>
      <c r="P210" s="54"/>
      <c r="Q210" s="54"/>
      <c r="R210" s="54"/>
      <c r="S210" s="54"/>
      <c r="T210" s="54"/>
      <c r="U210" s="54"/>
      <c r="V210" s="54"/>
      <c r="W210" s="54"/>
      <c r="X210" s="54"/>
      <c r="Y210" s="54"/>
      <c r="Z210" s="54"/>
      <c r="AA210" s="54"/>
      <c r="AB210" s="54"/>
      <c r="AC210" s="54"/>
      <c r="AD210" s="54"/>
      <c r="AE210" s="54"/>
      <c r="AF210" s="54"/>
      <c r="AG210" s="54"/>
      <c r="AH210" s="54"/>
      <c r="AI210" s="54"/>
      <c r="AJ210" s="54"/>
      <c r="AK210" s="54"/>
      <c r="AL210" s="54"/>
      <c r="AM210" s="54"/>
      <c r="AN210" s="54"/>
      <c r="AO210" s="54"/>
      <c r="AP210" s="54"/>
      <c r="AQ210" s="54"/>
      <c r="AR210" s="54"/>
      <c r="AS210" s="54"/>
      <c r="AT210" s="54"/>
      <c r="AU210" s="54"/>
      <c r="AV210" s="54"/>
      <c r="AW210" s="54"/>
      <c r="AX210" s="54"/>
      <c r="AY210" s="54"/>
      <c r="AZ210" s="54"/>
      <c r="BA210" s="54"/>
      <c r="BB210" s="54"/>
      <c r="BC210" s="54"/>
      <c r="BD210" s="54"/>
      <c r="BE210" s="54"/>
      <c r="BF210" s="54"/>
      <c r="BG210" s="54"/>
      <c r="BH210" s="54"/>
    </row>
    <row r="211" spans="1:60" x14ac:dyDescent="0.3">
      <c r="A211" s="54"/>
      <c r="J211" s="54"/>
      <c r="K211" s="54"/>
      <c r="L211" s="54"/>
      <c r="M211" s="54"/>
      <c r="N211" s="54"/>
      <c r="O211" s="54"/>
      <c r="P211" s="54"/>
      <c r="Q211" s="54"/>
      <c r="R211" s="54"/>
      <c r="S211" s="54"/>
      <c r="T211" s="54"/>
      <c r="U211" s="54"/>
      <c r="V211" s="54"/>
      <c r="W211" s="54"/>
      <c r="X211" s="54"/>
      <c r="Y211" s="54"/>
      <c r="Z211" s="54"/>
      <c r="AA211" s="54"/>
      <c r="AB211" s="54"/>
      <c r="AC211" s="54"/>
      <c r="AD211" s="54"/>
      <c r="AE211" s="54"/>
      <c r="AF211" s="54"/>
      <c r="AG211" s="54"/>
      <c r="AH211" s="54"/>
      <c r="AI211" s="54"/>
      <c r="AJ211" s="54"/>
      <c r="AK211" s="54"/>
      <c r="AL211" s="54"/>
      <c r="AM211" s="54"/>
      <c r="AN211" s="54"/>
      <c r="AO211" s="54"/>
      <c r="AP211" s="54"/>
      <c r="AQ211" s="54"/>
      <c r="AR211" s="54"/>
      <c r="AS211" s="54"/>
      <c r="AT211" s="54"/>
      <c r="AU211" s="54"/>
      <c r="AV211" s="54"/>
      <c r="AW211" s="54"/>
      <c r="AX211" s="54"/>
      <c r="AY211" s="54"/>
      <c r="AZ211" s="54"/>
      <c r="BA211" s="54"/>
      <c r="BB211" s="54"/>
      <c r="BC211" s="54"/>
      <c r="BD211" s="54"/>
      <c r="BE211" s="54"/>
      <c r="BF211" s="54"/>
      <c r="BG211" s="54"/>
      <c r="BH211" s="54"/>
    </row>
    <row r="212" spans="1:60" x14ac:dyDescent="0.3">
      <c r="A212" s="54"/>
      <c r="J212" s="54"/>
      <c r="K212" s="54"/>
      <c r="L212" s="54"/>
      <c r="M212" s="54"/>
      <c r="N212" s="54"/>
      <c r="O212" s="54"/>
      <c r="P212" s="54"/>
      <c r="Q212" s="54"/>
      <c r="R212" s="54"/>
      <c r="S212" s="54"/>
      <c r="T212" s="54"/>
      <c r="U212" s="54"/>
      <c r="V212" s="54"/>
      <c r="W212" s="54"/>
      <c r="X212" s="54"/>
      <c r="Y212" s="54"/>
      <c r="Z212" s="54"/>
      <c r="AA212" s="54"/>
      <c r="AB212" s="54"/>
      <c r="AC212" s="54"/>
      <c r="AD212" s="54"/>
      <c r="AE212" s="54"/>
      <c r="AF212" s="54"/>
      <c r="AG212" s="54"/>
      <c r="AH212" s="54"/>
      <c r="AI212" s="54"/>
      <c r="AJ212" s="54"/>
      <c r="AK212" s="54"/>
      <c r="AL212" s="54"/>
      <c r="AM212" s="54"/>
      <c r="AN212" s="54"/>
      <c r="AO212" s="54"/>
      <c r="AP212" s="54"/>
      <c r="AQ212" s="54"/>
      <c r="AR212" s="54"/>
      <c r="AS212" s="54"/>
      <c r="AT212" s="54"/>
      <c r="AU212" s="54"/>
      <c r="AV212" s="54"/>
      <c r="AW212" s="54"/>
      <c r="AX212" s="54"/>
      <c r="AY212" s="54"/>
      <c r="AZ212" s="54"/>
      <c r="BA212" s="54"/>
      <c r="BB212" s="54"/>
      <c r="BC212" s="54"/>
      <c r="BD212" s="54"/>
      <c r="BE212" s="54"/>
      <c r="BF212" s="54"/>
      <c r="BG212" s="54"/>
      <c r="BH212" s="54"/>
    </row>
    <row r="213" spans="1:60" x14ac:dyDescent="0.3">
      <c r="A213" s="54"/>
      <c r="J213" s="54"/>
      <c r="K213" s="54"/>
      <c r="L213" s="54"/>
      <c r="M213" s="54"/>
      <c r="N213" s="54"/>
      <c r="O213" s="54"/>
      <c r="P213" s="54"/>
      <c r="Q213" s="54"/>
      <c r="R213" s="54"/>
      <c r="S213" s="54"/>
      <c r="T213" s="54"/>
      <c r="U213" s="54"/>
      <c r="V213" s="54"/>
      <c r="W213" s="54"/>
      <c r="X213" s="54"/>
      <c r="Y213" s="54"/>
      <c r="Z213" s="54"/>
      <c r="AA213" s="54"/>
      <c r="AB213" s="54"/>
      <c r="AC213" s="54"/>
      <c r="AD213" s="54"/>
      <c r="AE213" s="54"/>
      <c r="AF213" s="54"/>
      <c r="AG213" s="54"/>
      <c r="AH213" s="54"/>
      <c r="AI213" s="54"/>
      <c r="AJ213" s="54"/>
      <c r="AK213" s="54"/>
      <c r="AL213" s="54"/>
      <c r="AM213" s="54"/>
      <c r="AN213" s="54"/>
      <c r="AO213" s="54"/>
      <c r="AP213" s="54"/>
      <c r="AQ213" s="54"/>
      <c r="AR213" s="54"/>
      <c r="AS213" s="54"/>
      <c r="AT213" s="54"/>
      <c r="AU213" s="54"/>
      <c r="AV213" s="54"/>
      <c r="AW213" s="54"/>
      <c r="AX213" s="54"/>
      <c r="AY213" s="54"/>
      <c r="AZ213" s="54"/>
      <c r="BA213" s="54"/>
      <c r="BB213" s="54"/>
      <c r="BC213" s="54"/>
      <c r="BD213" s="54"/>
      <c r="BE213" s="54"/>
      <c r="BF213" s="54"/>
      <c r="BG213" s="54"/>
      <c r="BH213" s="54"/>
    </row>
    <row r="214" spans="1:60" x14ac:dyDescent="0.3">
      <c r="A214" s="54"/>
      <c r="J214" s="54"/>
      <c r="K214" s="54"/>
      <c r="L214" s="54"/>
      <c r="M214" s="54"/>
      <c r="N214" s="54"/>
      <c r="O214" s="54"/>
      <c r="P214" s="54"/>
      <c r="Q214" s="54"/>
      <c r="R214" s="54"/>
      <c r="S214" s="54"/>
      <c r="T214" s="54"/>
      <c r="U214" s="54"/>
      <c r="V214" s="54"/>
      <c r="W214" s="54"/>
      <c r="X214" s="54"/>
      <c r="Y214" s="54"/>
      <c r="Z214" s="54"/>
      <c r="AA214" s="54"/>
      <c r="AB214" s="54"/>
      <c r="AC214" s="54"/>
      <c r="AD214" s="54"/>
      <c r="AE214" s="54"/>
      <c r="AF214" s="54"/>
      <c r="AG214" s="54"/>
      <c r="AH214" s="54"/>
      <c r="AI214" s="54"/>
      <c r="AJ214" s="54"/>
      <c r="AK214" s="54"/>
      <c r="AL214" s="54"/>
      <c r="AM214" s="54"/>
      <c r="AN214" s="54"/>
      <c r="AO214" s="54"/>
      <c r="AP214" s="54"/>
      <c r="AQ214" s="54"/>
      <c r="AR214" s="54"/>
      <c r="AS214" s="54"/>
      <c r="AT214" s="54"/>
      <c r="AU214" s="54"/>
      <c r="AV214" s="54"/>
      <c r="AW214" s="54"/>
      <c r="AX214" s="54"/>
      <c r="AY214" s="54"/>
      <c r="AZ214" s="54"/>
      <c r="BA214" s="54"/>
      <c r="BB214" s="54"/>
      <c r="BC214" s="54"/>
      <c r="BD214" s="54"/>
      <c r="BE214" s="54"/>
      <c r="BF214" s="54"/>
      <c r="BG214" s="54"/>
      <c r="BH214" s="54"/>
    </row>
    <row r="215" spans="1:60" x14ac:dyDescent="0.3">
      <c r="A215" s="54"/>
      <c r="J215" s="54"/>
      <c r="K215" s="54"/>
      <c r="L215" s="54"/>
      <c r="M215" s="54"/>
      <c r="N215" s="54"/>
      <c r="O215" s="54"/>
      <c r="P215" s="54"/>
      <c r="Q215" s="54"/>
      <c r="R215" s="54"/>
      <c r="S215" s="54"/>
      <c r="T215" s="54"/>
      <c r="U215" s="54"/>
      <c r="V215" s="54"/>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4"/>
      <c r="BE215" s="54"/>
      <c r="BF215" s="54"/>
      <c r="BG215" s="54"/>
      <c r="BH215" s="54"/>
    </row>
    <row r="216" spans="1:60" x14ac:dyDescent="0.3">
      <c r="A216" s="54"/>
      <c r="J216" s="54"/>
      <c r="K216" s="54"/>
      <c r="L216" s="54"/>
      <c r="M216" s="54"/>
      <c r="N216" s="54"/>
      <c r="O216" s="54"/>
      <c r="P216" s="54"/>
      <c r="Q216" s="54"/>
      <c r="R216" s="54"/>
      <c r="S216" s="54"/>
      <c r="T216" s="54"/>
      <c r="U216" s="54"/>
      <c r="V216" s="54"/>
      <c r="W216" s="54"/>
      <c r="X216" s="54"/>
      <c r="Y216" s="54"/>
      <c r="Z216" s="54"/>
      <c r="AA216" s="54"/>
      <c r="AB216" s="54"/>
      <c r="AC216" s="54"/>
      <c r="AD216" s="54"/>
      <c r="AE216" s="54"/>
      <c r="AF216" s="54"/>
      <c r="AG216" s="54"/>
      <c r="AH216" s="54"/>
      <c r="AI216" s="54"/>
      <c r="AJ216" s="54"/>
      <c r="AK216" s="54"/>
      <c r="AL216" s="54"/>
      <c r="AM216" s="54"/>
      <c r="AN216" s="54"/>
      <c r="AO216" s="54"/>
      <c r="AP216" s="54"/>
      <c r="AQ216" s="54"/>
      <c r="AR216" s="54"/>
      <c r="AS216" s="54"/>
      <c r="AT216" s="54"/>
      <c r="AU216" s="54"/>
      <c r="AV216" s="54"/>
      <c r="AW216" s="54"/>
      <c r="AX216" s="54"/>
      <c r="AY216" s="54"/>
      <c r="AZ216" s="54"/>
      <c r="BA216" s="54"/>
      <c r="BB216" s="54"/>
      <c r="BC216" s="54"/>
      <c r="BD216" s="54"/>
      <c r="BE216" s="54"/>
      <c r="BF216" s="54"/>
      <c r="BG216" s="54"/>
      <c r="BH216" s="54"/>
    </row>
    <row r="217" spans="1:60" x14ac:dyDescent="0.3">
      <c r="A217" s="54"/>
      <c r="J217" s="54"/>
      <c r="K217" s="54"/>
      <c r="L217" s="54"/>
      <c r="M217" s="54"/>
      <c r="N217" s="54"/>
      <c r="O217" s="54"/>
      <c r="P217" s="54"/>
      <c r="Q217" s="54"/>
      <c r="R217" s="54"/>
      <c r="S217" s="54"/>
      <c r="T217" s="54"/>
      <c r="U217" s="54"/>
      <c r="V217" s="54"/>
      <c r="W217" s="54"/>
      <c r="X217" s="54"/>
      <c r="Y217" s="54"/>
      <c r="Z217" s="54"/>
      <c r="AA217" s="54"/>
      <c r="AB217" s="54"/>
      <c r="AC217" s="54"/>
      <c r="AD217" s="54"/>
      <c r="AE217" s="54"/>
      <c r="AF217" s="54"/>
      <c r="AG217" s="54"/>
      <c r="AH217" s="54"/>
      <c r="AI217" s="54"/>
      <c r="AJ217" s="54"/>
      <c r="AK217" s="54"/>
      <c r="AL217" s="54"/>
      <c r="AM217" s="54"/>
      <c r="AN217" s="54"/>
      <c r="AO217" s="54"/>
      <c r="AP217" s="54"/>
      <c r="AQ217" s="54"/>
      <c r="AR217" s="54"/>
      <c r="AS217" s="54"/>
      <c r="AT217" s="54"/>
      <c r="AU217" s="54"/>
      <c r="AV217" s="54"/>
      <c r="AW217" s="54"/>
      <c r="AX217" s="54"/>
      <c r="AY217" s="54"/>
      <c r="AZ217" s="54"/>
      <c r="BA217" s="54"/>
      <c r="BB217" s="54"/>
      <c r="BC217" s="54"/>
      <c r="BD217" s="54"/>
      <c r="BE217" s="54"/>
      <c r="BF217" s="54"/>
      <c r="BG217" s="54"/>
      <c r="BH217" s="54"/>
    </row>
    <row r="218" spans="1:60" x14ac:dyDescent="0.3">
      <c r="A218" s="54"/>
      <c r="J218" s="54"/>
      <c r="K218" s="54"/>
      <c r="L218" s="54"/>
      <c r="M218" s="54"/>
      <c r="N218" s="54"/>
      <c r="O218" s="54"/>
      <c r="P218" s="54"/>
      <c r="Q218" s="54"/>
      <c r="R218" s="54"/>
      <c r="S218" s="54"/>
      <c r="T218" s="54"/>
      <c r="U218" s="54"/>
      <c r="V218" s="54"/>
      <c r="W218" s="54"/>
      <c r="X218" s="54"/>
      <c r="Y218" s="54"/>
      <c r="Z218" s="54"/>
      <c r="AA218" s="54"/>
      <c r="AB218" s="54"/>
      <c r="AC218" s="54"/>
      <c r="AD218" s="54"/>
      <c r="AE218" s="54"/>
      <c r="AF218" s="54"/>
      <c r="AG218" s="54"/>
      <c r="AH218" s="54"/>
      <c r="AI218" s="54"/>
      <c r="AJ218" s="54"/>
      <c r="AK218" s="54"/>
      <c r="AL218" s="54"/>
      <c r="AM218" s="54"/>
      <c r="AN218" s="54"/>
      <c r="AO218" s="54"/>
      <c r="AP218" s="54"/>
      <c r="AQ218" s="54"/>
      <c r="AR218" s="54"/>
      <c r="AS218" s="54"/>
      <c r="AT218" s="54"/>
      <c r="AU218" s="54"/>
      <c r="AV218" s="54"/>
      <c r="AW218" s="54"/>
      <c r="AX218" s="54"/>
      <c r="AY218" s="54"/>
      <c r="AZ218" s="54"/>
      <c r="BA218" s="54"/>
      <c r="BB218" s="54"/>
      <c r="BC218" s="54"/>
      <c r="BD218" s="54"/>
      <c r="BE218" s="54"/>
      <c r="BF218" s="54"/>
      <c r="BG218" s="54"/>
      <c r="BH218" s="54"/>
    </row>
    <row r="219" spans="1:60" x14ac:dyDescent="0.3">
      <c r="A219" s="54"/>
      <c r="J219" s="54"/>
      <c r="K219" s="54"/>
      <c r="L219" s="54"/>
      <c r="M219" s="54"/>
      <c r="N219" s="54"/>
      <c r="O219" s="54"/>
      <c r="P219" s="54"/>
      <c r="Q219" s="54"/>
      <c r="R219" s="54"/>
      <c r="S219" s="54"/>
      <c r="T219" s="54"/>
      <c r="U219" s="54"/>
      <c r="V219" s="54"/>
      <c r="W219" s="54"/>
      <c r="X219" s="54"/>
      <c r="Y219" s="54"/>
      <c r="Z219" s="54"/>
      <c r="AA219" s="54"/>
      <c r="AB219" s="54"/>
      <c r="AC219" s="54"/>
      <c r="AD219" s="54"/>
      <c r="AE219" s="54"/>
      <c r="AF219" s="54"/>
      <c r="AG219" s="54"/>
      <c r="AH219" s="54"/>
      <c r="AI219" s="54"/>
      <c r="AJ219" s="54"/>
      <c r="AK219" s="54"/>
      <c r="AL219" s="54"/>
      <c r="AM219" s="54"/>
      <c r="AN219" s="54"/>
      <c r="AO219" s="54"/>
      <c r="AP219" s="54"/>
      <c r="AQ219" s="54"/>
      <c r="AR219" s="54"/>
      <c r="AS219" s="54"/>
      <c r="AT219" s="54"/>
      <c r="AU219" s="54"/>
      <c r="AV219" s="54"/>
      <c r="AW219" s="54"/>
      <c r="AX219" s="54"/>
      <c r="AY219" s="54"/>
      <c r="AZ219" s="54"/>
      <c r="BA219" s="54"/>
      <c r="BB219" s="54"/>
      <c r="BC219" s="54"/>
      <c r="BD219" s="54"/>
      <c r="BE219" s="54"/>
      <c r="BF219" s="54"/>
      <c r="BG219" s="54"/>
      <c r="BH219" s="54"/>
    </row>
    <row r="220" spans="1:60" x14ac:dyDescent="0.3">
      <c r="A220" s="54"/>
      <c r="J220" s="54"/>
      <c r="K220" s="54"/>
      <c r="L220" s="54"/>
      <c r="M220" s="54"/>
      <c r="N220" s="54"/>
      <c r="O220" s="54"/>
      <c r="P220" s="54"/>
      <c r="Q220" s="54"/>
      <c r="R220" s="54"/>
      <c r="S220" s="54"/>
      <c r="T220" s="54"/>
      <c r="U220" s="54"/>
      <c r="V220" s="54"/>
      <c r="W220" s="54"/>
      <c r="X220" s="54"/>
      <c r="Y220" s="54"/>
      <c r="Z220" s="54"/>
      <c r="AA220" s="54"/>
      <c r="AB220" s="54"/>
      <c r="AC220" s="54"/>
      <c r="AD220" s="54"/>
      <c r="AE220" s="54"/>
      <c r="AF220" s="54"/>
      <c r="AG220" s="54"/>
      <c r="AH220" s="54"/>
      <c r="AI220" s="54"/>
      <c r="AJ220" s="54"/>
      <c r="AK220" s="54"/>
      <c r="AL220" s="54"/>
      <c r="AM220" s="54"/>
      <c r="AN220" s="54"/>
      <c r="AO220" s="54"/>
      <c r="AP220" s="54"/>
      <c r="AQ220" s="54"/>
      <c r="AR220" s="54"/>
      <c r="AS220" s="54"/>
      <c r="AT220" s="54"/>
      <c r="AU220" s="54"/>
      <c r="AV220" s="54"/>
      <c r="AW220" s="54"/>
      <c r="AX220" s="54"/>
      <c r="AY220" s="54"/>
      <c r="AZ220" s="54"/>
      <c r="BA220" s="54"/>
      <c r="BB220" s="54"/>
      <c r="BC220" s="54"/>
      <c r="BD220" s="54"/>
      <c r="BE220" s="54"/>
      <c r="BF220" s="54"/>
      <c r="BG220" s="54"/>
      <c r="BH220" s="54"/>
    </row>
    <row r="221" spans="1:60" x14ac:dyDescent="0.3">
      <c r="A221" s="54"/>
      <c r="J221" s="54"/>
      <c r="K221" s="54"/>
      <c r="L221" s="54"/>
      <c r="M221" s="54"/>
      <c r="N221" s="54"/>
      <c r="O221" s="54"/>
      <c r="P221" s="54"/>
      <c r="Q221" s="54"/>
      <c r="R221" s="54"/>
      <c r="S221" s="54"/>
      <c r="T221" s="54"/>
      <c r="U221" s="54"/>
      <c r="V221" s="54"/>
      <c r="W221" s="54"/>
      <c r="X221" s="54"/>
      <c r="Y221" s="54"/>
      <c r="Z221" s="54"/>
      <c r="AA221" s="54"/>
      <c r="AB221" s="54"/>
      <c r="AC221" s="54"/>
      <c r="AD221" s="54"/>
      <c r="AE221" s="54"/>
      <c r="AF221" s="54"/>
      <c r="AG221" s="54"/>
      <c r="AH221" s="54"/>
      <c r="AI221" s="54"/>
      <c r="AJ221" s="54"/>
      <c r="AK221" s="54"/>
      <c r="AL221" s="54"/>
      <c r="AM221" s="54"/>
      <c r="AN221" s="54"/>
      <c r="AO221" s="54"/>
      <c r="AP221" s="54"/>
      <c r="AQ221" s="54"/>
      <c r="AR221" s="54"/>
      <c r="AS221" s="54"/>
      <c r="AT221" s="54"/>
      <c r="AU221" s="54"/>
      <c r="AV221" s="54"/>
      <c r="AW221" s="54"/>
      <c r="AX221" s="54"/>
      <c r="AY221" s="54"/>
      <c r="AZ221" s="54"/>
      <c r="BA221" s="54"/>
      <c r="BB221" s="54"/>
      <c r="BC221" s="54"/>
      <c r="BD221" s="54"/>
      <c r="BE221" s="54"/>
      <c r="BF221" s="54"/>
      <c r="BG221" s="54"/>
      <c r="BH221" s="54"/>
    </row>
    <row r="222" spans="1:60" x14ac:dyDescent="0.3">
      <c r="A222" s="54"/>
      <c r="J222" s="54"/>
      <c r="K222" s="54"/>
      <c r="L222" s="54"/>
      <c r="M222" s="54"/>
      <c r="N222" s="54"/>
      <c r="O222" s="54"/>
      <c r="P222" s="54"/>
      <c r="Q222" s="54"/>
      <c r="R222" s="54"/>
      <c r="S222" s="54"/>
      <c r="T222" s="54"/>
      <c r="U222" s="54"/>
      <c r="V222" s="54"/>
      <c r="W222" s="54"/>
      <c r="X222" s="54"/>
      <c r="Y222" s="54"/>
      <c r="Z222" s="54"/>
      <c r="AA222" s="54"/>
      <c r="AB222" s="54"/>
      <c r="AC222" s="54"/>
      <c r="AD222" s="54"/>
      <c r="AE222" s="54"/>
      <c r="AF222" s="54"/>
      <c r="AG222" s="54"/>
      <c r="AH222" s="54"/>
      <c r="AI222" s="54"/>
      <c r="AJ222" s="54"/>
      <c r="AK222" s="54"/>
      <c r="AL222" s="54"/>
      <c r="AM222" s="54"/>
      <c r="AN222" s="54"/>
      <c r="AO222" s="54"/>
      <c r="AP222" s="54"/>
      <c r="AQ222" s="54"/>
      <c r="AR222" s="54"/>
      <c r="AS222" s="54"/>
      <c r="AT222" s="54"/>
      <c r="AU222" s="54"/>
      <c r="AV222" s="54"/>
      <c r="AW222" s="54"/>
      <c r="AX222" s="54"/>
      <c r="AY222" s="54"/>
      <c r="AZ222" s="54"/>
      <c r="BA222" s="54"/>
      <c r="BB222" s="54"/>
      <c r="BC222" s="54"/>
      <c r="BD222" s="54"/>
      <c r="BE222" s="54"/>
      <c r="BF222" s="54"/>
      <c r="BG222" s="54"/>
      <c r="BH222" s="54"/>
    </row>
    <row r="223" spans="1:60" x14ac:dyDescent="0.3">
      <c r="A223" s="54"/>
      <c r="J223" s="54"/>
      <c r="K223" s="54"/>
      <c r="L223" s="54"/>
      <c r="M223" s="54"/>
      <c r="N223" s="54"/>
      <c r="O223" s="54"/>
      <c r="P223" s="54"/>
      <c r="Q223" s="54"/>
      <c r="R223" s="54"/>
      <c r="S223" s="54"/>
      <c r="T223" s="54"/>
      <c r="U223" s="54"/>
      <c r="V223" s="54"/>
      <c r="W223" s="54"/>
      <c r="X223" s="54"/>
      <c r="Y223" s="54"/>
      <c r="Z223" s="54"/>
      <c r="AA223" s="54"/>
      <c r="AB223" s="54"/>
      <c r="AC223" s="54"/>
      <c r="AD223" s="54"/>
      <c r="AE223" s="54"/>
      <c r="AF223" s="54"/>
      <c r="AG223" s="54"/>
      <c r="AH223" s="54"/>
      <c r="AI223" s="54"/>
      <c r="AJ223" s="54"/>
      <c r="AK223" s="54"/>
      <c r="AL223" s="54"/>
      <c r="AM223" s="54"/>
      <c r="AN223" s="54"/>
      <c r="AO223" s="54"/>
      <c r="AP223" s="54"/>
      <c r="AQ223" s="54"/>
      <c r="AR223" s="54"/>
      <c r="AS223" s="54"/>
      <c r="AT223" s="54"/>
      <c r="AU223" s="54"/>
      <c r="AV223" s="54"/>
      <c r="AW223" s="54"/>
      <c r="AX223" s="54"/>
      <c r="AY223" s="54"/>
      <c r="AZ223" s="54"/>
      <c r="BA223" s="54"/>
      <c r="BB223" s="54"/>
      <c r="BC223" s="54"/>
      <c r="BD223" s="54"/>
      <c r="BE223" s="54"/>
      <c r="BF223" s="54"/>
      <c r="BG223" s="54"/>
      <c r="BH223" s="54"/>
    </row>
    <row r="224" spans="1:60" x14ac:dyDescent="0.3">
      <c r="A224" s="54"/>
      <c r="J224" s="54"/>
      <c r="K224" s="54"/>
      <c r="L224" s="54"/>
      <c r="M224" s="54"/>
      <c r="N224" s="54"/>
      <c r="O224" s="54"/>
      <c r="P224" s="54"/>
      <c r="Q224" s="54"/>
      <c r="R224" s="54"/>
      <c r="S224" s="54"/>
      <c r="T224" s="54"/>
      <c r="U224" s="54"/>
      <c r="V224" s="54"/>
      <c r="W224" s="54"/>
      <c r="X224" s="54"/>
      <c r="Y224" s="54"/>
      <c r="Z224" s="54"/>
      <c r="AA224" s="54"/>
      <c r="AB224" s="54"/>
      <c r="AC224" s="54"/>
      <c r="AD224" s="54"/>
      <c r="AE224" s="54"/>
      <c r="AF224" s="54"/>
      <c r="AG224" s="54"/>
      <c r="AH224" s="54"/>
      <c r="AI224" s="54"/>
      <c r="AJ224" s="54"/>
      <c r="AK224" s="54"/>
      <c r="AL224" s="54"/>
      <c r="AM224" s="54"/>
      <c r="AN224" s="54"/>
      <c r="AO224" s="54"/>
      <c r="AP224" s="54"/>
      <c r="AQ224" s="54"/>
      <c r="AR224" s="54"/>
      <c r="AS224" s="54"/>
      <c r="AT224" s="54"/>
      <c r="AU224" s="54"/>
      <c r="AV224" s="54"/>
      <c r="AW224" s="54"/>
      <c r="AX224" s="54"/>
      <c r="AY224" s="54"/>
      <c r="AZ224" s="54"/>
      <c r="BA224" s="54"/>
      <c r="BB224" s="54"/>
      <c r="BC224" s="54"/>
      <c r="BD224" s="54"/>
      <c r="BE224" s="54"/>
      <c r="BF224" s="54"/>
      <c r="BG224" s="54"/>
      <c r="BH224" s="54"/>
    </row>
    <row r="225" spans="1:60" x14ac:dyDescent="0.3">
      <c r="A225" s="54"/>
      <c r="J225" s="54"/>
      <c r="K225" s="54"/>
      <c r="L225" s="54"/>
      <c r="M225" s="54"/>
      <c r="N225" s="54"/>
      <c r="O225" s="54"/>
      <c r="P225" s="54"/>
      <c r="Q225" s="54"/>
      <c r="R225" s="54"/>
      <c r="S225" s="54"/>
      <c r="T225" s="54"/>
      <c r="U225" s="54"/>
      <c r="V225" s="54"/>
      <c r="W225" s="54"/>
      <c r="X225" s="54"/>
      <c r="Y225" s="54"/>
      <c r="Z225" s="54"/>
      <c r="AA225" s="54"/>
      <c r="AB225" s="54"/>
      <c r="AC225" s="54"/>
      <c r="AD225" s="54"/>
      <c r="AE225" s="54"/>
      <c r="AF225" s="54"/>
      <c r="AG225" s="54"/>
      <c r="AH225" s="54"/>
      <c r="AI225" s="54"/>
      <c r="AJ225" s="54"/>
      <c r="AK225" s="54"/>
      <c r="AL225" s="54"/>
      <c r="AM225" s="54"/>
      <c r="AN225" s="54"/>
      <c r="AO225" s="54"/>
      <c r="AP225" s="54"/>
      <c r="AQ225" s="54"/>
      <c r="AR225" s="54"/>
      <c r="AS225" s="54"/>
      <c r="AT225" s="54"/>
      <c r="AU225" s="54"/>
      <c r="AV225" s="54"/>
      <c r="AW225" s="54"/>
      <c r="AX225" s="54"/>
      <c r="AY225" s="54"/>
      <c r="AZ225" s="54"/>
      <c r="BA225" s="54"/>
      <c r="BB225" s="54"/>
      <c r="BC225" s="54"/>
      <c r="BD225" s="54"/>
      <c r="BE225" s="54"/>
      <c r="BF225" s="54"/>
      <c r="BG225" s="54"/>
      <c r="BH225" s="54"/>
    </row>
    <row r="226" spans="1:60" x14ac:dyDescent="0.3">
      <c r="A226" s="54"/>
      <c r="J226" s="54"/>
      <c r="K226" s="54"/>
      <c r="L226" s="54"/>
      <c r="M226" s="54"/>
      <c r="N226" s="54"/>
      <c r="O226" s="54"/>
      <c r="P226" s="54"/>
      <c r="Q226" s="54"/>
      <c r="R226" s="54"/>
      <c r="S226" s="54"/>
      <c r="T226" s="54"/>
      <c r="U226" s="54"/>
      <c r="V226" s="54"/>
      <c r="W226" s="54"/>
      <c r="X226" s="54"/>
      <c r="Y226" s="54"/>
      <c r="Z226" s="54"/>
      <c r="AA226" s="54"/>
      <c r="AB226" s="54"/>
      <c r="AC226" s="54"/>
      <c r="AD226" s="54"/>
      <c r="AE226" s="54"/>
      <c r="AF226" s="54"/>
      <c r="AG226" s="54"/>
      <c r="AH226" s="54"/>
      <c r="AI226" s="54"/>
      <c r="AJ226" s="54"/>
      <c r="AK226" s="54"/>
      <c r="AL226" s="54"/>
      <c r="AM226" s="54"/>
      <c r="AN226" s="54"/>
      <c r="AO226" s="54"/>
      <c r="AP226" s="54"/>
      <c r="AQ226" s="54"/>
      <c r="AR226" s="54"/>
      <c r="AS226" s="54"/>
      <c r="AT226" s="54"/>
      <c r="AU226" s="54"/>
      <c r="AV226" s="54"/>
      <c r="AW226" s="54"/>
      <c r="AX226" s="54"/>
      <c r="AY226" s="54"/>
      <c r="AZ226" s="54"/>
      <c r="BA226" s="54"/>
      <c r="BB226" s="54"/>
      <c r="BC226" s="54"/>
      <c r="BD226" s="54"/>
      <c r="BE226" s="54"/>
      <c r="BF226" s="54"/>
      <c r="BG226" s="54"/>
      <c r="BH226" s="54"/>
    </row>
    <row r="227" spans="1:60" x14ac:dyDescent="0.3">
      <c r="A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54"/>
      <c r="AM227" s="54"/>
      <c r="AN227" s="54"/>
      <c r="AO227" s="54"/>
      <c r="AP227" s="54"/>
      <c r="AQ227" s="54"/>
      <c r="AR227" s="54"/>
      <c r="AS227" s="54"/>
      <c r="AT227" s="54"/>
      <c r="AU227" s="54"/>
      <c r="AV227" s="54"/>
      <c r="AW227" s="54"/>
      <c r="AX227" s="54"/>
      <c r="AY227" s="54"/>
      <c r="AZ227" s="54"/>
      <c r="BA227" s="54"/>
      <c r="BB227" s="54"/>
      <c r="BC227" s="54"/>
      <c r="BD227" s="54"/>
      <c r="BE227" s="54"/>
      <c r="BF227" s="54"/>
      <c r="BG227" s="54"/>
      <c r="BH227" s="54"/>
    </row>
    <row r="228" spans="1:60" x14ac:dyDescent="0.3">
      <c r="A228" s="54"/>
      <c r="J228" s="54"/>
      <c r="K228" s="54"/>
      <c r="L228" s="54"/>
      <c r="M228" s="54"/>
      <c r="N228" s="54"/>
      <c r="O228" s="54"/>
      <c r="P228" s="54"/>
      <c r="Q228" s="54"/>
      <c r="R228" s="54"/>
      <c r="S228" s="54"/>
      <c r="T228" s="54"/>
      <c r="U228" s="54"/>
      <c r="V228" s="54"/>
      <c r="W228" s="54"/>
      <c r="X228" s="54"/>
      <c r="Y228" s="54"/>
      <c r="Z228" s="54"/>
      <c r="AA228" s="54"/>
      <c r="AB228" s="54"/>
      <c r="AC228" s="54"/>
      <c r="AD228" s="54"/>
      <c r="AE228" s="54"/>
      <c r="AF228" s="54"/>
      <c r="AG228" s="54"/>
      <c r="AH228" s="54"/>
      <c r="AI228" s="54"/>
      <c r="AJ228" s="54"/>
      <c r="AK228" s="54"/>
      <c r="AL228" s="54"/>
      <c r="AM228" s="54"/>
      <c r="AN228" s="54"/>
      <c r="AO228" s="54"/>
      <c r="AP228" s="54"/>
      <c r="AQ228" s="54"/>
      <c r="AR228" s="54"/>
      <c r="AS228" s="54"/>
      <c r="AT228" s="54"/>
      <c r="AU228" s="54"/>
      <c r="AV228" s="54"/>
      <c r="AW228" s="54"/>
      <c r="AX228" s="54"/>
      <c r="AY228" s="54"/>
      <c r="AZ228" s="54"/>
      <c r="BA228" s="54"/>
      <c r="BB228" s="54"/>
      <c r="BC228" s="54"/>
      <c r="BD228" s="54"/>
      <c r="BE228" s="54"/>
      <c r="BF228" s="54"/>
      <c r="BG228" s="54"/>
      <c r="BH228" s="54"/>
    </row>
    <row r="229" spans="1:60" x14ac:dyDescent="0.3">
      <c r="A229" s="54"/>
      <c r="J229" s="54"/>
      <c r="K229" s="54"/>
      <c r="L229" s="54"/>
      <c r="M229" s="54"/>
      <c r="N229" s="54"/>
      <c r="O229" s="54"/>
      <c r="P229" s="54"/>
      <c r="Q229" s="54"/>
      <c r="R229" s="54"/>
      <c r="S229" s="54"/>
      <c r="T229" s="54"/>
      <c r="U229" s="54"/>
      <c r="V229" s="54"/>
      <c r="W229" s="54"/>
      <c r="X229" s="54"/>
      <c r="Y229" s="54"/>
      <c r="Z229" s="54"/>
      <c r="AA229" s="54"/>
      <c r="AB229" s="54"/>
      <c r="AC229" s="54"/>
      <c r="AD229" s="54"/>
      <c r="AE229" s="54"/>
      <c r="AF229" s="54"/>
      <c r="AG229" s="54"/>
      <c r="AH229" s="54"/>
      <c r="AI229" s="54"/>
      <c r="AJ229" s="54"/>
      <c r="AK229" s="54"/>
      <c r="AL229" s="54"/>
      <c r="AM229" s="54"/>
      <c r="AN229" s="54"/>
      <c r="AO229" s="54"/>
      <c r="AP229" s="54"/>
      <c r="AQ229" s="54"/>
      <c r="AR229" s="54"/>
      <c r="AS229" s="54"/>
      <c r="AT229" s="54"/>
      <c r="AU229" s="54"/>
      <c r="AV229" s="54"/>
      <c r="AW229" s="54"/>
      <c r="AX229" s="54"/>
      <c r="AY229" s="54"/>
      <c r="AZ229" s="54"/>
      <c r="BA229" s="54"/>
      <c r="BB229" s="54"/>
      <c r="BC229" s="54"/>
      <c r="BD229" s="54"/>
      <c r="BE229" s="54"/>
      <c r="BF229" s="54"/>
      <c r="BG229" s="54"/>
      <c r="BH229" s="54"/>
    </row>
    <row r="230" spans="1:60" x14ac:dyDescent="0.3">
      <c r="A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54"/>
      <c r="AR230" s="54"/>
      <c r="AS230" s="54"/>
      <c r="AT230" s="54"/>
      <c r="AU230" s="54"/>
      <c r="AV230" s="54"/>
      <c r="AW230" s="54"/>
      <c r="AX230" s="54"/>
      <c r="AY230" s="54"/>
      <c r="AZ230" s="54"/>
      <c r="BA230" s="54"/>
      <c r="BB230" s="54"/>
      <c r="BC230" s="54"/>
      <c r="BD230" s="54"/>
      <c r="BE230" s="54"/>
      <c r="BF230" s="54"/>
      <c r="BG230" s="54"/>
      <c r="BH230" s="54"/>
    </row>
    <row r="231" spans="1:60" x14ac:dyDescent="0.3">
      <c r="A231" s="54"/>
      <c r="J231" s="54"/>
      <c r="K231" s="54"/>
      <c r="L231" s="54"/>
      <c r="M231" s="54"/>
      <c r="N231" s="54"/>
      <c r="O231" s="54"/>
      <c r="P231" s="54"/>
      <c r="Q231" s="54"/>
      <c r="R231" s="54"/>
      <c r="S231" s="54"/>
      <c r="T231" s="54"/>
      <c r="U231" s="54"/>
      <c r="V231" s="54"/>
      <c r="W231" s="54"/>
      <c r="X231" s="54"/>
      <c r="Y231" s="54"/>
      <c r="Z231" s="54"/>
      <c r="AA231" s="54"/>
      <c r="AB231" s="54"/>
      <c r="AC231" s="54"/>
      <c r="AD231" s="54"/>
      <c r="AE231" s="54"/>
      <c r="AF231" s="54"/>
      <c r="AG231" s="54"/>
      <c r="AH231" s="54"/>
      <c r="AI231" s="54"/>
      <c r="AJ231" s="54"/>
      <c r="AK231" s="54"/>
      <c r="AL231" s="54"/>
      <c r="AM231" s="54"/>
      <c r="AN231" s="54"/>
      <c r="AO231" s="54"/>
      <c r="AP231" s="54"/>
      <c r="AQ231" s="54"/>
      <c r="AR231" s="54"/>
      <c r="AS231" s="54"/>
      <c r="AT231" s="54"/>
      <c r="AU231" s="54"/>
      <c r="AV231" s="54"/>
      <c r="AW231" s="54"/>
      <c r="AX231" s="54"/>
      <c r="AY231" s="54"/>
      <c r="AZ231" s="54"/>
      <c r="BA231" s="54"/>
      <c r="BB231" s="54"/>
      <c r="BC231" s="54"/>
      <c r="BD231" s="54"/>
      <c r="BE231" s="54"/>
      <c r="BF231" s="54"/>
      <c r="BG231" s="54"/>
      <c r="BH231" s="54"/>
    </row>
    <row r="232" spans="1:60" x14ac:dyDescent="0.3">
      <c r="A232" s="54"/>
      <c r="J232" s="54"/>
      <c r="K232" s="54"/>
      <c r="L232" s="54"/>
      <c r="M232" s="54"/>
      <c r="N232" s="54"/>
      <c r="O232" s="54"/>
      <c r="P232" s="54"/>
      <c r="Q232" s="54"/>
      <c r="R232" s="54"/>
      <c r="S232" s="54"/>
      <c r="T232" s="54"/>
      <c r="U232" s="54"/>
      <c r="V232" s="54"/>
      <c r="W232" s="54"/>
      <c r="X232" s="54"/>
      <c r="Y232" s="54"/>
      <c r="Z232" s="54"/>
      <c r="AA232" s="54"/>
      <c r="AB232" s="54"/>
      <c r="AC232" s="54"/>
      <c r="AD232" s="54"/>
      <c r="AE232" s="54"/>
      <c r="AF232" s="54"/>
      <c r="AG232" s="54"/>
      <c r="AH232" s="54"/>
      <c r="AI232" s="54"/>
      <c r="AJ232" s="54"/>
      <c r="AK232" s="54"/>
      <c r="AL232" s="54"/>
      <c r="AM232" s="54"/>
      <c r="AN232" s="54"/>
      <c r="AO232" s="54"/>
      <c r="AP232" s="54"/>
      <c r="AQ232" s="54"/>
      <c r="AR232" s="54"/>
      <c r="AS232" s="54"/>
      <c r="AT232" s="54"/>
      <c r="AU232" s="54"/>
      <c r="AV232" s="54"/>
      <c r="AW232" s="54"/>
      <c r="AX232" s="54"/>
      <c r="AY232" s="54"/>
      <c r="AZ232" s="54"/>
      <c r="BA232" s="54"/>
      <c r="BB232" s="54"/>
      <c r="BC232" s="54"/>
      <c r="BD232" s="54"/>
      <c r="BE232" s="54"/>
      <c r="BF232" s="54"/>
      <c r="BG232" s="54"/>
      <c r="BH232" s="54"/>
    </row>
    <row r="233" spans="1:60" x14ac:dyDescent="0.3">
      <c r="A233" s="54"/>
      <c r="J233" s="54"/>
      <c r="K233" s="54"/>
      <c r="L233" s="54"/>
      <c r="M233" s="54"/>
      <c r="N233" s="54"/>
      <c r="O233" s="54"/>
      <c r="P233" s="54"/>
      <c r="Q233" s="54"/>
      <c r="R233" s="54"/>
      <c r="S233" s="54"/>
      <c r="T233" s="54"/>
      <c r="U233" s="54"/>
      <c r="V233" s="54"/>
      <c r="W233" s="54"/>
      <c r="X233" s="54"/>
      <c r="Y233" s="54"/>
      <c r="Z233" s="54"/>
      <c r="AA233" s="54"/>
      <c r="AB233" s="54"/>
      <c r="AC233" s="54"/>
      <c r="AD233" s="54"/>
      <c r="AE233" s="54"/>
      <c r="AF233" s="54"/>
      <c r="AG233" s="54"/>
      <c r="AH233" s="54"/>
      <c r="AI233" s="54"/>
      <c r="AJ233" s="54"/>
      <c r="AK233" s="54"/>
      <c r="AL233" s="54"/>
      <c r="AM233" s="54"/>
      <c r="AN233" s="54"/>
      <c r="AO233" s="54"/>
      <c r="AP233" s="54"/>
      <c r="AQ233" s="54"/>
      <c r="AR233" s="54"/>
      <c r="AS233" s="54"/>
      <c r="AT233" s="54"/>
      <c r="AU233" s="54"/>
      <c r="AV233" s="54"/>
      <c r="AW233" s="54"/>
      <c r="AX233" s="54"/>
      <c r="AY233" s="54"/>
      <c r="AZ233" s="54"/>
      <c r="BA233" s="54"/>
      <c r="BB233" s="54"/>
      <c r="BC233" s="54"/>
      <c r="BD233" s="54"/>
      <c r="BE233" s="54"/>
      <c r="BF233" s="54"/>
      <c r="BG233" s="54"/>
      <c r="BH233" s="54"/>
    </row>
    <row r="234" spans="1:60" x14ac:dyDescent="0.3">
      <c r="A234" s="54"/>
      <c r="J234" s="54"/>
      <c r="K234" s="54"/>
      <c r="L234" s="54"/>
      <c r="M234" s="54"/>
      <c r="N234" s="54"/>
      <c r="O234" s="54"/>
      <c r="P234" s="54"/>
      <c r="Q234" s="54"/>
      <c r="R234" s="54"/>
      <c r="S234" s="54"/>
      <c r="T234" s="54"/>
      <c r="U234" s="54"/>
      <c r="V234" s="54"/>
      <c r="W234" s="54"/>
      <c r="X234" s="54"/>
      <c r="Y234" s="54"/>
      <c r="Z234" s="54"/>
      <c r="AA234" s="54"/>
      <c r="AB234" s="54"/>
      <c r="AC234" s="54"/>
      <c r="AD234" s="54"/>
      <c r="AE234" s="54"/>
      <c r="AF234" s="54"/>
      <c r="AG234" s="54"/>
      <c r="AH234" s="54"/>
      <c r="AI234" s="54"/>
      <c r="AJ234" s="54"/>
      <c r="AK234" s="54"/>
      <c r="AL234" s="54"/>
      <c r="AM234" s="54"/>
      <c r="AN234" s="54"/>
      <c r="AO234" s="54"/>
      <c r="AP234" s="54"/>
      <c r="AQ234" s="54"/>
      <c r="AR234" s="54"/>
      <c r="AS234" s="54"/>
      <c r="AT234" s="54"/>
      <c r="AU234" s="54"/>
      <c r="AV234" s="54"/>
      <c r="AW234" s="54"/>
      <c r="AX234" s="54"/>
      <c r="AY234" s="54"/>
      <c r="AZ234" s="54"/>
      <c r="BA234" s="54"/>
      <c r="BB234" s="54"/>
      <c r="BC234" s="54"/>
      <c r="BD234" s="54"/>
      <c r="BE234" s="54"/>
      <c r="BF234" s="54"/>
      <c r="BG234" s="54"/>
      <c r="BH234" s="54"/>
    </row>
    <row r="235" spans="1:60" x14ac:dyDescent="0.3">
      <c r="A235" s="54"/>
      <c r="J235" s="54"/>
      <c r="K235" s="54"/>
      <c r="L235" s="54"/>
      <c r="M235" s="54"/>
      <c r="N235" s="54"/>
      <c r="O235" s="54"/>
      <c r="P235" s="54"/>
      <c r="Q235" s="54"/>
      <c r="R235" s="54"/>
      <c r="S235" s="54"/>
      <c r="T235" s="54"/>
      <c r="U235" s="54"/>
      <c r="V235" s="54"/>
      <c r="W235" s="54"/>
      <c r="X235" s="54"/>
      <c r="Y235" s="54"/>
      <c r="Z235" s="54"/>
      <c r="AA235" s="54"/>
      <c r="AB235" s="54"/>
      <c r="AC235" s="54"/>
      <c r="AD235" s="54"/>
      <c r="AE235" s="54"/>
      <c r="AF235" s="54"/>
      <c r="AG235" s="54"/>
      <c r="AH235" s="54"/>
      <c r="AI235" s="54"/>
      <c r="AJ235" s="54"/>
      <c r="AK235" s="54"/>
      <c r="AL235" s="54"/>
      <c r="AM235" s="54"/>
      <c r="AN235" s="54"/>
      <c r="AO235" s="54"/>
      <c r="AP235" s="54"/>
      <c r="AQ235" s="54"/>
      <c r="AR235" s="54"/>
      <c r="AS235" s="54"/>
      <c r="AT235" s="54"/>
      <c r="AU235" s="54"/>
      <c r="AV235" s="54"/>
      <c r="AW235" s="54"/>
      <c r="AX235" s="54"/>
      <c r="AY235" s="54"/>
      <c r="AZ235" s="54"/>
      <c r="BA235" s="54"/>
      <c r="BB235" s="54"/>
      <c r="BC235" s="54"/>
      <c r="BD235" s="54"/>
      <c r="BE235" s="54"/>
      <c r="BF235" s="54"/>
      <c r="BG235" s="54"/>
      <c r="BH235" s="54"/>
    </row>
    <row r="236" spans="1:60" x14ac:dyDescent="0.3">
      <c r="A236" s="54"/>
      <c r="J236" s="54"/>
      <c r="K236" s="54"/>
      <c r="L236" s="54"/>
      <c r="M236" s="54"/>
      <c r="N236" s="54"/>
      <c r="O236" s="54"/>
      <c r="P236" s="54"/>
      <c r="Q236" s="54"/>
      <c r="R236" s="54"/>
      <c r="S236" s="54"/>
      <c r="T236" s="54"/>
      <c r="U236" s="54"/>
      <c r="V236" s="54"/>
      <c r="W236" s="54"/>
      <c r="X236" s="54"/>
      <c r="Y236" s="54"/>
      <c r="Z236" s="54"/>
      <c r="AA236" s="54"/>
      <c r="AB236" s="54"/>
      <c r="AC236" s="54"/>
      <c r="AD236" s="54"/>
      <c r="AE236" s="54"/>
      <c r="AF236" s="54"/>
      <c r="AG236" s="54"/>
      <c r="AH236" s="54"/>
      <c r="AI236" s="54"/>
      <c r="AJ236" s="54"/>
      <c r="AK236" s="54"/>
      <c r="AL236" s="54"/>
      <c r="AM236" s="54"/>
      <c r="AN236" s="54"/>
      <c r="AO236" s="54"/>
      <c r="AP236" s="54"/>
      <c r="AQ236" s="54"/>
      <c r="AR236" s="54"/>
      <c r="AS236" s="54"/>
      <c r="AT236" s="54"/>
      <c r="AU236" s="54"/>
      <c r="AV236" s="54"/>
      <c r="AW236" s="54"/>
      <c r="AX236" s="54"/>
      <c r="AY236" s="54"/>
      <c r="AZ236" s="54"/>
      <c r="BA236" s="54"/>
      <c r="BB236" s="54"/>
      <c r="BC236" s="54"/>
      <c r="BD236" s="54"/>
      <c r="BE236" s="54"/>
      <c r="BF236" s="54"/>
      <c r="BG236" s="54"/>
      <c r="BH236" s="54"/>
    </row>
    <row r="237" spans="1:60" x14ac:dyDescent="0.3">
      <c r="A237" s="54"/>
      <c r="J237" s="54"/>
      <c r="K237" s="54"/>
      <c r="L237" s="54"/>
      <c r="M237" s="54"/>
      <c r="N237" s="54"/>
      <c r="O237" s="54"/>
      <c r="P237" s="54"/>
      <c r="Q237" s="54"/>
      <c r="R237" s="54"/>
      <c r="S237" s="54"/>
      <c r="T237" s="54"/>
      <c r="U237" s="54"/>
      <c r="V237" s="54"/>
      <c r="W237" s="54"/>
      <c r="X237" s="54"/>
      <c r="Y237" s="54"/>
      <c r="Z237" s="54"/>
      <c r="AA237" s="54"/>
      <c r="AB237" s="54"/>
      <c r="AC237" s="54"/>
      <c r="AD237" s="54"/>
      <c r="AE237" s="54"/>
      <c r="AF237" s="54"/>
      <c r="AG237" s="54"/>
      <c r="AH237" s="54"/>
      <c r="AI237" s="54"/>
      <c r="AJ237" s="54"/>
      <c r="AK237" s="54"/>
      <c r="AL237" s="54"/>
      <c r="AM237" s="54"/>
      <c r="AN237" s="54"/>
      <c r="AO237" s="54"/>
      <c r="AP237" s="54"/>
      <c r="AQ237" s="54"/>
      <c r="AR237" s="54"/>
      <c r="AS237" s="54"/>
      <c r="AT237" s="54"/>
      <c r="AU237" s="54"/>
      <c r="AV237" s="54"/>
      <c r="AW237" s="54"/>
      <c r="AX237" s="54"/>
      <c r="AY237" s="54"/>
      <c r="AZ237" s="54"/>
      <c r="BA237" s="54"/>
      <c r="BB237" s="54"/>
      <c r="BC237" s="54"/>
      <c r="BD237" s="54"/>
      <c r="BE237" s="54"/>
      <c r="BF237" s="54"/>
      <c r="BG237" s="54"/>
      <c r="BH237" s="54"/>
    </row>
    <row r="238" spans="1:60" x14ac:dyDescent="0.3">
      <c r="A238" s="54"/>
      <c r="J238" s="54"/>
      <c r="K238" s="54"/>
      <c r="L238" s="54"/>
      <c r="M238" s="54"/>
      <c r="N238" s="54"/>
      <c r="O238" s="54"/>
      <c r="P238" s="54"/>
      <c r="Q238" s="54"/>
      <c r="R238" s="54"/>
      <c r="S238" s="54"/>
      <c r="T238" s="54"/>
      <c r="U238" s="54"/>
      <c r="V238" s="54"/>
      <c r="W238" s="54"/>
      <c r="X238" s="54"/>
      <c r="Y238" s="54"/>
      <c r="Z238" s="54"/>
      <c r="AA238" s="54"/>
      <c r="AB238" s="54"/>
      <c r="AC238" s="54"/>
      <c r="AD238" s="54"/>
      <c r="AE238" s="54"/>
      <c r="AF238" s="54"/>
      <c r="AG238" s="54"/>
      <c r="AH238" s="54"/>
      <c r="AI238" s="54"/>
      <c r="AJ238" s="54"/>
      <c r="AK238" s="54"/>
      <c r="AL238" s="54"/>
      <c r="AM238" s="54"/>
      <c r="AN238" s="54"/>
      <c r="AO238" s="54"/>
      <c r="AP238" s="54"/>
      <c r="AQ238" s="54"/>
      <c r="AR238" s="54"/>
      <c r="AS238" s="54"/>
      <c r="AT238" s="54"/>
      <c r="AU238" s="54"/>
      <c r="AV238" s="54"/>
      <c r="AW238" s="54"/>
      <c r="AX238" s="54"/>
      <c r="AY238" s="54"/>
      <c r="AZ238" s="54"/>
      <c r="BA238" s="54"/>
      <c r="BB238" s="54"/>
      <c r="BC238" s="54"/>
      <c r="BD238" s="54"/>
      <c r="BE238" s="54"/>
      <c r="BF238" s="54"/>
      <c r="BG238" s="54"/>
      <c r="BH238" s="54"/>
    </row>
    <row r="239" spans="1:60" x14ac:dyDescent="0.3">
      <c r="A239" s="54"/>
      <c r="J239" s="54"/>
      <c r="K239" s="54"/>
      <c r="L239" s="54"/>
      <c r="M239" s="54"/>
      <c r="N239" s="54"/>
      <c r="O239" s="54"/>
      <c r="P239" s="54"/>
      <c r="Q239" s="54"/>
      <c r="R239" s="54"/>
      <c r="S239" s="54"/>
      <c r="T239" s="54"/>
      <c r="U239" s="54"/>
      <c r="V239" s="54"/>
      <c r="W239" s="54"/>
      <c r="X239" s="54"/>
      <c r="Y239" s="54"/>
      <c r="Z239" s="54"/>
      <c r="AA239" s="54"/>
      <c r="AB239" s="54"/>
      <c r="AC239" s="54"/>
      <c r="AD239" s="54"/>
      <c r="AE239" s="54"/>
      <c r="AF239" s="54"/>
      <c r="AG239" s="54"/>
      <c r="AH239" s="54"/>
      <c r="AI239" s="54"/>
      <c r="AJ239" s="54"/>
      <c r="AK239" s="54"/>
      <c r="AL239" s="54"/>
      <c r="AM239" s="54"/>
      <c r="AN239" s="54"/>
      <c r="AO239" s="54"/>
      <c r="AP239" s="54"/>
      <c r="AQ239" s="54"/>
      <c r="AR239" s="54"/>
      <c r="AS239" s="54"/>
      <c r="AT239" s="54"/>
      <c r="AU239" s="54"/>
      <c r="AV239" s="54"/>
      <c r="AW239" s="54"/>
      <c r="AX239" s="54"/>
      <c r="AY239" s="54"/>
      <c r="AZ239" s="54"/>
      <c r="BA239" s="54"/>
      <c r="BB239" s="54"/>
      <c r="BC239" s="54"/>
      <c r="BD239" s="54"/>
      <c r="BE239" s="54"/>
      <c r="BF239" s="54"/>
      <c r="BG239" s="54"/>
      <c r="BH239" s="54"/>
    </row>
    <row r="240" spans="1:60" x14ac:dyDescent="0.3">
      <c r="A240" s="54"/>
      <c r="J240" s="54"/>
      <c r="K240" s="54"/>
      <c r="L240" s="54"/>
      <c r="M240" s="54"/>
      <c r="N240" s="54"/>
      <c r="O240" s="54"/>
      <c r="P240" s="54"/>
      <c r="Q240" s="54"/>
      <c r="R240" s="54"/>
      <c r="S240" s="54"/>
      <c r="T240" s="54"/>
      <c r="U240" s="54"/>
      <c r="V240" s="54"/>
      <c r="W240" s="54"/>
      <c r="X240" s="54"/>
      <c r="Y240" s="54"/>
      <c r="Z240" s="54"/>
      <c r="AA240" s="54"/>
      <c r="AB240" s="54"/>
      <c r="AC240" s="54"/>
      <c r="AD240" s="54"/>
      <c r="AE240" s="54"/>
      <c r="AF240" s="54"/>
      <c r="AG240" s="54"/>
      <c r="AH240" s="54"/>
      <c r="AI240" s="54"/>
      <c r="AJ240" s="54"/>
      <c r="AK240" s="54"/>
      <c r="AL240" s="54"/>
      <c r="AM240" s="54"/>
      <c r="AN240" s="54"/>
      <c r="AO240" s="54"/>
      <c r="AP240" s="54"/>
      <c r="AQ240" s="54"/>
      <c r="AR240" s="54"/>
      <c r="AS240" s="54"/>
      <c r="AT240" s="54"/>
      <c r="AU240" s="54"/>
      <c r="AV240" s="54"/>
      <c r="AW240" s="54"/>
      <c r="AX240" s="54"/>
      <c r="AY240" s="54"/>
      <c r="AZ240" s="54"/>
      <c r="BA240" s="54"/>
      <c r="BB240" s="54"/>
      <c r="BC240" s="54"/>
      <c r="BD240" s="54"/>
      <c r="BE240" s="54"/>
      <c r="BF240" s="54"/>
      <c r="BG240" s="54"/>
      <c r="BH240" s="54"/>
    </row>
    <row r="241" spans="1:60" x14ac:dyDescent="0.3">
      <c r="A241" s="54"/>
      <c r="J241" s="54"/>
      <c r="K241" s="54"/>
      <c r="L241" s="54"/>
      <c r="M241" s="54"/>
      <c r="N241" s="54"/>
      <c r="O241" s="54"/>
      <c r="P241" s="54"/>
      <c r="Q241" s="54"/>
      <c r="R241" s="54"/>
      <c r="S241" s="54"/>
      <c r="T241" s="54"/>
      <c r="U241" s="54"/>
      <c r="V241" s="54"/>
      <c r="W241" s="54"/>
      <c r="X241" s="54"/>
      <c r="Y241" s="54"/>
      <c r="Z241" s="54"/>
      <c r="AA241" s="54"/>
      <c r="AB241" s="54"/>
      <c r="AC241" s="54"/>
      <c r="AD241" s="54"/>
      <c r="AE241" s="54"/>
      <c r="AF241" s="54"/>
      <c r="AG241" s="54"/>
      <c r="AH241" s="54"/>
      <c r="AI241" s="54"/>
      <c r="AJ241" s="54"/>
      <c r="AK241" s="54"/>
      <c r="AL241" s="54"/>
      <c r="AM241" s="54"/>
      <c r="AN241" s="54"/>
      <c r="AO241" s="54"/>
      <c r="AP241" s="54"/>
      <c r="AQ241" s="54"/>
      <c r="AR241" s="54"/>
      <c r="AS241" s="54"/>
      <c r="AT241" s="54"/>
      <c r="AU241" s="54"/>
      <c r="AV241" s="54"/>
      <c r="AW241" s="54"/>
      <c r="AX241" s="54"/>
      <c r="AY241" s="54"/>
      <c r="AZ241" s="54"/>
      <c r="BA241" s="54"/>
      <c r="BB241" s="54"/>
      <c r="BC241" s="54"/>
      <c r="BD241" s="54"/>
      <c r="BE241" s="54"/>
      <c r="BF241" s="54"/>
      <c r="BG241" s="54"/>
      <c r="BH241" s="54"/>
    </row>
    <row r="242" spans="1:60" x14ac:dyDescent="0.3">
      <c r="A242" s="54"/>
      <c r="J242" s="54"/>
      <c r="K242" s="54"/>
      <c r="L242" s="54"/>
      <c r="M242" s="54"/>
      <c r="N242" s="54"/>
      <c r="O242" s="54"/>
      <c r="P242" s="54"/>
      <c r="Q242" s="54"/>
      <c r="R242" s="54"/>
      <c r="S242" s="54"/>
      <c r="T242" s="54"/>
      <c r="U242" s="54"/>
      <c r="V242" s="54"/>
      <c r="W242" s="54"/>
      <c r="X242" s="54"/>
      <c r="Y242" s="54"/>
      <c r="Z242" s="54"/>
      <c r="AA242" s="54"/>
      <c r="AB242" s="54"/>
      <c r="AC242" s="54"/>
      <c r="AD242" s="54"/>
      <c r="AE242" s="54"/>
      <c r="AF242" s="54"/>
      <c r="AG242" s="54"/>
      <c r="AH242" s="54"/>
      <c r="AI242" s="54"/>
      <c r="AJ242" s="54"/>
      <c r="AK242" s="54"/>
      <c r="AL242" s="54"/>
      <c r="AM242" s="54"/>
      <c r="AN242" s="54"/>
      <c r="AO242" s="54"/>
      <c r="AP242" s="54"/>
      <c r="AQ242" s="54"/>
      <c r="AR242" s="54"/>
      <c r="AS242" s="54"/>
      <c r="AT242" s="54"/>
      <c r="AU242" s="54"/>
      <c r="AV242" s="54"/>
      <c r="AW242" s="54"/>
      <c r="AX242" s="54"/>
      <c r="AY242" s="54"/>
      <c r="AZ242" s="54"/>
      <c r="BA242" s="54"/>
      <c r="BB242" s="54"/>
      <c r="BC242" s="54"/>
      <c r="BD242" s="54"/>
      <c r="BE242" s="54"/>
      <c r="BF242" s="54"/>
      <c r="BG242" s="54"/>
      <c r="BH242" s="54"/>
    </row>
    <row r="243" spans="1:60" x14ac:dyDescent="0.3">
      <c r="A243" s="54"/>
      <c r="J243" s="54"/>
      <c r="K243" s="54"/>
      <c r="L243" s="54"/>
      <c r="M243" s="54"/>
      <c r="N243" s="54"/>
      <c r="O243" s="54"/>
      <c r="P243" s="54"/>
      <c r="Q243" s="54"/>
      <c r="R243" s="54"/>
      <c r="S243" s="54"/>
      <c r="T243" s="54"/>
      <c r="U243" s="54"/>
      <c r="V243" s="54"/>
      <c r="W243" s="54"/>
      <c r="X243" s="54"/>
      <c r="Y243" s="54"/>
      <c r="Z243" s="54"/>
      <c r="AA243" s="54"/>
      <c r="AB243" s="54"/>
      <c r="AC243" s="54"/>
      <c r="AD243" s="54"/>
      <c r="AE243" s="54"/>
      <c r="AF243" s="54"/>
      <c r="AG243" s="54"/>
      <c r="AH243" s="54"/>
      <c r="AI243" s="54"/>
      <c r="AJ243" s="54"/>
      <c r="AK243" s="54"/>
      <c r="AL243" s="54"/>
      <c r="AM243" s="54"/>
      <c r="AN243" s="54"/>
      <c r="AO243" s="54"/>
      <c r="AP243" s="54"/>
      <c r="AQ243" s="54"/>
      <c r="AR243" s="54"/>
      <c r="AS243" s="54"/>
      <c r="AT243" s="54"/>
      <c r="AU243" s="54"/>
      <c r="AV243" s="54"/>
      <c r="AW243" s="54"/>
      <c r="AX243" s="54"/>
      <c r="AY243" s="54"/>
      <c r="AZ243" s="54"/>
      <c r="BA243" s="54"/>
      <c r="BB243" s="54"/>
      <c r="BC243" s="54"/>
      <c r="BD243" s="54"/>
      <c r="BE243" s="54"/>
      <c r="BF243" s="54"/>
      <c r="BG243" s="54"/>
      <c r="BH243" s="54"/>
    </row>
    <row r="244" spans="1:60" x14ac:dyDescent="0.3">
      <c r="A244" s="54"/>
      <c r="J244" s="54"/>
      <c r="K244" s="54"/>
      <c r="L244" s="54"/>
      <c r="M244" s="54"/>
      <c r="N244" s="54"/>
      <c r="O244" s="54"/>
      <c r="P244" s="54"/>
      <c r="Q244" s="54"/>
      <c r="R244" s="54"/>
      <c r="S244" s="54"/>
      <c r="T244" s="54"/>
      <c r="U244" s="54"/>
      <c r="V244" s="54"/>
      <c r="W244" s="54"/>
      <c r="X244" s="54"/>
      <c r="Y244" s="54"/>
      <c r="Z244" s="54"/>
      <c r="AA244" s="54"/>
      <c r="AB244" s="54"/>
      <c r="AC244" s="54"/>
      <c r="AD244" s="54"/>
      <c r="AE244" s="54"/>
      <c r="AF244" s="54"/>
      <c r="AG244" s="54"/>
      <c r="AH244" s="54"/>
      <c r="AI244" s="54"/>
      <c r="AJ244" s="54"/>
      <c r="AK244" s="54"/>
      <c r="AL244" s="54"/>
      <c r="AM244" s="54"/>
      <c r="AN244" s="54"/>
      <c r="AO244" s="54"/>
      <c r="AP244" s="54"/>
      <c r="AQ244" s="54"/>
      <c r="AR244" s="54"/>
      <c r="AS244" s="54"/>
      <c r="AT244" s="54"/>
      <c r="AU244" s="54"/>
      <c r="AV244" s="54"/>
      <c r="AW244" s="54"/>
      <c r="AX244" s="54"/>
      <c r="AY244" s="54"/>
      <c r="AZ244" s="54"/>
      <c r="BA244" s="54"/>
      <c r="BB244" s="54"/>
      <c r="BC244" s="54"/>
      <c r="BD244" s="54"/>
      <c r="BE244" s="54"/>
      <c r="BF244" s="54"/>
      <c r="BG244" s="54"/>
      <c r="BH244" s="54"/>
    </row>
    <row r="245" spans="1:60" x14ac:dyDescent="0.3">
      <c r="A245" s="54"/>
    </row>
    <row r="246" spans="1:60" x14ac:dyDescent="0.3">
      <c r="A246" s="54"/>
    </row>
    <row r="247" spans="1:60" x14ac:dyDescent="0.3">
      <c r="A247" s="54"/>
    </row>
    <row r="248" spans="1:60" x14ac:dyDescent="0.3">
      <c r="A248" s="54"/>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workbookViewId="0"/>
  </sheetViews>
  <sheetFormatPr baseColWidth="10" defaultColWidth="11.5546875" defaultRowHeight="14.4" x14ac:dyDescent="0.3"/>
  <cols>
    <col min="2" max="2" width="24.109375" customWidth="1"/>
    <col min="3" max="3" width="70.109375" customWidth="1"/>
    <col min="4" max="4" width="29.88671875" customWidth="1"/>
  </cols>
  <sheetData>
    <row r="1" spans="1:37" ht="23.4" x14ac:dyDescent="0.3">
      <c r="A1" s="54"/>
      <c r="B1" s="430" t="s">
        <v>55</v>
      </c>
      <c r="C1" s="430"/>
      <c r="D1" s="430"/>
      <c r="E1" s="54"/>
      <c r="F1" s="54"/>
      <c r="G1" s="54"/>
      <c r="H1" s="54"/>
      <c r="I1" s="54"/>
      <c r="J1" s="54"/>
      <c r="K1" s="54"/>
      <c r="L1" s="54"/>
      <c r="M1" s="54"/>
      <c r="N1" s="54"/>
      <c r="O1" s="54"/>
      <c r="P1" s="54"/>
      <c r="Q1" s="54"/>
      <c r="R1" s="54"/>
      <c r="S1" s="54"/>
      <c r="T1" s="54"/>
      <c r="U1" s="54"/>
      <c r="V1" s="54"/>
      <c r="W1" s="54"/>
      <c r="X1" s="54"/>
      <c r="Y1" s="54"/>
      <c r="Z1" s="54"/>
      <c r="AA1" s="54"/>
      <c r="AB1" s="54"/>
      <c r="AC1" s="54"/>
      <c r="AD1" s="54"/>
      <c r="AE1" s="54"/>
    </row>
    <row r="2" spans="1:37" x14ac:dyDescent="0.3">
      <c r="A2" s="54"/>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row>
    <row r="3" spans="1:37" ht="25.2" x14ac:dyDescent="0.3">
      <c r="A3" s="54"/>
      <c r="B3" s="3"/>
      <c r="C3" s="4" t="s">
        <v>52</v>
      </c>
      <c r="D3" s="4" t="s">
        <v>4</v>
      </c>
      <c r="E3" s="54"/>
      <c r="F3" s="54"/>
      <c r="G3" s="54"/>
      <c r="H3" s="54"/>
      <c r="I3" s="54"/>
      <c r="J3" s="54"/>
      <c r="K3" s="54"/>
      <c r="L3" s="54"/>
      <c r="M3" s="54"/>
      <c r="N3" s="54"/>
      <c r="O3" s="54"/>
      <c r="P3" s="54"/>
      <c r="Q3" s="54"/>
      <c r="R3" s="54"/>
      <c r="S3" s="54"/>
      <c r="T3" s="54"/>
      <c r="U3" s="54"/>
      <c r="V3" s="54"/>
      <c r="W3" s="54"/>
      <c r="X3" s="54"/>
      <c r="Y3" s="54"/>
      <c r="Z3" s="54"/>
      <c r="AA3" s="54"/>
      <c r="AB3" s="54"/>
      <c r="AC3" s="54"/>
      <c r="AD3" s="54"/>
      <c r="AE3" s="54"/>
    </row>
    <row r="4" spans="1:37" ht="50.4" x14ac:dyDescent="0.3">
      <c r="A4" s="54"/>
      <c r="B4" s="5" t="s">
        <v>51</v>
      </c>
      <c r="C4" s="6" t="s">
        <v>97</v>
      </c>
      <c r="D4" s="7">
        <v>0.2</v>
      </c>
      <c r="E4" s="54"/>
      <c r="F4" s="54"/>
      <c r="G4" s="54"/>
      <c r="H4" s="54"/>
      <c r="I4" s="54"/>
      <c r="J4" s="54"/>
      <c r="K4" s="54"/>
      <c r="L4" s="54"/>
      <c r="M4" s="54"/>
      <c r="N4" s="54"/>
      <c r="O4" s="54"/>
      <c r="P4" s="54"/>
      <c r="Q4" s="54"/>
      <c r="R4" s="54"/>
      <c r="S4" s="54"/>
      <c r="T4" s="54"/>
      <c r="U4" s="54"/>
      <c r="V4" s="54"/>
      <c r="W4" s="54"/>
      <c r="X4" s="54"/>
      <c r="Y4" s="54"/>
      <c r="Z4" s="54"/>
      <c r="AA4" s="54"/>
      <c r="AB4" s="54"/>
      <c r="AC4" s="54"/>
      <c r="AD4" s="54"/>
      <c r="AE4" s="54"/>
    </row>
    <row r="5" spans="1:37" ht="50.4" x14ac:dyDescent="0.3">
      <c r="A5" s="54"/>
      <c r="B5" s="8" t="s">
        <v>53</v>
      </c>
      <c r="C5" s="9" t="s">
        <v>98</v>
      </c>
      <c r="D5" s="10">
        <v>0.4</v>
      </c>
      <c r="E5" s="54"/>
      <c r="F5" s="54"/>
      <c r="G5" s="54"/>
      <c r="H5" s="54"/>
      <c r="I5" s="54"/>
      <c r="J5" s="54"/>
      <c r="K5" s="54"/>
      <c r="L5" s="54"/>
      <c r="M5" s="54"/>
      <c r="N5" s="54"/>
      <c r="O5" s="54"/>
      <c r="P5" s="54"/>
      <c r="Q5" s="54"/>
      <c r="R5" s="54"/>
      <c r="S5" s="54"/>
      <c r="T5" s="54"/>
      <c r="U5" s="54"/>
      <c r="V5" s="54"/>
      <c r="W5" s="54"/>
      <c r="X5" s="54"/>
      <c r="Y5" s="54"/>
      <c r="Z5" s="54"/>
      <c r="AA5" s="54"/>
      <c r="AB5" s="54"/>
      <c r="AC5" s="54"/>
      <c r="AD5" s="54"/>
      <c r="AE5" s="54"/>
    </row>
    <row r="6" spans="1:37" ht="50.4" x14ac:dyDescent="0.3">
      <c r="A6" s="54"/>
      <c r="B6" s="11" t="s">
        <v>102</v>
      </c>
      <c r="C6" s="9" t="s">
        <v>99</v>
      </c>
      <c r="D6" s="10">
        <v>0.6</v>
      </c>
      <c r="E6" s="54"/>
      <c r="F6" s="54"/>
      <c r="G6" s="54"/>
      <c r="H6" s="54"/>
      <c r="I6" s="54"/>
      <c r="J6" s="54"/>
      <c r="K6" s="54"/>
      <c r="L6" s="54"/>
      <c r="M6" s="54"/>
      <c r="N6" s="54"/>
      <c r="O6" s="54"/>
      <c r="P6" s="54"/>
      <c r="Q6" s="54"/>
      <c r="R6" s="54"/>
      <c r="S6" s="54"/>
      <c r="T6" s="54"/>
      <c r="U6" s="54"/>
      <c r="V6" s="54"/>
      <c r="W6" s="54"/>
      <c r="X6" s="54"/>
      <c r="Y6" s="54"/>
      <c r="Z6" s="54"/>
      <c r="AA6" s="54"/>
      <c r="AB6" s="54"/>
      <c r="AC6" s="54"/>
      <c r="AD6" s="54"/>
      <c r="AE6" s="54"/>
    </row>
    <row r="7" spans="1:37" ht="75.599999999999994" x14ac:dyDescent="0.3">
      <c r="A7" s="54"/>
      <c r="B7" s="12" t="s">
        <v>6</v>
      </c>
      <c r="C7" s="9" t="s">
        <v>100</v>
      </c>
      <c r="D7" s="10">
        <v>0.8</v>
      </c>
      <c r="E7" s="54"/>
      <c r="F7" s="54"/>
      <c r="G7" s="54"/>
      <c r="H7" s="54"/>
      <c r="I7" s="54"/>
      <c r="J7" s="54"/>
      <c r="K7" s="54"/>
      <c r="L7" s="54"/>
      <c r="M7" s="54"/>
      <c r="N7" s="54"/>
      <c r="O7" s="54"/>
      <c r="P7" s="54"/>
      <c r="Q7" s="54"/>
      <c r="R7" s="54"/>
      <c r="S7" s="54"/>
      <c r="T7" s="54"/>
      <c r="U7" s="54"/>
      <c r="V7" s="54"/>
      <c r="W7" s="54"/>
      <c r="X7" s="54"/>
      <c r="Y7" s="54"/>
      <c r="Z7" s="54"/>
      <c r="AA7" s="54"/>
      <c r="AB7" s="54"/>
      <c r="AC7" s="54"/>
      <c r="AD7" s="54"/>
      <c r="AE7" s="54"/>
    </row>
    <row r="8" spans="1:37" ht="50.4" x14ac:dyDescent="0.3">
      <c r="A8" s="54"/>
      <c r="B8" s="13" t="s">
        <v>54</v>
      </c>
      <c r="C8" s="9" t="s">
        <v>101</v>
      </c>
      <c r="D8" s="10">
        <v>1</v>
      </c>
      <c r="E8" s="54"/>
      <c r="F8" s="54"/>
      <c r="G8" s="54"/>
      <c r="H8" s="54"/>
      <c r="I8" s="54"/>
      <c r="J8" s="54"/>
      <c r="K8" s="54"/>
      <c r="L8" s="54"/>
      <c r="M8" s="54"/>
      <c r="N8" s="54"/>
      <c r="O8" s="54"/>
      <c r="P8" s="54"/>
      <c r="Q8" s="54"/>
      <c r="R8" s="54"/>
      <c r="S8" s="54"/>
      <c r="T8" s="54"/>
      <c r="U8" s="54"/>
      <c r="V8" s="54"/>
      <c r="W8" s="54"/>
      <c r="X8" s="54"/>
      <c r="Y8" s="54"/>
      <c r="Z8" s="54"/>
      <c r="AA8" s="54"/>
      <c r="AB8" s="54"/>
      <c r="AC8" s="54"/>
      <c r="AD8" s="54"/>
      <c r="AE8" s="54"/>
    </row>
    <row r="9" spans="1:37" x14ac:dyDescent="0.3">
      <c r="A9" s="54"/>
      <c r="B9" s="76"/>
      <c r="C9" s="76"/>
      <c r="D9" s="76"/>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row>
    <row r="10" spans="1:37" x14ac:dyDescent="0.3">
      <c r="A10" s="54"/>
      <c r="B10" s="77"/>
      <c r="C10" s="76"/>
      <c r="D10" s="76"/>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row>
    <row r="11" spans="1:37" x14ac:dyDescent="0.3">
      <c r="A11" s="54"/>
      <c r="B11" s="76"/>
      <c r="C11" s="76"/>
      <c r="D11" s="76"/>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row>
    <row r="12" spans="1:37" x14ac:dyDescent="0.3">
      <c r="A12" s="54"/>
      <c r="B12" s="76"/>
      <c r="C12" s="76"/>
      <c r="D12" s="76"/>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row>
    <row r="13" spans="1:37" x14ac:dyDescent="0.3">
      <c r="A13" s="54"/>
      <c r="B13" s="76"/>
      <c r="C13" s="76"/>
      <c r="D13" s="76"/>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row>
    <row r="14" spans="1:37" x14ac:dyDescent="0.3">
      <c r="A14" s="54"/>
      <c r="B14" s="76"/>
      <c r="C14" s="76"/>
      <c r="D14" s="76"/>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row>
    <row r="15" spans="1:37" x14ac:dyDescent="0.3">
      <c r="A15" s="54"/>
      <c r="B15" s="76"/>
      <c r="C15" s="76"/>
      <c r="D15" s="76"/>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row>
    <row r="16" spans="1:37" x14ac:dyDescent="0.3">
      <c r="A16" s="54"/>
      <c r="B16" s="76"/>
      <c r="C16" s="76"/>
      <c r="D16" s="76"/>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row>
    <row r="17" spans="1:37" x14ac:dyDescent="0.3">
      <c r="A17" s="54"/>
      <c r="B17" s="76"/>
      <c r="C17" s="76"/>
      <c r="D17" s="76"/>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row>
    <row r="18" spans="1:37" x14ac:dyDescent="0.3">
      <c r="A18" s="54"/>
      <c r="B18" s="76"/>
      <c r="C18" s="76"/>
      <c r="D18" s="76"/>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row>
    <row r="19" spans="1:37" x14ac:dyDescent="0.3">
      <c r="A19" s="54"/>
      <c r="B19" s="54"/>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row>
    <row r="20" spans="1:37" x14ac:dyDescent="0.3">
      <c r="A20" s="54"/>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row>
    <row r="21" spans="1:37" x14ac:dyDescent="0.3">
      <c r="A21" s="54"/>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row>
    <row r="22" spans="1:37" x14ac:dyDescent="0.3">
      <c r="A22" s="54"/>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row>
    <row r="23" spans="1:37" x14ac:dyDescent="0.3">
      <c r="A23" s="54"/>
      <c r="B23" s="54"/>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row>
    <row r="24" spans="1:37" x14ac:dyDescent="0.3">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row>
    <row r="25" spans="1:37" x14ac:dyDescent="0.3">
      <c r="A25" s="54"/>
      <c r="B25" s="54"/>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row>
    <row r="26" spans="1:37" x14ac:dyDescent="0.3">
      <c r="A26" s="54"/>
      <c r="B26" s="54"/>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row>
    <row r="27" spans="1:37" x14ac:dyDescent="0.3">
      <c r="A27" s="54"/>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row>
    <row r="28" spans="1:37" x14ac:dyDescent="0.3">
      <c r="A28" s="54"/>
      <c r="B28" s="54"/>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row>
    <row r="29" spans="1:37" x14ac:dyDescent="0.3">
      <c r="A29" s="54"/>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row>
    <row r="30" spans="1:37" x14ac:dyDescent="0.3">
      <c r="A30" s="54"/>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row>
    <row r="31" spans="1:37" x14ac:dyDescent="0.3">
      <c r="A31" s="54"/>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row>
    <row r="32" spans="1:37" x14ac:dyDescent="0.3">
      <c r="A32" s="54"/>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row>
    <row r="33" spans="1:31" x14ac:dyDescent="0.3">
      <c r="A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row>
    <row r="34" spans="1:31" x14ac:dyDescent="0.3">
      <c r="A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row>
    <row r="35" spans="1:31" x14ac:dyDescent="0.3">
      <c r="A35" s="54"/>
    </row>
    <row r="36" spans="1:31" x14ac:dyDescent="0.3">
      <c r="A36" s="54"/>
    </row>
    <row r="37" spans="1:31" x14ac:dyDescent="0.3">
      <c r="A37" s="54"/>
    </row>
    <row r="38" spans="1:31" x14ac:dyDescent="0.3">
      <c r="A38" s="54"/>
    </row>
    <row r="39" spans="1:31" x14ac:dyDescent="0.3">
      <c r="A39" s="54"/>
    </row>
    <row r="40" spans="1:31" x14ac:dyDescent="0.3">
      <c r="A40" s="54"/>
    </row>
    <row r="41" spans="1:31" x14ac:dyDescent="0.3">
      <c r="A41" s="54"/>
    </row>
    <row r="42" spans="1:31" x14ac:dyDescent="0.3">
      <c r="A42" s="54"/>
    </row>
    <row r="43" spans="1:31" x14ac:dyDescent="0.3">
      <c r="A43" s="54"/>
    </row>
    <row r="44" spans="1:31" x14ac:dyDescent="0.3">
      <c r="A44" s="54"/>
    </row>
    <row r="45" spans="1:31" x14ac:dyDescent="0.3">
      <c r="A45" s="54"/>
    </row>
    <row r="46" spans="1:31" x14ac:dyDescent="0.3">
      <c r="A46" s="54"/>
    </row>
    <row r="47" spans="1:31" x14ac:dyDescent="0.3">
      <c r="A47" s="54"/>
    </row>
    <row r="48" spans="1:31" x14ac:dyDescent="0.3">
      <c r="A48" s="54"/>
    </row>
    <row r="49" spans="1:1" x14ac:dyDescent="0.3">
      <c r="A49" s="54"/>
    </row>
    <row r="50" spans="1:1" x14ac:dyDescent="0.3">
      <c r="A50" s="54"/>
    </row>
    <row r="51" spans="1:1" x14ac:dyDescent="0.3">
      <c r="A51" s="54"/>
    </row>
    <row r="52" spans="1:1" x14ac:dyDescent="0.3">
      <c r="A52" s="54"/>
    </row>
    <row r="53" spans="1:1" x14ac:dyDescent="0.3">
      <c r="A53" s="54"/>
    </row>
    <row r="54" spans="1:1" x14ac:dyDescent="0.3">
      <c r="A54" s="54"/>
    </row>
    <row r="55" spans="1:1" x14ac:dyDescent="0.3">
      <c r="A55" s="5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24"/>
  <sheetViews>
    <sheetView zoomScale="70" zoomScaleNormal="70" workbookViewId="0">
      <selection activeCell="C15" sqref="C15"/>
    </sheetView>
  </sheetViews>
  <sheetFormatPr baseColWidth="10" defaultColWidth="11.44140625" defaultRowHeight="14.4" x14ac:dyDescent="0.3"/>
  <cols>
    <col min="1" max="1" width="11.44140625" style="14"/>
    <col min="2" max="2" width="40.44140625" style="14" customWidth="1"/>
    <col min="3" max="3" width="74.88671875" style="14" customWidth="1"/>
    <col min="4" max="4" width="135" style="14" bestFit="1" customWidth="1"/>
    <col min="5" max="5" width="137.88671875" style="14" customWidth="1"/>
    <col min="6" max="16384" width="11.44140625" style="14"/>
  </cols>
  <sheetData>
    <row r="1" spans="1:21" ht="32.4" x14ac:dyDescent="0.3">
      <c r="A1" s="76"/>
      <c r="B1" s="431" t="s">
        <v>62</v>
      </c>
      <c r="C1" s="431"/>
      <c r="D1" s="431"/>
      <c r="E1" s="76"/>
      <c r="F1" s="76"/>
      <c r="G1" s="76"/>
      <c r="H1" s="76"/>
      <c r="I1" s="76"/>
      <c r="J1" s="76"/>
      <c r="K1" s="76"/>
      <c r="L1" s="76"/>
      <c r="M1" s="76"/>
      <c r="N1" s="76"/>
      <c r="O1" s="76"/>
      <c r="P1" s="76"/>
      <c r="Q1" s="76"/>
      <c r="R1" s="76"/>
      <c r="S1" s="76"/>
      <c r="T1" s="76"/>
      <c r="U1" s="76"/>
    </row>
    <row r="2" spans="1:21" x14ac:dyDescent="0.3">
      <c r="A2" s="76"/>
      <c r="B2" s="76"/>
      <c r="C2" s="76"/>
      <c r="D2" s="76"/>
      <c r="E2" s="76"/>
      <c r="F2" s="76"/>
      <c r="G2" s="76"/>
      <c r="H2" s="76"/>
      <c r="I2" s="76"/>
      <c r="J2" s="76"/>
      <c r="K2" s="76"/>
      <c r="L2" s="76"/>
      <c r="M2" s="76"/>
      <c r="N2" s="76"/>
      <c r="O2" s="76"/>
      <c r="P2" s="76"/>
      <c r="Q2" s="76"/>
      <c r="R2" s="76"/>
      <c r="S2" s="76"/>
      <c r="T2" s="76"/>
      <c r="U2" s="76"/>
    </row>
    <row r="3" spans="1:21" ht="30" x14ac:dyDescent="0.3">
      <c r="A3" s="76"/>
      <c r="B3" s="75"/>
      <c r="C3" s="94" t="s">
        <v>56</v>
      </c>
      <c r="D3" s="94" t="s">
        <v>57</v>
      </c>
      <c r="E3" s="76"/>
      <c r="F3" s="76"/>
      <c r="G3" s="76"/>
      <c r="H3" s="76"/>
      <c r="I3" s="76"/>
      <c r="J3" s="76"/>
      <c r="K3" s="76"/>
      <c r="L3" s="76"/>
      <c r="M3" s="76"/>
      <c r="N3" s="76"/>
      <c r="O3" s="76"/>
      <c r="P3" s="76"/>
      <c r="Q3" s="76"/>
      <c r="R3" s="76"/>
      <c r="S3" s="76"/>
      <c r="T3" s="76"/>
      <c r="U3" s="76"/>
    </row>
    <row r="4" spans="1:21" ht="32.4" x14ac:dyDescent="0.3">
      <c r="A4" s="76" t="s">
        <v>82</v>
      </c>
      <c r="B4" s="95" t="s">
        <v>96</v>
      </c>
      <c r="C4" s="96" t="s">
        <v>204</v>
      </c>
      <c r="D4" s="97" t="s">
        <v>92</v>
      </c>
      <c r="E4" s="76"/>
      <c r="F4" s="76"/>
      <c r="G4" s="76"/>
      <c r="H4" s="76"/>
      <c r="I4" s="76"/>
      <c r="J4" s="76"/>
      <c r="K4" s="76"/>
      <c r="L4" s="76"/>
      <c r="M4" s="76"/>
      <c r="N4" s="76"/>
      <c r="O4" s="76"/>
      <c r="P4" s="76"/>
      <c r="Q4" s="76"/>
      <c r="R4" s="76"/>
      <c r="S4" s="76"/>
      <c r="T4" s="76"/>
      <c r="U4" s="76"/>
    </row>
    <row r="5" spans="1:21" ht="64.8" x14ac:dyDescent="0.3">
      <c r="A5" s="76" t="s">
        <v>83</v>
      </c>
      <c r="B5" s="98" t="s">
        <v>58</v>
      </c>
      <c r="C5" s="99" t="s">
        <v>205</v>
      </c>
      <c r="D5" s="100" t="s">
        <v>93</v>
      </c>
      <c r="E5" s="76"/>
      <c r="F5" s="76"/>
      <c r="G5" s="76"/>
      <c r="H5" s="76"/>
      <c r="I5" s="76"/>
      <c r="J5" s="76"/>
      <c r="K5" s="76"/>
      <c r="L5" s="76"/>
      <c r="M5" s="76"/>
      <c r="N5" s="76"/>
      <c r="O5" s="76"/>
      <c r="P5" s="76"/>
      <c r="Q5" s="76"/>
      <c r="R5" s="76"/>
      <c r="S5" s="76"/>
      <c r="T5" s="76"/>
      <c r="U5" s="76"/>
    </row>
    <row r="6" spans="1:21" ht="64.8" x14ac:dyDescent="0.3">
      <c r="A6" s="76" t="s">
        <v>80</v>
      </c>
      <c r="B6" s="101" t="s">
        <v>59</v>
      </c>
      <c r="C6" s="99" t="s">
        <v>209</v>
      </c>
      <c r="D6" s="100" t="s">
        <v>95</v>
      </c>
      <c r="E6" s="76"/>
      <c r="F6" s="76"/>
      <c r="G6" s="76"/>
      <c r="H6" s="76"/>
      <c r="I6" s="76"/>
      <c r="J6" s="76"/>
      <c r="K6" s="76"/>
      <c r="L6" s="76"/>
      <c r="M6" s="76"/>
      <c r="N6" s="76"/>
      <c r="O6" s="76"/>
      <c r="P6" s="76"/>
      <c r="Q6" s="76"/>
      <c r="R6" s="76"/>
      <c r="S6" s="76"/>
      <c r="T6" s="76"/>
      <c r="U6" s="76"/>
    </row>
    <row r="7" spans="1:21" ht="97.2" x14ac:dyDescent="0.3">
      <c r="A7" s="76" t="s">
        <v>7</v>
      </c>
      <c r="B7" s="102" t="s">
        <v>60</v>
      </c>
      <c r="C7" s="99" t="s">
        <v>210</v>
      </c>
      <c r="D7" s="100" t="s">
        <v>94</v>
      </c>
      <c r="E7" s="76"/>
      <c r="F7" s="76"/>
      <c r="G7" s="76"/>
      <c r="H7" s="76"/>
      <c r="I7" s="76"/>
      <c r="J7" s="76"/>
      <c r="K7" s="76"/>
      <c r="L7" s="76"/>
      <c r="M7" s="76"/>
      <c r="N7" s="76"/>
      <c r="O7" s="76"/>
      <c r="P7" s="76"/>
      <c r="Q7" s="76"/>
      <c r="R7" s="76"/>
      <c r="S7" s="76"/>
      <c r="T7" s="76"/>
      <c r="U7" s="76"/>
    </row>
    <row r="8" spans="1:21" ht="64.8" x14ac:dyDescent="0.3">
      <c r="A8" s="76" t="s">
        <v>84</v>
      </c>
      <c r="B8" s="103" t="s">
        <v>61</v>
      </c>
      <c r="C8" s="99" t="s">
        <v>206</v>
      </c>
      <c r="D8" s="100" t="s">
        <v>113</v>
      </c>
      <c r="E8" s="76"/>
      <c r="F8" s="76"/>
      <c r="G8" s="76"/>
      <c r="H8" s="76"/>
      <c r="I8" s="76"/>
      <c r="J8" s="76"/>
      <c r="K8" s="76"/>
      <c r="L8" s="76"/>
      <c r="M8" s="76"/>
      <c r="N8" s="76"/>
      <c r="O8" s="76"/>
      <c r="P8" s="76"/>
      <c r="Q8" s="76"/>
      <c r="R8" s="76"/>
      <c r="S8" s="76"/>
      <c r="T8" s="76"/>
      <c r="U8" s="76"/>
    </row>
    <row r="9" spans="1:21" s="15" customFormat="1" ht="20.399999999999999" x14ac:dyDescent="0.3">
      <c r="A9" s="74"/>
      <c r="B9" s="74"/>
      <c r="C9" s="104"/>
      <c r="D9" s="104"/>
      <c r="E9" s="74"/>
      <c r="F9" s="74"/>
      <c r="G9" s="74"/>
      <c r="H9" s="74"/>
      <c r="I9" s="74"/>
      <c r="J9" s="74"/>
      <c r="K9" s="74"/>
      <c r="L9" s="74"/>
      <c r="M9" s="74"/>
      <c r="N9" s="74"/>
      <c r="O9" s="74"/>
      <c r="P9" s="74"/>
      <c r="Q9" s="74"/>
      <c r="R9" s="74"/>
      <c r="S9" s="74"/>
      <c r="T9" s="74"/>
      <c r="U9" s="74"/>
    </row>
    <row r="10" spans="1:21" s="15" customFormat="1" x14ac:dyDescent="0.3">
      <c r="A10" s="74"/>
      <c r="B10" s="105"/>
      <c r="C10" s="105"/>
      <c r="D10" s="105"/>
      <c r="E10" s="74"/>
      <c r="F10" s="74"/>
      <c r="G10" s="74"/>
      <c r="H10" s="74"/>
      <c r="I10" s="74"/>
      <c r="J10" s="74"/>
      <c r="K10" s="74"/>
      <c r="L10" s="74"/>
      <c r="M10" s="74"/>
      <c r="N10" s="74"/>
      <c r="O10" s="74"/>
      <c r="P10" s="74"/>
      <c r="Q10" s="74"/>
      <c r="R10" s="74"/>
      <c r="S10" s="74"/>
      <c r="T10" s="74"/>
      <c r="U10" s="74"/>
    </row>
    <row r="11" spans="1:21" s="15" customFormat="1" x14ac:dyDescent="0.3">
      <c r="A11" s="74"/>
      <c r="B11" s="74" t="s">
        <v>90</v>
      </c>
      <c r="C11" s="74" t="s">
        <v>208</v>
      </c>
      <c r="D11" s="74" t="s">
        <v>142</v>
      </c>
      <c r="E11" s="74"/>
      <c r="F11" s="74"/>
      <c r="G11" s="74"/>
      <c r="H11" s="74"/>
      <c r="I11" s="74"/>
      <c r="J11" s="74"/>
      <c r="K11" s="74"/>
      <c r="L11" s="74"/>
      <c r="M11" s="74"/>
      <c r="N11" s="74"/>
      <c r="O11" s="74"/>
      <c r="P11" s="74"/>
      <c r="Q11" s="74"/>
      <c r="R11" s="74"/>
      <c r="S11" s="74"/>
      <c r="T11" s="74"/>
      <c r="U11" s="74"/>
    </row>
    <row r="12" spans="1:21" s="15" customFormat="1" x14ac:dyDescent="0.3">
      <c r="A12" s="74"/>
      <c r="B12" s="74" t="s">
        <v>88</v>
      </c>
      <c r="C12" s="74" t="s">
        <v>207</v>
      </c>
      <c r="D12" s="74" t="s">
        <v>143</v>
      </c>
      <c r="E12" s="74"/>
      <c r="F12" s="74"/>
      <c r="G12" s="74"/>
      <c r="H12" s="74"/>
      <c r="I12" s="74"/>
      <c r="J12" s="74"/>
      <c r="K12" s="74"/>
      <c r="L12" s="74"/>
      <c r="M12" s="74"/>
      <c r="N12" s="74"/>
      <c r="O12" s="74"/>
      <c r="P12" s="74"/>
      <c r="Q12" s="74"/>
      <c r="R12" s="74"/>
      <c r="S12" s="74"/>
      <c r="T12" s="74"/>
      <c r="U12" s="74"/>
    </row>
    <row r="13" spans="1:21" s="15" customFormat="1" x14ac:dyDescent="0.3">
      <c r="A13" s="74"/>
      <c r="B13" s="74"/>
      <c r="C13" s="74" t="s">
        <v>211</v>
      </c>
      <c r="D13" s="74" t="s">
        <v>144</v>
      </c>
      <c r="E13" s="74"/>
      <c r="F13" s="74"/>
      <c r="G13" s="74"/>
      <c r="H13" s="74"/>
      <c r="I13" s="74"/>
      <c r="J13" s="74"/>
      <c r="K13" s="74"/>
      <c r="L13" s="74"/>
      <c r="M13" s="74"/>
      <c r="N13" s="74"/>
      <c r="O13" s="74"/>
      <c r="P13" s="74"/>
      <c r="Q13" s="74"/>
      <c r="R13" s="74"/>
      <c r="S13" s="74"/>
      <c r="T13" s="74"/>
      <c r="U13" s="74"/>
    </row>
    <row r="14" spans="1:21" s="15" customFormat="1" x14ac:dyDescent="0.3">
      <c r="A14" s="74"/>
      <c r="B14" s="74"/>
      <c r="C14" s="74" t="s">
        <v>213</v>
      </c>
      <c r="D14" s="74" t="s">
        <v>145</v>
      </c>
      <c r="E14" s="74"/>
      <c r="F14" s="74"/>
      <c r="G14" s="74"/>
      <c r="H14" s="74"/>
      <c r="I14" s="74"/>
      <c r="J14" s="74"/>
      <c r="K14" s="74"/>
      <c r="L14" s="74"/>
      <c r="M14" s="74"/>
      <c r="N14" s="74"/>
      <c r="O14" s="74"/>
      <c r="P14" s="74"/>
      <c r="Q14" s="74"/>
      <c r="R14" s="74"/>
      <c r="S14" s="74"/>
      <c r="T14" s="74"/>
      <c r="U14" s="74"/>
    </row>
    <row r="15" spans="1:21" s="15" customFormat="1" x14ac:dyDescent="0.3">
      <c r="A15" s="74"/>
      <c r="B15" s="74"/>
      <c r="C15" s="74" t="s">
        <v>212</v>
      </c>
      <c r="D15" s="74" t="s">
        <v>146</v>
      </c>
      <c r="E15" s="74"/>
      <c r="F15" s="74"/>
      <c r="G15" s="74"/>
      <c r="H15" s="74"/>
      <c r="I15" s="74"/>
      <c r="J15" s="74"/>
      <c r="K15" s="74"/>
      <c r="L15" s="74"/>
      <c r="M15" s="74"/>
      <c r="N15" s="74"/>
      <c r="O15" s="74"/>
      <c r="P15" s="74"/>
      <c r="Q15" s="74"/>
      <c r="R15" s="74"/>
      <c r="S15" s="74"/>
      <c r="T15" s="74"/>
      <c r="U15" s="74"/>
    </row>
    <row r="16" spans="1:21" s="15" customFormat="1" x14ac:dyDescent="0.3">
      <c r="A16" s="74"/>
      <c r="B16" s="74"/>
      <c r="C16" s="74"/>
      <c r="D16" s="74"/>
      <c r="E16" s="74"/>
      <c r="F16" s="74"/>
      <c r="G16" s="74"/>
      <c r="H16" s="74"/>
      <c r="I16" s="74"/>
      <c r="J16" s="74"/>
      <c r="K16" s="74"/>
      <c r="L16" s="74"/>
      <c r="M16" s="74"/>
      <c r="N16" s="74"/>
      <c r="O16" s="74"/>
    </row>
    <row r="17" spans="1:15" s="15" customFormat="1" x14ac:dyDescent="0.3">
      <c r="A17" s="74"/>
      <c r="B17" s="74"/>
      <c r="C17" s="74"/>
      <c r="D17" s="74"/>
      <c r="E17" s="74"/>
      <c r="F17" s="74"/>
      <c r="G17" s="74"/>
      <c r="H17" s="74"/>
      <c r="I17" s="74"/>
      <c r="J17" s="74"/>
      <c r="K17" s="74"/>
      <c r="L17" s="74"/>
      <c r="M17" s="74"/>
      <c r="N17" s="74"/>
      <c r="O17" s="74"/>
    </row>
    <row r="18" spans="1:15" s="15" customFormat="1" x14ac:dyDescent="0.3">
      <c r="A18" s="74"/>
      <c r="B18" s="74"/>
      <c r="C18" s="74"/>
      <c r="D18" s="74"/>
      <c r="E18" s="74"/>
      <c r="F18" s="74"/>
      <c r="G18" s="74"/>
      <c r="H18" s="74"/>
      <c r="I18" s="74"/>
      <c r="J18" s="74"/>
      <c r="K18" s="74"/>
      <c r="L18" s="74"/>
      <c r="M18" s="74"/>
      <c r="N18" s="74"/>
      <c r="O18" s="74"/>
    </row>
    <row r="19" spans="1:15" s="15" customFormat="1" x14ac:dyDescent="0.3">
      <c r="A19" s="74"/>
      <c r="B19" s="74"/>
      <c r="C19" s="74"/>
      <c r="D19" s="74"/>
      <c r="E19" s="74"/>
      <c r="F19" s="74"/>
      <c r="G19" s="74"/>
      <c r="H19" s="74"/>
      <c r="I19" s="74"/>
      <c r="J19" s="74"/>
      <c r="K19" s="74"/>
      <c r="L19" s="74"/>
      <c r="M19" s="74"/>
      <c r="N19" s="74"/>
      <c r="O19" s="74"/>
    </row>
    <row r="20" spans="1:15" s="15" customFormat="1" x14ac:dyDescent="0.3">
      <c r="A20" s="74"/>
      <c r="B20" s="74"/>
      <c r="C20" s="74"/>
      <c r="D20" s="74"/>
      <c r="E20" s="74"/>
      <c r="F20" s="74"/>
      <c r="G20" s="74"/>
      <c r="H20" s="74"/>
      <c r="I20" s="74"/>
      <c r="J20" s="74"/>
      <c r="K20" s="74"/>
      <c r="L20" s="74"/>
      <c r="M20" s="74"/>
      <c r="N20" s="74"/>
      <c r="O20" s="74"/>
    </row>
    <row r="21" spans="1:15" s="15" customFormat="1" x14ac:dyDescent="0.3">
      <c r="A21" s="74"/>
      <c r="B21" s="74"/>
      <c r="C21" s="74"/>
      <c r="D21" s="74"/>
      <c r="E21" s="74"/>
      <c r="F21" s="74"/>
      <c r="G21" s="74"/>
      <c r="H21" s="74"/>
      <c r="I21" s="74"/>
      <c r="J21" s="74"/>
      <c r="K21" s="74"/>
      <c r="L21" s="74"/>
      <c r="M21" s="74"/>
      <c r="N21" s="74"/>
      <c r="O21" s="74"/>
    </row>
    <row r="22" spans="1:15" s="15" customFormat="1" ht="20.399999999999999" x14ac:dyDescent="0.3">
      <c r="A22" s="74"/>
      <c r="B22" s="74"/>
      <c r="C22" s="104"/>
      <c r="D22" s="104"/>
      <c r="E22" s="74"/>
      <c r="F22" s="74"/>
      <c r="G22" s="74"/>
      <c r="H22" s="74"/>
      <c r="I22" s="74"/>
      <c r="J22" s="74"/>
      <c r="K22" s="74"/>
      <c r="L22" s="74"/>
      <c r="M22" s="74"/>
      <c r="N22" s="74"/>
      <c r="O22" s="74"/>
    </row>
    <row r="23" spans="1:15" s="15" customFormat="1" ht="20.399999999999999" x14ac:dyDescent="0.3">
      <c r="A23" s="74"/>
      <c r="B23" s="74"/>
      <c r="C23" s="104"/>
      <c r="D23" s="104"/>
      <c r="E23" s="74"/>
      <c r="F23" s="74"/>
      <c r="G23" s="74"/>
      <c r="H23" s="74"/>
      <c r="I23" s="74"/>
      <c r="J23" s="74"/>
      <c r="K23" s="74"/>
      <c r="L23" s="74"/>
      <c r="M23" s="74"/>
      <c r="N23" s="74"/>
      <c r="O23" s="74"/>
    </row>
    <row r="24" spans="1:15" s="15" customFormat="1" ht="20.399999999999999" x14ac:dyDescent="0.3">
      <c r="A24" s="74"/>
      <c r="B24" s="74"/>
      <c r="C24" s="104"/>
      <c r="D24" s="104"/>
      <c r="E24" s="74"/>
      <c r="F24" s="74"/>
      <c r="G24" s="74"/>
      <c r="H24" s="74"/>
      <c r="I24" s="74"/>
      <c r="J24" s="74"/>
      <c r="K24" s="74"/>
      <c r="L24" s="74"/>
      <c r="M24" s="74"/>
      <c r="N24" s="74"/>
      <c r="O24" s="74"/>
    </row>
    <row r="25" spans="1:15" s="15" customFormat="1" ht="20.399999999999999" x14ac:dyDescent="0.3">
      <c r="A25" s="74"/>
      <c r="B25" s="74"/>
      <c r="C25" s="104"/>
      <c r="D25" s="104"/>
      <c r="E25" s="74"/>
      <c r="F25" s="74"/>
      <c r="G25" s="74"/>
      <c r="H25" s="74"/>
      <c r="I25" s="74"/>
      <c r="J25" s="74"/>
      <c r="K25" s="74"/>
      <c r="L25" s="74"/>
      <c r="M25" s="74"/>
      <c r="N25" s="74"/>
      <c r="O25" s="74"/>
    </row>
    <row r="26" spans="1:15" s="15" customFormat="1" ht="20.399999999999999" x14ac:dyDescent="0.3">
      <c r="A26" s="74"/>
      <c r="B26" s="74"/>
      <c r="C26" s="104"/>
      <c r="D26" s="104"/>
      <c r="E26" s="74"/>
      <c r="F26" s="74"/>
      <c r="G26" s="74"/>
      <c r="H26" s="74"/>
      <c r="I26" s="74"/>
      <c r="J26" s="74"/>
      <c r="K26" s="74"/>
      <c r="L26" s="74"/>
      <c r="M26" s="74"/>
      <c r="N26" s="74"/>
      <c r="O26" s="74"/>
    </row>
    <row r="27" spans="1:15" s="15" customFormat="1" ht="20.399999999999999" x14ac:dyDescent="0.3">
      <c r="A27" s="74"/>
      <c r="B27" s="74"/>
      <c r="C27" s="104"/>
      <c r="D27" s="104"/>
      <c r="E27" s="74"/>
      <c r="F27" s="74"/>
      <c r="G27" s="74"/>
      <c r="H27" s="74"/>
      <c r="I27" s="74"/>
      <c r="J27" s="74"/>
      <c r="K27" s="74"/>
      <c r="L27" s="74"/>
      <c r="M27" s="74"/>
      <c r="N27" s="74"/>
      <c r="O27" s="74"/>
    </row>
    <row r="28" spans="1:15" s="15" customFormat="1" ht="20.399999999999999" x14ac:dyDescent="0.3">
      <c r="A28" s="74"/>
      <c r="B28" s="74"/>
      <c r="C28" s="104"/>
      <c r="D28" s="104"/>
      <c r="E28" s="74"/>
      <c r="F28" s="74"/>
      <c r="G28" s="74"/>
      <c r="H28" s="74"/>
      <c r="I28" s="74"/>
      <c r="J28" s="74"/>
      <c r="K28" s="74"/>
      <c r="L28" s="74"/>
      <c r="M28" s="74"/>
      <c r="N28" s="74"/>
      <c r="O28" s="74"/>
    </row>
    <row r="29" spans="1:15" s="15" customFormat="1" ht="20.399999999999999" x14ac:dyDescent="0.3">
      <c r="A29" s="74"/>
      <c r="B29" s="74"/>
      <c r="C29" s="104"/>
      <c r="D29" s="104"/>
      <c r="E29" s="74"/>
      <c r="F29" s="74"/>
      <c r="G29" s="74"/>
      <c r="H29" s="74"/>
      <c r="I29" s="74"/>
      <c r="J29" s="74"/>
      <c r="K29" s="74"/>
      <c r="L29" s="74"/>
      <c r="M29" s="74"/>
      <c r="N29" s="74"/>
      <c r="O29" s="74"/>
    </row>
    <row r="30" spans="1:15" s="15" customFormat="1" ht="20.399999999999999" x14ac:dyDescent="0.3">
      <c r="A30" s="74"/>
      <c r="B30" s="74"/>
      <c r="C30" s="104"/>
      <c r="D30" s="104"/>
      <c r="E30" s="74"/>
      <c r="F30" s="74"/>
      <c r="G30" s="74"/>
      <c r="H30" s="74"/>
      <c r="I30" s="74"/>
      <c r="J30" s="74"/>
      <c r="K30" s="74"/>
      <c r="L30" s="74"/>
      <c r="M30" s="74"/>
      <c r="N30" s="74"/>
      <c r="O30" s="74"/>
    </row>
    <row r="31" spans="1:15" s="15" customFormat="1" ht="20.399999999999999" x14ac:dyDescent="0.3">
      <c r="A31" s="74"/>
      <c r="B31" s="74"/>
      <c r="C31" s="104"/>
      <c r="D31" s="104"/>
      <c r="E31" s="74"/>
      <c r="F31" s="74"/>
      <c r="G31" s="74"/>
      <c r="H31" s="74"/>
      <c r="I31" s="74"/>
      <c r="J31" s="74"/>
      <c r="K31" s="74"/>
      <c r="L31" s="74"/>
      <c r="M31" s="74"/>
      <c r="N31" s="74"/>
      <c r="O31" s="74"/>
    </row>
    <row r="32" spans="1:15" s="15" customFormat="1" ht="20.399999999999999" x14ac:dyDescent="0.3">
      <c r="A32" s="74"/>
      <c r="B32" s="74"/>
      <c r="C32" s="104"/>
      <c r="D32" s="104"/>
      <c r="E32" s="74"/>
      <c r="F32" s="74"/>
      <c r="G32" s="74"/>
      <c r="H32" s="74"/>
      <c r="I32" s="74"/>
      <c r="J32" s="74"/>
      <c r="K32" s="74"/>
      <c r="L32" s="74"/>
      <c r="M32" s="74"/>
      <c r="N32" s="74"/>
      <c r="O32" s="74"/>
    </row>
    <row r="33" spans="1:15" s="15" customFormat="1" ht="20.399999999999999" x14ac:dyDescent="0.3">
      <c r="A33" s="74"/>
      <c r="B33" s="74"/>
      <c r="C33" s="104"/>
      <c r="D33" s="104"/>
      <c r="E33" s="74"/>
      <c r="F33" s="74"/>
      <c r="G33" s="74"/>
      <c r="H33" s="74"/>
      <c r="I33" s="74"/>
      <c r="J33" s="74"/>
      <c r="K33" s="74"/>
      <c r="L33" s="74"/>
      <c r="M33" s="74"/>
      <c r="N33" s="74"/>
      <c r="O33" s="74"/>
    </row>
    <row r="34" spans="1:15" s="15" customFormat="1" ht="20.399999999999999" x14ac:dyDescent="0.3">
      <c r="A34" s="74"/>
      <c r="B34" s="74"/>
      <c r="C34" s="104"/>
      <c r="D34" s="104"/>
      <c r="E34" s="74"/>
      <c r="F34" s="74"/>
      <c r="G34" s="74"/>
      <c r="H34" s="74"/>
      <c r="I34" s="74"/>
      <c r="J34" s="74"/>
      <c r="K34" s="74"/>
      <c r="L34" s="74"/>
      <c r="M34" s="74"/>
      <c r="N34" s="74"/>
      <c r="O34" s="74"/>
    </row>
    <row r="35" spans="1:15" s="15" customFormat="1" ht="20.399999999999999" x14ac:dyDescent="0.3">
      <c r="A35" s="74"/>
      <c r="B35" s="74"/>
      <c r="C35" s="104"/>
      <c r="D35" s="104"/>
      <c r="E35" s="74"/>
      <c r="F35" s="74"/>
      <c r="G35" s="74"/>
      <c r="H35" s="74"/>
      <c r="I35" s="74"/>
      <c r="J35" s="74"/>
      <c r="K35" s="74"/>
      <c r="L35" s="74"/>
      <c r="M35" s="74"/>
      <c r="N35" s="74"/>
      <c r="O35" s="74"/>
    </row>
    <row r="36" spans="1:15" s="15" customFormat="1" ht="20.399999999999999" x14ac:dyDescent="0.3">
      <c r="A36" s="74"/>
      <c r="B36" s="74"/>
      <c r="C36" s="104"/>
      <c r="D36" s="104"/>
      <c r="E36" s="74"/>
      <c r="F36" s="74"/>
      <c r="G36" s="74"/>
      <c r="H36" s="74"/>
      <c r="I36" s="74"/>
      <c r="J36" s="74"/>
      <c r="K36" s="74"/>
      <c r="L36" s="74"/>
      <c r="M36" s="74"/>
      <c r="N36" s="74"/>
      <c r="O36" s="74"/>
    </row>
    <row r="37" spans="1:15" s="15" customFormat="1" ht="20.399999999999999" x14ac:dyDescent="0.3">
      <c r="A37" s="74"/>
      <c r="B37" s="74"/>
      <c r="C37" s="104"/>
      <c r="D37" s="104"/>
      <c r="E37" s="74"/>
      <c r="F37" s="74"/>
      <c r="G37" s="74"/>
      <c r="H37" s="74"/>
      <c r="I37" s="74"/>
      <c r="J37" s="74"/>
      <c r="K37" s="74"/>
      <c r="L37" s="74"/>
      <c r="M37" s="74"/>
      <c r="N37" s="74"/>
      <c r="O37" s="74"/>
    </row>
    <row r="38" spans="1:15" s="15" customFormat="1" ht="20.399999999999999" x14ac:dyDescent="0.3">
      <c r="A38" s="74"/>
      <c r="B38" s="74"/>
      <c r="C38" s="104"/>
      <c r="D38" s="104"/>
      <c r="E38" s="74"/>
      <c r="F38" s="74"/>
      <c r="G38" s="74"/>
      <c r="H38" s="74"/>
      <c r="I38" s="74"/>
      <c r="J38" s="74"/>
      <c r="K38" s="74"/>
      <c r="L38" s="74"/>
      <c r="M38" s="74"/>
      <c r="N38" s="74"/>
      <c r="O38" s="74"/>
    </row>
    <row r="39" spans="1:15" s="15" customFormat="1" ht="20.399999999999999" x14ac:dyDescent="0.3">
      <c r="A39" s="74"/>
      <c r="B39" s="74"/>
      <c r="C39" s="104"/>
      <c r="D39" s="104"/>
      <c r="E39" s="74"/>
      <c r="F39" s="74"/>
      <c r="G39" s="74"/>
      <c r="H39" s="74"/>
      <c r="I39" s="74"/>
      <c r="J39" s="74"/>
      <c r="K39" s="74"/>
      <c r="L39" s="74"/>
      <c r="M39" s="74"/>
      <c r="N39" s="74"/>
      <c r="O39" s="74"/>
    </row>
    <row r="40" spans="1:15" s="15" customFormat="1" ht="20.399999999999999" x14ac:dyDescent="0.3">
      <c r="A40" s="74"/>
      <c r="B40" s="74"/>
      <c r="C40" s="104"/>
      <c r="D40" s="104"/>
      <c r="E40" s="74"/>
      <c r="F40" s="74"/>
      <c r="G40" s="74"/>
      <c r="H40" s="74"/>
      <c r="I40" s="74"/>
      <c r="J40" s="74"/>
      <c r="K40" s="74"/>
      <c r="L40" s="74"/>
      <c r="M40" s="74"/>
      <c r="N40" s="74"/>
      <c r="O40" s="74"/>
    </row>
    <row r="41" spans="1:15" s="15" customFormat="1" ht="20.399999999999999" x14ac:dyDescent="0.3">
      <c r="A41" s="74"/>
      <c r="B41" s="74"/>
      <c r="C41" s="104"/>
      <c r="D41" s="104"/>
      <c r="E41" s="74"/>
      <c r="F41" s="74"/>
      <c r="G41" s="74"/>
      <c r="H41" s="74"/>
      <c r="I41" s="74"/>
      <c r="J41" s="74"/>
      <c r="K41" s="74"/>
      <c r="L41" s="74"/>
      <c r="M41" s="74"/>
      <c r="N41" s="74"/>
      <c r="O41" s="74"/>
    </row>
    <row r="42" spans="1:15" s="15" customFormat="1" ht="20.399999999999999" x14ac:dyDescent="0.3">
      <c r="A42" s="74"/>
      <c r="B42" s="74"/>
      <c r="C42" s="104"/>
      <c r="D42" s="104"/>
      <c r="E42" s="74"/>
      <c r="F42" s="74"/>
      <c r="G42" s="74"/>
      <c r="H42" s="74"/>
      <c r="I42" s="74"/>
      <c r="J42" s="74"/>
      <c r="K42" s="74"/>
      <c r="L42" s="74"/>
      <c r="M42" s="74"/>
      <c r="N42" s="74"/>
      <c r="O42" s="74"/>
    </row>
    <row r="43" spans="1:15" s="15" customFormat="1" ht="20.399999999999999" x14ac:dyDescent="0.3">
      <c r="A43" s="74"/>
      <c r="B43" s="74"/>
      <c r="C43" s="104"/>
      <c r="D43" s="104"/>
      <c r="E43" s="74"/>
      <c r="F43" s="74"/>
      <c r="G43" s="74"/>
      <c r="H43" s="74"/>
      <c r="I43" s="74"/>
      <c r="J43" s="74"/>
      <c r="K43" s="74"/>
      <c r="L43" s="74"/>
      <c r="M43" s="74"/>
      <c r="N43" s="74"/>
      <c r="O43" s="74"/>
    </row>
    <row r="44" spans="1:15" s="15" customFormat="1" ht="20.399999999999999" x14ac:dyDescent="0.3">
      <c r="A44" s="74"/>
      <c r="B44" s="74"/>
      <c r="C44" s="104"/>
      <c r="D44" s="104"/>
      <c r="E44" s="74"/>
      <c r="F44" s="74"/>
      <c r="G44" s="74"/>
      <c r="H44" s="74"/>
      <c r="I44" s="74"/>
      <c r="J44" s="74"/>
      <c r="K44" s="74"/>
      <c r="L44" s="74"/>
      <c r="M44" s="74"/>
      <c r="N44" s="74"/>
      <c r="O44" s="74"/>
    </row>
    <row r="45" spans="1:15" s="15" customFormat="1" ht="20.399999999999999" x14ac:dyDescent="0.3">
      <c r="A45" s="74"/>
      <c r="B45" s="74"/>
      <c r="C45" s="104"/>
      <c r="D45" s="104"/>
      <c r="E45" s="74"/>
      <c r="F45" s="74"/>
      <c r="G45" s="74"/>
      <c r="H45" s="74"/>
      <c r="I45" s="74"/>
      <c r="J45" s="74"/>
      <c r="K45" s="74"/>
      <c r="L45" s="74"/>
      <c r="M45" s="74"/>
      <c r="N45" s="74"/>
      <c r="O45" s="74"/>
    </row>
    <row r="46" spans="1:15" s="15" customFormat="1" ht="20.399999999999999" x14ac:dyDescent="0.3">
      <c r="A46" s="74"/>
      <c r="B46" s="74"/>
      <c r="C46" s="104"/>
      <c r="D46" s="104"/>
      <c r="E46" s="74"/>
      <c r="F46" s="74"/>
      <c r="G46" s="74"/>
      <c r="H46" s="74"/>
      <c r="I46" s="74"/>
      <c r="J46" s="74"/>
      <c r="K46" s="74"/>
      <c r="L46" s="74"/>
      <c r="M46" s="74"/>
      <c r="N46" s="74"/>
      <c r="O46" s="74"/>
    </row>
    <row r="47" spans="1:15" s="15" customFormat="1" ht="20.399999999999999" x14ac:dyDescent="0.3">
      <c r="A47" s="74"/>
      <c r="B47" s="74"/>
      <c r="C47" s="104"/>
      <c r="D47" s="104"/>
      <c r="E47" s="74"/>
      <c r="F47" s="74"/>
      <c r="G47" s="74"/>
      <c r="H47" s="74"/>
      <c r="I47" s="74"/>
      <c r="J47" s="74"/>
      <c r="K47" s="74"/>
      <c r="L47" s="74"/>
      <c r="M47" s="74"/>
      <c r="N47" s="74"/>
      <c r="O47" s="74"/>
    </row>
    <row r="48" spans="1:15" s="15" customFormat="1" ht="20.399999999999999" x14ac:dyDescent="0.3">
      <c r="A48" s="74"/>
      <c r="B48" s="74"/>
      <c r="C48" s="104"/>
      <c r="D48" s="104"/>
      <c r="E48" s="74"/>
      <c r="F48" s="74"/>
      <c r="G48" s="74"/>
      <c r="H48" s="74"/>
      <c r="I48" s="74"/>
      <c r="J48" s="74"/>
      <c r="K48" s="74"/>
      <c r="L48" s="74"/>
      <c r="M48" s="74"/>
      <c r="N48" s="74"/>
      <c r="O48" s="74"/>
    </row>
    <row r="49" spans="1:15" s="15" customFormat="1" ht="20.399999999999999" x14ac:dyDescent="0.3">
      <c r="A49" s="74"/>
      <c r="B49" s="74"/>
      <c r="C49" s="104"/>
      <c r="D49" s="104"/>
      <c r="E49" s="74"/>
      <c r="F49" s="74"/>
      <c r="G49" s="74"/>
      <c r="H49" s="74"/>
      <c r="I49" s="74"/>
      <c r="J49" s="74"/>
      <c r="K49" s="74"/>
      <c r="L49" s="74"/>
      <c r="M49" s="74"/>
      <c r="N49" s="74"/>
      <c r="O49" s="74"/>
    </row>
    <row r="50" spans="1:15" s="15" customFormat="1" ht="20.399999999999999" x14ac:dyDescent="0.3">
      <c r="A50" s="74"/>
      <c r="B50" s="74"/>
      <c r="C50" s="104"/>
      <c r="D50" s="104"/>
      <c r="E50" s="74"/>
      <c r="F50" s="74"/>
      <c r="G50" s="74"/>
      <c r="H50" s="74"/>
      <c r="I50" s="74"/>
      <c r="J50" s="74"/>
      <c r="K50" s="74"/>
      <c r="L50" s="74"/>
      <c r="M50" s="74"/>
      <c r="N50" s="74"/>
      <c r="O50" s="74"/>
    </row>
    <row r="51" spans="1:15" s="15" customFormat="1" ht="20.399999999999999" x14ac:dyDescent="0.3">
      <c r="A51" s="74"/>
      <c r="B51" s="74"/>
      <c r="C51" s="104"/>
      <c r="D51" s="104"/>
      <c r="E51" s="74"/>
      <c r="F51" s="74"/>
      <c r="G51" s="74"/>
      <c r="H51" s="74"/>
      <c r="I51" s="74"/>
      <c r="J51" s="74"/>
      <c r="K51" s="74"/>
      <c r="L51" s="74"/>
      <c r="M51" s="74"/>
      <c r="N51" s="74"/>
      <c r="O51" s="74"/>
    </row>
    <row r="52" spans="1:15" s="15" customFormat="1" ht="20.399999999999999" x14ac:dyDescent="0.3">
      <c r="A52" s="74"/>
      <c r="C52" s="106"/>
      <c r="D52" s="106"/>
    </row>
    <row r="53" spans="1:15" s="15" customFormat="1" ht="20.399999999999999" x14ac:dyDescent="0.3">
      <c r="A53" s="74"/>
      <c r="C53" s="106"/>
      <c r="D53" s="106"/>
    </row>
    <row r="54" spans="1:15" s="15" customFormat="1" ht="20.399999999999999" x14ac:dyDescent="0.3">
      <c r="A54" s="74"/>
      <c r="C54" s="106"/>
      <c r="D54" s="106"/>
    </row>
    <row r="55" spans="1:15" s="15" customFormat="1" ht="20.399999999999999" x14ac:dyDescent="0.3">
      <c r="A55" s="74"/>
      <c r="C55" s="106"/>
      <c r="D55" s="106"/>
    </row>
    <row r="56" spans="1:15" s="15" customFormat="1" ht="20.399999999999999" x14ac:dyDescent="0.3">
      <c r="A56" s="74"/>
      <c r="C56" s="106"/>
      <c r="D56" s="106"/>
    </row>
    <row r="57" spans="1:15" s="15" customFormat="1" ht="20.399999999999999" x14ac:dyDescent="0.3">
      <c r="A57" s="74"/>
      <c r="C57" s="106"/>
      <c r="D57" s="106"/>
    </row>
    <row r="58" spans="1:15" s="15" customFormat="1" ht="20.399999999999999" x14ac:dyDescent="0.3">
      <c r="A58" s="74"/>
      <c r="C58" s="106"/>
      <c r="D58" s="106"/>
    </row>
    <row r="59" spans="1:15" s="15" customFormat="1" ht="20.399999999999999" x14ac:dyDescent="0.3">
      <c r="A59" s="74"/>
      <c r="C59" s="106"/>
      <c r="D59" s="106"/>
    </row>
    <row r="60" spans="1:15" s="15" customFormat="1" ht="20.399999999999999" x14ac:dyDescent="0.3">
      <c r="A60" s="74"/>
      <c r="C60" s="106"/>
      <c r="D60" s="106"/>
    </row>
    <row r="61" spans="1:15" s="15" customFormat="1" ht="20.399999999999999" x14ac:dyDescent="0.3">
      <c r="A61" s="74"/>
      <c r="C61" s="106"/>
      <c r="D61" s="106"/>
    </row>
    <row r="62" spans="1:15" s="15" customFormat="1" ht="20.399999999999999" x14ac:dyDescent="0.3">
      <c r="A62" s="74"/>
      <c r="C62" s="106"/>
      <c r="D62" s="106"/>
    </row>
    <row r="63" spans="1:15" s="15" customFormat="1" ht="20.399999999999999" x14ac:dyDescent="0.3">
      <c r="A63" s="74"/>
      <c r="C63" s="106"/>
      <c r="D63" s="106"/>
    </row>
    <row r="64" spans="1:15" s="15" customFormat="1" ht="20.399999999999999" x14ac:dyDescent="0.3">
      <c r="A64" s="74"/>
      <c r="C64" s="106"/>
      <c r="D64" s="106"/>
    </row>
    <row r="65" spans="1:4" s="15" customFormat="1" ht="20.399999999999999" x14ac:dyDescent="0.3">
      <c r="A65" s="74"/>
      <c r="C65" s="106"/>
      <c r="D65" s="106"/>
    </row>
    <row r="66" spans="1:4" s="15" customFormat="1" ht="20.399999999999999" x14ac:dyDescent="0.3">
      <c r="A66" s="74"/>
      <c r="C66" s="106"/>
      <c r="D66" s="106"/>
    </row>
    <row r="67" spans="1:4" s="15" customFormat="1" ht="20.399999999999999" x14ac:dyDescent="0.3">
      <c r="A67" s="74"/>
      <c r="C67" s="106"/>
      <c r="D67" s="106"/>
    </row>
    <row r="68" spans="1:4" s="15" customFormat="1" ht="20.399999999999999" x14ac:dyDescent="0.3">
      <c r="A68" s="74"/>
      <c r="C68" s="106"/>
      <c r="D68" s="106"/>
    </row>
    <row r="69" spans="1:4" s="15" customFormat="1" ht="20.399999999999999" x14ac:dyDescent="0.3">
      <c r="A69" s="74"/>
      <c r="C69" s="106"/>
      <c r="D69" s="106"/>
    </row>
    <row r="70" spans="1:4" s="15" customFormat="1" ht="20.399999999999999" x14ac:dyDescent="0.3">
      <c r="A70" s="74"/>
      <c r="C70" s="106"/>
      <c r="D70" s="106"/>
    </row>
    <row r="71" spans="1:4" s="15" customFormat="1" ht="20.399999999999999" x14ac:dyDescent="0.3">
      <c r="A71" s="74"/>
      <c r="C71" s="106"/>
      <c r="D71" s="106"/>
    </row>
    <row r="72" spans="1:4" s="15" customFormat="1" ht="20.399999999999999" x14ac:dyDescent="0.3">
      <c r="A72" s="74"/>
      <c r="C72" s="106"/>
      <c r="D72" s="106"/>
    </row>
    <row r="73" spans="1:4" s="15" customFormat="1" ht="20.399999999999999" x14ac:dyDescent="0.3">
      <c r="A73" s="74"/>
      <c r="C73" s="106"/>
      <c r="D73" s="106"/>
    </row>
    <row r="74" spans="1:4" s="15" customFormat="1" ht="20.399999999999999" x14ac:dyDescent="0.3">
      <c r="A74" s="74"/>
      <c r="C74" s="106"/>
      <c r="D74" s="106"/>
    </row>
    <row r="75" spans="1:4" s="15" customFormat="1" ht="20.399999999999999" x14ac:dyDescent="0.3">
      <c r="A75" s="74"/>
      <c r="C75" s="106"/>
      <c r="D75" s="106"/>
    </row>
    <row r="76" spans="1:4" s="15" customFormat="1" ht="20.399999999999999" x14ac:dyDescent="0.3">
      <c r="A76" s="74"/>
      <c r="C76" s="106"/>
      <c r="D76" s="106"/>
    </row>
    <row r="77" spans="1:4" s="15" customFormat="1" ht="20.399999999999999" x14ac:dyDescent="0.3">
      <c r="A77" s="74"/>
      <c r="C77" s="106"/>
      <c r="D77" s="106"/>
    </row>
    <row r="78" spans="1:4" s="15" customFormat="1" ht="20.399999999999999" x14ac:dyDescent="0.3">
      <c r="A78" s="74"/>
      <c r="C78" s="106"/>
      <c r="D78" s="106"/>
    </row>
    <row r="79" spans="1:4" s="15" customFormat="1" ht="20.399999999999999" x14ac:dyDescent="0.3">
      <c r="A79" s="74"/>
      <c r="C79" s="106"/>
      <c r="D79" s="106"/>
    </row>
    <row r="80" spans="1:4" s="15" customFormat="1" ht="20.399999999999999" x14ac:dyDescent="0.3">
      <c r="A80" s="74"/>
      <c r="C80" s="106"/>
      <c r="D80" s="106"/>
    </row>
    <row r="81" spans="1:4" s="15" customFormat="1" ht="20.399999999999999" x14ac:dyDescent="0.3">
      <c r="A81" s="74"/>
      <c r="C81" s="106"/>
      <c r="D81" s="106"/>
    </row>
    <row r="82" spans="1:4" s="15" customFormat="1" ht="20.399999999999999" x14ac:dyDescent="0.3">
      <c r="A82" s="74"/>
      <c r="C82" s="106"/>
      <c r="D82" s="106"/>
    </row>
    <row r="83" spans="1:4" s="15" customFormat="1" ht="20.399999999999999" x14ac:dyDescent="0.3">
      <c r="A83" s="74"/>
      <c r="C83" s="106"/>
      <c r="D83" s="106"/>
    </row>
    <row r="84" spans="1:4" s="15" customFormat="1" ht="20.399999999999999" x14ac:dyDescent="0.3">
      <c r="A84" s="74"/>
      <c r="C84" s="106"/>
      <c r="D84" s="106"/>
    </row>
    <row r="85" spans="1:4" s="15" customFormat="1" ht="20.399999999999999" x14ac:dyDescent="0.3">
      <c r="A85" s="74"/>
      <c r="C85" s="106"/>
      <c r="D85" s="106"/>
    </row>
    <row r="86" spans="1:4" s="15" customFormat="1" ht="20.399999999999999" x14ac:dyDescent="0.3">
      <c r="A86" s="74"/>
      <c r="C86" s="106"/>
      <c r="D86" s="106"/>
    </row>
    <row r="87" spans="1:4" s="15" customFormat="1" ht="20.399999999999999" x14ac:dyDescent="0.3">
      <c r="A87" s="74"/>
      <c r="C87" s="106"/>
      <c r="D87" s="106"/>
    </row>
    <row r="88" spans="1:4" s="15" customFormat="1" ht="20.399999999999999" x14ac:dyDescent="0.3">
      <c r="A88" s="74"/>
      <c r="C88" s="106"/>
      <c r="D88" s="106"/>
    </row>
    <row r="89" spans="1:4" s="15" customFormat="1" ht="20.399999999999999" x14ac:dyDescent="0.3">
      <c r="A89" s="74"/>
      <c r="C89" s="106"/>
      <c r="D89" s="106"/>
    </row>
    <row r="90" spans="1:4" s="15" customFormat="1" ht="20.399999999999999" x14ac:dyDescent="0.3">
      <c r="A90" s="74"/>
      <c r="C90" s="106"/>
      <c r="D90" s="106"/>
    </row>
    <row r="91" spans="1:4" s="15" customFormat="1" ht="20.399999999999999" x14ac:dyDescent="0.3">
      <c r="A91" s="74"/>
      <c r="C91" s="106"/>
      <c r="D91" s="106"/>
    </row>
    <row r="92" spans="1:4" s="15" customFormat="1" ht="20.399999999999999" x14ac:dyDescent="0.3">
      <c r="A92" s="74"/>
      <c r="C92" s="106"/>
      <c r="D92" s="106"/>
    </row>
    <row r="93" spans="1:4" s="15" customFormat="1" ht="20.399999999999999" x14ac:dyDescent="0.3">
      <c r="A93" s="74"/>
      <c r="C93" s="106"/>
      <c r="D93" s="106"/>
    </row>
    <row r="94" spans="1:4" s="15" customFormat="1" ht="20.399999999999999" x14ac:dyDescent="0.3">
      <c r="A94" s="74"/>
      <c r="C94" s="106"/>
      <c r="D94" s="106"/>
    </row>
    <row r="95" spans="1:4" s="15" customFormat="1" ht="20.399999999999999" x14ac:dyDescent="0.3">
      <c r="A95" s="74"/>
      <c r="C95" s="106"/>
      <c r="D95" s="106"/>
    </row>
    <row r="96" spans="1:4" s="15" customFormat="1" ht="20.399999999999999" x14ac:dyDescent="0.3">
      <c r="A96" s="74"/>
      <c r="C96" s="106"/>
      <c r="D96" s="106"/>
    </row>
    <row r="97" spans="1:4" s="15" customFormat="1" ht="20.399999999999999" x14ac:dyDescent="0.3">
      <c r="A97" s="74"/>
      <c r="C97" s="106"/>
      <c r="D97" s="106"/>
    </row>
    <row r="98" spans="1:4" s="15" customFormat="1" ht="20.399999999999999" x14ac:dyDescent="0.3">
      <c r="A98" s="74"/>
      <c r="C98" s="106"/>
      <c r="D98" s="106"/>
    </row>
    <row r="99" spans="1:4" s="15" customFormat="1" ht="20.399999999999999" x14ac:dyDescent="0.3">
      <c r="A99" s="74"/>
      <c r="C99" s="106"/>
      <c r="D99" s="106"/>
    </row>
    <row r="100" spans="1:4" s="15" customFormat="1" ht="20.399999999999999" x14ac:dyDescent="0.3">
      <c r="A100" s="74"/>
      <c r="C100" s="106"/>
      <c r="D100" s="106"/>
    </row>
    <row r="101" spans="1:4" s="15" customFormat="1" ht="20.399999999999999" x14ac:dyDescent="0.3">
      <c r="A101" s="74"/>
      <c r="C101" s="106"/>
      <c r="D101" s="106"/>
    </row>
    <row r="102" spans="1:4" s="15" customFormat="1" ht="20.399999999999999" x14ac:dyDescent="0.3">
      <c r="A102" s="74"/>
      <c r="C102" s="106"/>
      <c r="D102" s="106"/>
    </row>
    <row r="103" spans="1:4" s="15" customFormat="1" ht="20.399999999999999" x14ac:dyDescent="0.3">
      <c r="A103" s="74"/>
      <c r="C103" s="106"/>
      <c r="D103" s="106"/>
    </row>
    <row r="104" spans="1:4" s="15" customFormat="1" ht="20.399999999999999" x14ac:dyDescent="0.3">
      <c r="A104" s="74"/>
      <c r="C104" s="106"/>
      <c r="D104" s="106"/>
    </row>
    <row r="105" spans="1:4" s="15" customFormat="1" ht="20.399999999999999" x14ac:dyDescent="0.3">
      <c r="A105" s="74"/>
      <c r="C105" s="106"/>
      <c r="D105" s="106"/>
    </row>
    <row r="106" spans="1:4" s="15" customFormat="1" ht="20.399999999999999" x14ac:dyDescent="0.3">
      <c r="A106" s="74"/>
      <c r="C106" s="106"/>
      <c r="D106" s="106"/>
    </row>
    <row r="107" spans="1:4" s="15" customFormat="1" ht="20.399999999999999" x14ac:dyDescent="0.3">
      <c r="A107" s="74"/>
      <c r="C107" s="106"/>
      <c r="D107" s="106"/>
    </row>
    <row r="108" spans="1:4" s="15" customFormat="1" ht="20.399999999999999" x14ac:dyDescent="0.3">
      <c r="A108" s="74"/>
      <c r="C108" s="106"/>
      <c r="D108" s="106"/>
    </row>
    <row r="109" spans="1:4" s="15" customFormat="1" ht="20.399999999999999" x14ac:dyDescent="0.3">
      <c r="A109" s="74"/>
      <c r="C109" s="106"/>
      <c r="D109" s="106"/>
    </row>
    <row r="110" spans="1:4" s="15" customFormat="1" ht="20.399999999999999" x14ac:dyDescent="0.3">
      <c r="A110" s="74"/>
      <c r="C110" s="106"/>
      <c r="D110" s="106"/>
    </row>
    <row r="111" spans="1:4" s="15" customFormat="1" ht="20.399999999999999" x14ac:dyDescent="0.3">
      <c r="A111" s="74"/>
      <c r="C111" s="106"/>
      <c r="D111" s="106"/>
    </row>
    <row r="112" spans="1:4" s="15" customFormat="1" ht="20.399999999999999" x14ac:dyDescent="0.3">
      <c r="A112" s="74"/>
      <c r="C112" s="106"/>
      <c r="D112" s="106"/>
    </row>
    <row r="113" spans="1:4" s="15" customFormat="1" ht="20.399999999999999" x14ac:dyDescent="0.3">
      <c r="A113" s="74"/>
      <c r="C113" s="106"/>
      <c r="D113" s="106"/>
    </row>
    <row r="114" spans="1:4" s="15" customFormat="1" ht="20.399999999999999" x14ac:dyDescent="0.3">
      <c r="A114" s="74"/>
      <c r="C114" s="106"/>
      <c r="D114" s="106"/>
    </row>
    <row r="115" spans="1:4" s="15" customFormat="1" ht="20.399999999999999" x14ac:dyDescent="0.3">
      <c r="A115" s="74"/>
      <c r="C115" s="106"/>
      <c r="D115" s="106"/>
    </row>
    <row r="116" spans="1:4" s="15" customFormat="1" ht="20.399999999999999" x14ac:dyDescent="0.3">
      <c r="A116" s="74"/>
      <c r="C116" s="106"/>
      <c r="D116" s="106"/>
    </row>
    <row r="117" spans="1:4" s="15" customFormat="1" ht="20.399999999999999" x14ac:dyDescent="0.3">
      <c r="A117" s="74"/>
      <c r="C117" s="106"/>
      <c r="D117" s="106"/>
    </row>
    <row r="118" spans="1:4" s="15" customFormat="1" ht="20.399999999999999" x14ac:dyDescent="0.3">
      <c r="A118" s="74"/>
      <c r="C118" s="106"/>
      <c r="D118" s="106"/>
    </row>
    <row r="119" spans="1:4" s="15" customFormat="1" ht="20.399999999999999" x14ac:dyDescent="0.3">
      <c r="A119" s="74"/>
      <c r="C119" s="106"/>
      <c r="D119" s="106"/>
    </row>
    <row r="120" spans="1:4" s="15" customFormat="1" ht="20.399999999999999" x14ac:dyDescent="0.3">
      <c r="A120" s="74"/>
      <c r="C120" s="106"/>
      <c r="D120" s="106"/>
    </row>
    <row r="121" spans="1:4" s="15" customFormat="1" ht="20.399999999999999" x14ac:dyDescent="0.3">
      <c r="A121" s="74"/>
      <c r="C121" s="106"/>
      <c r="D121" s="106"/>
    </row>
    <row r="122" spans="1:4" s="15" customFormat="1" ht="20.399999999999999" x14ac:dyDescent="0.3">
      <c r="A122" s="74"/>
      <c r="C122" s="106"/>
      <c r="D122" s="106"/>
    </row>
    <row r="123" spans="1:4" s="15" customFormat="1" ht="20.399999999999999" x14ac:dyDescent="0.3">
      <c r="A123" s="74"/>
      <c r="C123" s="106"/>
      <c r="D123" s="106"/>
    </row>
    <row r="124" spans="1:4" s="15" customFormat="1" ht="20.399999999999999" x14ac:dyDescent="0.3">
      <c r="A124" s="74"/>
      <c r="C124" s="106"/>
      <c r="D124" s="106"/>
    </row>
    <row r="125" spans="1:4" s="15" customFormat="1" ht="20.399999999999999" x14ac:dyDescent="0.3">
      <c r="A125" s="74"/>
      <c r="C125" s="106"/>
      <c r="D125" s="106"/>
    </row>
    <row r="126" spans="1:4" s="15" customFormat="1" ht="20.399999999999999" x14ac:dyDescent="0.3">
      <c r="A126" s="74"/>
      <c r="C126" s="106"/>
      <c r="D126" s="106"/>
    </row>
    <row r="127" spans="1:4" s="15" customFormat="1" ht="20.399999999999999" x14ac:dyDescent="0.3">
      <c r="A127" s="74"/>
      <c r="C127" s="106"/>
      <c r="D127" s="106"/>
    </row>
    <row r="128" spans="1:4" s="15" customFormat="1" ht="20.399999999999999" x14ac:dyDescent="0.3">
      <c r="A128" s="74"/>
      <c r="C128" s="106"/>
      <c r="D128" s="106"/>
    </row>
    <row r="129" spans="1:4" s="15" customFormat="1" ht="20.399999999999999" x14ac:dyDescent="0.3">
      <c r="A129" s="74"/>
      <c r="C129" s="106"/>
      <c r="D129" s="106"/>
    </row>
    <row r="130" spans="1:4" s="15" customFormat="1" ht="20.399999999999999" x14ac:dyDescent="0.3">
      <c r="A130" s="74"/>
      <c r="C130" s="106"/>
      <c r="D130" s="106"/>
    </row>
    <row r="131" spans="1:4" s="15" customFormat="1" ht="20.399999999999999" x14ac:dyDescent="0.3">
      <c r="A131" s="74"/>
      <c r="C131" s="106"/>
      <c r="D131" s="106"/>
    </row>
    <row r="132" spans="1:4" s="15" customFormat="1" ht="20.399999999999999" x14ac:dyDescent="0.3">
      <c r="A132" s="74"/>
      <c r="C132" s="106"/>
      <c r="D132" s="106"/>
    </row>
    <row r="133" spans="1:4" s="15" customFormat="1" ht="20.399999999999999" x14ac:dyDescent="0.3">
      <c r="A133" s="74"/>
      <c r="C133" s="106"/>
      <c r="D133" s="106"/>
    </row>
    <row r="134" spans="1:4" s="15" customFormat="1" ht="20.399999999999999" x14ac:dyDescent="0.3">
      <c r="A134" s="74"/>
      <c r="C134" s="106"/>
      <c r="D134" s="106"/>
    </row>
    <row r="135" spans="1:4" s="15" customFormat="1" ht="20.399999999999999" x14ac:dyDescent="0.3">
      <c r="A135" s="74"/>
      <c r="C135" s="106"/>
      <c r="D135" s="106"/>
    </row>
    <row r="136" spans="1:4" s="15" customFormat="1" ht="20.399999999999999" x14ac:dyDescent="0.3">
      <c r="A136" s="74"/>
      <c r="C136" s="106"/>
      <c r="D136" s="106"/>
    </row>
    <row r="137" spans="1:4" s="15" customFormat="1" ht="20.399999999999999" x14ac:dyDescent="0.3">
      <c r="A137" s="74"/>
      <c r="C137" s="106"/>
      <c r="D137" s="106"/>
    </row>
    <row r="138" spans="1:4" s="15" customFormat="1" ht="20.399999999999999" x14ac:dyDescent="0.3">
      <c r="A138" s="74"/>
      <c r="C138" s="106"/>
      <c r="D138" s="106"/>
    </row>
    <row r="139" spans="1:4" s="15" customFormat="1" ht="20.399999999999999" x14ac:dyDescent="0.3">
      <c r="A139" s="74"/>
      <c r="C139" s="106"/>
      <c r="D139" s="106"/>
    </row>
    <row r="140" spans="1:4" s="15" customFormat="1" ht="20.399999999999999" x14ac:dyDescent="0.3">
      <c r="A140" s="74"/>
      <c r="C140" s="106"/>
      <c r="D140" s="106"/>
    </row>
    <row r="141" spans="1:4" s="15" customFormat="1" ht="20.399999999999999" x14ac:dyDescent="0.3">
      <c r="A141" s="74"/>
      <c r="C141" s="106"/>
      <c r="D141" s="106"/>
    </row>
    <row r="142" spans="1:4" s="15" customFormat="1" ht="20.399999999999999" x14ac:dyDescent="0.3">
      <c r="A142" s="74"/>
      <c r="C142" s="106"/>
      <c r="D142" s="106"/>
    </row>
    <row r="143" spans="1:4" s="15" customFormat="1" ht="20.399999999999999" x14ac:dyDescent="0.3">
      <c r="A143" s="74"/>
      <c r="C143" s="106"/>
      <c r="D143" s="106"/>
    </row>
    <row r="144" spans="1:4" s="15" customFormat="1" ht="20.399999999999999" x14ac:dyDescent="0.3">
      <c r="A144" s="74"/>
      <c r="C144" s="106"/>
      <c r="D144" s="106"/>
    </row>
    <row r="145" spans="1:4" s="15" customFormat="1" ht="20.399999999999999" x14ac:dyDescent="0.3">
      <c r="A145" s="74"/>
      <c r="C145" s="106"/>
      <c r="D145" s="106"/>
    </row>
    <row r="146" spans="1:4" s="15" customFormat="1" ht="20.399999999999999" x14ac:dyDescent="0.3">
      <c r="A146" s="74"/>
      <c r="C146" s="106"/>
      <c r="D146" s="106"/>
    </row>
    <row r="147" spans="1:4" s="15" customFormat="1" ht="20.399999999999999" x14ac:dyDescent="0.3">
      <c r="A147" s="74"/>
      <c r="C147" s="106"/>
      <c r="D147" s="106"/>
    </row>
    <row r="148" spans="1:4" s="15" customFormat="1" ht="20.399999999999999" x14ac:dyDescent="0.3">
      <c r="A148" s="74"/>
      <c r="C148" s="106"/>
      <c r="D148" s="106"/>
    </row>
    <row r="149" spans="1:4" s="15" customFormat="1" ht="20.399999999999999" x14ac:dyDescent="0.3">
      <c r="A149" s="74"/>
      <c r="C149" s="106"/>
      <c r="D149" s="106"/>
    </row>
    <row r="150" spans="1:4" s="15" customFormat="1" ht="20.399999999999999" x14ac:dyDescent="0.3">
      <c r="A150" s="74"/>
      <c r="C150" s="106"/>
      <c r="D150" s="106"/>
    </row>
    <row r="151" spans="1:4" s="15" customFormat="1" ht="20.399999999999999" x14ac:dyDescent="0.3">
      <c r="A151" s="74"/>
      <c r="C151" s="106"/>
      <c r="D151" s="106"/>
    </row>
    <row r="152" spans="1:4" s="15" customFormat="1" ht="20.399999999999999" x14ac:dyDescent="0.3">
      <c r="A152" s="74"/>
      <c r="C152" s="106"/>
      <c r="D152" s="106"/>
    </row>
    <row r="153" spans="1:4" s="15" customFormat="1" ht="20.399999999999999" x14ac:dyDescent="0.3">
      <c r="A153" s="74"/>
      <c r="C153" s="106"/>
      <c r="D153" s="106"/>
    </row>
    <row r="154" spans="1:4" s="15" customFormat="1" ht="20.399999999999999" x14ac:dyDescent="0.3">
      <c r="A154" s="74"/>
      <c r="C154" s="106"/>
      <c r="D154" s="106"/>
    </row>
    <row r="155" spans="1:4" s="15" customFormat="1" ht="20.399999999999999" x14ac:dyDescent="0.3">
      <c r="A155" s="74"/>
      <c r="C155" s="106"/>
      <c r="D155" s="106"/>
    </row>
    <row r="156" spans="1:4" s="15" customFormat="1" ht="20.399999999999999" x14ac:dyDescent="0.3">
      <c r="A156" s="74"/>
      <c r="C156" s="106"/>
      <c r="D156" s="106"/>
    </row>
    <row r="157" spans="1:4" s="15" customFormat="1" ht="20.399999999999999" x14ac:dyDescent="0.3">
      <c r="A157" s="74"/>
      <c r="C157" s="106"/>
      <c r="D157" s="106"/>
    </row>
    <row r="158" spans="1:4" s="15" customFormat="1" ht="20.399999999999999" x14ac:dyDescent="0.3">
      <c r="A158" s="74"/>
      <c r="C158" s="106"/>
      <c r="D158" s="106"/>
    </row>
    <row r="159" spans="1:4" s="15" customFormat="1" ht="20.399999999999999" x14ac:dyDescent="0.3">
      <c r="A159" s="74"/>
      <c r="C159" s="106"/>
      <c r="D159" s="106"/>
    </row>
    <row r="160" spans="1:4" s="15" customFormat="1" ht="20.399999999999999" x14ac:dyDescent="0.3">
      <c r="A160" s="74"/>
      <c r="C160" s="106"/>
      <c r="D160" s="106"/>
    </row>
    <row r="161" spans="1:4" s="15" customFormat="1" ht="20.399999999999999" x14ac:dyDescent="0.3">
      <c r="A161" s="74"/>
      <c r="C161" s="106"/>
      <c r="D161" s="106"/>
    </row>
    <row r="162" spans="1:4" s="15" customFormat="1" ht="20.399999999999999" x14ac:dyDescent="0.3">
      <c r="A162" s="74"/>
      <c r="C162" s="106"/>
      <c r="D162" s="106"/>
    </row>
    <row r="163" spans="1:4" s="15" customFormat="1" ht="20.399999999999999" x14ac:dyDescent="0.3">
      <c r="A163" s="74"/>
      <c r="C163" s="106"/>
      <c r="D163" s="106"/>
    </row>
    <row r="164" spans="1:4" s="15" customFormat="1" ht="20.399999999999999" x14ac:dyDescent="0.3">
      <c r="A164" s="74"/>
      <c r="C164" s="106"/>
      <c r="D164" s="106"/>
    </row>
    <row r="165" spans="1:4" s="15" customFormat="1" ht="20.399999999999999" x14ac:dyDescent="0.3">
      <c r="A165" s="74"/>
      <c r="C165" s="106"/>
      <c r="D165" s="106"/>
    </row>
    <row r="166" spans="1:4" s="15" customFormat="1" ht="20.399999999999999" x14ac:dyDescent="0.3">
      <c r="A166" s="74"/>
      <c r="C166" s="106"/>
      <c r="D166" s="106"/>
    </row>
    <row r="167" spans="1:4" s="15" customFormat="1" ht="20.399999999999999" x14ac:dyDescent="0.3">
      <c r="A167" s="74"/>
      <c r="C167" s="106"/>
      <c r="D167" s="106"/>
    </row>
    <row r="168" spans="1:4" s="15" customFormat="1" ht="20.399999999999999" x14ac:dyDescent="0.3">
      <c r="A168" s="74"/>
      <c r="C168" s="106"/>
      <c r="D168" s="106"/>
    </row>
    <row r="169" spans="1:4" s="15" customFormat="1" ht="20.399999999999999" x14ac:dyDescent="0.3">
      <c r="A169" s="74"/>
      <c r="C169" s="106"/>
      <c r="D169" s="106"/>
    </row>
    <row r="170" spans="1:4" s="15" customFormat="1" ht="20.399999999999999" x14ac:dyDescent="0.3">
      <c r="A170" s="74"/>
      <c r="C170" s="106"/>
      <c r="D170" s="106"/>
    </row>
    <row r="171" spans="1:4" s="15" customFormat="1" ht="20.399999999999999" x14ac:dyDescent="0.3">
      <c r="A171" s="74"/>
      <c r="C171" s="106"/>
      <c r="D171" s="106"/>
    </row>
    <row r="172" spans="1:4" s="15" customFormat="1" ht="20.399999999999999" x14ac:dyDescent="0.3">
      <c r="A172" s="74"/>
      <c r="C172" s="106"/>
      <c r="D172" s="106"/>
    </row>
    <row r="173" spans="1:4" s="15" customFormat="1" ht="20.399999999999999" x14ac:dyDescent="0.3">
      <c r="A173" s="74"/>
      <c r="C173" s="106"/>
      <c r="D173" s="106"/>
    </row>
    <row r="174" spans="1:4" s="15" customFormat="1" ht="20.399999999999999" x14ac:dyDescent="0.3">
      <c r="A174" s="74"/>
      <c r="C174" s="106"/>
      <c r="D174" s="106"/>
    </row>
    <row r="175" spans="1:4" s="15" customFormat="1" ht="20.399999999999999" x14ac:dyDescent="0.3">
      <c r="A175" s="74"/>
      <c r="C175" s="106"/>
      <c r="D175" s="106"/>
    </row>
    <row r="176" spans="1:4" s="15" customFormat="1" ht="20.399999999999999" x14ac:dyDescent="0.3">
      <c r="A176" s="74"/>
      <c r="C176" s="106"/>
      <c r="D176" s="106"/>
    </row>
    <row r="177" spans="1:4" s="15" customFormat="1" ht="20.399999999999999" x14ac:dyDescent="0.3">
      <c r="A177" s="74"/>
      <c r="C177" s="106"/>
      <c r="D177" s="106"/>
    </row>
    <row r="178" spans="1:4" s="15" customFormat="1" ht="20.399999999999999" x14ac:dyDescent="0.3">
      <c r="A178" s="74"/>
      <c r="C178" s="106"/>
      <c r="D178" s="106"/>
    </row>
    <row r="179" spans="1:4" s="15" customFormat="1" ht="20.399999999999999" x14ac:dyDescent="0.3">
      <c r="A179" s="74"/>
      <c r="C179" s="106"/>
      <c r="D179" s="106"/>
    </row>
    <row r="180" spans="1:4" s="15" customFormat="1" ht="20.399999999999999" x14ac:dyDescent="0.3">
      <c r="A180" s="74"/>
      <c r="C180" s="106"/>
      <c r="D180" s="106"/>
    </row>
    <row r="181" spans="1:4" s="15" customFormat="1" ht="20.399999999999999" x14ac:dyDescent="0.3">
      <c r="A181" s="74"/>
      <c r="C181" s="106"/>
      <c r="D181" s="106"/>
    </row>
    <row r="182" spans="1:4" s="15" customFormat="1" ht="20.399999999999999" x14ac:dyDescent="0.3">
      <c r="A182" s="74"/>
      <c r="C182" s="106"/>
      <c r="D182" s="106"/>
    </row>
    <row r="183" spans="1:4" s="15" customFormat="1" ht="20.399999999999999" x14ac:dyDescent="0.3">
      <c r="A183" s="74"/>
      <c r="C183" s="106"/>
      <c r="D183" s="106"/>
    </row>
    <row r="184" spans="1:4" s="15" customFormat="1" ht="20.399999999999999" x14ac:dyDescent="0.3">
      <c r="A184" s="74"/>
      <c r="C184" s="106"/>
      <c r="D184" s="106"/>
    </row>
    <row r="185" spans="1:4" s="15" customFormat="1" ht="20.399999999999999" x14ac:dyDescent="0.3">
      <c r="A185" s="74"/>
      <c r="C185" s="106"/>
      <c r="D185" s="106"/>
    </row>
    <row r="186" spans="1:4" s="15" customFormat="1" ht="20.399999999999999" x14ac:dyDescent="0.3">
      <c r="A186" s="74"/>
      <c r="C186" s="106"/>
      <c r="D186" s="106"/>
    </row>
    <row r="187" spans="1:4" s="15" customFormat="1" ht="20.399999999999999" x14ac:dyDescent="0.3">
      <c r="A187" s="74"/>
      <c r="C187" s="106"/>
      <c r="D187" s="106"/>
    </row>
    <row r="188" spans="1:4" s="15" customFormat="1" ht="20.399999999999999" x14ac:dyDescent="0.3">
      <c r="A188" s="74"/>
      <c r="C188" s="106"/>
      <c r="D188" s="106"/>
    </row>
    <row r="189" spans="1:4" s="15" customFormat="1" ht="20.399999999999999" x14ac:dyDescent="0.3">
      <c r="A189" s="74"/>
      <c r="C189" s="106"/>
      <c r="D189" s="106"/>
    </row>
    <row r="190" spans="1:4" s="15" customFormat="1" ht="20.399999999999999" x14ac:dyDescent="0.3">
      <c r="A190" s="74"/>
      <c r="C190" s="106"/>
      <c r="D190" s="106"/>
    </row>
    <row r="191" spans="1:4" s="15" customFormat="1" ht="20.399999999999999" x14ac:dyDescent="0.3">
      <c r="A191" s="74"/>
      <c r="C191" s="106"/>
      <c r="D191" s="106"/>
    </row>
    <row r="192" spans="1:4" s="15" customFormat="1" ht="20.399999999999999" x14ac:dyDescent="0.3">
      <c r="A192" s="74"/>
      <c r="C192" s="106"/>
      <c r="D192" s="106"/>
    </row>
    <row r="193" spans="1:4" s="15" customFormat="1" ht="20.399999999999999" x14ac:dyDescent="0.3">
      <c r="A193" s="74"/>
      <c r="C193" s="106"/>
      <c r="D193" s="106"/>
    </row>
    <row r="194" spans="1:4" s="15" customFormat="1" ht="20.399999999999999" x14ac:dyDescent="0.3">
      <c r="A194" s="74"/>
      <c r="C194" s="106"/>
      <c r="D194" s="106"/>
    </row>
    <row r="195" spans="1:4" s="15" customFormat="1" ht="20.399999999999999" x14ac:dyDescent="0.3">
      <c r="A195" s="74"/>
      <c r="C195" s="106"/>
      <c r="D195" s="106"/>
    </row>
    <row r="196" spans="1:4" s="15" customFormat="1" ht="20.399999999999999" x14ac:dyDescent="0.3">
      <c r="A196" s="74"/>
      <c r="C196" s="106"/>
      <c r="D196" s="106"/>
    </row>
    <row r="197" spans="1:4" s="15" customFormat="1" ht="20.399999999999999" x14ac:dyDescent="0.3">
      <c r="A197" s="74"/>
      <c r="C197" s="106"/>
      <c r="D197" s="106"/>
    </row>
    <row r="198" spans="1:4" s="15" customFormat="1" ht="20.399999999999999" x14ac:dyDescent="0.3">
      <c r="A198" s="74"/>
      <c r="C198" s="106"/>
      <c r="D198" s="106"/>
    </row>
    <row r="199" spans="1:4" s="15" customFormat="1" ht="20.399999999999999" x14ac:dyDescent="0.3">
      <c r="A199" s="74"/>
      <c r="C199" s="106"/>
      <c r="D199" s="106"/>
    </row>
    <row r="200" spans="1:4" s="15" customFormat="1" ht="20.399999999999999" x14ac:dyDescent="0.3">
      <c r="A200" s="74"/>
      <c r="C200" s="106"/>
      <c r="D200" s="106"/>
    </row>
    <row r="201" spans="1:4" s="15" customFormat="1" ht="20.399999999999999" x14ac:dyDescent="0.3">
      <c r="A201" s="74"/>
      <c r="C201" s="106"/>
      <c r="D201" s="106"/>
    </row>
    <row r="202" spans="1:4" s="15" customFormat="1" ht="20.399999999999999" x14ac:dyDescent="0.3">
      <c r="A202" s="74"/>
      <c r="C202" s="106"/>
      <c r="D202" s="106"/>
    </row>
    <row r="203" spans="1:4" s="15" customFormat="1" ht="20.399999999999999" x14ac:dyDescent="0.3">
      <c r="A203" s="74"/>
      <c r="C203" s="106"/>
      <c r="D203" s="106"/>
    </row>
    <row r="204" spans="1:4" s="15" customFormat="1" ht="20.399999999999999" x14ac:dyDescent="0.3">
      <c r="A204" s="74"/>
      <c r="C204" s="106"/>
      <c r="D204" s="106"/>
    </row>
    <row r="205" spans="1:4" s="15" customFormat="1" ht="20.399999999999999" x14ac:dyDescent="0.3">
      <c r="A205" s="74"/>
      <c r="C205" s="106"/>
      <c r="D205" s="106"/>
    </row>
    <row r="206" spans="1:4" s="15" customFormat="1" ht="20.399999999999999" x14ac:dyDescent="0.3">
      <c r="A206" s="74"/>
      <c r="C206" s="106"/>
      <c r="D206" s="106"/>
    </row>
    <row r="207" spans="1:4" s="15" customFormat="1" ht="20.399999999999999" x14ac:dyDescent="0.3">
      <c r="A207" s="74"/>
      <c r="C207" s="106"/>
      <c r="D207" s="106"/>
    </row>
    <row r="208" spans="1:4" s="15" customFormat="1" x14ac:dyDescent="0.3">
      <c r="A208" s="74"/>
    </row>
    <row r="209" spans="1:8" s="15" customFormat="1" ht="20.399999999999999" x14ac:dyDescent="0.3">
      <c r="A209" s="74"/>
      <c r="B209" s="107" t="s">
        <v>87</v>
      </c>
      <c r="C209" s="107" t="s">
        <v>139</v>
      </c>
      <c r="D209" s="108" t="s">
        <v>87</v>
      </c>
      <c r="E209" s="108" t="s">
        <v>139</v>
      </c>
    </row>
    <row r="210" spans="1:8" s="15" customFormat="1" ht="42" x14ac:dyDescent="0.4">
      <c r="A210" s="74"/>
      <c r="B210" s="109" t="s">
        <v>89</v>
      </c>
      <c r="C210" s="109" t="s">
        <v>204</v>
      </c>
      <c r="D210" s="15" t="s">
        <v>89</v>
      </c>
      <c r="F210" s="15" t="str">
        <f>IF(NOT(ISBLANK(D210)),D210,IF(NOT(ISBLANK(E210)),"     "&amp;E210,FALSE))</f>
        <v>Afectación Económica o presupuestal</v>
      </c>
      <c r="G210" s="15" t="s">
        <v>89</v>
      </c>
      <c r="H210" s="15" t="str">
        <f ca="1">IF(NOT(ISERROR(MATCH(G210,_xlfn.ANCHORARRAY(B221),0))),F223&amp;"Por favor no seleccionar los criterios de impacto",G210)</f>
        <v>Afectación Económica o presupuestal</v>
      </c>
    </row>
    <row r="211" spans="1:8" s="15" customFormat="1" ht="42" x14ac:dyDescent="0.4">
      <c r="A211" s="74"/>
      <c r="B211" s="109" t="s">
        <v>89</v>
      </c>
      <c r="C211" s="109" t="s">
        <v>205</v>
      </c>
      <c r="E211" s="15" t="s">
        <v>204</v>
      </c>
      <c r="F211" s="15" t="str">
        <f t="shared" ref="F211:F221" si="0">IF(NOT(ISBLANK(D211)),D211,IF(NOT(ISBLANK(E211)),"     "&amp;E211,FALSE))</f>
        <v xml:space="preserve">     Afectación menor a 200 SMLMV</v>
      </c>
    </row>
    <row r="212" spans="1:8" s="15" customFormat="1" ht="42" x14ac:dyDescent="0.4">
      <c r="A212" s="74"/>
      <c r="B212" s="109" t="s">
        <v>89</v>
      </c>
      <c r="C212" s="109" t="s">
        <v>209</v>
      </c>
      <c r="E212" s="15" t="s">
        <v>205</v>
      </c>
      <c r="F212" s="15" t="str">
        <f t="shared" si="0"/>
        <v xml:space="preserve">     Entre 200 y 1000 SMLMV</v>
      </c>
    </row>
    <row r="213" spans="1:8" s="15" customFormat="1" ht="42" x14ac:dyDescent="0.4">
      <c r="A213" s="74"/>
      <c r="B213" s="109" t="s">
        <v>89</v>
      </c>
      <c r="C213" s="109" t="s">
        <v>210</v>
      </c>
      <c r="E213" s="15" t="s">
        <v>209</v>
      </c>
      <c r="F213" s="15" t="str">
        <f t="shared" si="0"/>
        <v xml:space="preserve">     Entre 1000 y 5000 SMLMV </v>
      </c>
    </row>
    <row r="214" spans="1:8" s="15" customFormat="1" ht="42" x14ac:dyDescent="0.4">
      <c r="A214" s="74"/>
      <c r="B214" s="109" t="s">
        <v>89</v>
      </c>
      <c r="C214" s="109" t="s">
        <v>206</v>
      </c>
      <c r="E214" s="15" t="s">
        <v>210</v>
      </c>
      <c r="F214" s="15" t="str">
        <f t="shared" si="0"/>
        <v xml:space="preserve">     Entre 5000 y 10000 SMLMV</v>
      </c>
    </row>
    <row r="215" spans="1:8" s="15" customFormat="1" ht="21" x14ac:dyDescent="0.4">
      <c r="A215" s="74"/>
      <c r="B215" s="109" t="s">
        <v>57</v>
      </c>
      <c r="C215" s="109" t="s">
        <v>92</v>
      </c>
      <c r="E215" s="15" t="s">
        <v>206</v>
      </c>
      <c r="F215" s="15" t="str">
        <f t="shared" si="0"/>
        <v xml:space="preserve">     Mayor a 10000 SMLMV</v>
      </c>
    </row>
    <row r="216" spans="1:8" s="15" customFormat="1" ht="63" x14ac:dyDescent="0.4">
      <c r="A216" s="74"/>
      <c r="B216" s="109" t="s">
        <v>57</v>
      </c>
      <c r="C216" s="109" t="s">
        <v>93</v>
      </c>
      <c r="D216" s="15" t="s">
        <v>57</v>
      </c>
      <c r="F216" s="15" t="str">
        <f t="shared" si="0"/>
        <v>Pérdida Reputacional</v>
      </c>
    </row>
    <row r="217" spans="1:8" s="15" customFormat="1" ht="42" x14ac:dyDescent="0.4">
      <c r="A217" s="74"/>
      <c r="B217" s="109" t="s">
        <v>57</v>
      </c>
      <c r="C217" s="109" t="s">
        <v>95</v>
      </c>
      <c r="E217" s="15" t="s">
        <v>92</v>
      </c>
      <c r="F217" s="15" t="str">
        <f>IF(NOT(ISBLANK(D217)),D217,IF(NOT(ISBLANK(E217)),"     "&amp;E217,FALSE))</f>
        <v xml:space="preserve">     El riesgo afecta la imagen de alguna área de la organización</v>
      </c>
    </row>
    <row r="218" spans="1:8" s="15" customFormat="1" ht="63" x14ac:dyDescent="0.4">
      <c r="A218" s="74"/>
      <c r="B218" s="109" t="s">
        <v>57</v>
      </c>
      <c r="C218" s="109" t="s">
        <v>94</v>
      </c>
      <c r="E218" s="15" t="s">
        <v>93</v>
      </c>
      <c r="F218" s="15" t="str">
        <f t="shared" si="0"/>
        <v xml:space="preserve">     El riesgo afecta la imagen de la entidad internamente, de conocimiento general, nivel interno, de junta dircetiva y accionistas y/o de provedores</v>
      </c>
    </row>
    <row r="219" spans="1:8" s="15" customFormat="1" ht="42" x14ac:dyDescent="0.4">
      <c r="A219" s="74"/>
      <c r="B219" s="109" t="s">
        <v>57</v>
      </c>
      <c r="C219" s="109" t="s">
        <v>113</v>
      </c>
      <c r="E219" s="15" t="s">
        <v>95</v>
      </c>
      <c r="F219" s="15" t="str">
        <f t="shared" si="0"/>
        <v xml:space="preserve">     El riesgo afecta la imagen de la entidad con algunos usuarios de relevancia frente al logro de los objetivos</v>
      </c>
    </row>
    <row r="220" spans="1:8" s="15" customFormat="1" x14ac:dyDescent="0.3">
      <c r="A220" s="74"/>
      <c r="E220" s="15" t="s">
        <v>94</v>
      </c>
      <c r="F220" s="15" t="str">
        <f t="shared" si="0"/>
        <v xml:space="preserve">     El riesgo afecta la imagen de de la entidad con efecto publicitario sostenido a nivel de sector administrativo, nivel departamental o municipal</v>
      </c>
    </row>
    <row r="221" spans="1:8" s="15" customFormat="1" x14ac:dyDescent="0.3">
      <c r="A221" s="74"/>
      <c r="B221" s="15" t="e" cm="1" vm="1">
        <f t="array" aca="1" ref="B221:B223" ca="1">_xlfn.UNIQUE(Tabla1[[#All],[Criterios]])</f>
        <v>#NAME?</v>
      </c>
      <c r="E221" s="15" t="s">
        <v>113</v>
      </c>
      <c r="F221" s="15" t="str">
        <f t="shared" si="0"/>
        <v xml:space="preserve">     El riesgo afecta la imagen de la entidad a nivel nacional, con efecto publicitarios sostenible a nivel país</v>
      </c>
    </row>
    <row r="222" spans="1:8" s="15" customFormat="1" x14ac:dyDescent="0.3">
      <c r="A222" s="74"/>
      <c r="B222" s="15" t="e" vm="1">
        <f ca="1"/>
        <v>#NAME?</v>
      </c>
    </row>
    <row r="223" spans="1:8" s="15" customFormat="1" x14ac:dyDescent="0.3">
      <c r="B223" s="15" t="e" vm="1">
        <f ca="1"/>
        <v>#NAME?</v>
      </c>
      <c r="F223" s="110" t="s">
        <v>140</v>
      </c>
    </row>
    <row r="224" spans="1:8" s="15" customFormat="1" x14ac:dyDescent="0.3">
      <c r="F224" s="110" t="s">
        <v>141</v>
      </c>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16"/>
  <sheetViews>
    <sheetView workbookViewId="0"/>
  </sheetViews>
  <sheetFormatPr baseColWidth="10" defaultColWidth="14.33203125" defaultRowHeight="13.8" x14ac:dyDescent="0.3"/>
  <cols>
    <col min="1" max="2" width="14.33203125" style="59"/>
    <col min="3" max="3" width="17" style="59" customWidth="1"/>
    <col min="4" max="4" width="14.33203125" style="59"/>
    <col min="5" max="5" width="46" style="59" customWidth="1"/>
    <col min="6" max="16384" width="14.33203125" style="59"/>
  </cols>
  <sheetData>
    <row r="1" spans="2:6" ht="24" customHeight="1" thickBot="1" x14ac:dyDescent="0.35">
      <c r="B1" s="432" t="s">
        <v>77</v>
      </c>
      <c r="C1" s="433"/>
      <c r="D1" s="433"/>
      <c r="E1" s="433"/>
      <c r="F1" s="434"/>
    </row>
    <row r="2" spans="2:6" ht="16.2" thickBot="1" x14ac:dyDescent="0.35">
      <c r="B2" s="60"/>
      <c r="C2" s="60"/>
      <c r="D2" s="60"/>
      <c r="E2" s="60"/>
      <c r="F2" s="60"/>
    </row>
    <row r="3" spans="2:6" ht="16.2" thickBot="1" x14ac:dyDescent="0.35">
      <c r="B3" s="436" t="s">
        <v>63</v>
      </c>
      <c r="C3" s="437"/>
      <c r="D3" s="437"/>
      <c r="E3" s="72" t="s">
        <v>64</v>
      </c>
      <c r="F3" s="73" t="s">
        <v>65</v>
      </c>
    </row>
    <row r="4" spans="2:6" ht="31.2" x14ac:dyDescent="0.3">
      <c r="B4" s="438" t="s">
        <v>66</v>
      </c>
      <c r="C4" s="440" t="s">
        <v>13</v>
      </c>
      <c r="D4" s="61" t="s">
        <v>14</v>
      </c>
      <c r="E4" s="62" t="s">
        <v>67</v>
      </c>
      <c r="F4" s="63">
        <v>0.25</v>
      </c>
    </row>
    <row r="5" spans="2:6" ht="46.8" x14ac:dyDescent="0.3">
      <c r="B5" s="439"/>
      <c r="C5" s="441"/>
      <c r="D5" s="64" t="s">
        <v>15</v>
      </c>
      <c r="E5" s="65" t="s">
        <v>68</v>
      </c>
      <c r="F5" s="66">
        <v>0.15</v>
      </c>
    </row>
    <row r="6" spans="2:6" ht="46.8" x14ac:dyDescent="0.3">
      <c r="B6" s="439"/>
      <c r="C6" s="441"/>
      <c r="D6" s="64" t="s">
        <v>16</v>
      </c>
      <c r="E6" s="65" t="s">
        <v>69</v>
      </c>
      <c r="F6" s="66">
        <v>0.1</v>
      </c>
    </row>
    <row r="7" spans="2:6" ht="62.4" x14ac:dyDescent="0.3">
      <c r="B7" s="439"/>
      <c r="C7" s="441" t="s">
        <v>17</v>
      </c>
      <c r="D7" s="64" t="s">
        <v>10</v>
      </c>
      <c r="E7" s="65" t="s">
        <v>70</v>
      </c>
      <c r="F7" s="66">
        <v>0.25</v>
      </c>
    </row>
    <row r="8" spans="2:6" ht="31.2" x14ac:dyDescent="0.3">
      <c r="B8" s="439"/>
      <c r="C8" s="441"/>
      <c r="D8" s="64" t="s">
        <v>9</v>
      </c>
      <c r="E8" s="65" t="s">
        <v>71</v>
      </c>
      <c r="F8" s="66">
        <v>0.15</v>
      </c>
    </row>
    <row r="9" spans="2:6" ht="46.8" x14ac:dyDescent="0.3">
      <c r="B9" s="439" t="s">
        <v>150</v>
      </c>
      <c r="C9" s="441" t="s">
        <v>18</v>
      </c>
      <c r="D9" s="64" t="s">
        <v>19</v>
      </c>
      <c r="E9" s="65" t="s">
        <v>72</v>
      </c>
      <c r="F9" s="67" t="s">
        <v>73</v>
      </c>
    </row>
    <row r="10" spans="2:6" ht="46.8" x14ac:dyDescent="0.3">
      <c r="B10" s="439"/>
      <c r="C10" s="441"/>
      <c r="D10" s="64" t="s">
        <v>20</v>
      </c>
      <c r="E10" s="65" t="s">
        <v>74</v>
      </c>
      <c r="F10" s="67" t="s">
        <v>73</v>
      </c>
    </row>
    <row r="11" spans="2:6" ht="46.8" x14ac:dyDescent="0.3">
      <c r="B11" s="439"/>
      <c r="C11" s="441" t="s">
        <v>21</v>
      </c>
      <c r="D11" s="64" t="s">
        <v>22</v>
      </c>
      <c r="E11" s="65" t="s">
        <v>75</v>
      </c>
      <c r="F11" s="67" t="s">
        <v>73</v>
      </c>
    </row>
    <row r="12" spans="2:6" ht="46.8" x14ac:dyDescent="0.3">
      <c r="B12" s="439"/>
      <c r="C12" s="441"/>
      <c r="D12" s="64" t="s">
        <v>23</v>
      </c>
      <c r="E12" s="65" t="s">
        <v>76</v>
      </c>
      <c r="F12" s="67" t="s">
        <v>73</v>
      </c>
    </row>
    <row r="13" spans="2:6" ht="31.2" x14ac:dyDescent="0.3">
      <c r="B13" s="439"/>
      <c r="C13" s="441" t="s">
        <v>24</v>
      </c>
      <c r="D13" s="64" t="s">
        <v>114</v>
      </c>
      <c r="E13" s="65" t="s">
        <v>117</v>
      </c>
      <c r="F13" s="67" t="s">
        <v>73</v>
      </c>
    </row>
    <row r="14" spans="2:6" ht="16.2" thickBot="1" x14ac:dyDescent="0.35">
      <c r="B14" s="442"/>
      <c r="C14" s="443"/>
      <c r="D14" s="68" t="s">
        <v>115</v>
      </c>
      <c r="E14" s="69" t="s">
        <v>116</v>
      </c>
      <c r="F14" s="70" t="s">
        <v>73</v>
      </c>
    </row>
    <row r="15" spans="2:6" ht="49.5" customHeight="1" x14ac:dyDescent="0.3">
      <c r="B15" s="435" t="s">
        <v>147</v>
      </c>
      <c r="C15" s="435"/>
      <c r="D15" s="435"/>
      <c r="E15" s="435"/>
      <c r="F15" s="435"/>
    </row>
    <row r="16" spans="2:6" ht="27" customHeight="1" x14ac:dyDescent="0.3">
      <c r="B16" s="7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workbookViewId="0"/>
  </sheetViews>
  <sheetFormatPr baseColWidth="10" defaultColWidth="11.5546875" defaultRowHeight="14.4" x14ac:dyDescent="0.3"/>
  <sheetData>
    <row r="2" spans="2:5" x14ac:dyDescent="0.3">
      <c r="B2" t="s">
        <v>31</v>
      </c>
      <c r="E2" t="s">
        <v>127</v>
      </c>
    </row>
    <row r="3" spans="2:5" x14ac:dyDescent="0.3">
      <c r="B3" t="s">
        <v>32</v>
      </c>
      <c r="E3" t="s">
        <v>126</v>
      </c>
    </row>
    <row r="4" spans="2:5" x14ac:dyDescent="0.3">
      <c r="B4" t="s">
        <v>131</v>
      </c>
      <c r="E4" t="s">
        <v>128</v>
      </c>
    </row>
    <row r="5" spans="2:5" x14ac:dyDescent="0.3">
      <c r="B5" t="s">
        <v>130</v>
      </c>
    </row>
    <row r="8" spans="2:5" x14ac:dyDescent="0.3">
      <c r="B8" t="s">
        <v>85</v>
      </c>
    </row>
    <row r="9" spans="2:5" x14ac:dyDescent="0.3">
      <c r="B9" t="s">
        <v>40</v>
      </c>
    </row>
    <row r="10" spans="2:5" x14ac:dyDescent="0.3">
      <c r="B10" t="s">
        <v>41</v>
      </c>
    </row>
    <row r="13" spans="2:5" x14ac:dyDescent="0.3">
      <c r="B13" t="s">
        <v>124</v>
      </c>
    </row>
    <row r="14" spans="2:5" x14ac:dyDescent="0.3">
      <c r="B14" t="s">
        <v>118</v>
      </c>
    </row>
    <row r="15" spans="2:5" x14ac:dyDescent="0.3">
      <c r="B15" t="s">
        <v>121</v>
      </c>
    </row>
    <row r="16" spans="2:5" x14ac:dyDescent="0.3">
      <c r="B16" t="s">
        <v>119</v>
      </c>
    </row>
    <row r="17" spans="2:2" x14ac:dyDescent="0.3">
      <c r="B17" t="s">
        <v>120</v>
      </c>
    </row>
    <row r="18" spans="2:2" x14ac:dyDescent="0.3">
      <c r="B18" t="s">
        <v>122</v>
      </c>
    </row>
    <row r="19" spans="2:2" x14ac:dyDescent="0.3">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heetViews>
  <sheetFormatPr baseColWidth="10" defaultColWidth="11.44140625" defaultRowHeight="13.8" x14ac:dyDescent="0.3"/>
  <cols>
    <col min="1" max="1" width="32.88671875" style="1" customWidth="1"/>
    <col min="2" max="16384" width="11.44140625" style="1"/>
  </cols>
  <sheetData>
    <row r="3" spans="1:1" x14ac:dyDescent="0.3">
      <c r="A3" s="2" t="s">
        <v>14</v>
      </c>
    </row>
    <row r="4" spans="1:1" x14ac:dyDescent="0.3">
      <c r="A4" s="2" t="s">
        <v>15</v>
      </c>
    </row>
    <row r="5" spans="1:1" x14ac:dyDescent="0.3">
      <c r="A5" s="2" t="s">
        <v>16</v>
      </c>
    </row>
    <row r="6" spans="1:1" x14ac:dyDescent="0.3">
      <c r="A6" s="2" t="s">
        <v>10</v>
      </c>
    </row>
    <row r="7" spans="1:1" x14ac:dyDescent="0.3">
      <c r="A7" s="2" t="s">
        <v>9</v>
      </c>
    </row>
    <row r="8" spans="1:1" x14ac:dyDescent="0.3">
      <c r="A8" s="2" t="s">
        <v>19</v>
      </c>
    </row>
    <row r="9" spans="1:1" x14ac:dyDescent="0.3">
      <c r="A9" s="2" t="s">
        <v>20</v>
      </c>
    </row>
    <row r="10" spans="1:1" x14ac:dyDescent="0.3">
      <c r="A10" s="2" t="s">
        <v>22</v>
      </c>
    </row>
    <row r="11" spans="1:1" x14ac:dyDescent="0.3">
      <c r="A11" s="2" t="s">
        <v>23</v>
      </c>
    </row>
    <row r="12" spans="1:1" x14ac:dyDescent="0.3">
      <c r="A12" s="2" t="s">
        <v>25</v>
      </c>
    </row>
    <row r="13" spans="1:1" x14ac:dyDescent="0.3">
      <c r="A13" s="2" t="s">
        <v>26</v>
      </c>
    </row>
    <row r="14" spans="1:1" x14ac:dyDescent="0.3">
      <c r="A14" s="2" t="s">
        <v>27</v>
      </c>
    </row>
    <row r="16" spans="1:1" x14ac:dyDescent="0.3">
      <c r="A16" s="2" t="s">
        <v>30</v>
      </c>
    </row>
    <row r="17" spans="1:1" x14ac:dyDescent="0.3">
      <c r="A17" s="2" t="s">
        <v>31</v>
      </c>
    </row>
    <row r="18" spans="1:1" x14ac:dyDescent="0.3">
      <c r="A18" s="2" t="s">
        <v>32</v>
      </c>
    </row>
    <row r="20" spans="1:1" x14ac:dyDescent="0.3">
      <c r="A20" s="2" t="s">
        <v>40</v>
      </c>
    </row>
    <row r="21" spans="1:1" x14ac:dyDescent="0.3">
      <c r="A21" s="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Andres Murillo</cp:lastModifiedBy>
  <cp:lastPrinted>2020-05-13T01:12:22Z</cp:lastPrinted>
  <dcterms:created xsi:type="dcterms:W3CDTF">2020-03-24T23:12:47Z</dcterms:created>
  <dcterms:modified xsi:type="dcterms:W3CDTF">2022-07-27T15:21:30Z</dcterms:modified>
</cp:coreProperties>
</file>