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hidePivotFieldList="1" defaultThemeVersion="124226"/>
  <mc:AlternateContent xmlns:mc="http://schemas.openxmlformats.org/markup-compatibility/2006">
    <mc:Choice Requires="x15">
      <x15ac:absPath xmlns:x15ac="http://schemas.microsoft.com/office/spreadsheetml/2010/11/ac" url="C:\Users\agma-\Documents\Alcaldía de Ibagué\2022\Riesgos\"/>
    </mc:Choice>
  </mc:AlternateContent>
  <xr:revisionPtr revIDLastSave="0" documentId="8_{C5DD0C7E-A583-42B9-ABC6-CAEFD4C925AC}" xr6:coauthVersionLast="47" xr6:coauthVersionMax="47" xr10:uidLastSave="{00000000-0000-0000-0000-000000000000}"/>
  <bookViews>
    <workbookView xWindow="-108" yWindow="-108" windowWidth="23256" windowHeight="12456"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calcPr calcId="191029"/>
  <pivotCaches>
    <pivotCache cacheId="0" r:id="rId11"/>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18" i="1" l="1"/>
  <c r="S18" i="1"/>
  <c r="Z18" i="1" s="1"/>
  <c r="AB18" i="1" s="1"/>
  <c r="V17" i="1"/>
  <c r="S17" i="1"/>
  <c r="I19" i="1"/>
  <c r="V58" i="1"/>
  <c r="S58" i="1"/>
  <c r="V57" i="1"/>
  <c r="S57" i="1"/>
  <c r="V56" i="1"/>
  <c r="S56" i="1"/>
  <c r="V55" i="1"/>
  <c r="S55" i="1"/>
  <c r="V54" i="1"/>
  <c r="S54" i="1"/>
  <c r="V53" i="1"/>
  <c r="S53" i="1"/>
  <c r="V52" i="1"/>
  <c r="S52" i="1"/>
  <c r="V51" i="1"/>
  <c r="S51" i="1"/>
  <c r="V50" i="1"/>
  <c r="S50" i="1"/>
  <c r="V49" i="1"/>
  <c r="S49" i="1"/>
  <c r="V48" i="1"/>
  <c r="S48" i="1"/>
  <c r="V47" i="1"/>
  <c r="S47" i="1"/>
  <c r="V46" i="1"/>
  <c r="S46" i="1"/>
  <c r="V45" i="1"/>
  <c r="S45" i="1"/>
  <c r="V44" i="1"/>
  <c r="S44" i="1"/>
  <c r="V43" i="1"/>
  <c r="S43" i="1"/>
  <c r="V42" i="1"/>
  <c r="S42" i="1"/>
  <c r="V41" i="1"/>
  <c r="S41" i="1"/>
  <c r="V40" i="1"/>
  <c r="S40" i="1"/>
  <c r="V39" i="1"/>
  <c r="S39" i="1"/>
  <c r="V38" i="1"/>
  <c r="S38" i="1"/>
  <c r="V37" i="1"/>
  <c r="S37" i="1"/>
  <c r="V36" i="1"/>
  <c r="S36" i="1"/>
  <c r="V35" i="1"/>
  <c r="S35" i="1"/>
  <c r="V34" i="1"/>
  <c r="S34" i="1"/>
  <c r="V33" i="1"/>
  <c r="S33" i="1"/>
  <c r="V32" i="1"/>
  <c r="S32" i="1"/>
  <c r="V31" i="1"/>
  <c r="S31" i="1"/>
  <c r="V30" i="1"/>
  <c r="S30" i="1"/>
  <c r="V29" i="1"/>
  <c r="S29" i="1"/>
  <c r="V28" i="1"/>
  <c r="S28" i="1"/>
  <c r="V27" i="1"/>
  <c r="S27" i="1"/>
  <c r="V26" i="1"/>
  <c r="S26" i="1"/>
  <c r="V25" i="1"/>
  <c r="S25" i="1"/>
  <c r="V24" i="1"/>
  <c r="S24" i="1"/>
  <c r="V23" i="1"/>
  <c r="S23" i="1"/>
  <c r="V22" i="1"/>
  <c r="S22" i="1"/>
  <c r="V21" i="1"/>
  <c r="S21" i="1"/>
  <c r="V20" i="1"/>
  <c r="S20" i="1"/>
  <c r="V19" i="1"/>
  <c r="S19" i="1"/>
  <c r="V16" i="1"/>
  <c r="S16" i="1"/>
  <c r="V15" i="1"/>
  <c r="S15" i="1"/>
  <c r="AA18" i="1" l="1"/>
  <c r="AD24" i="1"/>
  <c r="AC24" i="1" s="1"/>
  <c r="AD26" i="1"/>
  <c r="AC26" i="1" s="1"/>
  <c r="AD30" i="1"/>
  <c r="AC30" i="1" s="1"/>
  <c r="AD32" i="1"/>
  <c r="AC32" i="1" s="1"/>
  <c r="AD34" i="1"/>
  <c r="AC34" i="1" s="1"/>
  <c r="AD38" i="1"/>
  <c r="AC38" i="1" s="1"/>
  <c r="AD40" i="1"/>
  <c r="AC40" i="1" s="1"/>
  <c r="AD42" i="1"/>
  <c r="AC42" i="1" s="1"/>
  <c r="AD46" i="1"/>
  <c r="AC46" i="1" s="1"/>
  <c r="AD48" i="1"/>
  <c r="AC48" i="1" s="1"/>
  <c r="AD50" i="1"/>
  <c r="AC50" i="1" s="1"/>
  <c r="AD54" i="1"/>
  <c r="AC54" i="1" s="1"/>
  <c r="AD56" i="1"/>
  <c r="AC56" i="1" s="1"/>
  <c r="AD58" i="1"/>
  <c r="AC58" i="1" s="1"/>
  <c r="AD28" i="1"/>
  <c r="AC28" i="1" s="1"/>
  <c r="AD36" i="1"/>
  <c r="AC36" i="1" s="1"/>
  <c r="AD44" i="1"/>
  <c r="AC44" i="1" s="1"/>
  <c r="AD52" i="1"/>
  <c r="AC52" i="1" s="1"/>
  <c r="AD25" i="1"/>
  <c r="AC25" i="1" s="1"/>
  <c r="AD27" i="1"/>
  <c r="AC27" i="1" s="1"/>
  <c r="AD31" i="1"/>
  <c r="AC31" i="1" s="1"/>
  <c r="AD33" i="1"/>
  <c r="AC33" i="1" s="1"/>
  <c r="AD37" i="1"/>
  <c r="AC37" i="1" s="1"/>
  <c r="AD39" i="1"/>
  <c r="AC39" i="1" s="1"/>
  <c r="AD43" i="1"/>
  <c r="AC43" i="1" s="1"/>
  <c r="AD45" i="1"/>
  <c r="AC45" i="1" s="1"/>
  <c r="AD49" i="1"/>
  <c r="AC49" i="1" s="1"/>
  <c r="AD51" i="1"/>
  <c r="AC51" i="1" s="1"/>
  <c r="AD55" i="1"/>
  <c r="AC55" i="1" s="1"/>
  <c r="AD57" i="1"/>
  <c r="AC57" i="1" s="1"/>
  <c r="Z53" i="1"/>
  <c r="Z55" i="1"/>
  <c r="Z57" i="1"/>
  <c r="AD53" i="1"/>
  <c r="AC53" i="1" s="1"/>
  <c r="Z54" i="1"/>
  <c r="Z56" i="1"/>
  <c r="Z58" i="1"/>
  <c r="Z47" i="1"/>
  <c r="Z49" i="1"/>
  <c r="Z51" i="1"/>
  <c r="AD47" i="1"/>
  <c r="AC47" i="1" s="1"/>
  <c r="Z48" i="1"/>
  <c r="Z50" i="1"/>
  <c r="Z52" i="1"/>
  <c r="Z41" i="1"/>
  <c r="Z43" i="1"/>
  <c r="Z45" i="1"/>
  <c r="AD41" i="1"/>
  <c r="AC41" i="1" s="1"/>
  <c r="Z42" i="1"/>
  <c r="Z44" i="1"/>
  <c r="Z46" i="1"/>
  <c r="Z35" i="1"/>
  <c r="Z37" i="1"/>
  <c r="Z39" i="1"/>
  <c r="AD35" i="1"/>
  <c r="AC35" i="1" s="1"/>
  <c r="Z36" i="1"/>
  <c r="Z38" i="1"/>
  <c r="Z40" i="1"/>
  <c r="Z29" i="1"/>
  <c r="Z31" i="1"/>
  <c r="Z33" i="1"/>
  <c r="AD29" i="1"/>
  <c r="AC29" i="1" s="1"/>
  <c r="Z30" i="1"/>
  <c r="Z32" i="1"/>
  <c r="Z34" i="1"/>
  <c r="Z23" i="1"/>
  <c r="Z25" i="1"/>
  <c r="Z27" i="1"/>
  <c r="AD23" i="1"/>
  <c r="AC23" i="1" s="1"/>
  <c r="Z24" i="1"/>
  <c r="Z26" i="1"/>
  <c r="Z28" i="1"/>
  <c r="AB58" i="1" l="1"/>
  <c r="AA58" i="1"/>
  <c r="AE58" i="1" s="1"/>
  <c r="AB56" i="1"/>
  <c r="AA56" i="1"/>
  <c r="AE56" i="1" s="1"/>
  <c r="AB54" i="1"/>
  <c r="AA54" i="1"/>
  <c r="AE54" i="1" s="1"/>
  <c r="AB57" i="1"/>
  <c r="AA57" i="1"/>
  <c r="AE57" i="1" s="1"/>
  <c r="AB55" i="1"/>
  <c r="AA55" i="1"/>
  <c r="AE55" i="1" s="1"/>
  <c r="AB53" i="1"/>
  <c r="AA53" i="1"/>
  <c r="AE53" i="1" s="1"/>
  <c r="AB52" i="1"/>
  <c r="AA52" i="1"/>
  <c r="AE52" i="1" s="1"/>
  <c r="AB50" i="1"/>
  <c r="AA50" i="1"/>
  <c r="AE50" i="1" s="1"/>
  <c r="AB48" i="1"/>
  <c r="AA48" i="1"/>
  <c r="AE48" i="1" s="1"/>
  <c r="AB51" i="1"/>
  <c r="AA51" i="1"/>
  <c r="AE51" i="1" s="1"/>
  <c r="AB49" i="1"/>
  <c r="AA49" i="1"/>
  <c r="AE49" i="1" s="1"/>
  <c r="AB47" i="1"/>
  <c r="AA47" i="1"/>
  <c r="AE47" i="1" s="1"/>
  <c r="AB46" i="1"/>
  <c r="AA46" i="1"/>
  <c r="AE46" i="1" s="1"/>
  <c r="AB44" i="1"/>
  <c r="AA44" i="1"/>
  <c r="AE44" i="1" s="1"/>
  <c r="AB42" i="1"/>
  <c r="AA42" i="1"/>
  <c r="AE42" i="1" s="1"/>
  <c r="AB45" i="1"/>
  <c r="AA45" i="1"/>
  <c r="AE45" i="1" s="1"/>
  <c r="AB43" i="1"/>
  <c r="AA43" i="1"/>
  <c r="AE43" i="1" s="1"/>
  <c r="AB41" i="1"/>
  <c r="AA41" i="1"/>
  <c r="AE41" i="1" s="1"/>
  <c r="AB40" i="1"/>
  <c r="AA40" i="1"/>
  <c r="AE40" i="1" s="1"/>
  <c r="AB38" i="1"/>
  <c r="AA38" i="1"/>
  <c r="AE38" i="1" s="1"/>
  <c r="AB36" i="1"/>
  <c r="AA36" i="1"/>
  <c r="AE36" i="1" s="1"/>
  <c r="AB39" i="1"/>
  <c r="AA39" i="1"/>
  <c r="AE39" i="1" s="1"/>
  <c r="AB37" i="1"/>
  <c r="AA37" i="1"/>
  <c r="AE37" i="1" s="1"/>
  <c r="AB35" i="1"/>
  <c r="AA35" i="1"/>
  <c r="AE35" i="1" s="1"/>
  <c r="AB34" i="1"/>
  <c r="AA34" i="1"/>
  <c r="AE34" i="1" s="1"/>
  <c r="AB32" i="1"/>
  <c r="AA32" i="1"/>
  <c r="AE32" i="1" s="1"/>
  <c r="AB30" i="1"/>
  <c r="AA30" i="1"/>
  <c r="AE30" i="1" s="1"/>
  <c r="AB33" i="1"/>
  <c r="AA33" i="1"/>
  <c r="AE33" i="1" s="1"/>
  <c r="AB31" i="1"/>
  <c r="AA31" i="1"/>
  <c r="AE31" i="1" s="1"/>
  <c r="AB29" i="1"/>
  <c r="AA29" i="1"/>
  <c r="AE29" i="1" s="1"/>
  <c r="AB28" i="1"/>
  <c r="AA28" i="1"/>
  <c r="AE28" i="1" s="1"/>
  <c r="AB26" i="1"/>
  <c r="AA26" i="1"/>
  <c r="AE26" i="1" s="1"/>
  <c r="AB24" i="1"/>
  <c r="AA24" i="1"/>
  <c r="AE24" i="1" s="1"/>
  <c r="AA27" i="1"/>
  <c r="AE27" i="1" s="1"/>
  <c r="AB27" i="1"/>
  <c r="AA25" i="1"/>
  <c r="AE25" i="1" s="1"/>
  <c r="AB25" i="1"/>
  <c r="AB23" i="1"/>
  <c r="AA23" i="1"/>
  <c r="AE23" i="1" s="1"/>
  <c r="J10" i="1" l="1"/>
  <c r="J19" i="1"/>
  <c r="J23" i="1"/>
  <c r="K23" i="1" s="1"/>
  <c r="J29" i="1"/>
  <c r="K29" i="1" s="1"/>
  <c r="J35" i="1"/>
  <c r="K35" i="1" s="1"/>
  <c r="J41" i="1"/>
  <c r="K41" i="1" s="1"/>
  <c r="J47" i="1"/>
  <c r="K47" i="1" s="1"/>
  <c r="J53" i="1"/>
  <c r="K53" i="1" s="1"/>
  <c r="V12" i="1"/>
  <c r="V13" i="1"/>
  <c r="V14" i="1"/>
  <c r="V11" i="1"/>
  <c r="M32" i="1"/>
  <c r="M22" i="1"/>
  <c r="M27" i="1"/>
  <c r="M44" i="1"/>
  <c r="M36" i="1"/>
  <c r="M40" i="1"/>
  <c r="M52" i="1"/>
  <c r="M48" i="1"/>
  <c r="M25" i="1"/>
  <c r="M57" i="1"/>
  <c r="M46" i="1"/>
  <c r="M38" i="1"/>
  <c r="M58" i="1"/>
  <c r="M54" i="1"/>
  <c r="M42" i="1"/>
  <c r="M26" i="1"/>
  <c r="M43" i="1"/>
  <c r="M56" i="1"/>
  <c r="M34" i="1"/>
  <c r="M28" i="1"/>
  <c r="M30" i="1"/>
  <c r="M24" i="1"/>
  <c r="M51" i="1"/>
  <c r="M21" i="1"/>
  <c r="M20" i="1"/>
  <c r="M49" i="1"/>
  <c r="M55" i="1"/>
  <c r="M45" i="1"/>
  <c r="M31" i="1"/>
  <c r="M33" i="1"/>
  <c r="M39" i="1"/>
  <c r="M50" i="1"/>
  <c r="M37" i="1"/>
  <c r="K19" i="1" l="1"/>
  <c r="Z19" i="1" s="1"/>
  <c r="AA19" i="1" l="1"/>
  <c r="AB19" i="1"/>
  <c r="Z20" i="1" s="1"/>
  <c r="S11" i="1"/>
  <c r="F217" i="13"/>
  <c r="S12" i="1"/>
  <c r="S13" i="1"/>
  <c r="S14" i="1"/>
  <c r="AA20" i="1" l="1"/>
  <c r="AB20" i="1"/>
  <c r="Z21" i="1" s="1"/>
  <c r="V10" i="1"/>
  <c r="S10" i="1"/>
  <c r="AB21" i="1" l="1"/>
  <c r="Z22" i="1" s="1"/>
  <c r="AA21" i="1"/>
  <c r="K10" i="1"/>
  <c r="M16" i="1"/>
  <c r="AA22" i="1" l="1"/>
  <c r="AB22" i="1"/>
  <c r="F221" i="13"/>
  <c r="F211" i="13"/>
  <c r="F212" i="13"/>
  <c r="F213" i="13"/>
  <c r="F214" i="13"/>
  <c r="F215" i="13"/>
  <c r="F216" i="13"/>
  <c r="F218" i="13"/>
  <c r="F219" i="13"/>
  <c r="F220" i="13"/>
  <c r="F210" i="13"/>
  <c r="B221" i="13" a="1"/>
  <c r="M12" i="1"/>
  <c r="M13" i="1"/>
  <c r="M11" i="1"/>
  <c r="M14"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J15" i="1" l="1"/>
  <c r="K15" i="1" l="1"/>
  <c r="Z15" i="1" s="1"/>
  <c r="AA15" i="1" l="1"/>
  <c r="AB15" i="1"/>
  <c r="Z16"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6" i="1" l="1"/>
  <c r="AB16" i="1"/>
  <c r="Z10" i="1"/>
  <c r="AA10" i="1" s="1"/>
  <c r="Z17" i="1" l="1"/>
  <c r="AB10" i="1"/>
  <c r="Z11" i="1" s="1"/>
  <c r="AB17" i="1" l="1"/>
  <c r="AA17" i="1"/>
  <c r="AB11" i="1"/>
  <c r="Z12" i="1" s="1"/>
  <c r="AA11"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A12" i="1" l="1"/>
  <c r="AB12" i="1"/>
  <c r="Z13" i="1" s="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A13" i="1" l="1"/>
  <c r="AB13" i="1"/>
  <c r="Z14"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B14" i="1" l="1"/>
  <c r="AA14" i="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19" i="1" l="1"/>
  <c r="N19" i="1" s="1"/>
  <c r="M23" i="1"/>
  <c r="N23" i="1" s="1"/>
  <c r="M29" i="1"/>
  <c r="N29" i="1" s="1"/>
  <c r="M35" i="1"/>
  <c r="N35" i="1" s="1"/>
  <c r="M41" i="1"/>
  <c r="N41" i="1" s="1"/>
  <c r="M47" i="1"/>
  <c r="N47" i="1" s="1"/>
  <c r="M53" i="1"/>
  <c r="N53" i="1" s="1"/>
  <c r="M15" i="1"/>
  <c r="N15" i="1" s="1"/>
  <c r="M10" i="1"/>
  <c r="N10" i="1" s="1"/>
  <c r="P38" i="18" l="1"/>
  <c r="J6" i="18"/>
  <c r="V6" i="18"/>
  <c r="J22" i="18"/>
  <c r="V22" i="18"/>
  <c r="AH6" i="18"/>
  <c r="P22" i="18"/>
  <c r="AH22" i="18"/>
  <c r="P6" i="18"/>
  <c r="O10" i="1"/>
  <c r="AD10" i="1" s="1"/>
  <c r="AD11" i="1" s="1"/>
  <c r="AB38" i="18"/>
  <c r="AB30" i="18"/>
  <c r="V14" i="18"/>
  <c r="P30" i="18"/>
  <c r="V30" i="18"/>
  <c r="AH30" i="18"/>
  <c r="V38" i="18"/>
  <c r="P14" i="18"/>
  <c r="P10" i="1"/>
  <c r="AH14" i="18"/>
  <c r="J14" i="18"/>
  <c r="AB22" i="18"/>
  <c r="AB14" i="18"/>
  <c r="J30" i="18"/>
  <c r="AB6" i="18"/>
  <c r="J38" i="18"/>
  <c r="AH38" i="18"/>
  <c r="R38" i="18"/>
  <c r="R14" i="18"/>
  <c r="AD14" i="18"/>
  <c r="AJ38" i="18"/>
  <c r="X30" i="18"/>
  <c r="L38" i="18"/>
  <c r="AD6" i="18"/>
  <c r="R6" i="18"/>
  <c r="AJ6" i="18"/>
  <c r="AJ30" i="18"/>
  <c r="P15" i="1"/>
  <c r="R30" i="18"/>
  <c r="AD38" i="18"/>
  <c r="AD22" i="18"/>
  <c r="O15" i="1"/>
  <c r="AD15" i="1" s="1"/>
  <c r="L30" i="18"/>
  <c r="AJ14" i="18"/>
  <c r="L14" i="18"/>
  <c r="X38" i="18"/>
  <c r="L22" i="18"/>
  <c r="AD30" i="18"/>
  <c r="AJ22" i="18"/>
  <c r="X14" i="18"/>
  <c r="X6" i="18"/>
  <c r="R22" i="18"/>
  <c r="L6" i="18"/>
  <c r="X22" i="18"/>
  <c r="O53" i="1"/>
  <c r="P53"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O47" i="1"/>
  <c r="P47"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P41" i="1"/>
  <c r="O41"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O35" i="1"/>
  <c r="P35"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P29" i="1"/>
  <c r="O29"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P23" i="1"/>
  <c r="O23"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O19" i="1"/>
  <c r="AD19" i="1" s="1"/>
  <c r="P19"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C15" i="1" l="1"/>
  <c r="AE15" i="1" s="1"/>
  <c r="AD16" i="1"/>
  <c r="AD17" i="1" s="1"/>
  <c r="AC19" i="1"/>
  <c r="AE19" i="1" s="1"/>
  <c r="AD20" i="1"/>
  <c r="AC10" i="1"/>
  <c r="P36" i="19" s="1"/>
  <c r="AH27" i="19" l="1"/>
  <c r="J37" i="19"/>
  <c r="AB37" i="19"/>
  <c r="J27" i="19"/>
  <c r="AC17" i="1"/>
  <c r="AE17" i="1" s="1"/>
  <c r="AD18" i="1"/>
  <c r="AC18" i="1" s="1"/>
  <c r="AE18" i="1" s="1"/>
  <c r="P7" i="19"/>
  <c r="AH17" i="19"/>
  <c r="J17" i="19"/>
  <c r="V37" i="19"/>
  <c r="AB27" i="19"/>
  <c r="J7" i="19"/>
  <c r="AB17" i="19"/>
  <c r="P37" i="19"/>
  <c r="V27" i="19"/>
  <c r="V47" i="19"/>
  <c r="AH47" i="19"/>
  <c r="J47" i="19"/>
  <c r="V17" i="19"/>
  <c r="P17" i="19"/>
  <c r="AB47" i="19"/>
  <c r="AB7" i="19"/>
  <c r="P27" i="19"/>
  <c r="AH37" i="19"/>
  <c r="V7" i="19"/>
  <c r="P47" i="19"/>
  <c r="AH7" i="19"/>
  <c r="AC16" i="1"/>
  <c r="AE16" i="1" s="1"/>
  <c r="AB16" i="19"/>
  <c r="AH36" i="19"/>
  <c r="V46" i="19"/>
  <c r="AH46" i="19"/>
  <c r="J36" i="19"/>
  <c r="V16" i="19"/>
  <c r="AH26" i="19"/>
  <c r="AE10" i="1"/>
  <c r="AB26" i="19"/>
  <c r="J46" i="19"/>
  <c r="J16" i="19"/>
  <c r="AH6" i="19"/>
  <c r="AB36" i="19"/>
  <c r="J26" i="19"/>
  <c r="P26" i="19"/>
  <c r="AB46" i="19"/>
  <c r="P6" i="19"/>
  <c r="AH16" i="19"/>
  <c r="P46" i="19"/>
  <c r="AB6" i="19"/>
  <c r="V26" i="19"/>
  <c r="J6" i="19"/>
  <c r="P16" i="19"/>
  <c r="V36" i="19"/>
  <c r="J29" i="19"/>
  <c r="J19" i="19"/>
  <c r="V29" i="19"/>
  <c r="AH9" i="19"/>
  <c r="AC20" i="1"/>
  <c r="AI19" i="19" s="1"/>
  <c r="AD21" i="1"/>
  <c r="AB19" i="19"/>
  <c r="V9" i="19"/>
  <c r="AH29" i="19"/>
  <c r="V39" i="19"/>
  <c r="AB9" i="19"/>
  <c r="V19" i="19"/>
  <c r="P9" i="19"/>
  <c r="AH39" i="19"/>
  <c r="P39" i="19"/>
  <c r="V49" i="19"/>
  <c r="P19" i="19"/>
  <c r="AB39" i="19"/>
  <c r="AH49" i="19"/>
  <c r="J49" i="19"/>
  <c r="J9" i="19"/>
  <c r="J39" i="19"/>
  <c r="AB29" i="19"/>
  <c r="P49" i="19"/>
  <c r="AB49" i="19"/>
  <c r="P29" i="19"/>
  <c r="AH19" i="19"/>
  <c r="V6" i="19"/>
  <c r="AC11" i="1"/>
  <c r="AD12" i="1"/>
  <c r="AC39" i="19" l="1"/>
  <c r="AI39" i="19"/>
  <c r="K39" i="19"/>
  <c r="AE20" i="1"/>
  <c r="AC49" i="19"/>
  <c r="AC21" i="1"/>
  <c r="AE21" i="1" s="1"/>
  <c r="AD22" i="1"/>
  <c r="AC22" i="1" s="1"/>
  <c r="Q39" i="19"/>
  <c r="Q29" i="19"/>
  <c r="AI29" i="19"/>
  <c r="AC9" i="19"/>
  <c r="W49" i="19"/>
  <c r="Q19" i="19"/>
  <c r="Q49" i="19"/>
  <c r="AI9" i="19"/>
  <c r="Q9" i="19"/>
  <c r="K49" i="19"/>
  <c r="K19" i="19"/>
  <c r="AC19" i="19"/>
  <c r="W9" i="19"/>
  <c r="K29" i="19"/>
  <c r="W29" i="19"/>
  <c r="W19" i="19"/>
  <c r="AC29" i="19"/>
  <c r="K9" i="19"/>
  <c r="AI49" i="19"/>
  <c r="W39" i="19"/>
  <c r="W37" i="19"/>
  <c r="AC7" i="19"/>
  <c r="AI7" i="19"/>
  <c r="W47" i="19"/>
  <c r="W17" i="19"/>
  <c r="Q37" i="19"/>
  <c r="W27" i="19"/>
  <c r="AI27" i="19"/>
  <c r="Q47" i="19"/>
  <c r="Q7" i="19"/>
  <c r="W7" i="19"/>
  <c r="K27" i="19"/>
  <c r="AI17" i="19"/>
  <c r="K17" i="19"/>
  <c r="K47" i="19"/>
  <c r="K7" i="19"/>
  <c r="AI47" i="19"/>
  <c r="Q17" i="19"/>
  <c r="Q27" i="19"/>
  <c r="K37" i="19"/>
  <c r="AC27" i="19"/>
  <c r="AC47" i="19"/>
  <c r="AC37" i="19"/>
  <c r="AI37" i="19"/>
  <c r="AC17" i="19"/>
  <c r="AC12" i="1"/>
  <c r="AD13" i="1"/>
  <c r="AE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R19" i="19" l="1"/>
  <c r="AJ49" i="19"/>
  <c r="L9" i="19"/>
  <c r="X9" i="19"/>
  <c r="AJ39" i="19"/>
  <c r="AJ19" i="19"/>
  <c r="X49" i="19"/>
  <c r="AD19" i="19"/>
  <c r="AD29" i="19"/>
  <c r="AJ9" i="19"/>
  <c r="X39" i="19"/>
  <c r="X19" i="19"/>
  <c r="AD39" i="19"/>
  <c r="R9" i="19"/>
  <c r="L19" i="19"/>
  <c r="AJ29" i="19"/>
  <c r="L29" i="19"/>
  <c r="L49" i="19"/>
  <c r="R49" i="19"/>
  <c r="R29" i="19"/>
  <c r="R39" i="19"/>
  <c r="AD49" i="19"/>
  <c r="L39" i="19"/>
  <c r="AD9" i="19"/>
  <c r="X29" i="19"/>
  <c r="AE22" i="1"/>
  <c r="Y39" i="19"/>
  <c r="Y29" i="19"/>
  <c r="AK49" i="19"/>
  <c r="M9" i="19"/>
  <c r="AK29" i="19"/>
  <c r="AK39" i="19"/>
  <c r="S19" i="19"/>
  <c r="S29" i="19"/>
  <c r="M19" i="19"/>
  <c r="AE9" i="19"/>
  <c r="AE39" i="19"/>
  <c r="S39" i="19"/>
  <c r="M39" i="19"/>
  <c r="S49" i="19"/>
  <c r="M49" i="19"/>
  <c r="AK9" i="19"/>
  <c r="AE49" i="19"/>
  <c r="AE19" i="19"/>
  <c r="Y19" i="19"/>
  <c r="AK19" i="19"/>
  <c r="S9" i="19"/>
  <c r="Y9" i="19"/>
  <c r="AE29" i="19"/>
  <c r="M29" i="19"/>
  <c r="Y49" i="19"/>
  <c r="AJ7" i="19"/>
  <c r="L47" i="19"/>
  <c r="AJ37" i="19"/>
  <c r="R37" i="19"/>
  <c r="L27" i="19"/>
  <c r="AD7" i="19"/>
  <c r="AD17" i="19"/>
  <c r="X37" i="19"/>
  <c r="L37" i="19"/>
  <c r="R47" i="19"/>
  <c r="R17" i="19"/>
  <c r="AD37" i="19"/>
  <c r="AJ17" i="19"/>
  <c r="X7" i="19"/>
  <c r="AJ47" i="19"/>
  <c r="X47" i="19"/>
  <c r="L7" i="19"/>
  <c r="L17" i="19"/>
  <c r="AD27" i="19"/>
  <c r="R27" i="19"/>
  <c r="X27" i="19"/>
  <c r="AD47" i="19"/>
  <c r="R7" i="19"/>
  <c r="AJ27" i="19"/>
  <c r="X17" i="19"/>
  <c r="AC13" i="1"/>
  <c r="AD14" i="1"/>
  <c r="AE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C14" i="1"/>
  <c r="AE13" i="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E14" i="1"/>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R10" authorId="0" shapeId="0" xr:uid="{992FBA1A-B563-4EE4-B360-9A638542599F}">
      <text>
        <r>
          <rPr>
            <b/>
            <sz val="9"/>
            <color indexed="81"/>
            <rFont val="Tahoma"/>
          </rPr>
          <t>ACER:</t>
        </r>
        <r>
          <rPr>
            <sz val="9"/>
            <color indexed="81"/>
            <rFont val="Tahoma"/>
          </rPr>
          <t xml:space="preserve">
Documentar</t>
        </r>
      </text>
    </comment>
  </commentList>
</comments>
</file>

<file path=xl/metadata.xml><?xml version="1.0" encoding="utf-8"?>
<metadata xmlns="http://schemas.openxmlformats.org/spreadsheetml/2006/main" xmlns:xlrd="http://schemas.microsoft.com/office/spreadsheetml/2017/richdata">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xmlns:xda="http://schemas.microsoft.com/office/spreadsheetml/2017/dynamicarray"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<sst xmlns="http://schemas.openxmlformats.org/spreadsheetml/2006/main" count="443" uniqueCount="272">
  <si>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</si>
  <si>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</si>
  <si>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</si>
  <si>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</si>
  <si>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</si>
  <si>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</si>
  <si>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</si>
  <si>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</si>
  <si>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</si>
  <si>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</si>
  <si>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</si>
  <si>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</si>
  <si>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</si>
  <si>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</si>
  <si>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</si>
  <si>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</si>
  <si>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</si>
  <si>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</si>
  <si>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</si>
  <si>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</si>
  <si>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</si>
  <si>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</si>
  <si>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</si>
  <si>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</si>
  <si>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</si>
  <si>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</si>
  <si>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</si>
  <si>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</si>
  <si>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</si>
  <si>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</si>
  <si>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</si>
  <si>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</si>
  <si>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</si>
  <si>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</si>
  <si>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</si>
  <si>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</si>
  <si>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</si>
  <si>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</si>
  <si>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</si>
  <si>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</si>
  <si>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</si>
  <si>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</si>
  <si>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</si>
  <si>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</si>
  <si>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</si>
  <si>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</si>
  <si>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</si>
  <si>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</si>
  <si>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</si>
  <si>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</si>
  <si>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</si>
  <si>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</si>
  <si>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</si>
  <si>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</si>
  <si>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</si>
  <si>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</si>
  <si>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</si>
  <si>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</si>
  <si>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</si>
  <si>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</si>
  <si>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</si>
  <si>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</si>
  <si>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</si>
  <si>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</si>
  <si>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</si>
  <si>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</si>
  <si>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</si>
  <si>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</si>
  <si>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</si>
  <si>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</si>
  <si>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</si>
  <si>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</si>
  <si>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</si>
  <si>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</si>
  <si>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</si>
  <si>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</si>
  <si>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</si>
  <si>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</si>
  <si>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</si>
  <si>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</si>
  <si>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</si>
  <si>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</si>
  <si>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</si>
  <si>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</si>
  <si>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</si>
  <si>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</si>
  <si>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</si>
  <si>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</si>
  <si>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</si>
  <si>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</si>
  <si>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</si>
  <si>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</si>
  <si>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</si>
  <si>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</si>
  <si>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</si>
  <si>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</si>
  <si>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</si>
  <si>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</si>
  <si>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</si>
  <si>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</si>
  <si>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</si>
  <si>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</si>
  <si>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</si>
  <si>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</si>
  <si>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</si>
  <si>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</si>
  <si>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</si>
  <si>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</si>
  <si>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</si>
  <si>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</si>
  <si>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</si>
  <si>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</si>
  <si>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</si>
  <si>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</si>
  <si>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</si>
  <si>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</si>
  <si>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</si>
  <si>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</si>
  <si>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</si>
  <si>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</si>
  <si>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</si>
  <si>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</si>
  <si>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</si>
  <si>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</si>
  <si>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</si>
  <si>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</si>
  <si>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</si>
  <si>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</si>
  <si>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</si>
  <si>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</si>
  <si>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</si>
  <si>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</si>
  <si>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</si>
  <si>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</si>
  <si>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</si>
  <si>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</si>
  <si>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</si>
  <si>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</si>
  <si>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</si>
  <si>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</si>
  <si>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</si>
  <si>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</si>
  <si>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</si>
  <si>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</si>
  <si>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</si>
  <si>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</si>
  <si>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</si>
  <si>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</si>
  <si>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</si>
  <si>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</si>
  <si>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</si>
  <si>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</si>
  <si>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</si>
  <si>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</si>
  <si>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</si>
  <si>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</si>
  <si>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</si>
  <si>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</si>
  <si>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</si>
  <si>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</si>
  <si>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</si>
  <si>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</si>
  <si>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</si>
  <si>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</si>
  <si>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</si>
  <si>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</si>
  <si>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</si>
  <si>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</si>
  <si>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</si>
  <si>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</si>
  <si>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</si>
  <si>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</si>
  <si>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</si>
  <si>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</si>
  <si>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</si>
  <si>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</si>
  <si>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</si>
  <si>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</si>
  <si>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</si>
  <si>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</si>
  <si>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</si>
  <si>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</si>
  <si>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</si>
  <si>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</si>
  <si>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</si>
  <si>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</si>
  <si>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</si>
  <si>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</si>
  <si>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</si>
  <si>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</si>
  <si>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</si>
  <si>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</si>
  <si>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</si>
  <si>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</si>
  <si>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</si>
  <si>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</si>
  <si>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</si>
  <si>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</si>
  <si>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</si>
  <si>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</si>
  <si>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</si>
  <si>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</si>
  <si>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</si>
  <si>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</si>
  <si>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</si>
  <si>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</si>
  <si>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</si>
  <si>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</si>
  <si>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</si>
  <si>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</si>
  <si>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</si>
  <si>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</si>
  <si>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</si>
  <si>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</si>
  <si>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Incumplimiento de los requisitos de las normas HSEQ</t>
  </si>
  <si>
    <t>Inadecuada Gestión del Conocimiento</t>
  </si>
  <si>
    <t>Falta de compromiso de la alta dirección</t>
  </si>
  <si>
    <t>Posibilidad de perdida reputacional por la cancelación o retiro de las certificaciones obtenidas debido al incumplimiento de los requisitos de las normas HSEQ.</t>
  </si>
  <si>
    <t xml:space="preserve">cancelación o retiro de las certificaciones obtenidas </t>
  </si>
  <si>
    <t>Incumplimiento de la estructura documental del instrutivo de Elaboración de Documentos del SIGAMI</t>
  </si>
  <si>
    <t xml:space="preserve">Constantes cambios en la normatividad </t>
  </si>
  <si>
    <t>multa o sanción de los entes reguladores</t>
  </si>
  <si>
    <t>incumpliento de los controles establecidos en la norma ISO 27001</t>
  </si>
  <si>
    <t xml:space="preserve">Insuficiente recurso presupuestal </t>
  </si>
  <si>
    <t>Desconocimiento de las políticas de Seguridad de la Información por parte del personal de la entidad.</t>
  </si>
  <si>
    <t>Uso de recurso tecnologico como herramienta de apoyo a los procesos
Actividades de Gestión Documental
Trámites y servicios Digitales</t>
  </si>
  <si>
    <t>Posibilidad de perdida reputacional por multa o sanción de los entes reguladores debido al incumpliento de los controles establecidos en la norma ISO 27001</t>
  </si>
  <si>
    <t>El comité Institucional de Gestión y Desempeño anualmente verifica que el plan de recursos presentado por parte de la Secretaría de las TIC tenga los recursos suficientes para la implmentación y mantenimiento del Sistema de Seguridad de la Información, dejando como evidencia el acta del comité y el presupuesto asignado.</t>
  </si>
  <si>
    <t>La secretaria de las TIC junto con su equipo de trabajo, trimestralmente verifica el cumplimiento del plan de sensibilización y capacitación del Sistema de Gestión de Seguridad de la Información. Dejando como evidencia la evaluación del indicador.</t>
  </si>
  <si>
    <t xml:space="preserve">Inadecuada Planeación de la implementación o mantenimiento de los controles </t>
  </si>
  <si>
    <t>La secretaria de las TIC junto con su equipo de trabajo, trismestral verifica y realiza seguimiento al cumplimiento de los controles del Sistema de Gestión de Seguridad de la Información. Dejando como evidencia la evaluación del indicador ó la matriz de autoevaluación de la implmentación del MSPI.</t>
  </si>
  <si>
    <t>DESARROLLAR ACCIONES PARA LA IMPLEMENTACIÓN, SOSTENIBILIDAD Y MEJORA CONTINUA DEL SISTEMA INTEGRADO DE GESTIÓN DE LA ADMINISTRACIÓN MUNICIPAL DE IBAGUÉ “SIGAMI”, OMO HERRAMIENTA PARA LA TOMA DE DECISIONES Y EL CUMPLIMIENTO DE LA MISIÓN Y OBJETIVOS INSTITUCIONALES.</t>
  </si>
  <si>
    <t>SISTEMA INTEGRADO DE GESTIÓN</t>
  </si>
  <si>
    <t>INICIA DESDE LA PLANEACION DEL PROCESO, EL AFIANZAMIENTO DE LA CULTURA Y COMPROMISO ORGANIZACIONAL CON EL SIGAMI, HASTA LA CONSOLIDACIÓN DE LOS RESULTADOS DE LA MEDICIÓN Y SEGUIMIENTO DEL SISTEMA.</t>
  </si>
  <si>
    <t>Incumplimiento de los indicadores de Gestión</t>
  </si>
  <si>
    <t>Auditorías internas fuera de los parametros estabelcidos</t>
  </si>
  <si>
    <t xml:space="preserve">Consolidación de Indicadores del Sistema Integrado de Gestión SIGAMI
Auditorías Internas - Seguimiento al cumplimiento de los requisitos de las Normas HSEQ
Consolidación y monitoreo a mapas de riesgos
Control de documentaciónd SIGAMI
Consolidación y seguimiento a normogramas </t>
  </si>
  <si>
    <t>La directora(a) de Fortalecimiento Institucional junto con su equipo de trabajo trimestralmente consolida el reporte de indicadores y revisa el cumplimiento de las metas. Dejando como evidencia el tablero de indicadores de SIGAMI.</t>
  </si>
  <si>
    <t xml:space="preserve">La directora(a) de Fortalecimiento Institucional junto con su equipo  antes de eliminar, actualizar o crear un documento SIGAMI que se cumpla con la estructura documental del instrutivo de Elaboración de Documentos del SIGAMI. Dejando como evidencia correos electrónicos o el listado maestro de documentos. </t>
  </si>
  <si>
    <t xml:space="preserve">La directora(a) de Fortalecimiento Institucional cada vez que se requiera, revisa que la Oficina de Control Interno dentro de su Programa Anual de Auditoría determine las fechas de las auditorías de gestión con el fin de realar adecuadamente la planeación de las mismas. </t>
  </si>
  <si>
    <t>La directora(a) de Fortalecimiento Institucional junto con su equipo de trabajo trimestralmente consolida el reporte de normograma y realiza el seguimiento aleatorio del cumplimiento de la normatividad. Dejando como evidencia actas de reunión y correos eléctronicos de retrolimentación</t>
  </si>
  <si>
    <t xml:space="preserve">Los Líderes de los Sistemas de Gestión y sus equipos de trabajo, anualmente verifican la apropición del Sistema Integrado de Gestión a través de las evaluación de impacto de los procesos de Inducción y reinducción a fin de identificar las fortalezas y debilidades del personal.  Dejando como evidencia el informe  de resultados.  </t>
  </si>
  <si>
    <t xml:space="preserve">La director(a) de Fortalecimiento Institucional presentará el reporte o semaforización de las entregas con el fin de los procesos que no hayan cumplido a cabalidad con las directrices impartidas realizcen las acciones correctivas necesarias. </t>
  </si>
  <si>
    <t>La director(a) de Fortalecimiento Instituciona</t>
  </si>
  <si>
    <t>A partir del mes de mayo</t>
  </si>
  <si>
    <t>Remitir a la Dirección de Fortalecimiento mediante memorando el Plan de Recursos, con el fin de Garantizar que sea incluido en el Ordén del día del Comité Institucional de Gestión y Desempeño</t>
  </si>
  <si>
    <t>La secretaria de TIC</t>
  </si>
  <si>
    <t>31/05/2022</t>
  </si>
  <si>
    <t>La secretaría de las TIC en conjunto con la Oficina de Comunicaciones realizan campañas publicitarias de sensibilización relaciondas con las politicas de Seguridad de la Información y el Sistema en general.</t>
  </si>
  <si>
    <t xml:space="preserve">La secretaría de las TIC en conjunto con la Oficina de Comunicaciones </t>
  </si>
  <si>
    <t>Inicio: 01/06/2022 
Final: 31/12/2022</t>
  </si>
  <si>
    <t>Comunicar anualmente a las dependencias los controles que son de su competencia.</t>
  </si>
  <si>
    <t>El comité Institucional de Gestión y Desempeño semestralmente verifica el cumplimiento del plan de trabajo de implementación y mantemiento del Sistema de Seguridad de la Información, dejando como evidencia el acta del comité.</t>
  </si>
  <si>
    <t xml:space="preserve">Formular un plan de mejora de las acciones y/o actividades vencidas, socializando a cada dependencia su reponsabilidad directa o indirecta en cada una estas. </t>
  </si>
  <si>
    <t>Sectretaría de TIC y Dirección de Fortalecimiento Institucional</t>
  </si>
  <si>
    <t>Trimestralmente</t>
  </si>
  <si>
    <t>Inicio: 01/07/2022 
Final: 31/12/2022</t>
  </si>
  <si>
    <t>Incumplimiento del plan de trabajo</t>
  </si>
  <si>
    <r>
      <rPr>
        <b/>
        <sz val="10"/>
        <color theme="9" tint="-0.249977111117893"/>
        <rFont val="Arial Narrow"/>
        <family val="2"/>
      </rPr>
      <t xml:space="preserve">*Nota: </t>
    </r>
    <r>
      <rPr>
        <sz val="10"/>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</si>
  <si>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30 de junio</t>
  </si>
  <si>
    <t xml:space="preserve">
Posibilidad de perdida reputación y afectación económica por multa o sanción de los entes reguladores debido al incumplimiento de la normatividad vigente en Seguridad y Salud en el Trabajo, y ambiente.</t>
  </si>
  <si>
    <t>Falta de compromiso, gestión y liderazgo en los diferentes sistemas que componen SIGAMI</t>
  </si>
  <si>
    <t>Desarrollo, implementación y seguimiento al plan de trabajo del Sistema de Salud y Seguridad en el Trabajo y Sistema de Gestión Ambiental.</t>
  </si>
  <si>
    <t>debido al incumplimiento de la normatividad vigente en Seguridad y Salud en el Trabajo y ambiente.</t>
  </si>
  <si>
    <t>Los líderes de los Sistemas de Seguridad y Salud en el Trabajo y el Sistema de Gestión Ambiental con los Profesionales designados, el equipo de trabajo y/o el COPASST, mensualmente verifican el cumplimiento al plan de trabajo del respectivo. Dejando como evidencia las actas de reunión y los indicadores de Gestión del Sistema de Gestión de SST y Gestión Ambiental.</t>
  </si>
  <si>
    <t xml:space="preserve">Insuficiencia en el talento humano </t>
  </si>
  <si>
    <t xml:space="preserve">Los líderes de los Sistemas de Seguridad y Salud en el Trabajo y el Sistema de Gestión Ambiental con los Profesionales designados, anualmente verifican la necesidad del talento humano en misión y se determinan los requeridos para el buen funcionamiento de los Sistemas de SST y Gestión Ambiental y se incluye en el plan anual de adquisiciones de las dependencias. Dejando como evidencia el plan anual de adquisiones. </t>
  </si>
  <si>
    <t>deficiente priorización en la gestión para el cumplimiento de los requisitos o necesidades en SST y Sistema de Gestión Ambiental</t>
  </si>
  <si>
    <t>Los líderes de los Sistemas de Seguridad y Salud en el Trabajo y el Sistema de Gestión Ambiental con los Profesionales designados, trimestralmente realizan seguimiento al cumplimiento del Plan de Acción. Dejando como evidencia actas de reunión.</t>
  </si>
  <si>
    <t>El comité Institucional de Gestión y Desempeño, trimestralmente verifica el cumplimiento de los planes de trabajo y revisan el cumplimiento de los indicadores de los objetivos. Dejando como evidencia las actas de comité.</t>
  </si>
  <si>
    <t>Semestralmente el grupo de SST y/o el equipo líder del Sistema de Gestión Ambiental junto con la Dirección de Fortalecimiento Institucional realizarán seguimiento al plan anual de trabajo y a las acciones correctivas de las auditorías al Sistema Sistema de Seguridad y Salud en el Trabajo y del Sistema de gestión Ambiental para Verificar la eficacia de las mismas.</t>
  </si>
  <si>
    <t>Lider del Sistema de Seguridad y Salud en el trabajo y Líder del Sistema de Gestión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</si>
</sst>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sz val="9"/>
      <color indexed="81"/>
      <name val="Tahoma"/>
    </font>
    <font>
      <b/>
      <sz val="9"/>
      <color indexed="81"/>
      <name val="Tahoma"/>
    </font>
    <font>
      <b/>
      <sz val="10"/>
      <color theme="1"/>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s>
  <cellStyleXfs count="5">
    <xf numFmtId="0" fontId="0" fillId="0" borderId="0"/>
    <xf numFmtId="9" fontId="12" fillId="0" borderId="0" applyFont="0" applyFill="0" applyBorder="0" applyAlignment="0" applyProtection="0"/>
    <xf numFmtId="0" fontId="36" fillId="0" borderId="0"/>
    <xf numFmtId="0" fontId="37" fillId="0" borderId="0"/>
    <xf numFmtId="0" fontId="4" fillId="0" borderId="0"/>
  </cellStyleXfs>
  <cellXfs count="445">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11" xfId="0" applyFont="1" applyFill="1" applyBorder="1" applyAlignment="1">
      <alignment horizontal="center" vertical="center" wrapText="1" readingOrder="1"/>
    </xf>
    <xf numFmtId="0" fontId="9" fillId="0" borderId="11" xfId="0" applyFont="1" applyBorder="1" applyAlignment="1">
      <alignment horizontal="justify" vertical="center" wrapText="1" readingOrder="1"/>
    </xf>
    <xf numFmtId="9" fontId="9" fillId="0" borderId="11"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3" fillId="0" borderId="0" xfId="0" applyFont="1"/>
    <xf numFmtId="0" fontId="11" fillId="0" borderId="0" xfId="0" applyFont="1"/>
    <xf numFmtId="0" fontId="17" fillId="11" borderId="12" xfId="0" applyFont="1" applyFill="1" applyBorder="1" applyAlignment="1" applyProtection="1">
      <alignment horizontal="center" vertical="center" wrapText="1" readingOrder="1"/>
      <protection hidden="1"/>
    </xf>
    <xf numFmtId="0" fontId="17" fillId="11" borderId="19" xfId="0" applyFont="1" applyFill="1" applyBorder="1" applyAlignment="1" applyProtection="1">
      <alignment horizontal="center" vertical="center" wrapText="1" readingOrder="1"/>
      <protection hidden="1"/>
    </xf>
    <xf numFmtId="0" fontId="17" fillId="11" borderId="13" xfId="0" applyFont="1" applyFill="1" applyBorder="1" applyAlignment="1" applyProtection="1">
      <alignment horizontal="center" vertic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19" xfId="0" applyFont="1" applyFill="1" applyBorder="1" applyAlignment="1" applyProtection="1">
      <alignment horizontal="center" wrapText="1" readingOrder="1"/>
      <protection hidden="1"/>
    </xf>
    <xf numFmtId="0" fontId="17" fillId="12" borderId="13" xfId="0" applyFont="1" applyFill="1" applyBorder="1" applyAlignment="1" applyProtection="1">
      <alignment horizontal="center" wrapText="1" readingOrder="1"/>
      <protection hidden="1"/>
    </xf>
    <xf numFmtId="0" fontId="17" fillId="11" borderId="14" xfId="0" applyFont="1" applyFill="1" applyBorder="1" applyAlignment="1" applyProtection="1">
      <alignment horizontal="center" vertical="center" wrapText="1" readingOrder="1"/>
      <protection hidden="1"/>
    </xf>
    <xf numFmtId="0" fontId="17" fillId="11" borderId="0" xfId="0" applyFont="1" applyFill="1" applyBorder="1" applyAlignment="1" applyProtection="1">
      <alignment horizontal="center" vertical="center" wrapText="1" readingOrder="1"/>
      <protection hidden="1"/>
    </xf>
    <xf numFmtId="0" fontId="17" fillId="11" borderId="15" xfId="0" applyFont="1" applyFill="1" applyBorder="1" applyAlignment="1" applyProtection="1">
      <alignment horizontal="center" vertical="center" wrapText="1" readingOrder="1"/>
      <protection hidden="1"/>
    </xf>
    <xf numFmtId="0" fontId="17" fillId="12" borderId="14" xfId="0" applyFont="1" applyFill="1" applyBorder="1" applyAlignment="1" applyProtection="1">
      <alignment horizontal="center" wrapText="1" readingOrder="1"/>
      <protection hidden="1"/>
    </xf>
    <xf numFmtId="0" fontId="17" fillId="12" borderId="0" xfId="0" applyFont="1" applyFill="1" applyBorder="1" applyAlignment="1" applyProtection="1">
      <alignment horizontal="center" wrapText="1" readingOrder="1"/>
      <protection hidden="1"/>
    </xf>
    <xf numFmtId="0" fontId="17" fillId="12" borderId="15" xfId="0" applyFont="1" applyFill="1" applyBorder="1" applyAlignment="1" applyProtection="1">
      <alignment horizont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16" xfId="0" applyFont="1" applyFill="1" applyBorder="1" applyAlignment="1" applyProtection="1">
      <alignment horizontal="center" vertical="center" wrapText="1" readingOrder="1"/>
      <protection hidden="1"/>
    </xf>
    <xf numFmtId="0" fontId="17" fillId="11" borderId="18" xfId="0" applyFont="1" applyFill="1" applyBorder="1" applyAlignment="1" applyProtection="1">
      <alignment horizontal="center" vertical="center" wrapText="1" readingOrder="1"/>
      <protection hidden="1"/>
    </xf>
    <xf numFmtId="0" fontId="17" fillId="11" borderId="17" xfId="0" applyFont="1" applyFill="1" applyBorder="1" applyAlignment="1" applyProtection="1">
      <alignment horizontal="center" vertical="center" wrapText="1" readingOrder="1"/>
      <protection hidden="1"/>
    </xf>
    <xf numFmtId="0" fontId="17" fillId="12" borderId="16" xfId="0" applyFont="1" applyFill="1" applyBorder="1" applyAlignment="1" applyProtection="1">
      <alignment horizontal="center" wrapText="1" readingOrder="1"/>
      <protection hidden="1"/>
    </xf>
    <xf numFmtId="0" fontId="17" fillId="12" borderId="18" xfId="0" applyFont="1" applyFill="1" applyBorder="1" applyAlignment="1" applyProtection="1">
      <alignment horizontal="center" wrapText="1" readingOrder="1"/>
      <protection hidden="1"/>
    </xf>
    <xf numFmtId="0" fontId="17" fillId="12" borderId="17"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19" xfId="0" applyFont="1" applyFill="1" applyBorder="1" applyAlignment="1" applyProtection="1">
      <alignment horizontal="center" wrapText="1" readingOrder="1"/>
      <protection hidden="1"/>
    </xf>
    <xf numFmtId="0" fontId="17" fillId="13" borderId="13" xfId="0" applyFont="1" applyFill="1" applyBorder="1" applyAlignment="1" applyProtection="1">
      <alignment horizontal="center" wrapText="1" readingOrder="1"/>
      <protection hidden="1"/>
    </xf>
    <xf numFmtId="0" fontId="17" fillId="13" borderId="14" xfId="0" applyFont="1" applyFill="1" applyBorder="1" applyAlignment="1" applyProtection="1">
      <alignment horizontal="center" wrapText="1" readingOrder="1"/>
      <protection hidden="1"/>
    </xf>
    <xf numFmtId="0" fontId="17" fillId="13" borderId="0" xfId="0" applyFont="1" applyFill="1" applyBorder="1" applyAlignment="1" applyProtection="1">
      <alignment horizontal="center" wrapText="1" readingOrder="1"/>
      <protection hidden="1"/>
    </xf>
    <xf numFmtId="0" fontId="17" fillId="13" borderId="15" xfId="0" applyFont="1" applyFill="1" applyBorder="1" applyAlignment="1" applyProtection="1">
      <alignment horizontal="center" wrapText="1" readingOrder="1"/>
      <protection hidden="1"/>
    </xf>
    <xf numFmtId="0" fontId="17" fillId="13" borderId="16" xfId="0" applyFont="1" applyFill="1" applyBorder="1" applyAlignment="1" applyProtection="1">
      <alignment horizontal="center" wrapText="1" readingOrder="1"/>
      <protection hidden="1"/>
    </xf>
    <xf numFmtId="0" fontId="17" fillId="13" borderId="18" xfId="0" applyFont="1" applyFill="1" applyBorder="1" applyAlignment="1" applyProtection="1">
      <alignment horizontal="center" wrapText="1" readingOrder="1"/>
      <protection hidden="1"/>
    </xf>
    <xf numFmtId="0" fontId="17" fillId="13" borderId="17"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19" xfId="0" applyFont="1" applyFill="1" applyBorder="1" applyAlignment="1" applyProtection="1">
      <alignment horizontal="center" wrapText="1" readingOrder="1"/>
      <protection hidden="1"/>
    </xf>
    <xf numFmtId="0" fontId="17" fillId="5" borderId="13" xfId="0" applyFont="1" applyFill="1" applyBorder="1" applyAlignment="1" applyProtection="1">
      <alignment horizontal="center" wrapText="1" readingOrder="1"/>
      <protection hidden="1"/>
    </xf>
    <xf numFmtId="0" fontId="17" fillId="5" borderId="14" xfId="0" applyFont="1" applyFill="1" applyBorder="1" applyAlignment="1" applyProtection="1">
      <alignment horizontal="center" wrapText="1" readingOrder="1"/>
      <protection hidden="1"/>
    </xf>
    <xf numFmtId="0" fontId="17" fillId="5" borderId="0" xfId="0" applyFont="1" applyFill="1" applyBorder="1" applyAlignment="1" applyProtection="1">
      <alignment horizontal="center" wrapText="1" readingOrder="1"/>
      <protection hidden="1"/>
    </xf>
    <xf numFmtId="0" fontId="17" fillId="5" borderId="15" xfId="0" applyFont="1" applyFill="1" applyBorder="1" applyAlignment="1" applyProtection="1">
      <alignment horizontal="center" wrapText="1" readingOrder="1"/>
      <protection hidden="1"/>
    </xf>
    <xf numFmtId="0" fontId="17" fillId="5" borderId="16" xfId="0" applyFont="1" applyFill="1" applyBorder="1" applyAlignment="1" applyProtection="1">
      <alignment horizontal="center" wrapText="1" readingOrder="1"/>
      <protection hidden="1"/>
    </xf>
    <xf numFmtId="0" fontId="17" fillId="5" borderId="18" xfId="0" applyFont="1" applyFill="1" applyBorder="1" applyAlignment="1" applyProtection="1">
      <alignment horizontal="center" wrapText="1" readingOrder="1"/>
      <protection hidden="1"/>
    </xf>
    <xf numFmtId="0" fontId="17" fillId="5" borderId="17"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0" fillId="3" borderId="0" xfId="0" applyFill="1"/>
    <xf numFmtId="0" fontId="38" fillId="3" borderId="51" xfId="2" applyFont="1" applyFill="1" applyBorder="1" applyProtection="1"/>
    <xf numFmtId="0" fontId="38" fillId="3" borderId="52" xfId="2" applyFont="1" applyFill="1" applyBorder="1" applyProtection="1"/>
    <xf numFmtId="0" fontId="38" fillId="3" borderId="53" xfId="2" applyFont="1" applyFill="1" applyBorder="1" applyProtection="1"/>
    <xf numFmtId="0" fontId="14" fillId="3" borderId="0" xfId="0" applyFont="1" applyFill="1" applyAlignment="1">
      <alignment vertical="center"/>
    </xf>
    <xf numFmtId="0" fontId="4" fillId="3" borderId="0" xfId="0" applyFont="1" applyFill="1"/>
    <xf numFmtId="0" fontId="26" fillId="3" borderId="0" xfId="0" applyFont="1" applyFill="1"/>
    <xf numFmtId="0" fontId="27" fillId="3" borderId="34" xfId="0" applyFont="1" applyFill="1" applyBorder="1" applyAlignment="1">
      <alignment horizontal="center" vertical="center" wrapText="1" readingOrder="1"/>
    </xf>
    <xf numFmtId="0" fontId="28" fillId="3" borderId="34" xfId="0" applyFont="1" applyFill="1" applyBorder="1" applyAlignment="1">
      <alignment horizontal="justify" vertical="center" wrapText="1" readingOrder="1"/>
    </xf>
    <xf numFmtId="9" fontId="27" fillId="3" borderId="43" xfId="0" applyNumberFormat="1" applyFont="1" applyFill="1" applyBorder="1" applyAlignment="1">
      <alignment horizontal="center" vertical="center" wrapText="1" readingOrder="1"/>
    </xf>
    <xf numFmtId="0" fontId="27" fillId="3" borderId="33" xfId="0" applyFont="1" applyFill="1" applyBorder="1" applyAlignment="1">
      <alignment horizontal="center" vertical="center" wrapText="1" readingOrder="1"/>
    </xf>
    <xf numFmtId="0" fontId="28" fillId="3" borderId="33" xfId="0" applyFont="1" applyFill="1" applyBorder="1" applyAlignment="1">
      <alignment horizontal="justify" vertical="center" wrapText="1" readingOrder="1"/>
    </xf>
    <xf numFmtId="9" fontId="27" fillId="3" borderId="38" xfId="0" applyNumberFormat="1" applyFont="1" applyFill="1" applyBorder="1" applyAlignment="1">
      <alignment horizontal="center" vertical="center" wrapText="1" readingOrder="1"/>
    </xf>
    <xf numFmtId="0" fontId="28" fillId="3" borderId="38" xfId="0" applyFont="1" applyFill="1" applyBorder="1" applyAlignment="1">
      <alignment horizontal="center" vertical="center" wrapText="1" readingOrder="1"/>
    </xf>
    <xf numFmtId="0" fontId="27" fillId="3" borderId="40" xfId="0" applyFont="1" applyFill="1" applyBorder="1" applyAlignment="1">
      <alignment horizontal="center" vertical="center" wrapText="1" readingOrder="1"/>
    </xf>
    <xf numFmtId="0" fontId="28" fillId="3" borderId="40" xfId="0" applyFont="1" applyFill="1" applyBorder="1" applyAlignment="1">
      <alignment horizontal="justify" vertical="center" wrapText="1" readingOrder="1"/>
    </xf>
    <xf numFmtId="0" fontId="28" fillId="3" borderId="41" xfId="0" applyFont="1" applyFill="1" applyBorder="1" applyAlignment="1">
      <alignment horizontal="center" vertical="center" wrapText="1" readingOrder="1"/>
    </xf>
    <xf numFmtId="0" fontId="35" fillId="3" borderId="0" xfId="0" applyFont="1" applyFill="1"/>
    <xf numFmtId="0" fontId="27" fillId="15" borderId="45" xfId="0" applyFont="1" applyFill="1" applyBorder="1" applyAlignment="1">
      <alignment horizontal="center" vertical="center" wrapText="1" readingOrder="1"/>
    </xf>
    <xf numFmtId="0" fontId="27" fillId="15" borderId="46" xfId="0" applyFont="1" applyFill="1" applyBorder="1" applyAlignment="1">
      <alignment horizontal="center" vertical="center" wrapText="1" readingOrder="1"/>
    </xf>
    <xf numFmtId="0" fontId="11" fillId="3" borderId="0" xfId="0" applyFont="1" applyFill="1"/>
    <xf numFmtId="0" fontId="24" fillId="3" borderId="0" xfId="0" applyFont="1" applyFill="1" applyAlignment="1">
      <alignment horizontal="center" vertical="center" wrapText="1"/>
    </xf>
    <xf numFmtId="0" fontId="13" fillId="3" borderId="0" xfId="0" applyFont="1" applyFill="1"/>
    <xf numFmtId="0" fontId="3" fillId="3" borderId="0" xfId="0" applyFont="1" applyFill="1" applyAlignment="1">
      <alignment horizontal="left" vertical="center"/>
    </xf>
    <xf numFmtId="0" fontId="38" fillId="3" borderId="14" xfId="2" applyFont="1" applyFill="1" applyBorder="1" applyProtection="1"/>
    <xf numFmtId="0" fontId="43" fillId="3" borderId="0" xfId="0" applyFont="1" applyFill="1" applyBorder="1" applyAlignment="1" applyProtection="1">
      <alignment horizontal="left" vertical="center" wrapText="1"/>
    </xf>
    <xf numFmtId="0" fontId="44" fillId="3" borderId="0" xfId="0" applyFont="1" applyFill="1" applyBorder="1" applyAlignment="1" applyProtection="1">
      <alignment horizontal="left" vertical="top" wrapText="1"/>
    </xf>
    <xf numFmtId="0" fontId="38" fillId="3" borderId="0" xfId="2" applyFont="1" applyFill="1" applyBorder="1" applyProtection="1"/>
    <xf numFmtId="0" fontId="38" fillId="3" borderId="15" xfId="2" applyFont="1" applyFill="1" applyBorder="1" applyProtection="1"/>
    <xf numFmtId="0" fontId="38" fillId="3" borderId="16" xfId="2" applyFont="1" applyFill="1" applyBorder="1" applyProtection="1"/>
    <xf numFmtId="0" fontId="38" fillId="3" borderId="18" xfId="2" applyFont="1" applyFill="1" applyBorder="1" applyProtection="1"/>
    <xf numFmtId="0" fontId="38" fillId="3" borderId="17" xfId="2" applyFont="1" applyFill="1" applyBorder="1" applyProtection="1"/>
    <xf numFmtId="0" fontId="42" fillId="3" borderId="0" xfId="2" applyFont="1" applyFill="1" applyBorder="1" applyAlignment="1" applyProtection="1">
      <alignment horizontal="left" vertical="center" wrapText="1"/>
    </xf>
    <xf numFmtId="0" fontId="38" fillId="3" borderId="0" xfId="2" applyFont="1" applyFill="1" applyBorder="1" applyAlignment="1" applyProtection="1">
      <alignment horizontal="left" vertical="center" wrapText="1"/>
    </xf>
    <xf numFmtId="0" fontId="38" fillId="3" borderId="0" xfId="2" quotePrefix="1" applyFont="1" applyFill="1" applyBorder="1" applyAlignment="1" applyProtection="1">
      <alignment horizontal="left" vertical="center" wrapText="1"/>
    </xf>
    <xf numFmtId="0" fontId="38" fillId="3" borderId="15" xfId="2" applyFont="1" applyFill="1" applyBorder="1" applyAlignment="1" applyProtection="1"/>
    <xf numFmtId="0" fontId="40" fillId="3" borderId="14" xfId="2" quotePrefix="1" applyFont="1" applyFill="1" applyBorder="1" applyAlignment="1" applyProtection="1">
      <alignment horizontal="left" vertical="top" wrapText="1"/>
    </xf>
    <xf numFmtId="0" fontId="41" fillId="3" borderId="0" xfId="2" quotePrefix="1" applyFont="1" applyFill="1" applyBorder="1" applyAlignment="1" applyProtection="1">
      <alignment horizontal="left" vertical="top" wrapText="1"/>
    </xf>
    <xf numFmtId="0" fontId="41" fillId="3" borderId="15" xfId="2" quotePrefix="1" applyFont="1" applyFill="1" applyBorder="1" applyAlignment="1" applyProtection="1">
      <alignment horizontal="left" vertical="top" wrapText="1"/>
    </xf>
    <xf numFmtId="0" fontId="5" fillId="0" borderId="2" xfId="0" applyFont="1" applyBorder="1" applyAlignment="1" applyProtection="1">
      <alignment horizontal="justify" vertical="top" wrapText="1"/>
      <protection locked="0"/>
    </xf>
    <xf numFmtId="0" fontId="48" fillId="6" borderId="0" xfId="0" applyFont="1" applyFill="1" applyAlignment="1">
      <alignment horizontal="center" vertical="center" wrapText="1" readingOrder="1"/>
    </xf>
    <xf numFmtId="0" fontId="49" fillId="5" borderId="11" xfId="0" applyFont="1" applyFill="1" applyBorder="1" applyAlignment="1">
      <alignment horizontal="center" vertical="center" wrapText="1" readingOrder="1"/>
    </xf>
    <xf numFmtId="0" fontId="49" fillId="0" borderId="11" xfId="0" applyFont="1" applyBorder="1" applyAlignment="1">
      <alignment horizontal="center" vertical="center" wrapText="1" readingOrder="1"/>
    </xf>
    <xf numFmtId="0" fontId="49" fillId="0" borderId="11" xfId="0" applyFont="1" applyBorder="1" applyAlignment="1">
      <alignment horizontal="justify" vertical="center" wrapText="1" readingOrder="1"/>
    </xf>
    <xf numFmtId="0" fontId="49" fillId="7" borderId="1" xfId="0" applyFont="1" applyFill="1" applyBorder="1" applyAlignment="1">
      <alignment horizontal="center" vertical="center" wrapText="1" readingOrder="1"/>
    </xf>
    <xf numFmtId="0" fontId="49" fillId="0" borderId="1" xfId="0" applyFont="1" applyBorder="1" applyAlignment="1">
      <alignment horizontal="center" vertical="center" wrapText="1" readingOrder="1"/>
    </xf>
    <xf numFmtId="0" fontId="49" fillId="0" borderId="1" xfId="0" applyFont="1" applyBorder="1" applyAlignment="1">
      <alignment horizontal="justify" vertical="center" wrapText="1" readingOrder="1"/>
    </xf>
    <xf numFmtId="0" fontId="49" fillId="4" borderId="1" xfId="0" applyFont="1" applyFill="1" applyBorder="1" applyAlignment="1">
      <alignment horizontal="center" vertical="center" wrapText="1" readingOrder="1"/>
    </xf>
    <xf numFmtId="0" fontId="49" fillId="8" borderId="1" xfId="0" applyFont="1" applyFill="1" applyBorder="1" applyAlignment="1">
      <alignment horizontal="center" vertical="center" wrapText="1" readingOrder="1"/>
    </xf>
    <xf numFmtId="0" fontId="49" fillId="9" borderId="1" xfId="0" applyFont="1" applyFill="1" applyBorder="1" applyAlignment="1">
      <alignment horizontal="center" vertical="center" wrapText="1" readingOrder="1"/>
    </xf>
    <xf numFmtId="0" fontId="50" fillId="3" borderId="0" xfId="0" applyFont="1" applyFill="1" applyBorder="1" applyAlignment="1">
      <alignment horizontal="justify" vertical="center" wrapText="1" readingOrder="1"/>
    </xf>
    <xf numFmtId="0" fontId="51" fillId="3" borderId="0" xfId="0" applyFont="1" applyFill="1" applyAlignment="1">
      <alignment vertical="center"/>
    </xf>
    <xf numFmtId="0" fontId="50" fillId="0" borderId="0" xfId="0" applyFont="1" applyBorder="1" applyAlignment="1">
      <alignment horizontal="justify" vertical="center" wrapText="1" readingOrder="1"/>
    </xf>
    <xf numFmtId="0" fontId="50" fillId="0" borderId="0" xfId="0" applyFont="1" applyFill="1" applyAlignment="1">
      <alignment vertical="center"/>
    </xf>
    <xf numFmtId="0" fontId="11" fillId="0" borderId="0" xfId="0" pivotButton="1" applyFont="1"/>
    <xf numFmtId="0" fontId="52" fillId="0" borderId="0" xfId="0" applyFont="1" applyFill="1" applyAlignment="1">
      <alignment horizontal="center" wrapText="1"/>
    </xf>
    <xf numFmtId="0" fontId="53" fillId="0" borderId="0" xfId="0" applyFont="1"/>
    <xf numFmtId="0" fontId="5" fillId="0" borderId="2" xfId="0" applyFont="1" applyBorder="1" applyAlignment="1" applyProtection="1">
      <alignment horizontal="justify" vertical="center" wrapText="1"/>
      <protection locked="0"/>
    </xf>
    <xf numFmtId="0" fontId="5" fillId="0" borderId="2" xfId="0" applyFont="1" applyBorder="1" applyAlignment="1" applyProtection="1">
      <alignment horizontal="center" vertical="top" wrapText="1"/>
      <protection locked="0"/>
    </xf>
    <xf numFmtId="0" fontId="5" fillId="3" borderId="0" xfId="0" applyFont="1" applyFill="1"/>
    <xf numFmtId="0" fontId="5" fillId="0" borderId="0" xfId="0" applyFont="1"/>
    <xf numFmtId="0" fontId="5" fillId="3" borderId="0" xfId="0" applyFont="1" applyFill="1" applyAlignment="1">
      <alignment horizontal="center" vertical="center"/>
    </xf>
    <xf numFmtId="0" fontId="5" fillId="3" borderId="0" xfId="0" applyFont="1" applyFill="1" applyAlignment="1">
      <alignment horizontal="left" vertical="center"/>
    </xf>
    <xf numFmtId="0" fontId="5" fillId="3" borderId="0" xfId="0" applyFont="1" applyFill="1" applyAlignment="1">
      <alignment horizontal="center"/>
    </xf>
    <xf numFmtId="0" fontId="56" fillId="2" borderId="8" xfId="0" applyFont="1" applyFill="1" applyBorder="1" applyAlignment="1">
      <alignment horizontal="center" vertical="center"/>
    </xf>
    <xf numFmtId="0" fontId="56" fillId="2" borderId="2" xfId="0" applyFont="1" applyFill="1" applyBorder="1" applyAlignment="1">
      <alignment horizontal="center" vertical="center" textRotation="90"/>
    </xf>
    <xf numFmtId="0" fontId="56" fillId="3" borderId="0" xfId="0" applyFont="1" applyFill="1" applyAlignment="1">
      <alignment horizontal="center" vertical="center"/>
    </xf>
    <xf numFmtId="0" fontId="56" fillId="2" borderId="0" xfId="0" applyFont="1" applyFill="1" applyAlignment="1">
      <alignment horizontal="center" vertical="center"/>
    </xf>
    <xf numFmtId="0" fontId="5" fillId="0" borderId="75"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textRotation="90"/>
      <protection locked="0"/>
    </xf>
    <xf numFmtId="9" fontId="5" fillId="0" borderId="2" xfId="0" applyNumberFormat="1" applyFont="1" applyBorder="1" applyAlignment="1" applyProtection="1">
      <alignment horizontal="center" vertical="center"/>
      <protection hidden="1"/>
    </xf>
    <xf numFmtId="164" fontId="5" fillId="0" borderId="2" xfId="1" applyNumberFormat="1" applyFont="1" applyBorder="1" applyAlignment="1">
      <alignment horizontal="center" vertical="center"/>
    </xf>
    <xf numFmtId="0" fontId="56" fillId="0" borderId="2" xfId="0" applyFont="1" applyFill="1" applyBorder="1" applyAlignment="1" applyProtection="1">
      <alignment horizontal="center" vertical="center" textRotation="90" wrapText="1"/>
      <protection hidden="1"/>
    </xf>
    <xf numFmtId="9" fontId="5" fillId="0" borderId="4" xfId="0" applyNumberFormat="1" applyFont="1" applyBorder="1" applyAlignment="1" applyProtection="1">
      <alignment horizontal="center" vertical="center"/>
      <protection hidden="1"/>
    </xf>
    <xf numFmtId="0" fontId="56" fillId="0" borderId="2" xfId="0" applyFont="1" applyBorder="1" applyAlignment="1" applyProtection="1">
      <alignment horizontal="center" vertical="center" textRotation="90"/>
      <protection hidden="1"/>
    </xf>
    <xf numFmtId="14" fontId="5" fillId="0" borderId="2" xfId="0" applyNumberFormat="1" applyFont="1" applyBorder="1" applyAlignment="1" applyProtection="1">
      <alignment horizontal="center" vertical="top"/>
      <protection locked="0"/>
    </xf>
    <xf numFmtId="0" fontId="5" fillId="0" borderId="2" xfId="0" applyFont="1" applyBorder="1" applyAlignment="1" applyProtection="1">
      <alignment horizontal="center" vertical="top"/>
      <protection locked="0"/>
    </xf>
    <xf numFmtId="0" fontId="5" fillId="3" borderId="0" xfId="0" applyFont="1" applyFill="1" applyAlignment="1">
      <alignment vertical="center"/>
    </xf>
    <xf numFmtId="0" fontId="5" fillId="0" borderId="0" xfId="0" applyFont="1" applyAlignment="1">
      <alignment vertical="center"/>
    </xf>
    <xf numFmtId="9" fontId="5" fillId="0" borderId="4" xfId="0" applyNumberFormat="1" applyFont="1" applyFill="1" applyBorder="1" applyAlignment="1" applyProtection="1">
      <alignment horizontal="center" vertical="center"/>
      <protection hidden="1"/>
    </xf>
    <xf numFmtId="0" fontId="5" fillId="0" borderId="2" xfId="0" applyFont="1" applyBorder="1" applyAlignment="1" applyProtection="1">
      <alignment horizontal="justify" vertical="center"/>
      <protection locked="0"/>
    </xf>
    <xf numFmtId="0" fontId="5" fillId="0" borderId="2" xfId="0" applyFont="1" applyBorder="1" applyAlignment="1" applyProtection="1">
      <alignment horizontal="center" vertical="top"/>
    </xf>
    <xf numFmtId="0" fontId="5" fillId="0" borderId="2" xfId="0" applyFont="1" applyBorder="1" applyAlignment="1" applyProtection="1">
      <alignment horizontal="center" vertical="top" textRotation="90"/>
      <protection locked="0"/>
    </xf>
    <xf numFmtId="9" fontId="5" fillId="0" borderId="2" xfId="0" applyNumberFormat="1" applyFont="1" applyBorder="1" applyAlignment="1" applyProtection="1">
      <alignment horizontal="center" vertical="top"/>
      <protection hidden="1"/>
    </xf>
    <xf numFmtId="164" fontId="5" fillId="0" borderId="2" xfId="1" applyNumberFormat="1" applyFont="1" applyBorder="1" applyAlignment="1">
      <alignment horizontal="center" vertical="top"/>
    </xf>
    <xf numFmtId="0" fontId="56" fillId="0" borderId="2" xfId="0" applyFont="1" applyFill="1" applyBorder="1" applyAlignment="1" applyProtection="1">
      <alignment horizontal="center" vertical="top" textRotation="90" wrapText="1"/>
      <protection hidden="1"/>
    </xf>
    <xf numFmtId="9" fontId="5" fillId="0" borderId="4" xfId="0" applyNumberFormat="1" applyFont="1" applyBorder="1" applyAlignment="1" applyProtection="1">
      <alignment horizontal="center" vertical="top"/>
      <protection hidden="1"/>
    </xf>
    <xf numFmtId="0" fontId="56" fillId="0" borderId="2" xfId="0" applyFont="1" applyBorder="1" applyAlignment="1" applyProtection="1">
      <alignment horizontal="center" vertical="top" textRotation="90"/>
      <protection hidden="1"/>
    </xf>
    <xf numFmtId="0" fontId="5" fillId="0" borderId="4" xfId="0" applyFont="1" applyBorder="1" applyAlignment="1" applyProtection="1">
      <alignment horizontal="center" vertical="top" textRotation="90"/>
      <protection locked="0"/>
    </xf>
    <xf numFmtId="0" fontId="5" fillId="0" borderId="75" xfId="0" applyFont="1" applyBorder="1" applyAlignment="1" applyProtection="1">
      <alignment horizontal="center" vertical="top" wrapText="1"/>
      <protection locked="0"/>
    </xf>
    <xf numFmtId="9" fontId="5" fillId="0" borderId="4" xfId="0" applyNumberFormat="1" applyFont="1" applyFill="1" applyBorder="1" applyAlignment="1" applyProtection="1">
      <alignment horizontal="center" vertical="top"/>
      <protection hidden="1"/>
    </xf>
    <xf numFmtId="0" fontId="5" fillId="0" borderId="2" xfId="0" applyFont="1" applyBorder="1" applyAlignment="1" applyProtection="1">
      <alignment horizontal="justify" vertical="top"/>
      <protection locked="0"/>
    </xf>
    <xf numFmtId="0" fontId="5" fillId="0" borderId="2" xfId="0" applyFont="1" applyBorder="1" applyAlignment="1" applyProtection="1">
      <alignment horizontal="center" vertical="top"/>
      <protection hidden="1"/>
    </xf>
    <xf numFmtId="0" fontId="5" fillId="0" borderId="2" xfId="0" applyFont="1" applyBorder="1" applyAlignment="1" applyProtection="1">
      <alignment horizontal="center" textRotation="90"/>
      <protection locked="0"/>
    </xf>
    <xf numFmtId="0" fontId="5" fillId="0" borderId="2" xfId="0" applyFont="1" applyBorder="1" applyAlignment="1" applyProtection="1">
      <alignment horizontal="center" vertical="center"/>
      <protection locked="0"/>
    </xf>
    <xf numFmtId="14" fontId="5" fillId="0" borderId="2" xfId="0" applyNumberFormat="1" applyFont="1" applyBorder="1" applyAlignment="1" applyProtection="1">
      <alignment horizontal="center" vertical="center"/>
      <protection locked="0"/>
    </xf>
    <xf numFmtId="14" fontId="5" fillId="0" borderId="2"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38" fillId="0" borderId="75" xfId="0" applyFont="1" applyBorder="1" applyAlignment="1" applyProtection="1">
      <alignment horizontal="center" vertical="top" wrapText="1"/>
      <protection locked="0"/>
    </xf>
    <xf numFmtId="0" fontId="5" fillId="0" borderId="8" xfId="0" applyFont="1" applyBorder="1" applyAlignment="1" applyProtection="1">
      <alignment horizontal="center" vertical="top" wrapText="1"/>
      <protection locked="0"/>
    </xf>
    <xf numFmtId="0" fontId="38" fillId="0" borderId="8"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38" fillId="0" borderId="5"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38" fillId="0" borderId="4" xfId="0" applyFont="1" applyBorder="1" applyAlignment="1" applyProtection="1">
      <alignment horizontal="center" vertical="top" wrapText="1"/>
      <protection locked="0"/>
    </xf>
    <xf numFmtId="0" fontId="5" fillId="0" borderId="2" xfId="0" applyFont="1" applyBorder="1" applyAlignment="1">
      <alignment horizontal="center" vertical="center"/>
    </xf>
    <xf numFmtId="0" fontId="5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xf>
    <xf numFmtId="0" fontId="44" fillId="3" borderId="64" xfId="2" applyFont="1" applyFill="1" applyBorder="1" applyAlignment="1" applyProtection="1">
      <alignment horizontal="justify" vertical="center" wrapText="1"/>
    </xf>
    <xf numFmtId="0" fontId="44" fillId="3" borderId="65" xfId="2" applyFont="1" applyFill="1" applyBorder="1" applyAlignment="1" applyProtection="1">
      <alignment horizontal="justify" vertical="center" wrapText="1"/>
    </xf>
    <xf numFmtId="0" fontId="43" fillId="3" borderId="71" xfId="0" applyFont="1" applyFill="1" applyBorder="1" applyAlignment="1" applyProtection="1">
      <alignment horizontal="left" vertical="center" wrapText="1"/>
    </xf>
    <xf numFmtId="0" fontId="43" fillId="3" borderId="72" xfId="0" applyFont="1" applyFill="1" applyBorder="1" applyAlignment="1" applyProtection="1">
      <alignment horizontal="left" vertical="center" wrapText="1"/>
    </xf>
    <xf numFmtId="0" fontId="43" fillId="3" borderId="58" xfId="3" applyFont="1" applyFill="1" applyBorder="1" applyAlignment="1" applyProtection="1">
      <alignment horizontal="left" vertical="top" wrapText="1" readingOrder="1"/>
    </xf>
    <xf numFmtId="0" fontId="43" fillId="3" borderId="59" xfId="3" applyFont="1" applyFill="1" applyBorder="1" applyAlignment="1" applyProtection="1">
      <alignment horizontal="left" vertical="top" wrapText="1" readingOrder="1"/>
    </xf>
    <xf numFmtId="0" fontId="44" fillId="3" borderId="60" xfId="2" applyFont="1" applyFill="1" applyBorder="1" applyAlignment="1" applyProtection="1">
      <alignment horizontal="justify" vertical="center" wrapText="1"/>
    </xf>
    <xf numFmtId="0" fontId="44" fillId="3" borderId="61" xfId="2" applyFont="1" applyFill="1" applyBorder="1" applyAlignment="1" applyProtection="1">
      <alignment horizontal="justify" vertical="center" wrapText="1"/>
    </xf>
    <xf numFmtId="0" fontId="43" fillId="3" borderId="62" xfId="0" applyFont="1" applyFill="1" applyBorder="1" applyAlignment="1" applyProtection="1">
      <alignment horizontal="left" vertical="center" wrapText="1"/>
    </xf>
    <xf numFmtId="0" fontId="43" fillId="3" borderId="63" xfId="0" applyFont="1" applyFill="1" applyBorder="1" applyAlignment="1" applyProtection="1">
      <alignment horizontal="left" vertical="center" wrapText="1"/>
    </xf>
    <xf numFmtId="0" fontId="38" fillId="3" borderId="14" xfId="2" applyFont="1" applyFill="1" applyBorder="1" applyAlignment="1" applyProtection="1">
      <alignment horizontal="left" vertical="top" wrapText="1"/>
    </xf>
    <xf numFmtId="0" fontId="38" fillId="3" borderId="0" xfId="2" applyFont="1" applyFill="1" applyBorder="1" applyAlignment="1" applyProtection="1">
      <alignment horizontal="left" vertical="top" wrapText="1"/>
    </xf>
    <xf numFmtId="0" fontId="38" fillId="3" borderId="15" xfId="2" applyFont="1" applyFill="1" applyBorder="1" applyAlignment="1" applyProtection="1">
      <alignment horizontal="left" vertical="top" wrapText="1"/>
    </xf>
    <xf numFmtId="0" fontId="43" fillId="3" borderId="73" xfId="0" applyFont="1" applyFill="1" applyBorder="1" applyAlignment="1" applyProtection="1">
      <alignment horizontal="left" vertical="center" wrapText="1"/>
    </xf>
    <xf numFmtId="0" fontId="43" fillId="3" borderId="74" xfId="0" applyFont="1" applyFill="1" applyBorder="1" applyAlignment="1" applyProtection="1">
      <alignment horizontal="left" vertical="center" wrapText="1"/>
    </xf>
    <xf numFmtId="0" fontId="44" fillId="3" borderId="66" xfId="0" applyFont="1" applyFill="1" applyBorder="1" applyAlignment="1" applyProtection="1">
      <alignment horizontal="justify" vertical="center" wrapText="1"/>
    </xf>
    <xf numFmtId="0" fontId="44" fillId="3" borderId="67" xfId="0" applyFont="1" applyFill="1" applyBorder="1" applyAlignment="1" applyProtection="1">
      <alignment horizontal="justify" vertical="center" wrapText="1"/>
    </xf>
    <xf numFmtId="0" fontId="39" fillId="14" borderId="48" xfId="2" applyFont="1" applyFill="1" applyBorder="1" applyAlignment="1" applyProtection="1">
      <alignment horizontal="center" vertical="center" wrapText="1"/>
    </xf>
    <xf numFmtId="0" fontId="39" fillId="14" borderId="49" xfId="2" applyFont="1" applyFill="1" applyBorder="1" applyAlignment="1" applyProtection="1">
      <alignment horizontal="center" vertical="center" wrapText="1"/>
    </xf>
    <xf numFmtId="0" fontId="39" fillId="14" borderId="50" xfId="2" applyFont="1" applyFill="1" applyBorder="1" applyAlignment="1" applyProtection="1">
      <alignment horizontal="center" vertical="center" wrapText="1"/>
    </xf>
    <xf numFmtId="0" fontId="38" fillId="0" borderId="14" xfId="2" quotePrefix="1" applyFont="1" applyBorder="1" applyAlignment="1" applyProtection="1">
      <alignment horizontal="left" vertical="center" wrapText="1"/>
    </xf>
    <xf numFmtId="0" fontId="38" fillId="0" borderId="0" xfId="2" quotePrefix="1" applyFont="1" applyBorder="1" applyAlignment="1" applyProtection="1">
      <alignment horizontal="left" vertical="center" wrapText="1"/>
    </xf>
    <xf numFmtId="0" fontId="38" fillId="0" borderId="15" xfId="2" quotePrefix="1" applyFont="1" applyBorder="1" applyAlignment="1" applyProtection="1">
      <alignment horizontal="left" vertical="center" wrapText="1"/>
    </xf>
    <xf numFmtId="0" fontId="38" fillId="0" borderId="68" xfId="2" quotePrefix="1" applyFont="1" applyBorder="1" applyAlignment="1" applyProtection="1">
      <alignment horizontal="left" vertical="center" wrapText="1"/>
    </xf>
    <xf numFmtId="0" fontId="38" fillId="0" borderId="69" xfId="2" quotePrefix="1" applyFont="1" applyBorder="1" applyAlignment="1" applyProtection="1">
      <alignment horizontal="left" vertical="center" wrapText="1"/>
    </xf>
    <xf numFmtId="0" fontId="38" fillId="0" borderId="70" xfId="2" quotePrefix="1" applyFont="1" applyBorder="1" applyAlignment="1" applyProtection="1">
      <alignment horizontal="left" vertical="center" wrapText="1"/>
    </xf>
    <xf numFmtId="0" fontId="40" fillId="3" borderId="51" xfId="2" quotePrefix="1" applyFont="1" applyFill="1" applyBorder="1" applyAlignment="1" applyProtection="1">
      <alignment horizontal="left" vertical="top" wrapText="1"/>
    </xf>
    <xf numFmtId="0" fontId="41" fillId="3" borderId="52" xfId="2" quotePrefix="1" applyFont="1" applyFill="1" applyBorder="1" applyAlignment="1" applyProtection="1">
      <alignment horizontal="left" vertical="top" wrapText="1"/>
    </xf>
    <xf numFmtId="0" fontId="41" fillId="3" borderId="53" xfId="2" quotePrefix="1" applyFont="1" applyFill="1" applyBorder="1" applyAlignment="1" applyProtection="1">
      <alignment horizontal="left" vertical="top" wrapText="1"/>
    </xf>
    <xf numFmtId="0" fontId="38" fillId="0" borderId="14" xfId="2" quotePrefix="1" applyFont="1" applyBorder="1" applyAlignment="1" applyProtection="1">
      <alignment horizontal="left" vertical="top" wrapText="1"/>
    </xf>
    <xf numFmtId="0" fontId="38" fillId="0" borderId="0" xfId="2" quotePrefix="1" applyFont="1" applyBorder="1" applyAlignment="1" applyProtection="1">
      <alignment horizontal="left" vertical="top" wrapText="1"/>
    </xf>
    <xf numFmtId="0" fontId="38" fillId="0" borderId="15" xfId="2" quotePrefix="1" applyFont="1" applyBorder="1" applyAlignment="1" applyProtection="1">
      <alignment horizontal="left" vertical="top" wrapText="1"/>
    </xf>
    <xf numFmtId="0" fontId="43" fillId="14" borderId="54" xfId="3" applyFont="1" applyFill="1" applyBorder="1" applyAlignment="1" applyProtection="1">
      <alignment horizontal="center" vertical="center" wrapText="1"/>
    </xf>
    <xf numFmtId="0" fontId="43" fillId="14" borderId="55" xfId="3" applyFont="1" applyFill="1" applyBorder="1" applyAlignment="1" applyProtection="1">
      <alignment horizontal="center" vertical="center" wrapText="1"/>
    </xf>
    <xf numFmtId="0" fontId="43" fillId="14" borderId="56" xfId="2" applyFont="1" applyFill="1" applyBorder="1" applyAlignment="1" applyProtection="1">
      <alignment horizontal="center" vertical="center"/>
    </xf>
    <xf numFmtId="0" fontId="43" fillId="14" borderId="57" xfId="2" applyFont="1" applyFill="1" applyBorder="1" applyAlignment="1" applyProtection="1">
      <alignment horizontal="center" vertical="center"/>
    </xf>
    <xf numFmtId="0" fontId="1" fillId="3" borderId="68" xfId="2" quotePrefix="1" applyFont="1" applyFill="1" applyBorder="1" applyAlignment="1" applyProtection="1">
      <alignment horizontal="justify" vertical="center" wrapText="1"/>
    </xf>
    <xf numFmtId="0" fontId="1" fillId="3" borderId="69" xfId="2" quotePrefix="1" applyFont="1" applyFill="1" applyBorder="1" applyAlignment="1" applyProtection="1">
      <alignment horizontal="justify" vertical="center" wrapText="1"/>
    </xf>
    <xf numFmtId="0" fontId="1" fillId="3" borderId="70" xfId="2" quotePrefix="1" applyFont="1" applyFill="1" applyBorder="1" applyAlignment="1" applyProtection="1">
      <alignment horizontal="justify" vertical="center" wrapText="1"/>
    </xf>
    <xf numFmtId="0" fontId="5" fillId="0" borderId="4" xfId="0" applyFont="1" applyBorder="1" applyAlignment="1" applyProtection="1">
      <alignment horizontal="center" vertical="center" textRotation="90"/>
      <protection locked="0"/>
    </xf>
    <xf numFmtId="0" fontId="5" fillId="0" borderId="8" xfId="0" applyFont="1" applyBorder="1" applyAlignment="1" applyProtection="1">
      <alignment horizontal="center" vertical="center" textRotation="90"/>
      <protection locked="0"/>
    </xf>
    <xf numFmtId="0" fontId="5" fillId="0" borderId="5" xfId="0" applyFont="1" applyBorder="1" applyAlignment="1" applyProtection="1">
      <alignment horizontal="center" vertical="center" textRotation="90"/>
      <protection locked="0"/>
    </xf>
    <xf numFmtId="0" fontId="5" fillId="3" borderId="75" xfId="0" applyFont="1" applyFill="1" applyBorder="1" applyAlignment="1" applyProtection="1">
      <alignment horizontal="left" vertical="center"/>
      <protection locked="0"/>
    </xf>
    <xf numFmtId="0" fontId="5" fillId="3" borderId="75" xfId="0" applyFont="1" applyFill="1" applyBorder="1" applyAlignment="1" applyProtection="1">
      <alignment horizontal="left" vertical="center" wrapText="1"/>
      <protection locked="0"/>
    </xf>
    <xf numFmtId="0" fontId="56" fillId="2" borderId="28" xfId="0" applyFont="1" applyFill="1" applyBorder="1" applyAlignment="1">
      <alignment horizontal="center" vertical="center"/>
    </xf>
    <xf numFmtId="0" fontId="56" fillId="2" borderId="29" xfId="0" applyFont="1" applyFill="1" applyBorder="1" applyAlignment="1">
      <alignment horizontal="center" vertical="center"/>
    </xf>
    <xf numFmtId="0" fontId="56" fillId="2" borderId="30" xfId="0" applyFont="1" applyFill="1" applyBorder="1" applyAlignment="1">
      <alignment horizontal="center" vertical="center"/>
    </xf>
    <xf numFmtId="0" fontId="56" fillId="2" borderId="3" xfId="0" applyFont="1" applyFill="1" applyBorder="1" applyAlignment="1">
      <alignment horizontal="center" vertical="center"/>
    </xf>
    <xf numFmtId="0" fontId="56" fillId="2" borderId="31" xfId="0" applyFont="1" applyFill="1" applyBorder="1" applyAlignment="1">
      <alignment horizontal="center" vertical="center"/>
    </xf>
    <xf numFmtId="0" fontId="56" fillId="2" borderId="32" xfId="0" applyFont="1" applyFill="1" applyBorder="1" applyAlignment="1">
      <alignment horizontal="center" vertical="center"/>
    </xf>
    <xf numFmtId="0" fontId="56" fillId="2" borderId="6" xfId="0" applyFont="1" applyFill="1" applyBorder="1" applyAlignment="1">
      <alignment horizontal="center" vertical="center"/>
    </xf>
    <xf numFmtId="0" fontId="56" fillId="2" borderId="10" xfId="0" applyFont="1" applyFill="1" applyBorder="1" applyAlignment="1">
      <alignment horizontal="center" vertical="center"/>
    </xf>
    <xf numFmtId="0" fontId="5" fillId="0" borderId="4"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4"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38" fillId="0" borderId="75"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76"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6" fillId="0" borderId="4" xfId="0" applyFont="1" applyFill="1" applyBorder="1" applyAlignment="1" applyProtection="1">
      <alignment horizontal="center" vertical="center" wrapText="1"/>
      <protection hidden="1"/>
    </xf>
    <xf numFmtId="0" fontId="56" fillId="0" borderId="8" xfId="0" applyFont="1" applyFill="1" applyBorder="1" applyAlignment="1" applyProtection="1">
      <alignment horizontal="center" vertical="center" wrapText="1"/>
      <protection hidden="1"/>
    </xf>
    <xf numFmtId="9" fontId="5" fillId="0" borderId="4" xfId="0" applyNumberFormat="1" applyFont="1" applyBorder="1" applyAlignment="1" applyProtection="1">
      <alignment horizontal="center" vertical="center" wrapText="1"/>
      <protection hidden="1"/>
    </xf>
    <xf numFmtId="9" fontId="5" fillId="0" borderId="8" xfId="0" applyNumberFormat="1" applyFont="1" applyBorder="1" applyAlignment="1" applyProtection="1">
      <alignment horizontal="center" vertical="center" wrapText="1"/>
      <protection hidden="1"/>
    </xf>
    <xf numFmtId="9" fontId="5" fillId="0" borderId="4" xfId="0" applyNumberFormat="1" applyFont="1" applyBorder="1" applyAlignment="1" applyProtection="1">
      <alignment horizontal="center" vertical="center" wrapText="1"/>
      <protection locked="0"/>
    </xf>
    <xf numFmtId="9" fontId="5" fillId="0" borderId="8" xfId="0" applyNumberFormat="1" applyFont="1" applyBorder="1" applyAlignment="1" applyProtection="1">
      <alignment horizontal="center" vertical="center" wrapText="1"/>
      <protection locked="0"/>
    </xf>
    <xf numFmtId="9" fontId="5" fillId="0" borderId="4" xfId="0" applyNumberFormat="1" applyFont="1" applyBorder="1" applyAlignment="1" applyProtection="1">
      <alignment horizontal="center" vertical="top" wrapText="1"/>
      <protection hidden="1"/>
    </xf>
    <xf numFmtId="9" fontId="5" fillId="0" borderId="8" xfId="0" applyNumberFormat="1" applyFont="1" applyBorder="1" applyAlignment="1" applyProtection="1">
      <alignment horizontal="center" vertical="top" wrapText="1"/>
      <protection hidden="1"/>
    </xf>
    <xf numFmtId="0" fontId="56" fillId="0" borderId="4" xfId="0" applyFont="1" applyFill="1" applyBorder="1" applyAlignment="1" applyProtection="1">
      <alignment horizontal="center" vertical="top" wrapText="1"/>
      <protection hidden="1"/>
    </xf>
    <xf numFmtId="0" fontId="56" fillId="0" borderId="8" xfId="0" applyFont="1" applyFill="1" applyBorder="1" applyAlignment="1" applyProtection="1">
      <alignment horizontal="center" vertical="top" wrapText="1"/>
      <protection hidden="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7" xfId="0" applyFont="1" applyBorder="1" applyAlignment="1">
      <alignment horizontal="left" vertical="center" wrapText="1"/>
    </xf>
    <xf numFmtId="9" fontId="5" fillId="0" borderId="5" xfId="0" applyNumberFormat="1" applyFont="1" applyBorder="1" applyAlignment="1" applyProtection="1">
      <alignment horizontal="center" vertical="top" wrapText="1"/>
      <protection hidden="1"/>
    </xf>
    <xf numFmtId="0" fontId="56" fillId="0" borderId="4" xfId="0" applyFont="1" applyBorder="1" applyAlignment="1" applyProtection="1">
      <alignment horizontal="center" vertical="top"/>
      <protection hidden="1"/>
    </xf>
    <xf numFmtId="0" fontId="56" fillId="0" borderId="8" xfId="0" applyFont="1" applyBorder="1" applyAlignment="1" applyProtection="1">
      <alignment horizontal="center" vertical="top"/>
      <protection hidden="1"/>
    </xf>
    <xf numFmtId="0" fontId="56" fillId="0" borderId="5" xfId="0" applyFont="1" applyBorder="1" applyAlignment="1" applyProtection="1">
      <alignment horizontal="center" vertical="top"/>
      <protection hidden="1"/>
    </xf>
    <xf numFmtId="0" fontId="5" fillId="0" borderId="5" xfId="0" applyFont="1" applyBorder="1" applyAlignment="1" applyProtection="1">
      <alignment horizontal="center" vertical="center"/>
    </xf>
    <xf numFmtId="0" fontId="5" fillId="0" borderId="4" xfId="0" applyFont="1" applyBorder="1" applyAlignment="1" applyProtection="1">
      <alignment horizontal="center" vertical="top" wrapText="1"/>
      <protection locked="0"/>
    </xf>
    <xf numFmtId="0" fontId="5" fillId="0" borderId="8"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38" fillId="0" borderId="4" xfId="0" applyFont="1" applyBorder="1" applyAlignment="1" applyProtection="1">
      <alignment horizontal="center" vertical="top" wrapText="1"/>
      <protection locked="0"/>
    </xf>
    <xf numFmtId="0" fontId="38" fillId="0" borderId="8" xfId="0" applyFont="1" applyBorder="1" applyAlignment="1" applyProtection="1">
      <alignment horizontal="center" vertical="top" wrapText="1"/>
      <protection locked="0"/>
    </xf>
    <xf numFmtId="0" fontId="38" fillId="0" borderId="5" xfId="0" applyFont="1" applyBorder="1" applyAlignment="1" applyProtection="1">
      <alignment horizontal="center" vertical="top" wrapText="1"/>
      <protection locked="0"/>
    </xf>
    <xf numFmtId="0" fontId="5" fillId="0" borderId="4" xfId="0" applyFont="1" applyBorder="1" applyAlignment="1" applyProtection="1">
      <alignment horizontal="center" vertical="top"/>
      <protection locked="0"/>
    </xf>
    <xf numFmtId="0" fontId="5" fillId="0" borderId="8" xfId="0" applyFont="1" applyBorder="1" applyAlignment="1" applyProtection="1">
      <alignment horizontal="center" vertical="top"/>
      <protection locked="0"/>
    </xf>
    <xf numFmtId="0" fontId="5" fillId="0" borderId="5" xfId="0" applyFont="1" applyBorder="1" applyAlignment="1" applyProtection="1">
      <alignment horizontal="center" vertical="top"/>
      <protection locked="0"/>
    </xf>
    <xf numFmtId="0" fontId="56" fillId="0" borderId="5" xfId="0" applyFont="1" applyFill="1" applyBorder="1" applyAlignment="1" applyProtection="1">
      <alignment horizontal="center" vertical="top" wrapText="1"/>
      <protection hidden="1"/>
    </xf>
    <xf numFmtId="9" fontId="5" fillId="0" borderId="4" xfId="0" applyNumberFormat="1" applyFont="1" applyBorder="1" applyAlignment="1" applyProtection="1">
      <alignment horizontal="center" vertical="top" wrapText="1"/>
      <protection locked="0"/>
    </xf>
    <xf numFmtId="9" fontId="5" fillId="0" borderId="8" xfId="0" applyNumberFormat="1" applyFont="1" applyBorder="1" applyAlignment="1" applyProtection="1">
      <alignment horizontal="center" vertical="top" wrapText="1"/>
      <protection locked="0"/>
    </xf>
    <xf numFmtId="9" fontId="5" fillId="0" borderId="5" xfId="0" applyNumberFormat="1" applyFont="1" applyBorder="1" applyAlignment="1" applyProtection="1">
      <alignment horizontal="center" vertical="top" wrapText="1"/>
      <protection locked="0"/>
    </xf>
    <xf numFmtId="0" fontId="5" fillId="0" borderId="28"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38" fillId="0" borderId="75" xfId="0" applyFont="1" applyBorder="1" applyAlignment="1" applyProtection="1">
      <alignment horizontal="center" vertical="top" wrapText="1"/>
      <protection locked="0"/>
    </xf>
    <xf numFmtId="0" fontId="5" fillId="0" borderId="30" xfId="0" applyFont="1" applyBorder="1" applyAlignment="1" applyProtection="1">
      <alignment horizontal="center" vertical="top" wrapText="1"/>
      <protection locked="0"/>
    </xf>
    <xf numFmtId="0" fontId="5" fillId="0" borderId="76" xfId="0" applyFont="1" applyBorder="1" applyAlignment="1" applyProtection="1">
      <alignment horizontal="center" vertical="top" wrapText="1"/>
      <protection locked="0"/>
    </xf>
    <xf numFmtId="0" fontId="5" fillId="0" borderId="32" xfId="0" applyFont="1" applyBorder="1" applyAlignment="1" applyProtection="1">
      <alignment horizontal="center" vertical="top" wrapText="1"/>
      <protection locked="0"/>
    </xf>
    <xf numFmtId="0" fontId="5" fillId="0" borderId="77" xfId="0" applyFont="1" applyBorder="1" applyAlignment="1">
      <alignment horizontal="justify" vertical="center" wrapText="1"/>
    </xf>
    <xf numFmtId="0" fontId="5" fillId="0" borderId="78" xfId="0" applyFont="1" applyBorder="1" applyAlignment="1">
      <alignment horizontal="justify" vertical="center" wrapText="1"/>
    </xf>
    <xf numFmtId="0" fontId="38" fillId="0" borderId="77" xfId="0" applyFont="1" applyBorder="1" applyAlignment="1" applyProtection="1">
      <alignment horizontal="center" vertical="center" wrapText="1"/>
      <protection locked="0"/>
    </xf>
    <xf numFmtId="0" fontId="38" fillId="0" borderId="78" xfId="0" applyFont="1" applyBorder="1" applyAlignment="1" applyProtection="1">
      <alignment horizontal="center" vertical="center" wrapText="1"/>
      <protection locked="0"/>
    </xf>
    <xf numFmtId="0" fontId="56" fillId="0" borderId="4" xfId="0" applyFont="1" applyBorder="1" applyAlignment="1" applyProtection="1">
      <alignment horizontal="center" vertical="center"/>
      <protection hidden="1"/>
    </xf>
    <xf numFmtId="0" fontId="56" fillId="0" borderId="8" xfId="0" applyFont="1" applyBorder="1" applyAlignment="1" applyProtection="1">
      <alignment horizontal="center" vertical="center"/>
      <protection hidden="1"/>
    </xf>
    <xf numFmtId="0" fontId="56" fillId="2" borderId="4" xfId="0" applyFont="1" applyFill="1" applyBorder="1" applyAlignment="1">
      <alignment horizontal="center" vertical="center" wrapText="1"/>
    </xf>
    <xf numFmtId="0" fontId="56" fillId="2" borderId="8" xfId="0" applyFont="1" applyFill="1" applyBorder="1" applyAlignment="1">
      <alignment horizontal="center" vertical="center" wrapText="1"/>
    </xf>
    <xf numFmtId="0" fontId="5" fillId="0" borderId="5" xfId="0" applyFont="1" applyBorder="1" applyAlignment="1" applyProtection="1">
      <alignment horizontal="center" vertical="center" wrapText="1"/>
      <protection locked="0"/>
    </xf>
    <xf numFmtId="14" fontId="5" fillId="0" borderId="4" xfId="0" applyNumberFormat="1" applyFont="1" applyBorder="1" applyAlignment="1" applyProtection="1">
      <alignment horizontal="center" vertical="center" wrapText="1"/>
      <protection locked="0"/>
    </xf>
    <xf numFmtId="14" fontId="5" fillId="0" borderId="8" xfId="0" applyNumberFormat="1" applyFont="1" applyBorder="1" applyAlignment="1" applyProtection="1">
      <alignment horizontal="center" vertical="center" wrapText="1"/>
      <protection locked="0"/>
    </xf>
    <xf numFmtId="14" fontId="5" fillId="0" borderId="5" xfId="0" applyNumberFormat="1" applyFont="1" applyBorder="1" applyAlignment="1" applyProtection="1">
      <alignment horizontal="center" vertical="center" wrapText="1"/>
      <protection locked="0"/>
    </xf>
    <xf numFmtId="0" fontId="56" fillId="2" borderId="2" xfId="0" applyFont="1" applyFill="1" applyBorder="1" applyAlignment="1">
      <alignment horizontal="center" vertical="center" wrapText="1"/>
    </xf>
    <xf numFmtId="0" fontId="56" fillId="2" borderId="5" xfId="0" applyFont="1" applyFill="1" applyBorder="1" applyAlignment="1">
      <alignment horizontal="center" vertical="center" wrapText="1"/>
    </xf>
    <xf numFmtId="0" fontId="56" fillId="2" borderId="6" xfId="0" applyFont="1" applyFill="1" applyBorder="1" applyAlignment="1">
      <alignment horizontal="left" vertical="center"/>
    </xf>
    <xf numFmtId="0" fontId="56" fillId="2" borderId="10" xfId="0" applyFont="1" applyFill="1" applyBorder="1" applyAlignment="1">
      <alignment horizontal="left" vertical="center"/>
    </xf>
    <xf numFmtId="0" fontId="56" fillId="2" borderId="4" xfId="0" applyFont="1" applyFill="1" applyBorder="1" applyAlignment="1">
      <alignment horizontal="center" vertical="center" textRotation="90"/>
    </xf>
    <xf numFmtId="0" fontId="56" fillId="2" borderId="5" xfId="0" applyFont="1" applyFill="1" applyBorder="1" applyAlignment="1">
      <alignment horizontal="center" vertical="center" textRotation="90"/>
    </xf>
    <xf numFmtId="0" fontId="56" fillId="2" borderId="5" xfId="0" applyFont="1" applyFill="1" applyBorder="1" applyAlignment="1">
      <alignment horizontal="center" vertical="center"/>
    </xf>
    <xf numFmtId="0" fontId="56" fillId="2" borderId="4" xfId="0" applyFont="1" applyFill="1" applyBorder="1" applyAlignment="1">
      <alignment horizontal="center" vertical="center"/>
    </xf>
    <xf numFmtId="0" fontId="56" fillId="2" borderId="4" xfId="0" applyFont="1" applyFill="1" applyBorder="1" applyAlignment="1">
      <alignment horizontal="center" vertical="center" textRotation="90" wrapText="1"/>
    </xf>
    <xf numFmtId="0" fontId="56" fillId="2" borderId="5" xfId="0" applyFont="1" applyFill="1" applyBorder="1" applyAlignment="1">
      <alignment horizontal="center" vertical="center" textRotation="90" wrapText="1"/>
    </xf>
    <xf numFmtId="0" fontId="56" fillId="2" borderId="2" xfId="0" applyFont="1" applyFill="1" applyBorder="1" applyAlignment="1">
      <alignment horizontal="center" vertical="center" textRotation="90" wrapText="1"/>
    </xf>
    <xf numFmtId="0" fontId="56" fillId="2" borderId="9" xfId="0" applyFont="1" applyFill="1" applyBorder="1" applyAlignment="1">
      <alignment horizontal="center" vertical="center"/>
    </xf>
    <xf numFmtId="0" fontId="56" fillId="2" borderId="9" xfId="0" applyFont="1" applyFill="1" applyBorder="1" applyAlignment="1">
      <alignment horizontal="center" vertical="center" wrapText="1"/>
    </xf>
    <xf numFmtId="0" fontId="56" fillId="2" borderId="2" xfId="0" applyFont="1" applyFill="1" applyBorder="1" applyAlignment="1">
      <alignment horizontal="center" vertical="center"/>
    </xf>
    <xf numFmtId="0" fontId="16" fillId="10" borderId="0" xfId="0" applyFont="1" applyFill="1" applyAlignment="1">
      <alignment horizontal="center" vertical="center" textRotation="90" wrapText="1" readingOrder="1"/>
    </xf>
    <xf numFmtId="0" fontId="16" fillId="10" borderId="15" xfId="0" applyFont="1" applyFill="1" applyBorder="1" applyAlignment="1">
      <alignment horizontal="center" vertical="center" textRotation="90" wrapText="1" readingOrder="1"/>
    </xf>
    <xf numFmtId="0" fontId="19" fillId="12" borderId="20" xfId="0" applyFont="1" applyFill="1" applyBorder="1" applyAlignment="1">
      <alignment horizontal="center" vertical="center" wrapText="1" readingOrder="1"/>
    </xf>
    <xf numFmtId="0" fontId="19" fillId="12" borderId="21" xfId="0" applyFont="1" applyFill="1" applyBorder="1" applyAlignment="1">
      <alignment horizontal="center" vertical="center" wrapText="1" readingOrder="1"/>
    </xf>
    <xf numFmtId="0" fontId="19" fillId="12" borderId="22" xfId="0" applyFont="1" applyFill="1" applyBorder="1" applyAlignment="1">
      <alignment horizontal="center" vertical="center" wrapText="1" readingOrder="1"/>
    </xf>
    <xf numFmtId="0" fontId="19" fillId="12" borderId="23" xfId="0" applyFont="1" applyFill="1" applyBorder="1" applyAlignment="1">
      <alignment horizontal="center" vertical="center" wrapText="1" readingOrder="1"/>
    </xf>
    <xf numFmtId="0" fontId="19" fillId="12" borderId="0" xfId="0" applyFont="1" applyFill="1" applyBorder="1" applyAlignment="1">
      <alignment horizontal="center" vertical="center" wrapText="1" readingOrder="1"/>
    </xf>
    <xf numFmtId="0" fontId="19" fillId="12" borderId="24" xfId="0" applyFont="1" applyFill="1" applyBorder="1" applyAlignment="1">
      <alignment horizontal="center" vertical="center" wrapText="1" readingOrder="1"/>
    </xf>
    <xf numFmtId="0" fontId="19" fillId="12" borderId="25" xfId="0" applyFont="1" applyFill="1" applyBorder="1" applyAlignment="1">
      <alignment horizontal="center" vertical="center" wrapText="1" readingOrder="1"/>
    </xf>
    <xf numFmtId="0" fontId="19" fillId="12" borderId="26" xfId="0" applyFont="1" applyFill="1" applyBorder="1" applyAlignment="1">
      <alignment horizontal="center" vertical="center" wrapText="1" readingOrder="1"/>
    </xf>
    <xf numFmtId="0" fontId="19" fillId="12" borderId="27"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1" borderId="21" xfId="0" applyFont="1" applyFill="1" applyBorder="1" applyAlignment="1">
      <alignment horizontal="center" vertical="center" wrapText="1" readingOrder="1"/>
    </xf>
    <xf numFmtId="0" fontId="19" fillId="11" borderId="22" xfId="0" applyFont="1" applyFill="1" applyBorder="1" applyAlignment="1">
      <alignment horizontal="center" vertical="center" wrapText="1" readingOrder="1"/>
    </xf>
    <xf numFmtId="0" fontId="19" fillId="11" borderId="23" xfId="0" applyFont="1" applyFill="1" applyBorder="1" applyAlignment="1">
      <alignment horizontal="center" vertical="center" wrapText="1" readingOrder="1"/>
    </xf>
    <xf numFmtId="0" fontId="19" fillId="11" borderId="0" xfId="0" applyFont="1" applyFill="1" applyBorder="1" applyAlignment="1">
      <alignment horizontal="center" vertical="center" wrapText="1" readingOrder="1"/>
    </xf>
    <xf numFmtId="0" fontId="19" fillId="11" borderId="24" xfId="0" applyFont="1" applyFill="1" applyBorder="1" applyAlignment="1">
      <alignment horizontal="center" vertical="center" wrapText="1" readingOrder="1"/>
    </xf>
    <xf numFmtId="0" fontId="19" fillId="11" borderId="25" xfId="0" applyFont="1" applyFill="1" applyBorder="1" applyAlignment="1">
      <alignment horizontal="center" vertical="center" wrapText="1" readingOrder="1"/>
    </xf>
    <xf numFmtId="0" fontId="19" fillId="11" borderId="26" xfId="0" applyFont="1" applyFill="1" applyBorder="1" applyAlignment="1">
      <alignment horizontal="center" vertical="center" wrapText="1" readingOrder="1"/>
    </xf>
    <xf numFmtId="0" fontId="19" fillId="11" borderId="27"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13" borderId="21" xfId="0" applyFont="1" applyFill="1" applyBorder="1" applyAlignment="1">
      <alignment horizontal="center" vertical="center" wrapText="1" readingOrder="1"/>
    </xf>
    <xf numFmtId="0" fontId="19" fillId="13" borderId="22" xfId="0" applyFont="1" applyFill="1" applyBorder="1" applyAlignment="1">
      <alignment horizontal="center" vertical="center" wrapText="1" readingOrder="1"/>
    </xf>
    <xf numFmtId="0" fontId="19" fillId="13" borderId="23" xfId="0" applyFont="1" applyFill="1" applyBorder="1" applyAlignment="1">
      <alignment horizontal="center" vertical="center" wrapText="1" readingOrder="1"/>
    </xf>
    <xf numFmtId="0" fontId="19" fillId="13" borderId="0" xfId="0" applyFont="1" applyFill="1" applyBorder="1" applyAlignment="1">
      <alignment horizontal="center" vertical="center" wrapText="1" readingOrder="1"/>
    </xf>
    <xf numFmtId="0" fontId="19" fillId="13" borderId="24" xfId="0" applyFont="1" applyFill="1" applyBorder="1" applyAlignment="1">
      <alignment horizontal="center" vertical="center" wrapText="1" readingOrder="1"/>
    </xf>
    <xf numFmtId="0" fontId="19" fillId="13" borderId="25" xfId="0" applyFont="1" applyFill="1" applyBorder="1" applyAlignment="1">
      <alignment horizontal="center" vertical="center" wrapText="1" readingOrder="1"/>
    </xf>
    <xf numFmtId="0" fontId="19" fillId="13" borderId="26" xfId="0" applyFont="1" applyFill="1" applyBorder="1" applyAlignment="1">
      <alignment horizontal="center" vertical="center" wrapText="1" readingOrder="1"/>
    </xf>
    <xf numFmtId="0" fontId="19" fillId="13" borderId="27"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9" fillId="5" borderId="21" xfId="0" applyFont="1" applyFill="1" applyBorder="1" applyAlignment="1">
      <alignment horizontal="center" vertical="center" wrapText="1" readingOrder="1"/>
    </xf>
    <xf numFmtId="0" fontId="19" fillId="5" borderId="22" xfId="0" applyFont="1" applyFill="1" applyBorder="1" applyAlignment="1">
      <alignment horizontal="center" vertical="center" wrapText="1" readingOrder="1"/>
    </xf>
    <xf numFmtId="0" fontId="19" fillId="5" borderId="23" xfId="0" applyFont="1" applyFill="1" applyBorder="1" applyAlignment="1">
      <alignment horizontal="center" vertical="center" wrapText="1" readingOrder="1"/>
    </xf>
    <xf numFmtId="0" fontId="19" fillId="5" borderId="0" xfId="0" applyFont="1" applyFill="1" applyBorder="1" applyAlignment="1">
      <alignment horizontal="center" vertical="center" wrapText="1" readingOrder="1"/>
    </xf>
    <xf numFmtId="0" fontId="19" fillId="5" borderId="24" xfId="0" applyFont="1" applyFill="1" applyBorder="1" applyAlignment="1">
      <alignment horizontal="center" vertical="center" wrapText="1" readingOrder="1"/>
    </xf>
    <xf numFmtId="0" fontId="19" fillId="5" borderId="25" xfId="0" applyFont="1" applyFill="1" applyBorder="1" applyAlignment="1">
      <alignment horizontal="center" vertical="center" wrapText="1" readingOrder="1"/>
    </xf>
    <xf numFmtId="0" fontId="19" fillId="5" borderId="26" xfId="0" applyFont="1" applyFill="1" applyBorder="1" applyAlignment="1">
      <alignment horizontal="center" vertical="center" wrapText="1" readingOrder="1"/>
    </xf>
    <xf numFmtId="0" fontId="19" fillId="5" borderId="27" xfId="0" applyFont="1" applyFill="1" applyBorder="1" applyAlignment="1">
      <alignment horizontal="center" vertical="center" wrapText="1" readingOrder="1"/>
    </xf>
    <xf numFmtId="0" fontId="15" fillId="0" borderId="12" xfId="0" applyFont="1" applyBorder="1" applyAlignment="1">
      <alignment horizontal="center" vertical="center" wrapText="1"/>
    </xf>
    <xf numFmtId="0" fontId="15" fillId="0" borderId="19"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17" xfId="0" applyFont="1" applyBorder="1" applyAlignment="1">
      <alignment horizontal="center" vertical="center"/>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6" fillId="10" borderId="0" xfId="0" applyFont="1" applyFill="1" applyAlignment="1">
      <alignment horizontal="center" vertical="center" wrapText="1" readingOrder="1"/>
    </xf>
    <xf numFmtId="0" fontId="15" fillId="0" borderId="0" xfId="0" applyFont="1" applyBorder="1" applyAlignment="1">
      <alignment horizontal="center" vertical="center"/>
    </xf>
    <xf numFmtId="0" fontId="15" fillId="0" borderId="19" xfId="0" applyFont="1" applyBorder="1" applyAlignment="1">
      <alignment horizontal="center" vertical="center" wrapText="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23" fillId="0" borderId="0" xfId="0" applyFont="1" applyAlignment="1">
      <alignment horizontal="center" vertical="center" wrapText="1"/>
    </xf>
    <xf numFmtId="0" fontId="32" fillId="11" borderId="20" xfId="0" applyFont="1" applyFill="1" applyBorder="1" applyAlignment="1">
      <alignment horizontal="center" vertical="center" wrapText="1" readingOrder="1"/>
    </xf>
    <xf numFmtId="0" fontId="32" fillId="11" borderId="21" xfId="0" applyFont="1" applyFill="1" applyBorder="1" applyAlignment="1">
      <alignment horizontal="center" vertical="center" wrapText="1" readingOrder="1"/>
    </xf>
    <xf numFmtId="0" fontId="32" fillId="11" borderId="22" xfId="0" applyFont="1" applyFill="1" applyBorder="1" applyAlignment="1">
      <alignment horizontal="center" vertical="center" wrapText="1" readingOrder="1"/>
    </xf>
    <xf numFmtId="0" fontId="32" fillId="11" borderId="23" xfId="0" applyFont="1" applyFill="1" applyBorder="1" applyAlignment="1">
      <alignment horizontal="center" vertical="center" wrapText="1" readingOrder="1"/>
    </xf>
    <xf numFmtId="0" fontId="32" fillId="11" borderId="0" xfId="0" applyFont="1" applyFill="1" applyBorder="1" applyAlignment="1">
      <alignment horizontal="center" vertical="center" wrapText="1" readingOrder="1"/>
    </xf>
    <xf numFmtId="0" fontId="32" fillId="11" borderId="24" xfId="0" applyFont="1" applyFill="1" applyBorder="1" applyAlignment="1">
      <alignment horizontal="center" vertical="center" wrapText="1" readingOrder="1"/>
    </xf>
    <xf numFmtId="0" fontId="32" fillId="11" borderId="25" xfId="0" applyFont="1" applyFill="1" applyBorder="1" applyAlignment="1">
      <alignment horizontal="center" vertical="center" wrapText="1" readingOrder="1"/>
    </xf>
    <xf numFmtId="0" fontId="32" fillId="11" borderId="26" xfId="0" applyFont="1" applyFill="1" applyBorder="1" applyAlignment="1">
      <alignment horizontal="center" vertical="center" wrapText="1" readingOrder="1"/>
    </xf>
    <xf numFmtId="0" fontId="32" fillId="11" borderId="27" xfId="0" applyFont="1" applyFill="1" applyBorder="1" applyAlignment="1">
      <alignment horizontal="center" vertical="center" wrapText="1" readingOrder="1"/>
    </xf>
    <xf numFmtId="0" fontId="33" fillId="0" borderId="12" xfId="0" applyFont="1" applyBorder="1" applyAlignment="1">
      <alignment horizontal="center" vertical="center" wrapText="1"/>
    </xf>
    <xf numFmtId="0" fontId="33" fillId="0" borderId="19" xfId="0" applyFont="1" applyBorder="1" applyAlignment="1">
      <alignment horizontal="center" vertical="center"/>
    </xf>
    <xf numFmtId="0" fontId="33" fillId="0" borderId="14" xfId="0" applyFont="1" applyBorder="1" applyAlignment="1">
      <alignment horizontal="center" vertical="center" wrapText="1"/>
    </xf>
    <xf numFmtId="0" fontId="33" fillId="0" borderId="0" xfId="0" applyFont="1" applyBorder="1" applyAlignment="1">
      <alignment horizontal="center" vertical="center"/>
    </xf>
    <xf numFmtId="0" fontId="33" fillId="0" borderId="14" xfId="0" applyFont="1" applyBorder="1" applyAlignment="1">
      <alignment horizontal="center" vertical="center"/>
    </xf>
    <xf numFmtId="0" fontId="33" fillId="0" borderId="0" xfId="0" applyFont="1" applyAlignment="1">
      <alignment horizontal="center" vertical="center"/>
    </xf>
    <xf numFmtId="0" fontId="33" fillId="0" borderId="16" xfId="0" applyFont="1" applyBorder="1" applyAlignment="1">
      <alignment horizontal="center" vertical="center"/>
    </xf>
    <xf numFmtId="0" fontId="33" fillId="0" borderId="18" xfId="0" applyFont="1" applyBorder="1" applyAlignment="1">
      <alignment horizontal="center" vertical="center"/>
    </xf>
    <xf numFmtId="0" fontId="32" fillId="12" borderId="20" xfId="0" applyFont="1" applyFill="1" applyBorder="1" applyAlignment="1">
      <alignment horizontal="center" vertical="center" wrapText="1" readingOrder="1"/>
    </xf>
    <xf numFmtId="0" fontId="32" fillId="12" borderId="21" xfId="0" applyFont="1" applyFill="1" applyBorder="1" applyAlignment="1">
      <alignment horizontal="center" vertical="center" wrapText="1" readingOrder="1"/>
    </xf>
    <xf numFmtId="0" fontId="32" fillId="12" borderId="22" xfId="0" applyFont="1" applyFill="1" applyBorder="1" applyAlignment="1">
      <alignment horizontal="center" vertical="center" wrapText="1" readingOrder="1"/>
    </xf>
    <xf numFmtId="0" fontId="32" fillId="12" borderId="23" xfId="0" applyFont="1" applyFill="1" applyBorder="1" applyAlignment="1">
      <alignment horizontal="center" vertical="center" wrapText="1" readingOrder="1"/>
    </xf>
    <xf numFmtId="0" fontId="32" fillId="12" borderId="0" xfId="0" applyFont="1" applyFill="1" applyBorder="1" applyAlignment="1">
      <alignment horizontal="center" vertical="center" wrapText="1" readingOrder="1"/>
    </xf>
    <xf numFmtId="0" fontId="32" fillId="12" borderId="24" xfId="0" applyFont="1" applyFill="1" applyBorder="1" applyAlignment="1">
      <alignment horizontal="center" vertical="center" wrapText="1" readingOrder="1"/>
    </xf>
    <xf numFmtId="0" fontId="32" fillId="12" borderId="25" xfId="0" applyFont="1" applyFill="1" applyBorder="1" applyAlignment="1">
      <alignment horizontal="center" vertical="center" wrapText="1" readingOrder="1"/>
    </xf>
    <xf numFmtId="0" fontId="32" fillId="12" borderId="26" xfId="0" applyFont="1" applyFill="1" applyBorder="1" applyAlignment="1">
      <alignment horizontal="center" vertical="center" wrapText="1" readingOrder="1"/>
    </xf>
    <xf numFmtId="0" fontId="32" fillId="12" borderId="27" xfId="0" applyFont="1" applyFill="1" applyBorder="1" applyAlignment="1">
      <alignment horizontal="center" vertical="center" wrapText="1" readingOrder="1"/>
    </xf>
    <xf numFmtId="0" fontId="31" fillId="0" borderId="0" xfId="0" applyFont="1" applyAlignment="1">
      <alignment horizontal="center" vertical="center" wrapText="1"/>
    </xf>
    <xf numFmtId="0" fontId="20" fillId="0" borderId="0" xfId="0" applyFont="1" applyAlignment="1">
      <alignment horizontal="center" vertical="center" wrapText="1"/>
    </xf>
    <xf numFmtId="0" fontId="33" fillId="0" borderId="13" xfId="0" applyFont="1" applyBorder="1" applyAlignment="1">
      <alignment horizontal="center" vertical="center"/>
    </xf>
    <xf numFmtId="0" fontId="33" fillId="0" borderId="15" xfId="0" applyFont="1" applyBorder="1" applyAlignment="1">
      <alignment horizontal="center" vertical="center"/>
    </xf>
    <xf numFmtId="0" fontId="33" fillId="0" borderId="17" xfId="0" applyFont="1" applyBorder="1" applyAlignment="1">
      <alignment horizontal="center" vertical="center"/>
    </xf>
    <xf numFmtId="0" fontId="32" fillId="5" borderId="20" xfId="0" applyFont="1" applyFill="1" applyBorder="1" applyAlignment="1">
      <alignment horizontal="center" vertical="center" wrapText="1" readingOrder="1"/>
    </xf>
    <xf numFmtId="0" fontId="32" fillId="5" borderId="21" xfId="0" applyFont="1" applyFill="1" applyBorder="1" applyAlignment="1">
      <alignment horizontal="center" vertical="center" wrapText="1" readingOrder="1"/>
    </xf>
    <xf numFmtId="0" fontId="32" fillId="5" borderId="22" xfId="0" applyFont="1" applyFill="1" applyBorder="1" applyAlignment="1">
      <alignment horizontal="center" vertical="center" wrapText="1" readingOrder="1"/>
    </xf>
    <xf numFmtId="0" fontId="32" fillId="5" borderId="23" xfId="0" applyFont="1" applyFill="1" applyBorder="1" applyAlignment="1">
      <alignment horizontal="center" vertical="center" wrapText="1" readingOrder="1"/>
    </xf>
    <xf numFmtId="0" fontId="32" fillId="5" borderId="0" xfId="0" applyFont="1" applyFill="1" applyBorder="1" applyAlignment="1">
      <alignment horizontal="center" vertical="center" wrapText="1" readingOrder="1"/>
    </xf>
    <xf numFmtId="0" fontId="32" fillId="5" borderId="24" xfId="0" applyFont="1" applyFill="1" applyBorder="1" applyAlignment="1">
      <alignment horizontal="center" vertical="center" wrapText="1" readingOrder="1"/>
    </xf>
    <xf numFmtId="0" fontId="32" fillId="5" borderId="25" xfId="0" applyFont="1" applyFill="1" applyBorder="1" applyAlignment="1">
      <alignment horizontal="center" vertical="center" wrapText="1" readingOrder="1"/>
    </xf>
    <xf numFmtId="0" fontId="32" fillId="5" borderId="26" xfId="0" applyFont="1" applyFill="1" applyBorder="1" applyAlignment="1">
      <alignment horizontal="center" vertical="center" wrapText="1" readingOrder="1"/>
    </xf>
    <xf numFmtId="0" fontId="32" fillId="5" borderId="27" xfId="0" applyFont="1" applyFill="1" applyBorder="1" applyAlignment="1">
      <alignment horizontal="center" vertical="center" wrapText="1" readingOrder="1"/>
    </xf>
    <xf numFmtId="0" fontId="32" fillId="13" borderId="20" xfId="0" applyFont="1" applyFill="1" applyBorder="1" applyAlignment="1">
      <alignment horizontal="center" vertical="center" wrapText="1" readingOrder="1"/>
    </xf>
    <xf numFmtId="0" fontId="32" fillId="13" borderId="21" xfId="0" applyFont="1" applyFill="1" applyBorder="1" applyAlignment="1">
      <alignment horizontal="center" vertical="center" wrapText="1" readingOrder="1"/>
    </xf>
    <xf numFmtId="0" fontId="32" fillId="13" borderId="22" xfId="0" applyFont="1" applyFill="1" applyBorder="1" applyAlignment="1">
      <alignment horizontal="center" vertical="center" wrapText="1" readingOrder="1"/>
    </xf>
    <xf numFmtId="0" fontId="32" fillId="13" borderId="23" xfId="0" applyFont="1" applyFill="1" applyBorder="1" applyAlignment="1">
      <alignment horizontal="center" vertical="center" wrapText="1" readingOrder="1"/>
    </xf>
    <xf numFmtId="0" fontId="32" fillId="13" borderId="0" xfId="0" applyFont="1" applyFill="1" applyBorder="1" applyAlignment="1">
      <alignment horizontal="center" vertical="center" wrapText="1" readingOrder="1"/>
    </xf>
    <xf numFmtId="0" fontId="32" fillId="13" borderId="24" xfId="0" applyFont="1" applyFill="1" applyBorder="1" applyAlignment="1">
      <alignment horizontal="center" vertical="center" wrapText="1" readingOrder="1"/>
    </xf>
    <xf numFmtId="0" fontId="32" fillId="13" borderId="25" xfId="0" applyFont="1" applyFill="1" applyBorder="1" applyAlignment="1">
      <alignment horizontal="center" vertical="center" wrapText="1" readingOrder="1"/>
    </xf>
    <xf numFmtId="0" fontId="32" fillId="13" borderId="26" xfId="0" applyFont="1" applyFill="1" applyBorder="1" applyAlignment="1">
      <alignment horizontal="center" vertical="center" wrapText="1" readingOrder="1"/>
    </xf>
    <xf numFmtId="0" fontId="32" fillId="13" borderId="27" xfId="0" applyFont="1" applyFill="1" applyBorder="1" applyAlignment="1">
      <alignment horizontal="center" vertical="center" wrapText="1" readingOrder="1"/>
    </xf>
    <xf numFmtId="0" fontId="33" fillId="0" borderId="19" xfId="0" applyFont="1" applyBorder="1" applyAlignment="1">
      <alignment horizontal="center" vertical="center" wrapText="1"/>
    </xf>
    <xf numFmtId="0" fontId="22" fillId="0" borderId="0" xfId="0" applyFont="1" applyAlignment="1">
      <alignment horizontal="center" vertical="center"/>
    </xf>
    <xf numFmtId="0" fontId="47" fillId="0" borderId="0" xfId="0" applyFont="1" applyAlignment="1">
      <alignment horizontal="center" vertical="center"/>
    </xf>
    <xf numFmtId="0" fontId="30" fillId="15" borderId="35" xfId="0" applyFont="1" applyFill="1" applyBorder="1" applyAlignment="1">
      <alignment horizontal="center" vertical="center" wrapText="1" readingOrder="1"/>
    </xf>
    <xf numFmtId="0" fontId="30" fillId="15" borderId="36" xfId="0" applyFont="1" applyFill="1" applyBorder="1" applyAlignment="1">
      <alignment horizontal="center" vertical="center" wrapText="1" readingOrder="1"/>
    </xf>
    <xf numFmtId="0" fontId="30" fillId="15" borderId="47" xfId="0" applyFont="1" applyFill="1" applyBorder="1" applyAlignment="1">
      <alignment horizontal="center" vertical="center" wrapText="1" readingOrder="1"/>
    </xf>
    <xf numFmtId="0" fontId="25" fillId="3" borderId="0" xfId="0" applyFont="1" applyFill="1" applyBorder="1" applyAlignment="1">
      <alignment horizontal="justify" vertical="center" wrapText="1"/>
    </xf>
    <xf numFmtId="0" fontId="27" fillId="15" borderId="44" xfId="0" applyFont="1" applyFill="1" applyBorder="1" applyAlignment="1">
      <alignment horizontal="center" vertical="center" wrapText="1" readingOrder="1"/>
    </xf>
    <xf numFmtId="0" fontId="27" fillId="15" borderId="45" xfId="0" applyFont="1" applyFill="1" applyBorder="1" applyAlignment="1">
      <alignment horizontal="center" vertical="center" wrapText="1" readingOrder="1"/>
    </xf>
    <xf numFmtId="0" fontId="27" fillId="3" borderId="42" xfId="0" applyFont="1" applyFill="1" applyBorder="1" applyAlignment="1">
      <alignment horizontal="center" vertical="center" wrapText="1" readingOrder="1"/>
    </xf>
    <xf numFmtId="0" fontId="27" fillId="3" borderId="37" xfId="0" applyFont="1" applyFill="1" applyBorder="1" applyAlignment="1">
      <alignment horizontal="center" vertical="center" wrapText="1" readingOrder="1"/>
    </xf>
    <xf numFmtId="0" fontId="27" fillId="3" borderId="34" xfId="0" applyFont="1" applyFill="1" applyBorder="1" applyAlignment="1">
      <alignment horizontal="center" vertical="center" wrapText="1" readingOrder="1"/>
    </xf>
    <xf numFmtId="0" fontId="27" fillId="3" borderId="33" xfId="0" applyFont="1" applyFill="1" applyBorder="1" applyAlignment="1">
      <alignment horizontal="center" vertical="center" wrapText="1" readingOrder="1"/>
    </xf>
    <xf numFmtId="0" fontId="27" fillId="3" borderId="39" xfId="0" applyFont="1" applyFill="1" applyBorder="1" applyAlignment="1">
      <alignment horizontal="center" vertical="center" wrapText="1" readingOrder="1"/>
    </xf>
    <xf numFmtId="0" fontId="27" fillId="3" borderId="40" xfId="0" applyFont="1" applyFill="1" applyBorder="1" applyAlignment="1">
      <alignment horizontal="center" vertical="center" wrapText="1" readingOrder="1"/>
    </xf>
    <xf numFmtId="0" fontId="38" fillId="3" borderId="75" xfId="0" applyFont="1" applyFill="1" applyBorder="1" applyAlignment="1" applyProtection="1">
      <alignment horizontal="center" vertical="top"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15">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10"/>
            <x v="11"/>
            <x v="12"/>
            <x v="13"/>
            <x v="14"/>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workbookViewId="0"/>
  </sheetViews>
  <sheetFormatPr baseColWidth="10" defaultColWidth="11.44140625" defaultRowHeight="14.4" x14ac:dyDescent="0.3"/>
  <cols>
    <col min="1" max="1" width="2.88671875" style="54" customWidth="1"/>
    <col min="2" max="3" width="24.6640625" style="54" customWidth="1"/>
    <col min="4" max="4" width="16" style="54" customWidth="1"/>
    <col min="5" max="5" width="24.6640625" style="54" customWidth="1"/>
    <col min="6" max="6" width="27.6640625" style="54" customWidth="1"/>
    <col min="7" max="8" width="24.6640625" style="54" customWidth="1"/>
    <col min="9" max="16384" width="11.44140625" style="54"/>
  </cols>
  <sheetData>
    <row r="1" spans="2:8" ht="15" thickBot="1" x14ac:dyDescent="0.35"/>
    <row r="2" spans="2:8" ht="18" x14ac:dyDescent="0.3">
      <c r="B2" s="182" t="s">
        <v>154</v>
      </c>
      <c r="C2" s="183"/>
      <c r="D2" s="183"/>
      <c r="E2" s="183"/>
      <c r="F2" s="183"/>
      <c r="G2" s="183"/>
      <c r="H2" s="184"/>
    </row>
    <row r="3" spans="2:8" x14ac:dyDescent="0.3">
      <c r="B3" s="55"/>
      <c r="C3" s="56"/>
      <c r="D3" s="56"/>
      <c r="E3" s="56"/>
      <c r="F3" s="56"/>
      <c r="G3" s="56"/>
      <c r="H3" s="57"/>
    </row>
    <row r="4" spans="2:8" ht="63" customHeight="1" x14ac:dyDescent="0.3">
      <c r="B4" s="185" t="s">
        <v>197</v>
      </c>
      <c r="C4" s="186"/>
      <c r="D4" s="186"/>
      <c r="E4" s="186"/>
      <c r="F4" s="186"/>
      <c r="G4" s="186"/>
      <c r="H4" s="187"/>
    </row>
    <row r="5" spans="2:8" ht="63" customHeight="1" x14ac:dyDescent="0.3">
      <c r="B5" s="188"/>
      <c r="C5" s="189"/>
      <c r="D5" s="189"/>
      <c r="E5" s="189"/>
      <c r="F5" s="189"/>
      <c r="G5" s="189"/>
      <c r="H5" s="190"/>
    </row>
    <row r="6" spans="2:8" x14ac:dyDescent="0.3">
      <c r="B6" s="191" t="s">
        <v>152</v>
      </c>
      <c r="C6" s="192"/>
      <c r="D6" s="192"/>
      <c r="E6" s="192"/>
      <c r="F6" s="192"/>
      <c r="G6" s="192"/>
      <c r="H6" s="193"/>
    </row>
    <row r="7" spans="2:8" ht="95.25" customHeight="1" x14ac:dyDescent="0.3">
      <c r="B7" s="201" t="s">
        <v>157</v>
      </c>
      <c r="C7" s="202"/>
      <c r="D7" s="202"/>
      <c r="E7" s="202"/>
      <c r="F7" s="202"/>
      <c r="G7" s="202"/>
      <c r="H7" s="203"/>
    </row>
    <row r="8" spans="2:8" x14ac:dyDescent="0.3">
      <c r="B8" s="90"/>
      <c r="C8" s="91"/>
      <c r="D8" s="91"/>
      <c r="E8" s="91"/>
      <c r="F8" s="91"/>
      <c r="G8" s="91"/>
      <c r="H8" s="92"/>
    </row>
    <row r="9" spans="2:8" ht="16.5" customHeight="1" x14ac:dyDescent="0.3">
      <c r="B9" s="194" t="s">
        <v>190</v>
      </c>
      <c r="C9" s="195"/>
      <c r="D9" s="195"/>
      <c r="E9" s="195"/>
      <c r="F9" s="195"/>
      <c r="G9" s="195"/>
      <c r="H9" s="196"/>
    </row>
    <row r="10" spans="2:8" ht="44.25" customHeight="1" x14ac:dyDescent="0.3">
      <c r="B10" s="194"/>
      <c r="C10" s="195"/>
      <c r="D10" s="195"/>
      <c r="E10" s="195"/>
      <c r="F10" s="195"/>
      <c r="G10" s="195"/>
      <c r="H10" s="196"/>
    </row>
    <row r="11" spans="2:8" ht="15" thickBot="1" x14ac:dyDescent="0.35">
      <c r="B11" s="78"/>
      <c r="C11" s="81"/>
      <c r="D11" s="86"/>
      <c r="E11" s="87"/>
      <c r="F11" s="87"/>
      <c r="G11" s="88"/>
      <c r="H11" s="89"/>
    </row>
    <row r="12" spans="2:8" ht="15" thickTop="1" x14ac:dyDescent="0.3">
      <c r="B12" s="78"/>
      <c r="C12" s="197" t="s">
        <v>153</v>
      </c>
      <c r="D12" s="198"/>
      <c r="E12" s="199" t="s">
        <v>191</v>
      </c>
      <c r="F12" s="200"/>
      <c r="G12" s="81"/>
      <c r="H12" s="82"/>
    </row>
    <row r="13" spans="2:8" ht="35.25" customHeight="1" x14ac:dyDescent="0.3">
      <c r="B13" s="78"/>
      <c r="C13" s="169" t="s">
        <v>184</v>
      </c>
      <c r="D13" s="170"/>
      <c r="E13" s="171" t="s">
        <v>189</v>
      </c>
      <c r="F13" s="172"/>
      <c r="G13" s="81"/>
      <c r="H13" s="82"/>
    </row>
    <row r="14" spans="2:8" ht="17.25" customHeight="1" x14ac:dyDescent="0.3">
      <c r="B14" s="78"/>
      <c r="C14" s="169" t="s">
        <v>185</v>
      </c>
      <c r="D14" s="170"/>
      <c r="E14" s="171" t="s">
        <v>187</v>
      </c>
      <c r="F14" s="172"/>
      <c r="G14" s="81"/>
      <c r="H14" s="82"/>
    </row>
    <row r="15" spans="2:8" ht="19.5" customHeight="1" x14ac:dyDescent="0.3">
      <c r="B15" s="78"/>
      <c r="C15" s="169" t="s">
        <v>186</v>
      </c>
      <c r="D15" s="170"/>
      <c r="E15" s="171" t="s">
        <v>188</v>
      </c>
      <c r="F15" s="172"/>
      <c r="G15" s="81"/>
      <c r="H15" s="82"/>
    </row>
    <row r="16" spans="2:8" ht="69.75" customHeight="1" x14ac:dyDescent="0.3">
      <c r="B16" s="78"/>
      <c r="C16" s="169" t="s">
        <v>155</v>
      </c>
      <c r="D16" s="170"/>
      <c r="E16" s="171" t="s">
        <v>156</v>
      </c>
      <c r="F16" s="172"/>
      <c r="G16" s="81"/>
      <c r="H16" s="82"/>
    </row>
    <row r="17" spans="2:8" ht="34.5" customHeight="1" x14ac:dyDescent="0.3">
      <c r="B17" s="78"/>
      <c r="C17" s="173" t="s">
        <v>2</v>
      </c>
      <c r="D17" s="174"/>
      <c r="E17" s="165" t="s">
        <v>198</v>
      </c>
      <c r="F17" s="166"/>
      <c r="G17" s="81"/>
      <c r="H17" s="82"/>
    </row>
    <row r="18" spans="2:8" ht="27.75" customHeight="1" x14ac:dyDescent="0.3">
      <c r="B18" s="78"/>
      <c r="C18" s="173" t="s">
        <v>3</v>
      </c>
      <c r="D18" s="174"/>
      <c r="E18" s="165" t="s">
        <v>199</v>
      </c>
      <c r="F18" s="166"/>
      <c r="G18" s="81"/>
      <c r="H18" s="82"/>
    </row>
    <row r="19" spans="2:8" ht="28.5" customHeight="1" x14ac:dyDescent="0.3">
      <c r="B19" s="78"/>
      <c r="C19" s="173" t="s">
        <v>42</v>
      </c>
      <c r="D19" s="174"/>
      <c r="E19" s="165" t="s">
        <v>200</v>
      </c>
      <c r="F19" s="166"/>
      <c r="G19" s="81"/>
      <c r="H19" s="82"/>
    </row>
    <row r="20" spans="2:8" ht="72.75" customHeight="1" x14ac:dyDescent="0.3">
      <c r="B20" s="78"/>
      <c r="C20" s="173" t="s">
        <v>1</v>
      </c>
      <c r="D20" s="174"/>
      <c r="E20" s="165" t="s">
        <v>201</v>
      </c>
      <c r="F20" s="166"/>
      <c r="G20" s="81"/>
      <c r="H20" s="82"/>
    </row>
    <row r="21" spans="2:8" ht="64.5" customHeight="1" x14ac:dyDescent="0.3">
      <c r="B21" s="78"/>
      <c r="C21" s="173" t="s">
        <v>50</v>
      </c>
      <c r="D21" s="174"/>
      <c r="E21" s="165" t="s">
        <v>159</v>
      </c>
      <c r="F21" s="166"/>
      <c r="G21" s="81"/>
      <c r="H21" s="82"/>
    </row>
    <row r="22" spans="2:8" ht="71.25" customHeight="1" x14ac:dyDescent="0.3">
      <c r="B22" s="78"/>
      <c r="C22" s="173" t="s">
        <v>158</v>
      </c>
      <c r="D22" s="174"/>
      <c r="E22" s="165" t="s">
        <v>160</v>
      </c>
      <c r="F22" s="166"/>
      <c r="G22" s="81"/>
      <c r="H22" s="82"/>
    </row>
    <row r="23" spans="2:8" ht="55.5" customHeight="1" x14ac:dyDescent="0.3">
      <c r="B23" s="78"/>
      <c r="C23" s="167" t="s">
        <v>161</v>
      </c>
      <c r="D23" s="168"/>
      <c r="E23" s="165" t="s">
        <v>162</v>
      </c>
      <c r="F23" s="166"/>
      <c r="G23" s="81"/>
      <c r="H23" s="82"/>
    </row>
    <row r="24" spans="2:8" ht="42" customHeight="1" x14ac:dyDescent="0.3">
      <c r="B24" s="78"/>
      <c r="C24" s="167" t="s">
        <v>48</v>
      </c>
      <c r="D24" s="168"/>
      <c r="E24" s="165" t="s">
        <v>163</v>
      </c>
      <c r="F24" s="166"/>
      <c r="G24" s="81"/>
      <c r="H24" s="82"/>
    </row>
    <row r="25" spans="2:8" ht="59.25" customHeight="1" x14ac:dyDescent="0.3">
      <c r="B25" s="78"/>
      <c r="C25" s="167" t="s">
        <v>151</v>
      </c>
      <c r="D25" s="168"/>
      <c r="E25" s="165" t="s">
        <v>164</v>
      </c>
      <c r="F25" s="166"/>
      <c r="G25" s="81"/>
      <c r="H25" s="82"/>
    </row>
    <row r="26" spans="2:8" ht="23.25" customHeight="1" x14ac:dyDescent="0.3">
      <c r="B26" s="78"/>
      <c r="C26" s="167" t="s">
        <v>12</v>
      </c>
      <c r="D26" s="168"/>
      <c r="E26" s="165" t="s">
        <v>165</v>
      </c>
      <c r="F26" s="166"/>
      <c r="G26" s="81"/>
      <c r="H26" s="82"/>
    </row>
    <row r="27" spans="2:8" ht="30.75" customHeight="1" x14ac:dyDescent="0.3">
      <c r="B27" s="78"/>
      <c r="C27" s="167" t="s">
        <v>169</v>
      </c>
      <c r="D27" s="168"/>
      <c r="E27" s="165" t="s">
        <v>166</v>
      </c>
      <c r="F27" s="166"/>
      <c r="G27" s="81"/>
      <c r="H27" s="82"/>
    </row>
    <row r="28" spans="2:8" ht="35.25" customHeight="1" x14ac:dyDescent="0.3">
      <c r="B28" s="78"/>
      <c r="C28" s="167" t="s">
        <v>170</v>
      </c>
      <c r="D28" s="168"/>
      <c r="E28" s="165" t="s">
        <v>167</v>
      </c>
      <c r="F28" s="166"/>
      <c r="G28" s="81"/>
      <c r="H28" s="82"/>
    </row>
    <row r="29" spans="2:8" ht="33" customHeight="1" x14ac:dyDescent="0.3">
      <c r="B29" s="78"/>
      <c r="C29" s="167" t="s">
        <v>170</v>
      </c>
      <c r="D29" s="168"/>
      <c r="E29" s="165" t="s">
        <v>167</v>
      </c>
      <c r="F29" s="166"/>
      <c r="G29" s="81"/>
      <c r="H29" s="82"/>
    </row>
    <row r="30" spans="2:8" ht="30" customHeight="1" x14ac:dyDescent="0.3">
      <c r="B30" s="78"/>
      <c r="C30" s="167" t="s">
        <v>171</v>
      </c>
      <c r="D30" s="168"/>
      <c r="E30" s="165" t="s">
        <v>168</v>
      </c>
      <c r="F30" s="166"/>
      <c r="G30" s="81"/>
      <c r="H30" s="82"/>
    </row>
    <row r="31" spans="2:8" ht="35.25" customHeight="1" x14ac:dyDescent="0.3">
      <c r="B31" s="78"/>
      <c r="C31" s="167" t="s">
        <v>172</v>
      </c>
      <c r="D31" s="168"/>
      <c r="E31" s="165" t="s">
        <v>173</v>
      </c>
      <c r="F31" s="166"/>
      <c r="G31" s="81"/>
      <c r="H31" s="82"/>
    </row>
    <row r="32" spans="2:8" ht="31.5" customHeight="1" x14ac:dyDescent="0.3">
      <c r="B32" s="78"/>
      <c r="C32" s="167" t="s">
        <v>174</v>
      </c>
      <c r="D32" s="168"/>
      <c r="E32" s="165" t="s">
        <v>175</v>
      </c>
      <c r="F32" s="166"/>
      <c r="G32" s="81"/>
      <c r="H32" s="82"/>
    </row>
    <row r="33" spans="2:8" ht="35.25" customHeight="1" x14ac:dyDescent="0.3">
      <c r="B33" s="78"/>
      <c r="C33" s="167" t="s">
        <v>176</v>
      </c>
      <c r="D33" s="168"/>
      <c r="E33" s="165" t="s">
        <v>177</v>
      </c>
      <c r="F33" s="166"/>
      <c r="G33" s="81"/>
      <c r="H33" s="82"/>
    </row>
    <row r="34" spans="2:8" ht="59.25" customHeight="1" x14ac:dyDescent="0.3">
      <c r="B34" s="78"/>
      <c r="C34" s="167" t="s">
        <v>178</v>
      </c>
      <c r="D34" s="168"/>
      <c r="E34" s="165" t="s">
        <v>179</v>
      </c>
      <c r="F34" s="166"/>
      <c r="G34" s="81"/>
      <c r="H34" s="82"/>
    </row>
    <row r="35" spans="2:8" ht="29.25" customHeight="1" x14ac:dyDescent="0.3">
      <c r="B35" s="78"/>
      <c r="C35" s="167" t="s">
        <v>29</v>
      </c>
      <c r="D35" s="168"/>
      <c r="E35" s="165" t="s">
        <v>180</v>
      </c>
      <c r="F35" s="166"/>
      <c r="G35" s="81"/>
      <c r="H35" s="82"/>
    </row>
    <row r="36" spans="2:8" ht="82.5" customHeight="1" x14ac:dyDescent="0.3">
      <c r="B36" s="78"/>
      <c r="C36" s="167" t="s">
        <v>182</v>
      </c>
      <c r="D36" s="168"/>
      <c r="E36" s="165" t="s">
        <v>181</v>
      </c>
      <c r="F36" s="166"/>
      <c r="G36" s="81"/>
      <c r="H36" s="82"/>
    </row>
    <row r="37" spans="2:8" ht="46.5" customHeight="1" x14ac:dyDescent="0.3">
      <c r="B37" s="78"/>
      <c r="C37" s="167" t="s">
        <v>39</v>
      </c>
      <c r="D37" s="168"/>
      <c r="E37" s="165" t="s">
        <v>183</v>
      </c>
      <c r="F37" s="166"/>
      <c r="G37" s="81"/>
      <c r="H37" s="82"/>
    </row>
    <row r="38" spans="2:8" ht="6.75" customHeight="1" thickBot="1" x14ac:dyDescent="0.35">
      <c r="B38" s="78"/>
      <c r="C38" s="178"/>
      <c r="D38" s="179"/>
      <c r="E38" s="180"/>
      <c r="F38" s="181"/>
      <c r="G38" s="81"/>
      <c r="H38" s="82"/>
    </row>
    <row r="39" spans="2:8" ht="15" thickTop="1" x14ac:dyDescent="0.3">
      <c r="B39" s="78"/>
      <c r="C39" s="79"/>
      <c r="D39" s="79"/>
      <c r="E39" s="80"/>
      <c r="F39" s="80"/>
      <c r="G39" s="81"/>
      <c r="H39" s="82"/>
    </row>
    <row r="40" spans="2:8" ht="21" customHeight="1" x14ac:dyDescent="0.3">
      <c r="B40" s="175" t="s">
        <v>192</v>
      </c>
      <c r="C40" s="176"/>
      <c r="D40" s="176"/>
      <c r="E40" s="176"/>
      <c r="F40" s="176"/>
      <c r="G40" s="176"/>
      <c r="H40" s="177"/>
    </row>
    <row r="41" spans="2:8" ht="20.25" customHeight="1" x14ac:dyDescent="0.3">
      <c r="B41" s="175" t="s">
        <v>193</v>
      </c>
      <c r="C41" s="176"/>
      <c r="D41" s="176"/>
      <c r="E41" s="176"/>
      <c r="F41" s="176"/>
      <c r="G41" s="176"/>
      <c r="H41" s="177"/>
    </row>
    <row r="42" spans="2:8" ht="20.25" customHeight="1" x14ac:dyDescent="0.3">
      <c r="B42" s="175" t="s">
        <v>194</v>
      </c>
      <c r="C42" s="176"/>
      <c r="D42" s="176"/>
      <c r="E42" s="176"/>
      <c r="F42" s="176"/>
      <c r="G42" s="176"/>
      <c r="H42" s="177"/>
    </row>
    <row r="43" spans="2:8" ht="20.25" customHeight="1" x14ac:dyDescent="0.3">
      <c r="B43" s="175" t="s">
        <v>195</v>
      </c>
      <c r="C43" s="176"/>
      <c r="D43" s="176"/>
      <c r="E43" s="176"/>
      <c r="F43" s="176"/>
      <c r="G43" s="176"/>
      <c r="H43" s="177"/>
    </row>
    <row r="44" spans="2:8" x14ac:dyDescent="0.3">
      <c r="B44" s="175" t="s">
        <v>196</v>
      </c>
      <c r="C44" s="176"/>
      <c r="D44" s="176"/>
      <c r="E44" s="176"/>
      <c r="F44" s="176"/>
      <c r="G44" s="176"/>
      <c r="H44" s="177"/>
    </row>
    <row r="45" spans="2:8" ht="15" thickBot="1" x14ac:dyDescent="0.35">
      <c r="B45" s="83"/>
      <c r="C45" s="84"/>
      <c r="D45" s="84"/>
      <c r="E45" s="84"/>
      <c r="F45" s="84"/>
      <c r="G45" s="84"/>
      <c r="H45" s="85"/>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R61"/>
  <sheetViews>
    <sheetView tabSelected="1" topLeftCell="A7" zoomScale="55" zoomScaleNormal="55" workbookViewId="0">
      <pane xSplit="1" ySplit="3" topLeftCell="B10" activePane="bottomRight" state="frozenSplit"/>
      <selection activeCell="A7" sqref="A7"/>
      <selection pane="topRight" activeCell="B7" sqref="B7"/>
      <selection pane="bottomLeft" activeCell="A10" sqref="A10"/>
      <selection pane="bottomRight" activeCell="H29" sqref="H29:H34"/>
    </sheetView>
  </sheetViews>
  <sheetFormatPr baseColWidth="10" defaultColWidth="11.44140625" defaultRowHeight="13.8" x14ac:dyDescent="0.3"/>
  <cols>
    <col min="1" max="1" width="4" style="163" bestFit="1" customWidth="1"/>
    <col min="2" max="2" width="14.109375" style="163" customWidth="1"/>
    <col min="3" max="3" width="16.5546875" style="163" customWidth="1"/>
    <col min="4" max="4" width="16.109375" style="163" customWidth="1"/>
    <col min="5" max="5" width="30.33203125" style="163" customWidth="1"/>
    <col min="6" max="7" width="35" style="114" customWidth="1"/>
    <col min="8" max="8" width="18.109375" style="164" customWidth="1"/>
    <col min="9" max="9" width="14.33203125" style="114" customWidth="1"/>
    <col min="10" max="10" width="12" style="114" customWidth="1"/>
    <col min="11" max="11" width="6.33203125" style="114" customWidth="1"/>
    <col min="12" max="12" width="24.44140625" style="114" customWidth="1"/>
    <col min="13" max="13" width="28.33203125" style="114" customWidth="1"/>
    <col min="14" max="14" width="17.5546875" style="114" customWidth="1"/>
    <col min="15" max="15" width="6.33203125" style="114" customWidth="1"/>
    <col min="16" max="16" width="16" style="114" customWidth="1"/>
    <col min="17" max="17" width="5.88671875" style="114" customWidth="1"/>
    <col min="18" max="18" width="55" style="114" customWidth="1"/>
    <col min="19" max="19" width="15.109375" style="114" customWidth="1"/>
    <col min="20" max="20" width="6.88671875" style="114" customWidth="1"/>
    <col min="21" max="21" width="5" style="114" customWidth="1"/>
    <col min="22" max="22" width="5.5546875" style="114" customWidth="1"/>
    <col min="23" max="23" width="7.109375" style="114" customWidth="1"/>
    <col min="24" max="24" width="6.6640625" style="114" customWidth="1"/>
    <col min="25" max="25" width="4.6640625" style="114" customWidth="1"/>
    <col min="26" max="26" width="38.5546875" style="114" customWidth="1"/>
    <col min="27" max="27" width="8.6640625" style="114" customWidth="1"/>
    <col min="28" max="28" width="10.44140625" style="114" customWidth="1"/>
    <col min="29" max="29" width="9.33203125" style="114" customWidth="1"/>
    <col min="30" max="30" width="9.109375" style="114" customWidth="1"/>
    <col min="31" max="31" width="8.44140625" style="114" customWidth="1"/>
    <col min="32" max="32" width="7.33203125" style="114" customWidth="1"/>
    <col min="33" max="33" width="28.6640625" style="114" customWidth="1"/>
    <col min="34" max="34" width="18.88671875" style="114" customWidth="1"/>
    <col min="35" max="35" width="16.88671875" style="114" customWidth="1"/>
    <col min="36" max="36" width="14.88671875" style="114" customWidth="1"/>
    <col min="37" max="37" width="18.5546875" style="114" customWidth="1"/>
    <col min="38" max="38" width="21" style="114" customWidth="1"/>
    <col min="39" max="16384" width="11.44140625" style="114"/>
  </cols>
  <sheetData>
    <row r="1" spans="1:70" ht="16.5" customHeight="1" x14ac:dyDescent="0.3">
      <c r="A1" s="209" t="s">
        <v>138</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1"/>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row>
    <row r="2" spans="1:70" ht="24" customHeight="1" x14ac:dyDescent="0.3">
      <c r="A2" s="212"/>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4"/>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row>
    <row r="3" spans="1:70" x14ac:dyDescent="0.3">
      <c r="A3" s="115"/>
      <c r="B3" s="116"/>
      <c r="C3" s="115"/>
      <c r="D3" s="115"/>
      <c r="E3" s="115"/>
      <c r="F3" s="113"/>
      <c r="G3" s="113"/>
      <c r="H3" s="117"/>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row>
    <row r="4" spans="1:70" ht="26.25" customHeight="1" x14ac:dyDescent="0.3">
      <c r="A4" s="280" t="s">
        <v>43</v>
      </c>
      <c r="B4" s="281"/>
      <c r="C4" s="207" t="s">
        <v>232</v>
      </c>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row>
    <row r="5" spans="1:70" ht="30" customHeight="1" x14ac:dyDescent="0.3">
      <c r="A5" s="280" t="s">
        <v>125</v>
      </c>
      <c r="B5" s="281"/>
      <c r="C5" s="208" t="s">
        <v>231</v>
      </c>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row>
    <row r="6" spans="1:70" ht="49.5" customHeight="1" x14ac:dyDescent="0.3">
      <c r="A6" s="280" t="s">
        <v>44</v>
      </c>
      <c r="B6" s="281"/>
      <c r="C6" s="208" t="s">
        <v>233</v>
      </c>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row>
    <row r="7" spans="1:70" x14ac:dyDescent="0.3">
      <c r="A7" s="215" t="s">
        <v>133</v>
      </c>
      <c r="B7" s="216"/>
      <c r="C7" s="213"/>
      <c r="D7" s="213"/>
      <c r="E7" s="213"/>
      <c r="F7" s="213"/>
      <c r="G7" s="213"/>
      <c r="H7" s="213"/>
      <c r="I7" s="214"/>
      <c r="J7" s="212" t="s">
        <v>134</v>
      </c>
      <c r="K7" s="213"/>
      <c r="L7" s="213"/>
      <c r="M7" s="213"/>
      <c r="N7" s="213"/>
      <c r="O7" s="213"/>
      <c r="P7" s="214"/>
      <c r="Q7" s="212" t="s">
        <v>135</v>
      </c>
      <c r="R7" s="213"/>
      <c r="S7" s="213"/>
      <c r="T7" s="213"/>
      <c r="U7" s="213"/>
      <c r="V7" s="213"/>
      <c r="W7" s="213"/>
      <c r="X7" s="213"/>
      <c r="Y7" s="214"/>
      <c r="Z7" s="212" t="s">
        <v>136</v>
      </c>
      <c r="AA7" s="213"/>
      <c r="AB7" s="213"/>
      <c r="AC7" s="213"/>
      <c r="AD7" s="213"/>
      <c r="AE7" s="213"/>
      <c r="AF7" s="214"/>
      <c r="AG7" s="212" t="s">
        <v>34</v>
      </c>
      <c r="AH7" s="213"/>
      <c r="AI7" s="213"/>
      <c r="AJ7" s="213"/>
      <c r="AK7" s="213"/>
      <c r="AL7" s="214"/>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row>
    <row r="8" spans="1:70" ht="16.5" customHeight="1" x14ac:dyDescent="0.3">
      <c r="A8" s="282" t="s">
        <v>0</v>
      </c>
      <c r="B8" s="291" t="s">
        <v>2</v>
      </c>
      <c r="C8" s="279" t="s">
        <v>3</v>
      </c>
      <c r="D8" s="279" t="s">
        <v>42</v>
      </c>
      <c r="E8" s="272" t="s">
        <v>202</v>
      </c>
      <c r="F8" s="284" t="s">
        <v>1</v>
      </c>
      <c r="G8" s="118"/>
      <c r="H8" s="272" t="s">
        <v>50</v>
      </c>
      <c r="I8" s="279" t="s">
        <v>129</v>
      </c>
      <c r="J8" s="273" t="s">
        <v>33</v>
      </c>
      <c r="K8" s="289" t="s">
        <v>5</v>
      </c>
      <c r="L8" s="272" t="s">
        <v>86</v>
      </c>
      <c r="M8" s="272" t="s">
        <v>91</v>
      </c>
      <c r="N8" s="290" t="s">
        <v>45</v>
      </c>
      <c r="O8" s="289" t="s">
        <v>5</v>
      </c>
      <c r="P8" s="279" t="s">
        <v>48</v>
      </c>
      <c r="Q8" s="286" t="s">
        <v>11</v>
      </c>
      <c r="R8" s="278" t="s">
        <v>151</v>
      </c>
      <c r="S8" s="272" t="s">
        <v>12</v>
      </c>
      <c r="T8" s="278" t="s">
        <v>8</v>
      </c>
      <c r="U8" s="278"/>
      <c r="V8" s="278"/>
      <c r="W8" s="278"/>
      <c r="X8" s="278"/>
      <c r="Y8" s="278"/>
      <c r="Z8" s="288" t="s">
        <v>132</v>
      </c>
      <c r="AA8" s="288" t="s">
        <v>46</v>
      </c>
      <c r="AB8" s="288" t="s">
        <v>5</v>
      </c>
      <c r="AC8" s="288" t="s">
        <v>47</v>
      </c>
      <c r="AD8" s="288" t="s">
        <v>5</v>
      </c>
      <c r="AE8" s="288" t="s">
        <v>49</v>
      </c>
      <c r="AF8" s="286" t="s">
        <v>29</v>
      </c>
      <c r="AG8" s="278" t="s">
        <v>34</v>
      </c>
      <c r="AH8" s="278" t="s">
        <v>35</v>
      </c>
      <c r="AI8" s="278" t="s">
        <v>36</v>
      </c>
      <c r="AJ8" s="278" t="s">
        <v>38</v>
      </c>
      <c r="AK8" s="278" t="s">
        <v>37</v>
      </c>
      <c r="AL8" s="278" t="s">
        <v>39</v>
      </c>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row>
    <row r="9" spans="1:70" s="121" customFormat="1" ht="55.2" customHeight="1" x14ac:dyDescent="0.3">
      <c r="A9" s="283"/>
      <c r="B9" s="291"/>
      <c r="C9" s="278"/>
      <c r="D9" s="278"/>
      <c r="E9" s="273"/>
      <c r="F9" s="285"/>
      <c r="G9" s="118" t="s">
        <v>203</v>
      </c>
      <c r="H9" s="279"/>
      <c r="I9" s="278"/>
      <c r="J9" s="279"/>
      <c r="K9" s="212"/>
      <c r="L9" s="279"/>
      <c r="M9" s="279"/>
      <c r="N9" s="212"/>
      <c r="O9" s="212"/>
      <c r="P9" s="278"/>
      <c r="Q9" s="287"/>
      <c r="R9" s="278"/>
      <c r="S9" s="279"/>
      <c r="T9" s="119" t="s">
        <v>13</v>
      </c>
      <c r="U9" s="119" t="s">
        <v>17</v>
      </c>
      <c r="V9" s="119" t="s">
        <v>28</v>
      </c>
      <c r="W9" s="119" t="s">
        <v>18</v>
      </c>
      <c r="X9" s="119" t="s">
        <v>21</v>
      </c>
      <c r="Y9" s="119" t="s">
        <v>24</v>
      </c>
      <c r="Z9" s="288"/>
      <c r="AA9" s="288"/>
      <c r="AB9" s="288"/>
      <c r="AC9" s="288"/>
      <c r="AD9" s="288"/>
      <c r="AE9" s="288"/>
      <c r="AF9" s="287"/>
      <c r="AG9" s="278"/>
      <c r="AH9" s="278"/>
      <c r="AI9" s="278"/>
      <c r="AJ9" s="278"/>
      <c r="AK9" s="278"/>
      <c r="AL9" s="278"/>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row>
    <row r="10" spans="1:70" s="134" customFormat="1" ht="73.5" customHeight="1" x14ac:dyDescent="0.3">
      <c r="A10" s="217">
        <v>1</v>
      </c>
      <c r="B10" s="219" t="s">
        <v>126</v>
      </c>
      <c r="C10" s="219" t="s">
        <v>218</v>
      </c>
      <c r="D10" s="221" t="s">
        <v>214</v>
      </c>
      <c r="E10" s="122" t="s">
        <v>234</v>
      </c>
      <c r="F10" s="223" t="s">
        <v>217</v>
      </c>
      <c r="G10" s="223" t="s">
        <v>236</v>
      </c>
      <c r="H10" s="224" t="s">
        <v>118</v>
      </c>
      <c r="I10" s="226">
        <v>280</v>
      </c>
      <c r="J10" s="228" t="str">
        <f>IF(I10&lt;=0,"",IF(I10&lt;=2,"Muy Baja",IF(I10&lt;=24,"Baja",IF(I10&lt;=500,"Media",IF(I10&lt;=5000,"Alta","Muy Alta")))))</f>
        <v>Media</v>
      </c>
      <c r="K10" s="230">
        <f>IF(J10="","",IF(J10="Muy Baja",0.2,IF(J10="Baja",0.4,IF(J10="Media",0.6,IF(J10="Alta",0.8,IF(J10="Muy Alta",1,))))))</f>
        <v>0.6</v>
      </c>
      <c r="L10" s="232" t="s">
        <v>145</v>
      </c>
      <c r="M10" s="234" t="str">
        <f ca="1">IF(NOT(ISERROR(MATCH(L10,'Tabla Impacto'!$B$221:$B$223,0))),'Tabla Impacto'!$F$223&amp;"Por favor no seleccionar los criterios de impacto(Afectación Económica o presupuestal y Pérdida Reputacional)",L10)</f>
        <v xml:space="preserve">     El riesgo afecta la imagen de de la entidad con efecto publicitario sostenido a nivel de sector administrativo, nivel departamental o municipal</v>
      </c>
      <c r="N10" s="228" t="str">
        <f ca="1">IF(OR(M10='Tabla Impacto'!$C$11,M10='Tabla Impacto'!$D$11),"Leve",IF(OR(M10='Tabla Impacto'!$C$12,M10='Tabla Impacto'!$D$12),"Menor",IF(OR(M10='Tabla Impacto'!$C$13,M10='Tabla Impacto'!$D$13),"Moderado",IF(OR(M10='Tabla Impacto'!$C$14,M10='Tabla Impacto'!$D$14),"Mayor",IF(OR(M10='Tabla Impacto'!$C$15,M10='Tabla Impacto'!$D$15),"Catastrófico","")))))</f>
        <v>Mayor</v>
      </c>
      <c r="O10" s="230">
        <f ca="1">IF(N10="","",IF(N10="Leve",0.2,IF(N10="Menor",0.4,IF(N10="Moderado",0.6,IF(N10="Mayor",0.8,IF(N10="Catastrófico",1,))))))</f>
        <v>0.8</v>
      </c>
      <c r="P10" s="270"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Alto</v>
      </c>
      <c r="Q10" s="123">
        <v>1</v>
      </c>
      <c r="R10" s="111" t="s">
        <v>237</v>
      </c>
      <c r="S10" s="124" t="str">
        <f>IF(OR(T10="Preventivo",T10="Detectivo"),"Probabilidad",IF(T10="Correctivo","Impacto",""))</f>
        <v>Probabilidad</v>
      </c>
      <c r="T10" s="125" t="s">
        <v>15</v>
      </c>
      <c r="U10" s="125" t="s">
        <v>9</v>
      </c>
      <c r="V10" s="126" t="str">
        <f>IF(AND(T10="Preventivo",U10="Automático"),"50%",IF(AND(T10="Preventivo",U10="Manual"),"40%",IF(AND(T10="Detectivo",U10="Automático"),"40%",IF(AND(T10="Detectivo",U10="Manual"),"30%",IF(AND(T10="Correctivo",U10="Automático"),"35%",IF(AND(T10="Correctivo",U10="Manual"),"25%",""))))))</f>
        <v>30%</v>
      </c>
      <c r="W10" s="125" t="s">
        <v>20</v>
      </c>
      <c r="X10" s="125" t="s">
        <v>22</v>
      </c>
      <c r="Y10" s="125" t="s">
        <v>114</v>
      </c>
      <c r="Z10" s="127">
        <f>IFERROR(IF(S10="Probabilidad",(K10-(+K10*V10)),IF(S10="Impacto",K10,"")),"")</f>
        <v>0.42</v>
      </c>
      <c r="AA10" s="128" t="str">
        <f>IFERROR(IF(Z10="","",IF(Z10&lt;=0.2,"Muy Baja",IF(Z10&lt;=0.4,"Baja",IF(Z10&lt;=0.6,"Media",IF(Z10&lt;=0.8,"Alta","Muy Alta"))))),"")</f>
        <v>Media</v>
      </c>
      <c r="AB10" s="129">
        <f>+Z10</f>
        <v>0.42</v>
      </c>
      <c r="AC10" s="128" t="str">
        <f ca="1">IFERROR(IF(AD10="","",IF(AD10&lt;=0.2,"Leve",IF(AD10&lt;=0.4,"Menor",IF(AD10&lt;=0.6,"Moderado",IF(AD10&lt;=0.8,"Mayor","Catastrófico"))))),"")</f>
        <v>Mayor</v>
      </c>
      <c r="AD10" s="129">
        <f ca="1">IFERROR(IF(S10="Impacto",(O10-(+O10*V10)),IF(S10="Probabilidad",O10,"")),"")</f>
        <v>0.8</v>
      </c>
      <c r="AE10" s="130"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Alto</v>
      </c>
      <c r="AF10" s="204" t="s">
        <v>130</v>
      </c>
      <c r="AG10" s="219" t="s">
        <v>242</v>
      </c>
      <c r="AH10" s="219" t="s">
        <v>243</v>
      </c>
      <c r="AI10" s="275" t="s">
        <v>244</v>
      </c>
      <c r="AJ10" s="131"/>
      <c r="AK10" s="112"/>
      <c r="AL10" s="132"/>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row>
    <row r="11" spans="1:70" ht="69" x14ac:dyDescent="0.3">
      <c r="A11" s="218"/>
      <c r="B11" s="220"/>
      <c r="C11" s="220"/>
      <c r="D11" s="222"/>
      <c r="E11" s="122" t="s">
        <v>215</v>
      </c>
      <c r="F11" s="223"/>
      <c r="G11" s="223"/>
      <c r="H11" s="225"/>
      <c r="I11" s="227"/>
      <c r="J11" s="229"/>
      <c r="K11" s="231"/>
      <c r="L11" s="233"/>
      <c r="M11" s="235">
        <f ca="1">IF(NOT(ISERROR(MATCH(L11,_xlfn.ANCHORARRAY(#REF!),0))),#REF!&amp;"Por favor no seleccionar los criterios de impacto",L11)</f>
        <v>0</v>
      </c>
      <c r="N11" s="229"/>
      <c r="O11" s="231"/>
      <c r="P11" s="271"/>
      <c r="Q11" s="123">
        <v>2</v>
      </c>
      <c r="R11" s="111" t="s">
        <v>241</v>
      </c>
      <c r="S11" s="124" t="str">
        <f>IF(OR(T11="Preventivo",T11="Detectivo"),"Probabilidad",IF(T11="Correctivo","Impacto",""))</f>
        <v>Probabilidad</v>
      </c>
      <c r="T11" s="125" t="s">
        <v>14</v>
      </c>
      <c r="U11" s="125" t="s">
        <v>9</v>
      </c>
      <c r="V11" s="126" t="str">
        <f t="shared" ref="V11" si="0">IF(AND(T11="Preventivo",U11="Automático"),"50%",IF(AND(T11="Preventivo",U11="Manual"),"40%",IF(AND(T11="Detectivo",U11="Automático"),"40%",IF(AND(T11="Detectivo",U11="Manual"),"30%",IF(AND(T11="Correctivo",U11="Automático"),"35%",IF(AND(T11="Correctivo",U11="Manual"),"25%",""))))))</f>
        <v>40%</v>
      </c>
      <c r="W11" s="125" t="s">
        <v>19</v>
      </c>
      <c r="X11" s="125" t="s">
        <v>22</v>
      </c>
      <c r="Y11" s="125" t="s">
        <v>114</v>
      </c>
      <c r="Z11" s="127">
        <f>IFERROR(IF(AND(S10="Probabilidad",S11="Probabilidad"),(AB10-(+AB10*V11)),IF(AND(S10="Impacto",S11="Probabilidad"),(K10-(+K10*V11)),IF(S11="Impacto",AB10,""))),"")</f>
        <v>0.252</v>
      </c>
      <c r="AA11" s="128" t="str">
        <f t="shared" ref="AA11" si="1">IFERROR(IF(Z11="","",IF(Z11&lt;=0.2,"Muy Baja",IF(Z11&lt;=0.4,"Baja",IF(Z11&lt;=0.6,"Media",IF(Z11&lt;=0.8,"Alta","Muy Alta"))))),"")</f>
        <v>Baja</v>
      </c>
      <c r="AB11" s="129">
        <f>+Z11</f>
        <v>0.252</v>
      </c>
      <c r="AC11" s="128" t="str">
        <f t="shared" ref="AC11" ca="1" si="2">IFERROR(IF(AD11="","",IF(AD11&lt;=0.2,"Leve",IF(AD11&lt;=0.4,"Menor",IF(AD11&lt;=0.6,"Moderado",IF(AD11&lt;=0.8,"Mayor","Catastrófico"))))),"")</f>
        <v>Mayor</v>
      </c>
      <c r="AD11" s="135">
        <f ca="1">IFERROR(IF(AND(S10="Impacto",S11="Impacto"),(AD10-(+AD10*V11)),IF(AND(S10="Probabilidad",S11="Impacto"),(O10-(+O10*V11)),IF(S11="Probabilidad",AD10,""))),"")</f>
        <v>0.8</v>
      </c>
      <c r="AE11" s="130" t="str">
        <f t="shared" ref="AE11" ca="1" si="3">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Alto</v>
      </c>
      <c r="AF11" s="205"/>
      <c r="AG11" s="220"/>
      <c r="AH11" s="220"/>
      <c r="AI11" s="276"/>
      <c r="AJ11" s="131"/>
      <c r="AK11" s="112"/>
      <c r="AL11" s="132"/>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row>
    <row r="12" spans="1:70" ht="69" x14ac:dyDescent="0.3">
      <c r="A12" s="218"/>
      <c r="B12" s="220"/>
      <c r="C12" s="220"/>
      <c r="D12" s="222"/>
      <c r="E12" s="122" t="s">
        <v>219</v>
      </c>
      <c r="F12" s="223"/>
      <c r="G12" s="223"/>
      <c r="H12" s="225"/>
      <c r="I12" s="227"/>
      <c r="J12" s="229"/>
      <c r="K12" s="231"/>
      <c r="L12" s="233"/>
      <c r="M12" s="235">
        <f ca="1">IF(NOT(ISERROR(MATCH(L12,_xlfn.ANCHORARRAY(#REF!),0))),#REF!&amp;"Por favor no seleccionar los criterios de impacto",L12)</f>
        <v>0</v>
      </c>
      <c r="N12" s="229"/>
      <c r="O12" s="231"/>
      <c r="P12" s="271"/>
      <c r="Q12" s="123">
        <v>3</v>
      </c>
      <c r="R12" s="136" t="s">
        <v>238</v>
      </c>
      <c r="S12" s="124" t="str">
        <f t="shared" ref="S12:S14" si="4">IF(OR(T12="Preventivo",T12="Detectivo"),"Probabilidad",IF(T12="Correctivo","Impacto",""))</f>
        <v>Probabilidad</v>
      </c>
      <c r="T12" s="125" t="s">
        <v>14</v>
      </c>
      <c r="U12" s="125" t="s">
        <v>9</v>
      </c>
      <c r="V12" s="126" t="str">
        <f t="shared" ref="V12:V14" si="5">IF(AND(T12="Preventivo",U12="Automático"),"50%",IF(AND(T12="Preventivo",U12="Manual"),"40%",IF(AND(T12="Detectivo",U12="Automático"),"40%",IF(AND(T12="Detectivo",U12="Manual"),"30%",IF(AND(T12="Correctivo",U12="Automático"),"35%",IF(AND(T12="Correctivo",U12="Manual"),"25%",""))))))</f>
        <v>40%</v>
      </c>
      <c r="W12" s="125" t="s">
        <v>19</v>
      </c>
      <c r="X12" s="125" t="s">
        <v>22</v>
      </c>
      <c r="Y12" s="125" t="s">
        <v>114</v>
      </c>
      <c r="Z12" s="127">
        <f>IFERROR(IF(AND(S11="Probabilidad",S12="Probabilidad"),(AB11-(+AB11*V12)),IF(AND(S11="Impacto",S12="Probabilidad"),(AB10-(+AB10*V12)),IF(S12="Impacto",AB11,""))),"")</f>
        <v>0.1512</v>
      </c>
      <c r="AA12" s="128" t="str">
        <f t="shared" ref="AA12:AA14" si="6">IFERROR(IF(Z12="","",IF(Z12&lt;=0.2,"Muy Baja",IF(Z12&lt;=0.4,"Baja",IF(Z12&lt;=0.6,"Media",IF(Z12&lt;=0.8,"Alta","Muy Alta"))))),"")</f>
        <v>Muy Baja</v>
      </c>
      <c r="AB12" s="129">
        <f t="shared" ref="AB12:AB14" si="7">+Z12</f>
        <v>0.1512</v>
      </c>
      <c r="AC12" s="128" t="str">
        <f t="shared" ref="AC12:AC14" ca="1" si="8">IFERROR(IF(AD12="","",IF(AD12&lt;=0.2,"Leve",IF(AD12&lt;=0.4,"Menor",IF(AD12&lt;=0.6,"Moderado",IF(AD12&lt;=0.8,"Mayor","Catastrófico"))))),"")</f>
        <v>Mayor</v>
      </c>
      <c r="AD12" s="135">
        <f t="shared" ref="AD12:AD14" ca="1" si="9">IFERROR(IF(AND(S11="Impacto",S12="Impacto"),(AD11-(+AD11*V12)),IF(AND(S11="Probabilidad",S12="Impacto"),(AD10-(+AD10*V12)),IF(S12="Probabilidad",AD11,""))),"")</f>
        <v>0.8</v>
      </c>
      <c r="AE12" s="130" t="str">
        <f t="shared" ref="AE12:AE14" ca="1" si="10">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Alto</v>
      </c>
      <c r="AF12" s="205"/>
      <c r="AG12" s="220"/>
      <c r="AH12" s="220"/>
      <c r="AI12" s="276"/>
      <c r="AJ12" s="131"/>
      <c r="AK12" s="112"/>
      <c r="AL12" s="132"/>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row>
    <row r="13" spans="1:70" ht="57" x14ac:dyDescent="0.3">
      <c r="A13" s="218"/>
      <c r="B13" s="220"/>
      <c r="C13" s="220"/>
      <c r="D13" s="222"/>
      <c r="E13" s="122" t="s">
        <v>235</v>
      </c>
      <c r="F13" s="223"/>
      <c r="G13" s="223"/>
      <c r="H13" s="225"/>
      <c r="I13" s="227"/>
      <c r="J13" s="229"/>
      <c r="K13" s="231"/>
      <c r="L13" s="233"/>
      <c r="M13" s="235">
        <f ca="1">IF(NOT(ISERROR(MATCH(L13,_xlfn.ANCHORARRAY(#REF!),0))),#REF!&amp;"Por favor no seleccionar los criterios de impacto",L13)</f>
        <v>0</v>
      </c>
      <c r="N13" s="229"/>
      <c r="O13" s="231"/>
      <c r="P13" s="271"/>
      <c r="Q13" s="123">
        <v>4</v>
      </c>
      <c r="R13" s="111" t="s">
        <v>239</v>
      </c>
      <c r="S13" s="124" t="str">
        <f t="shared" si="4"/>
        <v>Probabilidad</v>
      </c>
      <c r="T13" s="125" t="s">
        <v>14</v>
      </c>
      <c r="U13" s="125" t="s">
        <v>9</v>
      </c>
      <c r="V13" s="126" t="str">
        <f t="shared" si="5"/>
        <v>40%</v>
      </c>
      <c r="W13" s="125" t="s">
        <v>19</v>
      </c>
      <c r="X13" s="125" t="s">
        <v>22</v>
      </c>
      <c r="Y13" s="125" t="s">
        <v>114</v>
      </c>
      <c r="Z13" s="127">
        <f t="shared" ref="Z13:Z14" si="11">IFERROR(IF(AND(S12="Probabilidad",S13="Probabilidad"),(AB12-(+AB12*V13)),IF(AND(S12="Impacto",S13="Probabilidad"),(AB11-(+AB11*V13)),IF(S13="Impacto",AB12,""))),"")</f>
        <v>9.0719999999999995E-2</v>
      </c>
      <c r="AA13" s="128" t="str">
        <f t="shared" si="6"/>
        <v>Muy Baja</v>
      </c>
      <c r="AB13" s="129">
        <f t="shared" si="7"/>
        <v>9.0719999999999995E-2</v>
      </c>
      <c r="AC13" s="128" t="str">
        <f t="shared" ca="1" si="8"/>
        <v>Mayor</v>
      </c>
      <c r="AD13" s="135">
        <f t="shared" ca="1" si="9"/>
        <v>0.8</v>
      </c>
      <c r="AE13" s="130" t="str">
        <f t="shared" ca="1" si="10"/>
        <v>Alto</v>
      </c>
      <c r="AF13" s="205"/>
      <c r="AG13" s="220"/>
      <c r="AH13" s="220"/>
      <c r="AI13" s="276"/>
      <c r="AJ13" s="131"/>
      <c r="AK13" s="112"/>
      <c r="AL13" s="132"/>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row>
    <row r="14" spans="1:70" ht="57" x14ac:dyDescent="0.3">
      <c r="A14" s="218"/>
      <c r="B14" s="220"/>
      <c r="C14" s="220"/>
      <c r="D14" s="222"/>
      <c r="E14" s="122" t="s">
        <v>220</v>
      </c>
      <c r="F14" s="223"/>
      <c r="G14" s="223"/>
      <c r="H14" s="225"/>
      <c r="I14" s="227"/>
      <c r="J14" s="229"/>
      <c r="K14" s="231"/>
      <c r="L14" s="233"/>
      <c r="M14" s="235">
        <f ca="1">IF(NOT(ISERROR(MATCH(L14,_xlfn.ANCHORARRAY(#REF!),0))),#REF!&amp;"Por favor no seleccionar los criterios de impacto",L14)</f>
        <v>0</v>
      </c>
      <c r="N14" s="229"/>
      <c r="O14" s="231"/>
      <c r="P14" s="271"/>
      <c r="Q14" s="123">
        <v>5</v>
      </c>
      <c r="R14" s="111" t="s">
        <v>240</v>
      </c>
      <c r="S14" s="124" t="str">
        <f t="shared" si="4"/>
        <v>Probabilidad</v>
      </c>
      <c r="T14" s="125" t="s">
        <v>15</v>
      </c>
      <c r="U14" s="125" t="s">
        <v>9</v>
      </c>
      <c r="V14" s="126" t="str">
        <f t="shared" si="5"/>
        <v>30%</v>
      </c>
      <c r="W14" s="125" t="s">
        <v>19</v>
      </c>
      <c r="X14" s="125" t="s">
        <v>22</v>
      </c>
      <c r="Y14" s="125" t="s">
        <v>114</v>
      </c>
      <c r="Z14" s="127">
        <f t="shared" si="11"/>
        <v>6.3504000000000005E-2</v>
      </c>
      <c r="AA14" s="128" t="str">
        <f t="shared" si="6"/>
        <v>Muy Baja</v>
      </c>
      <c r="AB14" s="129">
        <f t="shared" si="7"/>
        <v>6.3504000000000005E-2</v>
      </c>
      <c r="AC14" s="128" t="str">
        <f t="shared" ca="1" si="8"/>
        <v>Mayor</v>
      </c>
      <c r="AD14" s="135">
        <f t="shared" ca="1" si="9"/>
        <v>0.8</v>
      </c>
      <c r="AE14" s="130" t="str">
        <f t="shared" ca="1" si="10"/>
        <v>Alto</v>
      </c>
      <c r="AF14" s="206"/>
      <c r="AG14" s="274"/>
      <c r="AH14" s="274"/>
      <c r="AI14" s="277"/>
      <c r="AJ14" s="131"/>
      <c r="AK14" s="112"/>
      <c r="AL14" s="132"/>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row>
    <row r="15" spans="1:70" ht="71.25" customHeight="1" x14ac:dyDescent="0.3">
      <c r="A15" s="217">
        <v>2</v>
      </c>
      <c r="B15" s="219" t="s">
        <v>128</v>
      </c>
      <c r="C15" s="219" t="s">
        <v>221</v>
      </c>
      <c r="D15" s="221" t="s">
        <v>263</v>
      </c>
      <c r="E15" s="122" t="s">
        <v>257</v>
      </c>
      <c r="F15" s="223" t="s">
        <v>260</v>
      </c>
      <c r="G15" s="268" t="s">
        <v>262</v>
      </c>
      <c r="H15" s="224" t="s">
        <v>118</v>
      </c>
      <c r="I15" s="226">
        <v>720</v>
      </c>
      <c r="J15" s="228" t="str">
        <f>IF(I15&lt;=0,"",IF(I15&lt;=2,"Muy Baja",IF(I15&lt;=24,"Baja",IF(I15&lt;=500,"Media",IF(I15&lt;=5000,"Alta","Muy Alta")))))</f>
        <v>Alta</v>
      </c>
      <c r="K15" s="230">
        <f>IF(J15="","",IF(J15="Muy Baja",0.2,IF(J15="Baja",0.4,IF(J15="Media",0.6,IF(J15="Alta",0.8,IF(J15="Muy Alta",1,))))))</f>
        <v>0.8</v>
      </c>
      <c r="L15" s="232" t="s">
        <v>145</v>
      </c>
      <c r="M15" s="230" t="str">
        <f ca="1">IF(NOT(ISERROR(MATCH(L15,'Tabla Impacto'!$B$221:$B$223,0))),'Tabla Impacto'!$F$223&amp;"Por favor no seleccionar los criterios de impacto(Afectación Económica o presupuestal y Pérdida Reputacional)",L15)</f>
        <v xml:space="preserve">     El riesgo afecta la imagen de de la entidad con efecto publicitario sostenido a nivel de sector administrativo, nivel departamental o municipal</v>
      </c>
      <c r="N15" s="228" t="str">
        <f ca="1">IF(OR(M15='Tabla Impacto'!$C$11,M15='Tabla Impacto'!$D$11),"Leve",IF(OR(M15='Tabla Impacto'!$C$12,M15='Tabla Impacto'!$D$12),"Menor",IF(OR(M15='Tabla Impacto'!$C$13,M15='Tabla Impacto'!$D$13),"Moderado",IF(OR(M15='Tabla Impacto'!$C$14,M15='Tabla Impacto'!$D$14),"Mayor",IF(OR(M15='Tabla Impacto'!$C$15,M15='Tabla Impacto'!$D$15),"Catastrófico","")))))</f>
        <v>Mayor</v>
      </c>
      <c r="O15" s="230">
        <f ca="1">IF(N15="","",IF(N15="Leve",0.2,IF(N15="Menor",0.4,IF(N15="Moderado",0.6,IF(N15="Mayor",0.8,IF(N15="Catastrófico",1,))))))</f>
        <v>0.8</v>
      </c>
      <c r="P15" s="270" t="str">
        <f ca="1">IF(OR(AND(J15="Muy Baja",N15="Leve"),AND(J15="Muy Baja",N15="Menor"),AND(J15="Baja",N15="Leve")),"Bajo",IF(OR(AND(J15="Muy baja",N15="Moderado"),AND(J15="Baja",N15="Menor"),AND(J15="Baja",N15="Moderado"),AND(J15="Media",N15="Leve"),AND(J15="Media",N15="Menor"),AND(J15="Media",N15="Moderado"),AND(J15="Alta",N15="Leve"),AND(J15="Alta",N15="Menor")),"Moderado",IF(OR(AND(J15="Muy Baja",N15="Mayor"),AND(J15="Baja",N15="Mayor"),AND(J15="Media",N15="Mayor"),AND(J15="Alta",N15="Moderado"),AND(J15="Alta",N15="Mayor"),AND(J15="Muy Alta",N15="Leve"),AND(J15="Muy Alta",N15="Menor"),AND(J15="Muy Alta",N15="Moderado"),AND(J15="Muy Alta",N15="Mayor")),"Alto",IF(OR(AND(J15="Muy Baja",N15="Catastrófico"),AND(J15="Baja",N15="Catastrófico"),AND(J15="Media",N15="Catastrófico"),AND(J15="Alta",N15="Catastrófico"),AND(J15="Muy Alta",N15="Catastrófico")),"Extremo",""))))</f>
        <v>Alto</v>
      </c>
      <c r="Q15" s="123">
        <v>1</v>
      </c>
      <c r="R15" s="111" t="s">
        <v>264</v>
      </c>
      <c r="S15" s="124" t="str">
        <f>IF(OR(T15="Preventivo",T15="Detectivo"),"Probabilidad",IF(T15="Correctivo","Impacto",""))</f>
        <v>Probabilidad</v>
      </c>
      <c r="T15" s="125" t="s">
        <v>14</v>
      </c>
      <c r="U15" s="125" t="s">
        <v>9</v>
      </c>
      <c r="V15" s="126" t="str">
        <f>IF(AND(T15="Preventivo",U15="Automático"),"50%",IF(AND(T15="Preventivo",U15="Manual"),"40%",IF(AND(T15="Detectivo",U15="Automático"),"40%",IF(AND(T15="Detectivo",U15="Manual"),"30%",IF(AND(T15="Correctivo",U15="Automático"),"35%",IF(AND(T15="Correctivo",U15="Manual"),"25%",""))))))</f>
        <v>40%</v>
      </c>
      <c r="W15" s="125" t="s">
        <v>20</v>
      </c>
      <c r="X15" s="125" t="s">
        <v>22</v>
      </c>
      <c r="Y15" s="125" t="s">
        <v>114</v>
      </c>
      <c r="Z15" s="140">
        <f>IFERROR(IF(S15="Probabilidad",(K15-(+K15*V15)),IF(S15="Impacto",K15,"")),"")</f>
        <v>0.48</v>
      </c>
      <c r="AA15" s="141" t="str">
        <f>IFERROR(IF(Z15="","",IF(Z15&lt;=0.2,"Muy Baja",IF(Z15&lt;=0.4,"Baja",IF(Z15&lt;=0.6,"Media",IF(Z15&lt;=0.8,"Alta","Muy Alta"))))),"")</f>
        <v>Media</v>
      </c>
      <c r="AB15" s="142">
        <f t="shared" ref="AB15:AB20" si="12">+Z15</f>
        <v>0.48</v>
      </c>
      <c r="AC15" s="141" t="str">
        <f ca="1">IFERROR(IF(AD15="","",IF(AD15&lt;=0.2,"Leve",IF(AD15&lt;=0.4,"Menor",IF(AD15&lt;=0.6,"Moderado",IF(AD15&lt;=0.8,"Mayor","Catastrófico"))))),"")</f>
        <v>Mayor</v>
      </c>
      <c r="AD15" s="142">
        <f ca="1">IFERROR(IF(S15="Impacto",(O15-(+O15*V15)),IF(S15="Probabilidad",O15,"")),"")</f>
        <v>0.8</v>
      </c>
      <c r="AE15" s="143" t="str">
        <f ca="1">IFERROR(IF(OR(AND(AA15="Muy Baja",AC15="Leve"),AND(AA15="Muy Baja",AC15="Menor"),AND(AA15="Baja",AC15="Leve")),"Bajo",IF(OR(AND(AA15="Muy baja",AC15="Moderado"),AND(AA15="Baja",AC15="Menor"),AND(AA15="Baja",AC15="Moderado"),AND(AA15="Media",AC15="Leve"),AND(AA15="Media",AC15="Menor"),AND(AA15="Media",AC15="Moderado"),AND(AA15="Alta",AC15="Leve"),AND(AA15="Alta",AC15="Menor")),"Moderado",IF(OR(AND(AA15="Muy Baja",AC15="Mayor"),AND(AA15="Baja",AC15="Mayor"),AND(AA15="Media",AC15="Mayor"),AND(AA15="Alta",AC15="Moderado"),AND(AA15="Alta",AC15="Mayor"),AND(AA15="Muy Alta",AC15="Leve"),AND(AA15="Muy Alta",AC15="Menor"),AND(AA15="Muy Alta",AC15="Moderado"),AND(AA15="Muy Alta",AC15="Mayor")),"Alto",IF(OR(AND(AA15="Muy Baja",AC15="Catastrófico"),AND(AA15="Baja",AC15="Catastrófico"),AND(AA15="Media",AC15="Catastrófico"),AND(AA15="Alta",AC15="Catastrófico"),AND(AA15="Muy Alta",AC15="Catastrófico")),"Extremo","")))),"")</f>
        <v>Alto</v>
      </c>
      <c r="AF15" s="204" t="s">
        <v>130</v>
      </c>
      <c r="AG15" s="219" t="s">
        <v>270</v>
      </c>
      <c r="AH15" s="219" t="s">
        <v>271</v>
      </c>
      <c r="AI15" s="275" t="s">
        <v>259</v>
      </c>
      <c r="AJ15" s="131"/>
      <c r="AK15" s="112"/>
      <c r="AL15" s="132"/>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row>
    <row r="16" spans="1:70" ht="85.8" customHeight="1" x14ac:dyDescent="0.3">
      <c r="A16" s="218"/>
      <c r="B16" s="220"/>
      <c r="C16" s="220"/>
      <c r="D16" s="222"/>
      <c r="E16" s="122" t="s">
        <v>265</v>
      </c>
      <c r="F16" s="223"/>
      <c r="G16" s="269"/>
      <c r="H16" s="225"/>
      <c r="I16" s="227"/>
      <c r="J16" s="229"/>
      <c r="K16" s="231"/>
      <c r="L16" s="233"/>
      <c r="M16" s="231">
        <f ca="1">IF(NOT(ISERROR(MATCH(L16,_xlfn.ANCHORARRAY(F15),0))),K21&amp;"Por favor no seleccionar los criterios de impacto",L16)</f>
        <v>0</v>
      </c>
      <c r="N16" s="229"/>
      <c r="O16" s="231"/>
      <c r="P16" s="271"/>
      <c r="Q16" s="123">
        <v>2</v>
      </c>
      <c r="R16" s="111" t="s">
        <v>266</v>
      </c>
      <c r="S16" s="124" t="str">
        <f>IF(OR(T16="Preventivo",T16="Detectivo"),"Probabilidad",IF(T16="Correctivo","Impacto",""))</f>
        <v>Probabilidad</v>
      </c>
      <c r="T16" s="125" t="s">
        <v>14</v>
      </c>
      <c r="U16" s="125" t="s">
        <v>9</v>
      </c>
      <c r="V16" s="126" t="str">
        <f t="shared" ref="V16" si="13">IF(AND(T16="Preventivo",U16="Automático"),"50%",IF(AND(T16="Preventivo",U16="Manual"),"40%",IF(AND(T16="Detectivo",U16="Automático"),"40%",IF(AND(T16="Detectivo",U16="Manual"),"30%",IF(AND(T16="Correctivo",U16="Automático"),"35%",IF(AND(T16="Correctivo",U16="Manual"),"25%",""))))))</f>
        <v>40%</v>
      </c>
      <c r="W16" s="125" t="s">
        <v>20</v>
      </c>
      <c r="X16" s="125" t="s">
        <v>23</v>
      </c>
      <c r="Y16" s="125" t="s">
        <v>114</v>
      </c>
      <c r="Z16" s="140">
        <f>IFERROR(IF(AND(S15="Probabilidad",S16="Probabilidad"),(AB15-(+AB15*V16)),IF(AND(S15="Impacto",S16="Probabilidad"),(K15-(+K15*V16)),IF(S16="Impacto",AB15,""))),"")</f>
        <v>0.28799999999999998</v>
      </c>
      <c r="AA16" s="141" t="str">
        <f t="shared" ref="AA16" si="14">IFERROR(IF(Z16="","",IF(Z16&lt;=0.2,"Muy Baja",IF(Z16&lt;=0.4,"Baja",IF(Z16&lt;=0.6,"Media",IF(Z16&lt;=0.8,"Alta","Muy Alta"))))),"")</f>
        <v>Baja</v>
      </c>
      <c r="AB16" s="142">
        <f t="shared" si="12"/>
        <v>0.28799999999999998</v>
      </c>
      <c r="AC16" s="141" t="str">
        <f t="shared" ref="AC16" ca="1" si="15">IFERROR(IF(AD16="","",IF(AD16&lt;=0.2,"Leve",IF(AD16&lt;=0.4,"Menor",IF(AD16&lt;=0.6,"Moderado",IF(AD16&lt;=0.8,"Mayor","Catastrófico"))))),"")</f>
        <v>Mayor</v>
      </c>
      <c r="AD16" s="146">
        <f ca="1">IFERROR(IF(AND(S15="Impacto",S16="Impacto"),(AD15-(+AD15*V16)),IF(AND(S15="Probabilidad",S16="Impacto"),(O15-(+O15*V16)),IF(S16="Probabilidad",AD15,""))),"")</f>
        <v>0.8</v>
      </c>
      <c r="AE16" s="143" t="str">
        <f t="shared" ref="AE16" ca="1" si="16">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Alto</v>
      </c>
      <c r="AF16" s="205"/>
      <c r="AG16" s="220"/>
      <c r="AH16" s="220"/>
      <c r="AI16" s="276"/>
      <c r="AJ16" s="131"/>
      <c r="AK16" s="112"/>
      <c r="AL16" s="132"/>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row>
    <row r="17" spans="1:70" ht="69.599999999999994" customHeight="1" x14ac:dyDescent="0.3">
      <c r="A17" s="218"/>
      <c r="B17" s="220"/>
      <c r="C17" s="220"/>
      <c r="D17" s="222"/>
      <c r="E17" s="122" t="s">
        <v>267</v>
      </c>
      <c r="F17" s="223"/>
      <c r="G17" s="269"/>
      <c r="H17" s="225"/>
      <c r="I17" s="227"/>
      <c r="J17" s="229"/>
      <c r="K17" s="231"/>
      <c r="L17" s="233"/>
      <c r="M17" s="231"/>
      <c r="N17" s="229"/>
      <c r="O17" s="231"/>
      <c r="P17" s="271"/>
      <c r="Q17" s="123">
        <v>3</v>
      </c>
      <c r="R17" s="136" t="s">
        <v>268</v>
      </c>
      <c r="S17" s="124" t="str">
        <f t="shared" ref="S17:S18" si="17">IF(OR(T17="Preventivo",T17="Detectivo"),"Probabilidad",IF(T17="Correctivo","Impacto",""))</f>
        <v>Probabilidad</v>
      </c>
      <c r="T17" s="125" t="s">
        <v>15</v>
      </c>
      <c r="U17" s="125" t="s">
        <v>10</v>
      </c>
      <c r="V17" s="126" t="str">
        <f t="shared" ref="V17:V18" si="18">IF(AND(T17="Preventivo",U17="Automático"),"50%",IF(AND(T17="Preventivo",U17="Manual"),"40%",IF(AND(T17="Detectivo",U17="Automático"),"40%",IF(AND(T17="Detectivo",U17="Manual"),"30%",IF(AND(T17="Correctivo",U17="Automático"),"35%",IF(AND(T17="Correctivo",U17="Manual"),"25%",""))))))</f>
        <v>40%</v>
      </c>
      <c r="W17" s="125" t="s">
        <v>19</v>
      </c>
      <c r="X17" s="125" t="s">
        <v>22</v>
      </c>
      <c r="Y17" s="125" t="s">
        <v>114</v>
      </c>
      <c r="Z17" s="140">
        <f>IFERROR(IF(AND(S16="Probabilidad",S17="Probabilidad"),(AB16-(+AB16*V17)),IF(AND(S16="Impacto",S17="Probabilidad"),(K16-(+K16*V17)),IF(S17="Impacto",AB16,""))),"")</f>
        <v>0.17279999999999998</v>
      </c>
      <c r="AA17" s="141" t="str">
        <f t="shared" ref="AA17" si="19">IFERROR(IF(Z17="","",IF(Z17&lt;=0.2,"Muy Baja",IF(Z17&lt;=0.4,"Baja",IF(Z17&lt;=0.6,"Media",IF(Z17&lt;=0.8,"Alta","Muy Alta"))))),"")</f>
        <v>Muy Baja</v>
      </c>
      <c r="AB17" s="142">
        <f t="shared" si="12"/>
        <v>0.17279999999999998</v>
      </c>
      <c r="AC17" s="141" t="str">
        <f t="shared" ref="AC17" ca="1" si="20">IFERROR(IF(AD17="","",IF(AD17&lt;=0.2,"Leve",IF(AD17&lt;=0.4,"Menor",IF(AD17&lt;=0.6,"Moderado",IF(AD17&lt;=0.8,"Mayor","Catastrófico"))))),"")</f>
        <v>Mayor</v>
      </c>
      <c r="AD17" s="146">
        <f ca="1">IFERROR(IF(AND(S16="Impacto",S17="Impacto"),(AD16-(+AD16*V17)),IF(AND(S16="Probabilidad",S17="Impacto"),(O16-(+O16*V17)),IF(S17="Probabilidad",AD16,""))),"")</f>
        <v>0.8</v>
      </c>
      <c r="AE17" s="143" t="str">
        <f t="shared" ref="AE17" ca="1" si="21">IFERROR(IF(OR(AND(AA17="Muy Baja",AC17="Leve"),AND(AA17="Muy Baja",AC17="Menor"),AND(AA17="Baja",AC17="Leve")),"Bajo",IF(OR(AND(AA17="Muy baja",AC17="Moderado"),AND(AA17="Baja",AC17="Menor"),AND(AA17="Baja",AC17="Moderado"),AND(AA17="Media",AC17="Leve"),AND(AA17="Media",AC17="Menor"),AND(AA17="Media",AC17="Moderado"),AND(AA17="Alta",AC17="Leve"),AND(AA17="Alta",AC17="Menor")),"Moderado",IF(OR(AND(AA17="Muy Baja",AC17="Mayor"),AND(AA17="Baja",AC17="Mayor"),AND(AA17="Media",AC17="Mayor"),AND(AA17="Alta",AC17="Moderado"),AND(AA17="Alta",AC17="Mayor"),AND(AA17="Muy Alta",AC17="Leve"),AND(AA17="Muy Alta",AC17="Menor"),AND(AA17="Muy Alta",AC17="Moderado"),AND(AA17="Muy Alta",AC17="Mayor")),"Alto",IF(OR(AND(AA17="Muy Baja",AC17="Catastrófico"),AND(AA17="Baja",AC17="Catastrófico"),AND(AA17="Media",AC17="Catastrófico"),AND(AA17="Alta",AC17="Catastrófico"),AND(AA17="Muy Alta",AC17="Catastrófico")),"Extremo","")))),"")</f>
        <v>Alto</v>
      </c>
      <c r="AF17" s="205"/>
      <c r="AG17" s="220"/>
      <c r="AH17" s="220"/>
      <c r="AI17" s="276"/>
      <c r="AJ17" s="131"/>
      <c r="AK17" s="112"/>
      <c r="AL17" s="132"/>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row>
    <row r="18" spans="1:70" ht="69.599999999999994" customHeight="1" x14ac:dyDescent="0.3">
      <c r="A18" s="218"/>
      <c r="B18" s="220"/>
      <c r="C18" s="220"/>
      <c r="D18" s="222"/>
      <c r="E18" s="122" t="s">
        <v>261</v>
      </c>
      <c r="F18" s="223"/>
      <c r="G18" s="269"/>
      <c r="H18" s="225"/>
      <c r="I18" s="227"/>
      <c r="J18" s="229"/>
      <c r="K18" s="231"/>
      <c r="L18" s="233"/>
      <c r="M18" s="231"/>
      <c r="N18" s="229"/>
      <c r="O18" s="231"/>
      <c r="P18" s="271"/>
      <c r="Q18" s="123">
        <v>4</v>
      </c>
      <c r="R18" s="136" t="s">
        <v>269</v>
      </c>
      <c r="S18" s="124" t="str">
        <f t="shared" si="17"/>
        <v>Probabilidad</v>
      </c>
      <c r="T18" s="125" t="s">
        <v>14</v>
      </c>
      <c r="U18" s="125" t="s">
        <v>9</v>
      </c>
      <c r="V18" s="126" t="str">
        <f t="shared" si="18"/>
        <v>40%</v>
      </c>
      <c r="W18" s="125" t="s">
        <v>20</v>
      </c>
      <c r="X18" s="125" t="s">
        <v>23</v>
      </c>
      <c r="Y18" s="125" t="s">
        <v>114</v>
      </c>
      <c r="Z18" s="140">
        <f>IFERROR(IF(AND(S17="Probabilidad",S18="Probabilidad"),(AB17-(+AB17*V18)),IF(AND(S17="Impacto",S18="Probabilidad"),(K17-(+K17*V18)),IF(S18="Impacto",AB17,""))),"")</f>
        <v>0.10367999999999998</v>
      </c>
      <c r="AA18" s="141" t="str">
        <f t="shared" ref="AA18" si="22">IFERROR(IF(Z18="","",IF(Z18&lt;=0.2,"Muy Baja",IF(Z18&lt;=0.4,"Baja",IF(Z18&lt;=0.6,"Media",IF(Z18&lt;=0.8,"Alta","Muy Alta"))))),"")</f>
        <v>Muy Baja</v>
      </c>
      <c r="AB18" s="142">
        <f t="shared" si="12"/>
        <v>0.10367999999999998</v>
      </c>
      <c r="AC18" s="141" t="str">
        <f t="shared" ref="AC18" ca="1" si="23">IFERROR(IF(AD18="","",IF(AD18&lt;=0.2,"Leve",IF(AD18&lt;=0.4,"Menor",IF(AD18&lt;=0.6,"Moderado",IF(AD18&lt;=0.8,"Mayor","Catastrófico"))))),"")</f>
        <v>Mayor</v>
      </c>
      <c r="AD18" s="146">
        <f ca="1">IFERROR(IF(AND(S17="Impacto",S18="Impacto"),(AD17-(+AD17*V18)),IF(AND(S17="Probabilidad",S18="Impacto"),(O17-(+O17*V18)),IF(S18="Probabilidad",AD17,""))),"")</f>
        <v>0.8</v>
      </c>
      <c r="AE18" s="143" t="str">
        <f t="shared" ref="AE18" ca="1" si="24">IFERROR(IF(OR(AND(AA18="Muy Baja",AC18="Leve"),AND(AA18="Muy Baja",AC18="Menor"),AND(AA18="Baja",AC18="Leve")),"Bajo",IF(OR(AND(AA18="Muy baja",AC18="Moderado"),AND(AA18="Baja",AC18="Menor"),AND(AA18="Baja",AC18="Moderado"),AND(AA18="Media",AC18="Leve"),AND(AA18="Media",AC18="Menor"),AND(AA18="Media",AC18="Moderado"),AND(AA18="Alta",AC18="Leve"),AND(AA18="Alta",AC18="Menor")),"Moderado",IF(OR(AND(AA18="Muy Baja",AC18="Mayor"),AND(AA18="Baja",AC18="Mayor"),AND(AA18="Media",AC18="Mayor"),AND(AA18="Alta",AC18="Moderado"),AND(AA18="Alta",AC18="Mayor"),AND(AA18="Muy Alta",AC18="Leve"),AND(AA18="Muy Alta",AC18="Menor"),AND(AA18="Muy Alta",AC18="Moderado"),AND(AA18="Muy Alta",AC18="Mayor")),"Alto",IF(OR(AND(AA18="Muy Baja",AC18="Catastrófico"),AND(AA18="Baja",AC18="Catastrófico"),AND(AA18="Media",AC18="Catastrófico"),AND(AA18="Alta",AC18="Catastrófico"),AND(AA18="Muy Alta",AC18="Catastrófico")),"Extremo","")))),"")</f>
        <v>Alto</v>
      </c>
      <c r="AF18" s="205"/>
      <c r="AG18" s="220"/>
      <c r="AH18" s="220"/>
      <c r="AI18" s="276"/>
      <c r="AJ18" s="131"/>
      <c r="AK18" s="112"/>
      <c r="AL18" s="132"/>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row>
    <row r="19" spans="1:70" ht="82.8" x14ac:dyDescent="0.3">
      <c r="A19" s="217">
        <v>3</v>
      </c>
      <c r="B19" s="219" t="s">
        <v>126</v>
      </c>
      <c r="C19" s="219" t="s">
        <v>221</v>
      </c>
      <c r="D19" s="221" t="s">
        <v>222</v>
      </c>
      <c r="E19" s="122" t="s">
        <v>223</v>
      </c>
      <c r="F19" s="266" t="s">
        <v>226</v>
      </c>
      <c r="G19" s="268" t="s">
        <v>225</v>
      </c>
      <c r="H19" s="224" t="s">
        <v>118</v>
      </c>
      <c r="I19" s="226">
        <f>360*114</f>
        <v>41040</v>
      </c>
      <c r="J19" s="228" t="str">
        <f t="shared" ref="J19" si="25">IF(I19&lt;=0,"",IF(I19&lt;=2,"Muy Baja",IF(I19&lt;=24,"Baja",IF(I19&lt;=500,"Media",IF(I19&lt;=5000,"Alta","Muy Alta")))))</f>
        <v>Muy Alta</v>
      </c>
      <c r="K19" s="230">
        <f t="shared" ref="K19" si="26">IF(J19="","",IF(J19="Muy Baja",0.2,IF(J19="Baja",0.4,IF(J19="Media",0.6,IF(J19="Alta",0.8,IF(J19="Muy Alta",1,))))))</f>
        <v>1</v>
      </c>
      <c r="L19" s="232" t="s">
        <v>146</v>
      </c>
      <c r="M19" s="234" t="str">
        <f ca="1">IF(NOT(ISERROR(MATCH(L19,'Tabla Impacto'!$B$221:$B$223,0))),'Tabla Impacto'!$F$223&amp;"Por favor no seleccionar los criterios de impacto(Afectación Económica o presupuestal y Pérdida Reputacional)",L19)</f>
        <v xml:space="preserve">     El riesgo afecta la imagen de la entidad a nivel nacional, con efecto publicitarios sostenible a nivel país</v>
      </c>
      <c r="N19" s="236" t="str">
        <f ca="1">IF(OR(M19='Tabla Impacto'!$C$11,M19='Tabla Impacto'!$D$11),"Leve",IF(OR(M19='Tabla Impacto'!$C$12,M19='Tabla Impacto'!$D$12),"Menor",IF(OR(M19='Tabla Impacto'!$C$13,M19='Tabla Impacto'!$D$13),"Moderado",IF(OR(M19='Tabla Impacto'!$C$14,M19='Tabla Impacto'!$D$14),"Mayor",IF(OR(M19='Tabla Impacto'!$C$15,M19='Tabla Impacto'!$D$15),"Catastrófico","")))))</f>
        <v>Catastrófico</v>
      </c>
      <c r="O19" s="234">
        <f t="shared" ref="O19" ca="1" si="27">IF(N19="","",IF(N19="Leve",0.2,IF(N19="Menor",0.4,IF(N19="Moderado",0.6,IF(N19="Mayor",0.8,IF(N19="Catastrófico",1,))))))</f>
        <v>1</v>
      </c>
      <c r="P19" s="242" t="str">
        <f t="shared" ref="P19" ca="1" si="28">IF(OR(AND(J19="Muy Baja",N19="Leve"),AND(J19="Muy Baja",N19="Menor"),AND(J19="Baja",N19="Leve")),"Bajo",IF(OR(AND(J19="Muy baja",N19="Moderado"),AND(J19="Baja",N19="Menor"),AND(J19="Baja",N19="Moderado"),AND(J19="Media",N19="Leve"),AND(J19="Media",N19="Menor"),AND(J19="Media",N19="Moderado"),AND(J19="Alta",N19="Leve"),AND(J19="Alta",N19="Menor")),"Moderado",IF(OR(AND(J19="Muy Baja",N19="Mayor"),AND(J19="Baja",N19="Mayor"),AND(J19="Media",N19="Mayor"),AND(J19="Alta",N19="Moderado"),AND(J19="Alta",N19="Mayor"),AND(J19="Muy Alta",N19="Leve"),AND(J19="Muy Alta",N19="Menor"),AND(J19="Muy Alta",N19="Moderado"),AND(J19="Muy Alta",N19="Mayor")),"Alto",IF(OR(AND(J19="Muy Baja",N19="Catastrófico"),AND(J19="Baja",N19="Catastrófico"),AND(J19="Media",N19="Catastrófico"),AND(J19="Alta",N19="Catastrófico"),AND(J19="Muy Alta",N19="Catastrófico")),"Extremo",""))))</f>
        <v>Extremo</v>
      </c>
      <c r="Q19" s="137">
        <v>1</v>
      </c>
      <c r="R19" s="111" t="s">
        <v>227</v>
      </c>
      <c r="S19" s="148" t="str">
        <f>IF(OR(T19="Preventivo",T19="Detectivo"),"Probabilidad",IF(T19="Correctivo","Impacto",""))</f>
        <v>Probabilidad</v>
      </c>
      <c r="T19" s="149" t="s">
        <v>14</v>
      </c>
      <c r="U19" s="149" t="s">
        <v>9</v>
      </c>
      <c r="V19" s="126" t="str">
        <f>IF(AND(T19="Preventivo",U19="Automático"),"50%",IF(AND(T19="Preventivo",U19="Manual"),"40%",IF(AND(T19="Detectivo",U19="Automático"),"40%",IF(AND(T19="Detectivo",U19="Manual"),"30%",IF(AND(T19="Correctivo",U19="Automático"),"35%",IF(AND(T19="Correctivo",U19="Manual"),"25%",""))))))</f>
        <v>40%</v>
      </c>
      <c r="W19" s="149" t="s">
        <v>19</v>
      </c>
      <c r="X19" s="149" t="s">
        <v>23</v>
      </c>
      <c r="Y19" s="149" t="s">
        <v>114</v>
      </c>
      <c r="Z19" s="140">
        <f>IFERROR(IF(S19="Probabilidad",(K19-(+K19*V19)),IF(S19="Impacto",K19,"")),"")</f>
        <v>0.6</v>
      </c>
      <c r="AA19" s="141" t="str">
        <f>IFERROR(IF(Z19="","",IF(Z19&lt;=0.2,"Muy Baja",IF(Z19&lt;=0.4,"Baja",IF(Z19&lt;=0.6,"Media",IF(Z19&lt;=0.8,"Alta","Muy Alta"))))),"")</f>
        <v>Media</v>
      </c>
      <c r="AB19" s="142">
        <f t="shared" si="12"/>
        <v>0.6</v>
      </c>
      <c r="AC19" s="141" t="str">
        <f ca="1">IFERROR(IF(AD19="","",IF(AD19&lt;=0.2,"Leve",IF(AD19&lt;=0.4,"Menor",IF(AD19&lt;=0.6,"Moderado",IF(AD19&lt;=0.8,"Mayor","Catastrófico"))))),"")</f>
        <v>Catastrófico</v>
      </c>
      <c r="AD19" s="142">
        <f ca="1">IFERROR(IF(S19="Impacto",(O19-(+O19*V19)),IF(S19="Probabilidad",O19,"")),"")</f>
        <v>1</v>
      </c>
      <c r="AE19" s="143" t="str">
        <f ca="1">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Extremo</v>
      </c>
      <c r="AF19" s="204" t="s">
        <v>130</v>
      </c>
      <c r="AG19" s="93" t="s">
        <v>245</v>
      </c>
      <c r="AH19" s="150" t="s">
        <v>246</v>
      </c>
      <c r="AI19" s="151" t="s">
        <v>247</v>
      </c>
      <c r="AJ19" s="131"/>
      <c r="AK19" s="112"/>
      <c r="AL19" s="132"/>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row>
    <row r="20" spans="1:70" ht="82.8" x14ac:dyDescent="0.3">
      <c r="A20" s="218"/>
      <c r="B20" s="220"/>
      <c r="C20" s="220"/>
      <c r="D20" s="222"/>
      <c r="E20" s="122" t="s">
        <v>224</v>
      </c>
      <c r="F20" s="267"/>
      <c r="G20" s="269"/>
      <c r="H20" s="225"/>
      <c r="I20" s="227"/>
      <c r="J20" s="229"/>
      <c r="K20" s="231"/>
      <c r="L20" s="233"/>
      <c r="M20" s="235">
        <f ca="1">IF(NOT(ISERROR(MATCH(L20,_xlfn.ANCHORARRAY(F29),0))),K31&amp;"Por favor no seleccionar los criterios de impacto",L20)</f>
        <v>0</v>
      </c>
      <c r="N20" s="237"/>
      <c r="O20" s="235"/>
      <c r="P20" s="243"/>
      <c r="Q20" s="137">
        <v>2</v>
      </c>
      <c r="R20" s="111" t="s">
        <v>228</v>
      </c>
      <c r="S20" s="148" t="str">
        <f>IF(OR(T20="Preventivo",T20="Detectivo"),"Probabilidad",IF(T20="Correctivo","Impacto",""))</f>
        <v>Probabilidad</v>
      </c>
      <c r="T20" s="149" t="s">
        <v>14</v>
      </c>
      <c r="U20" s="149" t="s">
        <v>9</v>
      </c>
      <c r="V20" s="126" t="str">
        <f t="shared" ref="V20:V22" si="29">IF(AND(T20="Preventivo",U20="Automático"),"50%",IF(AND(T20="Preventivo",U20="Manual"),"40%",IF(AND(T20="Detectivo",U20="Automático"),"40%",IF(AND(T20="Detectivo",U20="Manual"),"30%",IF(AND(T20="Correctivo",U20="Automático"),"35%",IF(AND(T20="Correctivo",U20="Manual"),"25%",""))))))</f>
        <v>40%</v>
      </c>
      <c r="W20" s="149" t="s">
        <v>19</v>
      </c>
      <c r="X20" s="149" t="s">
        <v>22</v>
      </c>
      <c r="Y20" s="149" t="s">
        <v>114</v>
      </c>
      <c r="Z20" s="140">
        <f>IFERROR(IF(AND(S19="Probabilidad",S20="Probabilidad"),(AB19-(+AB19*V20)),IF(AND(S19="Impacto",S20="Probabilidad"),(K19-(+K19*V20)),IF(S20="Impacto",AB19,""))),"")</f>
        <v>0.36</v>
      </c>
      <c r="AA20" s="141" t="str">
        <f t="shared" ref="AA20:AA22" si="30">IFERROR(IF(Z20="","",IF(Z20&lt;=0.2,"Muy Baja",IF(Z20&lt;=0.4,"Baja",IF(Z20&lt;=0.6,"Media",IF(Z20&lt;=0.8,"Alta","Muy Alta"))))),"")</f>
        <v>Baja</v>
      </c>
      <c r="AB20" s="142">
        <f t="shared" si="12"/>
        <v>0.36</v>
      </c>
      <c r="AC20" s="141" t="str">
        <f t="shared" ref="AC20:AC22" ca="1" si="31">IFERROR(IF(AD20="","",IF(AD20&lt;=0.2,"Leve",IF(AD20&lt;=0.4,"Menor",IF(AD20&lt;=0.6,"Moderado",IF(AD20&lt;=0.8,"Mayor","Catastrófico"))))),"")</f>
        <v>Catastrófico</v>
      </c>
      <c r="AD20" s="146">
        <f ca="1">IFERROR(IF(AND(S19="Impacto",S20="Impacto"),(AD19-(+AD19*V20)),IF(AND(S19="Probabilidad",S20="Impacto"),(O19-(+O19*V20)),IF(S20="Probabilidad",AD19,""))),"")</f>
        <v>1</v>
      </c>
      <c r="AE20" s="143" t="str">
        <f t="shared" ref="AE20:AE22" ca="1" si="32">IFERROR(IF(OR(AND(AA20="Muy Baja",AC20="Leve"),AND(AA20="Muy Baja",AC20="Menor"),AND(AA20="Baja",AC20="Leve")),"Bajo",IF(OR(AND(AA20="Muy baja",AC20="Moderado"),AND(AA20="Baja",AC20="Menor"),AND(AA20="Baja",AC20="Moderado"),AND(AA20="Media",AC20="Leve"),AND(AA20="Media",AC20="Menor"),AND(AA20="Media",AC20="Moderado"),AND(AA20="Alta",AC20="Leve"),AND(AA20="Alta",AC20="Menor")),"Moderado",IF(OR(AND(AA20="Muy Baja",AC20="Mayor"),AND(AA20="Baja",AC20="Mayor"),AND(AA20="Media",AC20="Mayor"),AND(AA20="Alta",AC20="Moderado"),AND(AA20="Alta",AC20="Mayor"),AND(AA20="Muy Alta",AC20="Leve"),AND(AA20="Muy Alta",AC20="Menor"),AND(AA20="Muy Alta",AC20="Moderado"),AND(AA20="Muy Alta",AC20="Mayor")),"Alto",IF(OR(AND(AA20="Muy Baja",AC20="Catastrófico"),AND(AA20="Baja",AC20="Catastrófico"),AND(AA20="Media",AC20="Catastrófico"),AND(AA20="Alta",AC20="Catastrófico"),AND(AA20="Muy Alta",AC20="Catastrófico")),"Extremo","")))),"")</f>
        <v>Extremo</v>
      </c>
      <c r="AF20" s="205"/>
      <c r="AG20" s="111" t="s">
        <v>248</v>
      </c>
      <c r="AH20" s="111" t="s">
        <v>249</v>
      </c>
      <c r="AI20" s="152" t="s">
        <v>250</v>
      </c>
      <c r="AJ20" s="131"/>
      <c r="AK20" s="112"/>
      <c r="AL20" s="132"/>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row>
    <row r="21" spans="1:70" ht="57" x14ac:dyDescent="0.3">
      <c r="A21" s="218"/>
      <c r="B21" s="220"/>
      <c r="C21" s="220"/>
      <c r="D21" s="222"/>
      <c r="E21" s="122" t="s">
        <v>229</v>
      </c>
      <c r="F21" s="267"/>
      <c r="G21" s="269"/>
      <c r="H21" s="225"/>
      <c r="I21" s="227"/>
      <c r="J21" s="229"/>
      <c r="K21" s="231"/>
      <c r="L21" s="233"/>
      <c r="M21" s="235">
        <f ca="1">IF(NOT(ISERROR(MATCH(L21,_xlfn.ANCHORARRAY(F30),0))),K32&amp;"Por favor no seleccionar los criterios de impacto",L21)</f>
        <v>0</v>
      </c>
      <c r="N21" s="237"/>
      <c r="O21" s="235"/>
      <c r="P21" s="243"/>
      <c r="Q21" s="137">
        <v>3</v>
      </c>
      <c r="R21" s="111" t="s">
        <v>230</v>
      </c>
      <c r="S21" s="148" t="str">
        <f t="shared" ref="S21:S22" si="33">IF(OR(T21="Preventivo",T21="Detectivo"),"Probabilidad",IF(T21="Correctivo","Impacto",""))</f>
        <v>Probabilidad</v>
      </c>
      <c r="T21" s="149" t="s">
        <v>14</v>
      </c>
      <c r="U21" s="149" t="s">
        <v>9</v>
      </c>
      <c r="V21" s="126" t="str">
        <f t="shared" si="29"/>
        <v>40%</v>
      </c>
      <c r="W21" s="149" t="s">
        <v>19</v>
      </c>
      <c r="X21" s="149" t="s">
        <v>22</v>
      </c>
      <c r="Y21" s="149" t="s">
        <v>114</v>
      </c>
      <c r="Z21" s="140">
        <f>IFERROR(IF(AND(S20="Probabilidad",S21="Probabilidad"),(AB20-(+AB20*V21)),IF(AND(S20="Impacto",S21="Probabilidad"),(AB19-(+AB19*V21)),IF(S21="Impacto",AB20,""))),"")</f>
        <v>0.216</v>
      </c>
      <c r="AA21" s="141" t="str">
        <f t="shared" si="30"/>
        <v>Baja</v>
      </c>
      <c r="AB21" s="142">
        <f t="shared" ref="AB21:AB22" si="34">+Z21</f>
        <v>0.216</v>
      </c>
      <c r="AC21" s="141" t="str">
        <f t="shared" ca="1" si="31"/>
        <v>Catastrófico</v>
      </c>
      <c r="AD21" s="146">
        <f t="shared" ref="AD21:AD22" ca="1" si="35">IFERROR(IF(AND(S20="Impacto",S21="Impacto"),(AD20-(+AD20*V21)),IF(AND(S20="Probabilidad",S21="Impacto"),(AD19-(+AD19*V21)),IF(S21="Probabilidad",AD20,""))),"")</f>
        <v>1</v>
      </c>
      <c r="AE21" s="143" t="str">
        <f t="shared" ca="1" si="32"/>
        <v>Extremo</v>
      </c>
      <c r="AF21" s="205"/>
      <c r="AG21" s="153" t="s">
        <v>251</v>
      </c>
      <c r="AH21" s="150" t="s">
        <v>246</v>
      </c>
      <c r="AI21" s="152" t="s">
        <v>256</v>
      </c>
      <c r="AJ21" s="131"/>
      <c r="AK21" s="112"/>
      <c r="AL21" s="132"/>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row>
    <row r="22" spans="1:70" ht="69" x14ac:dyDescent="0.3">
      <c r="A22" s="218"/>
      <c r="B22" s="220"/>
      <c r="C22" s="220"/>
      <c r="D22" s="222"/>
      <c r="E22" s="122" t="s">
        <v>216</v>
      </c>
      <c r="F22" s="267"/>
      <c r="G22" s="269"/>
      <c r="H22" s="225"/>
      <c r="I22" s="227"/>
      <c r="J22" s="229"/>
      <c r="K22" s="231"/>
      <c r="L22" s="233"/>
      <c r="M22" s="235">
        <f ca="1">IF(NOT(ISERROR(MATCH(L22,_xlfn.ANCHORARRAY(F31),0))),K33&amp;"Por favor no seleccionar los criterios de impacto",L22)</f>
        <v>0</v>
      </c>
      <c r="N22" s="237"/>
      <c r="O22" s="235"/>
      <c r="P22" s="243"/>
      <c r="Q22" s="137">
        <v>4</v>
      </c>
      <c r="R22" s="111" t="s">
        <v>252</v>
      </c>
      <c r="S22" s="148" t="str">
        <f t="shared" si="33"/>
        <v>Probabilidad</v>
      </c>
      <c r="T22" s="138" t="s">
        <v>15</v>
      </c>
      <c r="U22" s="138" t="s">
        <v>9</v>
      </c>
      <c r="V22" s="139" t="str">
        <f t="shared" si="29"/>
        <v>30%</v>
      </c>
      <c r="W22" s="138" t="s">
        <v>19</v>
      </c>
      <c r="X22" s="138" t="s">
        <v>22</v>
      </c>
      <c r="Y22" s="138" t="s">
        <v>114</v>
      </c>
      <c r="Z22" s="140">
        <f t="shared" ref="Z22" si="36">IFERROR(IF(AND(S21="Probabilidad",S22="Probabilidad"),(AB21-(+AB21*V22)),IF(AND(S21="Impacto",S22="Probabilidad"),(AB20-(+AB20*V22)),IF(S22="Impacto",AB21,""))),"")</f>
        <v>0.1512</v>
      </c>
      <c r="AA22" s="141" t="str">
        <f t="shared" si="30"/>
        <v>Muy Baja</v>
      </c>
      <c r="AB22" s="142">
        <f t="shared" si="34"/>
        <v>0.1512</v>
      </c>
      <c r="AC22" s="141" t="str">
        <f t="shared" ca="1" si="31"/>
        <v>Catastrófico</v>
      </c>
      <c r="AD22" s="146">
        <f t="shared" ca="1" si="35"/>
        <v>1</v>
      </c>
      <c r="AE22" s="143" t="str">
        <f t="shared" ca="1" si="32"/>
        <v>Extremo</v>
      </c>
      <c r="AF22" s="206"/>
      <c r="AG22" s="112" t="s">
        <v>253</v>
      </c>
      <c r="AH22" s="153" t="s">
        <v>254</v>
      </c>
      <c r="AI22" s="151" t="s">
        <v>255</v>
      </c>
      <c r="AJ22" s="131"/>
      <c r="AK22" s="112"/>
      <c r="AL22" s="132"/>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row>
    <row r="23" spans="1:70" ht="26.25" customHeight="1" x14ac:dyDescent="0.3">
      <c r="A23" s="217">
        <v>5</v>
      </c>
      <c r="B23" s="246"/>
      <c r="C23" s="246"/>
      <c r="D23" s="259"/>
      <c r="E23" s="145"/>
      <c r="F23" s="444"/>
      <c r="G23" s="154"/>
      <c r="H23" s="263"/>
      <c r="I23" s="252"/>
      <c r="J23" s="236" t="str">
        <f t="shared" ref="J23" si="37">IF(I23&lt;=0,"",IF(I23&lt;=2,"Muy Baja",IF(I23&lt;=24,"Baja",IF(I23&lt;=500,"Media",IF(I23&lt;=5000,"Alta","Muy Alta")))))</f>
        <v/>
      </c>
      <c r="K23" s="234" t="str">
        <f t="shared" ref="K23" si="38">IF(J23="","",IF(J23="Muy Baja",0.2,IF(J23="Baja",0.4,IF(J23="Media",0.6,IF(J23="Alta",0.8,IF(J23="Muy Alta",1,))))))</f>
        <v/>
      </c>
      <c r="L23" s="256"/>
      <c r="M23" s="234">
        <f ca="1">IF(NOT(ISERROR(MATCH(L23,'Tabla Impacto'!$B$221:$B$223,0))),'Tabla Impacto'!$F$223&amp;"Por favor no seleccionar los criterios de impacto(Afectación Económica o presupuestal y Pérdida Reputacional)",L23)</f>
        <v>0</v>
      </c>
      <c r="N23" s="236" t="str">
        <f ca="1">IF(OR(M23='Tabla Impacto'!$C$11,M23='Tabla Impacto'!$D$11),"Leve",IF(OR(M23='Tabla Impacto'!$C$12,M23='Tabla Impacto'!$D$12),"Menor",IF(OR(M23='Tabla Impacto'!$C$13,M23='Tabla Impacto'!$D$13),"Moderado",IF(OR(M23='Tabla Impacto'!$C$14,M23='Tabla Impacto'!$D$14),"Mayor",IF(OR(M23='Tabla Impacto'!$C$15,M23='Tabla Impacto'!$D$15),"Catastrófico","")))))</f>
        <v/>
      </c>
      <c r="O23" s="234" t="str">
        <f t="shared" ref="O23" ca="1" si="39">IF(N23="","",IF(N23="Leve",0.2,IF(N23="Menor",0.4,IF(N23="Moderado",0.6,IF(N23="Mayor",0.8,IF(N23="Catastrófico",1,))))))</f>
        <v/>
      </c>
      <c r="P23" s="242" t="str">
        <f t="shared" ref="P23" ca="1" si="40">IF(OR(AND(J23="Muy Baja",N23="Leve"),AND(J23="Muy Baja",N23="Menor"),AND(J23="Baja",N23="Leve")),"Bajo",IF(OR(AND(J23="Muy baja",N23="Moderado"),AND(J23="Baja",N23="Menor"),AND(J23="Baja",N23="Moderado"),AND(J23="Media",N23="Leve"),AND(J23="Media",N23="Menor"),AND(J23="Media",N23="Moderado"),AND(J23="Alta",N23="Leve"),AND(J23="Alta",N23="Menor")),"Moderado",IF(OR(AND(J23="Muy Baja",N23="Mayor"),AND(J23="Baja",N23="Mayor"),AND(J23="Media",N23="Mayor"),AND(J23="Alta",N23="Moderado"),AND(J23="Alta",N23="Mayor"),AND(J23="Muy Alta",N23="Leve"),AND(J23="Muy Alta",N23="Menor"),AND(J23="Muy Alta",N23="Moderado"),AND(J23="Muy Alta",N23="Mayor")),"Alto",IF(OR(AND(J23="Muy Baja",N23="Catastrófico"),AND(J23="Baja",N23="Catastrófico"),AND(J23="Media",N23="Catastrófico"),AND(J23="Alta",N23="Catastrófico"),AND(J23="Muy Alta",N23="Catastrófico")),"Extremo",""))))</f>
        <v/>
      </c>
      <c r="Q23" s="137">
        <v>1</v>
      </c>
      <c r="R23" s="93"/>
      <c r="S23" s="148" t="str">
        <f>IF(OR(T23="Preventivo",T23="Detectivo"),"Probabilidad",IF(T23="Correctivo","Impacto",""))</f>
        <v/>
      </c>
      <c r="T23" s="138"/>
      <c r="U23" s="138"/>
      <c r="V23" s="139" t="str">
        <f>IF(AND(T23="Preventivo",U23="Automático"),"50%",IF(AND(T23="Preventivo",U23="Manual"),"40%",IF(AND(T23="Detectivo",U23="Automático"),"40%",IF(AND(T23="Detectivo",U23="Manual"),"30%",IF(AND(T23="Correctivo",U23="Automático"),"35%",IF(AND(T23="Correctivo",U23="Manual"),"25%",""))))))</f>
        <v/>
      </c>
      <c r="W23" s="138"/>
      <c r="X23" s="138"/>
      <c r="Y23" s="138"/>
      <c r="Z23" s="140" t="str">
        <f>IFERROR(IF(S23="Probabilidad",(K23-(+K23*V23)),IF(S23="Impacto",K23,"")),"")</f>
        <v/>
      </c>
      <c r="AA23" s="141" t="str">
        <f>IFERROR(IF(Z23="","",IF(Z23&lt;=0.2,"Muy Baja",IF(Z23&lt;=0.4,"Baja",IF(Z23&lt;=0.6,"Media",IF(Z23&lt;=0.8,"Alta","Muy Alta"))))),"")</f>
        <v/>
      </c>
      <c r="AB23" s="142" t="str">
        <f>+Z23</f>
        <v/>
      </c>
      <c r="AC23" s="141" t="str">
        <f>IFERROR(IF(AD23="","",IF(AD23&lt;=0.2,"Leve",IF(AD23&lt;=0.4,"Menor",IF(AD23&lt;=0.6,"Moderado",IF(AD23&lt;=0.8,"Mayor","Catastrófico"))))),"")</f>
        <v/>
      </c>
      <c r="AD23" s="142" t="str">
        <f>IFERROR(IF(S23="Impacto",(O23-(+O23*V23)),IF(S23="Probabilidad",O23,"")),"")</f>
        <v/>
      </c>
      <c r="AE23" s="143" t="str">
        <f>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
      </c>
      <c r="AF23" s="144"/>
      <c r="AG23" s="112"/>
      <c r="AH23" s="132"/>
      <c r="AI23" s="131"/>
      <c r="AJ23" s="131"/>
      <c r="AK23" s="112"/>
      <c r="AL23" s="132"/>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row>
    <row r="24" spans="1:70" ht="26.25" customHeight="1" x14ac:dyDescent="0.3">
      <c r="A24" s="218"/>
      <c r="B24" s="247"/>
      <c r="C24" s="247"/>
      <c r="D24" s="260"/>
      <c r="E24" s="145"/>
      <c r="F24" s="444"/>
      <c r="G24" s="154"/>
      <c r="H24" s="264"/>
      <c r="I24" s="253"/>
      <c r="J24" s="237"/>
      <c r="K24" s="235"/>
      <c r="L24" s="257"/>
      <c r="M24" s="235">
        <f ca="1">IF(NOT(ISERROR(MATCH(L24,_xlfn.ANCHORARRAY(F35),0))),K37&amp;"Por favor no seleccionar los criterios de impacto",L24)</f>
        <v>0</v>
      </c>
      <c r="N24" s="237"/>
      <c r="O24" s="235"/>
      <c r="P24" s="243"/>
      <c r="Q24" s="137">
        <v>2</v>
      </c>
      <c r="R24" s="93"/>
      <c r="S24" s="148" t="str">
        <f>IF(OR(T24="Preventivo",T24="Detectivo"),"Probabilidad",IF(T24="Correctivo","Impacto",""))</f>
        <v/>
      </c>
      <c r="T24" s="138"/>
      <c r="U24" s="138"/>
      <c r="V24" s="139" t="str">
        <f t="shared" ref="V24:V28" si="41">IF(AND(T24="Preventivo",U24="Automático"),"50%",IF(AND(T24="Preventivo",U24="Manual"),"40%",IF(AND(T24="Detectivo",U24="Automático"),"40%",IF(AND(T24="Detectivo",U24="Manual"),"30%",IF(AND(T24="Correctivo",U24="Automático"),"35%",IF(AND(T24="Correctivo",U24="Manual"),"25%",""))))))</f>
        <v/>
      </c>
      <c r="W24" s="138"/>
      <c r="X24" s="138"/>
      <c r="Y24" s="138"/>
      <c r="Z24" s="140" t="str">
        <f>IFERROR(IF(AND(S23="Probabilidad",S24="Probabilidad"),(AB23-(+AB23*V24)),IF(AND(S23="Impacto",S24="Probabilidad"),(K23-(+K23*V24)),IF(S24="Impacto",AB23,""))),"")</f>
        <v/>
      </c>
      <c r="AA24" s="141" t="str">
        <f t="shared" ref="AA24:AA28" si="42">IFERROR(IF(Z24="","",IF(Z24&lt;=0.2,"Muy Baja",IF(Z24&lt;=0.4,"Baja",IF(Z24&lt;=0.6,"Media",IF(Z24&lt;=0.8,"Alta","Muy Alta"))))),"")</f>
        <v/>
      </c>
      <c r="AB24" s="142" t="str">
        <f>+Z24</f>
        <v/>
      </c>
      <c r="AC24" s="141" t="str">
        <f t="shared" ref="AC24:AC28" si="43">IFERROR(IF(AD24="","",IF(AD24&lt;=0.2,"Leve",IF(AD24&lt;=0.4,"Menor",IF(AD24&lt;=0.6,"Moderado",IF(AD24&lt;=0.8,"Mayor","Catastrófico"))))),"")</f>
        <v/>
      </c>
      <c r="AD24" s="146" t="str">
        <f>IFERROR(IF(AND(S23="Impacto",S24="Impacto"),(AD23-(+AD23*V24)),IF(AND(S23="Probabilidad",S24="Impacto"),(O23-(+O23*V24)),IF(S24="Probabilidad",AD23,""))),"")</f>
        <v/>
      </c>
      <c r="AE24" s="143" t="str">
        <f t="shared" ref="AE24:AE28" si="44">IFERROR(IF(OR(AND(AA24="Muy Baja",AC24="Leve"),AND(AA24="Muy Baja",AC24="Menor"),AND(AA24="Baja",AC24="Leve")),"Bajo",IF(OR(AND(AA24="Muy baja",AC24="Moderado"),AND(AA24="Baja",AC24="Menor"),AND(AA24="Baja",AC24="Moderado"),AND(AA24="Media",AC24="Leve"),AND(AA24="Media",AC24="Menor"),AND(AA24="Media",AC24="Moderado"),AND(AA24="Alta",AC24="Leve"),AND(AA24="Alta",AC24="Menor")),"Moderado",IF(OR(AND(AA24="Muy Baja",AC24="Mayor"),AND(AA24="Baja",AC24="Mayor"),AND(AA24="Media",AC24="Mayor"),AND(AA24="Alta",AC24="Moderado"),AND(AA24="Alta",AC24="Mayor"),AND(AA24="Muy Alta",AC24="Leve"),AND(AA24="Muy Alta",AC24="Menor"),AND(AA24="Muy Alta",AC24="Moderado"),AND(AA24="Muy Alta",AC24="Mayor")),"Alto",IF(OR(AND(AA24="Muy Baja",AC24="Catastrófico"),AND(AA24="Baja",AC24="Catastrófico"),AND(AA24="Media",AC24="Catastrófico"),AND(AA24="Alta",AC24="Catastrófico"),AND(AA24="Muy Alta",AC24="Catastrófico")),"Extremo","")))),"")</f>
        <v/>
      </c>
      <c r="AF24" s="144"/>
      <c r="AG24" s="112"/>
      <c r="AH24" s="132"/>
      <c r="AI24" s="131"/>
      <c r="AJ24" s="131"/>
      <c r="AK24" s="112"/>
      <c r="AL24" s="132"/>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row>
    <row r="25" spans="1:70" ht="26.25" customHeight="1" x14ac:dyDescent="0.3">
      <c r="A25" s="218"/>
      <c r="B25" s="247"/>
      <c r="C25" s="247"/>
      <c r="D25" s="260"/>
      <c r="E25" s="145"/>
      <c r="F25" s="444"/>
      <c r="G25" s="154"/>
      <c r="H25" s="264"/>
      <c r="I25" s="253"/>
      <c r="J25" s="237"/>
      <c r="K25" s="235"/>
      <c r="L25" s="257"/>
      <c r="M25" s="235">
        <f ca="1">IF(NOT(ISERROR(MATCH(L25,_xlfn.ANCHORARRAY(F36),0))),K38&amp;"Por favor no seleccionar los criterios de impacto",L25)</f>
        <v>0</v>
      </c>
      <c r="N25" s="237"/>
      <c r="O25" s="235"/>
      <c r="P25" s="243"/>
      <c r="Q25" s="137">
        <v>3</v>
      </c>
      <c r="R25" s="147"/>
      <c r="S25" s="148" t="str">
        <f t="shared" ref="S25:S28" si="45">IF(OR(T25="Preventivo",T25="Detectivo"),"Probabilidad",IF(T25="Correctivo","Impacto",""))</f>
        <v/>
      </c>
      <c r="T25" s="138"/>
      <c r="U25" s="138"/>
      <c r="V25" s="139" t="str">
        <f t="shared" si="41"/>
        <v/>
      </c>
      <c r="W25" s="138"/>
      <c r="X25" s="138"/>
      <c r="Y25" s="138"/>
      <c r="Z25" s="140" t="str">
        <f>IFERROR(IF(AND(S24="Probabilidad",S25="Probabilidad"),(AB24-(+AB24*V25)),IF(AND(S24="Impacto",S25="Probabilidad"),(AB23-(+AB23*V25)),IF(S25="Impacto",AB24,""))),"")</f>
        <v/>
      </c>
      <c r="AA25" s="141" t="str">
        <f t="shared" si="42"/>
        <v/>
      </c>
      <c r="AB25" s="142" t="str">
        <f t="shared" ref="AB25:AB28" si="46">+Z25</f>
        <v/>
      </c>
      <c r="AC25" s="141" t="str">
        <f t="shared" si="43"/>
        <v/>
      </c>
      <c r="AD25" s="146" t="str">
        <f t="shared" ref="AD25:AD28" si="47">IFERROR(IF(AND(S24="Impacto",S25="Impacto"),(AD24-(+AD24*V25)),IF(AND(S24="Probabilidad",S25="Impacto"),(AD23-(+AD23*V25)),IF(S25="Probabilidad",AD24,""))),"")</f>
        <v/>
      </c>
      <c r="AE25" s="143" t="str">
        <f t="shared" si="44"/>
        <v/>
      </c>
      <c r="AF25" s="144"/>
      <c r="AG25" s="112"/>
      <c r="AH25" s="132"/>
      <c r="AI25" s="131"/>
      <c r="AJ25" s="131"/>
      <c r="AK25" s="112"/>
      <c r="AL25" s="132"/>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row>
    <row r="26" spans="1:70" ht="26.25" customHeight="1" x14ac:dyDescent="0.3">
      <c r="A26" s="218"/>
      <c r="B26" s="247"/>
      <c r="C26" s="247"/>
      <c r="D26" s="260"/>
      <c r="E26" s="145"/>
      <c r="F26" s="444"/>
      <c r="G26" s="154"/>
      <c r="H26" s="264"/>
      <c r="I26" s="253"/>
      <c r="J26" s="237"/>
      <c r="K26" s="235"/>
      <c r="L26" s="257"/>
      <c r="M26" s="235">
        <f ca="1">IF(NOT(ISERROR(MATCH(L26,_xlfn.ANCHORARRAY(F37),0))),K39&amp;"Por favor no seleccionar los criterios de impacto",L26)</f>
        <v>0</v>
      </c>
      <c r="N26" s="237"/>
      <c r="O26" s="235"/>
      <c r="P26" s="243"/>
      <c r="Q26" s="137">
        <v>4</v>
      </c>
      <c r="R26" s="93"/>
      <c r="S26" s="148" t="str">
        <f t="shared" si="45"/>
        <v/>
      </c>
      <c r="T26" s="138"/>
      <c r="U26" s="138"/>
      <c r="V26" s="139" t="str">
        <f t="shared" si="41"/>
        <v/>
      </c>
      <c r="W26" s="138"/>
      <c r="X26" s="138"/>
      <c r="Y26" s="138"/>
      <c r="Z26" s="140" t="str">
        <f t="shared" ref="Z26:Z28" si="48">IFERROR(IF(AND(S25="Probabilidad",S26="Probabilidad"),(AB25-(+AB25*V26)),IF(AND(S25="Impacto",S26="Probabilidad"),(AB24-(+AB24*V26)),IF(S26="Impacto",AB25,""))),"")</f>
        <v/>
      </c>
      <c r="AA26" s="141" t="str">
        <f t="shared" si="42"/>
        <v/>
      </c>
      <c r="AB26" s="142" t="str">
        <f t="shared" si="46"/>
        <v/>
      </c>
      <c r="AC26" s="141" t="str">
        <f t="shared" si="43"/>
        <v/>
      </c>
      <c r="AD26" s="146" t="str">
        <f t="shared" si="47"/>
        <v/>
      </c>
      <c r="AE26" s="143" t="str">
        <f t="shared" si="44"/>
        <v/>
      </c>
      <c r="AF26" s="144"/>
      <c r="AG26" s="112"/>
      <c r="AH26" s="132"/>
      <c r="AI26" s="131"/>
      <c r="AJ26" s="131"/>
      <c r="AK26" s="112"/>
      <c r="AL26" s="132"/>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row>
    <row r="27" spans="1:70" ht="26.25" customHeight="1" x14ac:dyDescent="0.3">
      <c r="A27" s="218"/>
      <c r="B27" s="247"/>
      <c r="C27" s="247"/>
      <c r="D27" s="260"/>
      <c r="E27" s="145"/>
      <c r="F27" s="444"/>
      <c r="G27" s="154"/>
      <c r="H27" s="264"/>
      <c r="I27" s="253"/>
      <c r="J27" s="237"/>
      <c r="K27" s="235"/>
      <c r="L27" s="257"/>
      <c r="M27" s="235">
        <f ca="1">IF(NOT(ISERROR(MATCH(L27,_xlfn.ANCHORARRAY(F38),0))),K40&amp;"Por favor no seleccionar los criterios de impacto",L27)</f>
        <v>0</v>
      </c>
      <c r="N27" s="237"/>
      <c r="O27" s="235"/>
      <c r="P27" s="243"/>
      <c r="Q27" s="137">
        <v>5</v>
      </c>
      <c r="R27" s="93"/>
      <c r="S27" s="148" t="str">
        <f t="shared" si="45"/>
        <v/>
      </c>
      <c r="T27" s="138"/>
      <c r="U27" s="138"/>
      <c r="V27" s="139" t="str">
        <f t="shared" si="41"/>
        <v/>
      </c>
      <c r="W27" s="138"/>
      <c r="X27" s="138"/>
      <c r="Y27" s="138"/>
      <c r="Z27" s="140" t="str">
        <f t="shared" si="48"/>
        <v/>
      </c>
      <c r="AA27" s="141" t="str">
        <f t="shared" si="42"/>
        <v/>
      </c>
      <c r="AB27" s="142" t="str">
        <f t="shared" si="46"/>
        <v/>
      </c>
      <c r="AC27" s="141" t="str">
        <f t="shared" si="43"/>
        <v/>
      </c>
      <c r="AD27" s="146" t="str">
        <f t="shared" si="47"/>
        <v/>
      </c>
      <c r="AE27" s="143" t="str">
        <f t="shared" si="44"/>
        <v/>
      </c>
      <c r="AF27" s="144"/>
      <c r="AG27" s="112"/>
      <c r="AH27" s="132"/>
      <c r="AI27" s="131"/>
      <c r="AJ27" s="131"/>
      <c r="AK27" s="112"/>
      <c r="AL27" s="132"/>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row>
    <row r="28" spans="1:70" ht="26.25" customHeight="1" x14ac:dyDescent="0.3">
      <c r="A28" s="245"/>
      <c r="B28" s="248"/>
      <c r="C28" s="248"/>
      <c r="D28" s="261"/>
      <c r="E28" s="145"/>
      <c r="F28" s="444"/>
      <c r="G28" s="154"/>
      <c r="H28" s="265"/>
      <c r="I28" s="254"/>
      <c r="J28" s="255"/>
      <c r="K28" s="241"/>
      <c r="L28" s="258"/>
      <c r="M28" s="241">
        <f ca="1">IF(NOT(ISERROR(MATCH(L28,_xlfn.ANCHORARRAY(F39),0))),K41&amp;"Por favor no seleccionar los criterios de impacto",L28)</f>
        <v>0</v>
      </c>
      <c r="N28" s="255"/>
      <c r="O28" s="241"/>
      <c r="P28" s="244"/>
      <c r="Q28" s="137">
        <v>6</v>
      </c>
      <c r="R28" s="93"/>
      <c r="S28" s="148" t="str">
        <f t="shared" si="45"/>
        <v/>
      </c>
      <c r="T28" s="138"/>
      <c r="U28" s="138"/>
      <c r="V28" s="139" t="str">
        <f t="shared" si="41"/>
        <v/>
      </c>
      <c r="W28" s="138"/>
      <c r="X28" s="138"/>
      <c r="Y28" s="138"/>
      <c r="Z28" s="140" t="str">
        <f t="shared" si="48"/>
        <v/>
      </c>
      <c r="AA28" s="141" t="str">
        <f t="shared" si="42"/>
        <v/>
      </c>
      <c r="AB28" s="142" t="str">
        <f t="shared" si="46"/>
        <v/>
      </c>
      <c r="AC28" s="141" t="str">
        <f t="shared" si="43"/>
        <v/>
      </c>
      <c r="AD28" s="146" t="str">
        <f t="shared" si="47"/>
        <v/>
      </c>
      <c r="AE28" s="143" t="str">
        <f t="shared" si="44"/>
        <v/>
      </c>
      <c r="AF28" s="144"/>
      <c r="AG28" s="112"/>
      <c r="AH28" s="132"/>
      <c r="AI28" s="131"/>
      <c r="AJ28" s="131"/>
      <c r="AK28" s="112"/>
      <c r="AL28" s="132"/>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row>
    <row r="29" spans="1:70" ht="26.25" customHeight="1" x14ac:dyDescent="0.3">
      <c r="A29" s="217">
        <v>6</v>
      </c>
      <c r="B29" s="246"/>
      <c r="C29" s="246"/>
      <c r="D29" s="259"/>
      <c r="E29" s="145"/>
      <c r="F29" s="262"/>
      <c r="G29" s="154"/>
      <c r="H29" s="263"/>
      <c r="I29" s="252"/>
      <c r="J29" s="236" t="str">
        <f t="shared" ref="J29" si="49">IF(I29&lt;=0,"",IF(I29&lt;=2,"Muy Baja",IF(I29&lt;=24,"Baja",IF(I29&lt;=500,"Media",IF(I29&lt;=5000,"Alta","Muy Alta")))))</f>
        <v/>
      </c>
      <c r="K29" s="234" t="str">
        <f t="shared" ref="K29" si="50">IF(J29="","",IF(J29="Muy Baja",0.2,IF(J29="Baja",0.4,IF(J29="Media",0.6,IF(J29="Alta",0.8,IF(J29="Muy Alta",1,))))))</f>
        <v/>
      </c>
      <c r="L29" s="256"/>
      <c r="M29" s="234">
        <f ca="1">IF(NOT(ISERROR(MATCH(L29,'Tabla Impacto'!$B$221:$B$223,0))),'Tabla Impacto'!$F$223&amp;"Por favor no seleccionar los criterios de impacto(Afectación Económica o presupuestal y Pérdida Reputacional)",L29)</f>
        <v>0</v>
      </c>
      <c r="N29" s="236" t="str">
        <f ca="1">IF(OR(M29='Tabla Impacto'!$C$11,M29='Tabla Impacto'!$D$11),"Leve",IF(OR(M29='Tabla Impacto'!$C$12,M29='Tabla Impacto'!$D$12),"Menor",IF(OR(M29='Tabla Impacto'!$C$13,M29='Tabla Impacto'!$D$13),"Moderado",IF(OR(M29='Tabla Impacto'!$C$14,M29='Tabla Impacto'!$D$14),"Mayor",IF(OR(M29='Tabla Impacto'!$C$15,M29='Tabla Impacto'!$D$15),"Catastrófico","")))))</f>
        <v/>
      </c>
      <c r="O29" s="234" t="str">
        <f t="shared" ref="O29" ca="1" si="51">IF(N29="","",IF(N29="Leve",0.2,IF(N29="Menor",0.4,IF(N29="Moderado",0.6,IF(N29="Mayor",0.8,IF(N29="Catastrófico",1,))))))</f>
        <v/>
      </c>
      <c r="P29" s="242" t="str">
        <f t="shared" ref="P29" ca="1" si="52">IF(OR(AND(J29="Muy Baja",N29="Leve"),AND(J29="Muy Baja",N29="Menor"),AND(J29="Baja",N29="Leve")),"Bajo",IF(OR(AND(J29="Muy baja",N29="Moderado"),AND(J29="Baja",N29="Menor"),AND(J29="Baja",N29="Moderado"),AND(J29="Media",N29="Leve"),AND(J29="Media",N29="Menor"),AND(J29="Media",N29="Moderado"),AND(J29="Alta",N29="Leve"),AND(J29="Alta",N29="Menor")),"Moderado",IF(OR(AND(J29="Muy Baja",N29="Mayor"),AND(J29="Baja",N29="Mayor"),AND(J29="Media",N29="Mayor"),AND(J29="Alta",N29="Moderado"),AND(J29="Alta",N29="Mayor"),AND(J29="Muy Alta",N29="Leve"),AND(J29="Muy Alta",N29="Menor"),AND(J29="Muy Alta",N29="Moderado"),AND(J29="Muy Alta",N29="Mayor")),"Alto",IF(OR(AND(J29="Muy Baja",N29="Catastrófico"),AND(J29="Baja",N29="Catastrófico"),AND(J29="Media",N29="Catastrófico"),AND(J29="Alta",N29="Catastrófico"),AND(J29="Muy Alta",N29="Catastrófico")),"Extremo",""))))</f>
        <v/>
      </c>
      <c r="Q29" s="137">
        <v>1</v>
      </c>
      <c r="R29" s="93"/>
      <c r="S29" s="148" t="str">
        <f>IF(OR(T29="Preventivo",T29="Detectivo"),"Probabilidad",IF(T29="Correctivo","Impacto",""))</f>
        <v/>
      </c>
      <c r="T29" s="138"/>
      <c r="U29" s="138"/>
      <c r="V29" s="139" t="str">
        <f>IF(AND(T29="Preventivo",U29="Automático"),"50%",IF(AND(T29="Preventivo",U29="Manual"),"40%",IF(AND(T29="Detectivo",U29="Automático"),"40%",IF(AND(T29="Detectivo",U29="Manual"),"30%",IF(AND(T29="Correctivo",U29="Automático"),"35%",IF(AND(T29="Correctivo",U29="Manual"),"25%",""))))))</f>
        <v/>
      </c>
      <c r="W29" s="138"/>
      <c r="X29" s="138"/>
      <c r="Y29" s="138"/>
      <c r="Z29" s="140" t="str">
        <f>IFERROR(IF(S29="Probabilidad",(K29-(+K29*V29)),IF(S29="Impacto",K29,"")),"")</f>
        <v/>
      </c>
      <c r="AA29" s="141" t="str">
        <f>IFERROR(IF(Z29="","",IF(Z29&lt;=0.2,"Muy Baja",IF(Z29&lt;=0.4,"Baja",IF(Z29&lt;=0.6,"Media",IF(Z29&lt;=0.8,"Alta","Muy Alta"))))),"")</f>
        <v/>
      </c>
      <c r="AB29" s="142" t="str">
        <f>+Z29</f>
        <v/>
      </c>
      <c r="AC29" s="141" t="str">
        <f>IFERROR(IF(AD29="","",IF(AD29&lt;=0.2,"Leve",IF(AD29&lt;=0.4,"Menor",IF(AD29&lt;=0.6,"Moderado",IF(AD29&lt;=0.8,"Mayor","Catastrófico"))))),"")</f>
        <v/>
      </c>
      <c r="AD29" s="142" t="str">
        <f>IFERROR(IF(S29="Impacto",(O29-(+O29*V29)),IF(S29="Probabilidad",O29,"")),"")</f>
        <v/>
      </c>
      <c r="AE29" s="143" t="str">
        <f>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144"/>
      <c r="AG29" s="112"/>
      <c r="AH29" s="132"/>
      <c r="AI29" s="131"/>
      <c r="AJ29" s="131"/>
      <c r="AK29" s="112"/>
      <c r="AL29" s="132"/>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row>
    <row r="30" spans="1:70" ht="26.25" customHeight="1" x14ac:dyDescent="0.3">
      <c r="A30" s="218"/>
      <c r="B30" s="247"/>
      <c r="C30" s="247"/>
      <c r="D30" s="260"/>
      <c r="E30" s="145"/>
      <c r="F30" s="262"/>
      <c r="G30" s="154"/>
      <c r="H30" s="264"/>
      <c r="I30" s="253"/>
      <c r="J30" s="237"/>
      <c r="K30" s="235"/>
      <c r="L30" s="257"/>
      <c r="M30" s="235">
        <f ca="1">IF(NOT(ISERROR(MATCH(L30,_xlfn.ANCHORARRAY(F41),0))),K43&amp;"Por favor no seleccionar los criterios de impacto",L30)</f>
        <v>0</v>
      </c>
      <c r="N30" s="237"/>
      <c r="O30" s="235"/>
      <c r="P30" s="243"/>
      <c r="Q30" s="137">
        <v>2</v>
      </c>
      <c r="R30" s="93"/>
      <c r="S30" s="148" t="str">
        <f>IF(OR(T30="Preventivo",T30="Detectivo"),"Probabilidad",IF(T30="Correctivo","Impacto",""))</f>
        <v/>
      </c>
      <c r="T30" s="138"/>
      <c r="U30" s="138"/>
      <c r="V30" s="139" t="str">
        <f t="shared" ref="V30:V34" si="53">IF(AND(T30="Preventivo",U30="Automático"),"50%",IF(AND(T30="Preventivo",U30="Manual"),"40%",IF(AND(T30="Detectivo",U30="Automático"),"40%",IF(AND(T30="Detectivo",U30="Manual"),"30%",IF(AND(T30="Correctivo",U30="Automático"),"35%",IF(AND(T30="Correctivo",U30="Manual"),"25%",""))))))</f>
        <v/>
      </c>
      <c r="W30" s="138"/>
      <c r="X30" s="138"/>
      <c r="Y30" s="138"/>
      <c r="Z30" s="140" t="str">
        <f>IFERROR(IF(AND(S29="Probabilidad",S30="Probabilidad"),(AB29-(+AB29*V30)),IF(AND(S29="Impacto",S30="Probabilidad"),(K29-(+K29*V30)),IF(S30="Impacto",AB29,""))),"")</f>
        <v/>
      </c>
      <c r="AA30" s="141" t="str">
        <f t="shared" ref="AA30:AA34" si="54">IFERROR(IF(Z30="","",IF(Z30&lt;=0.2,"Muy Baja",IF(Z30&lt;=0.4,"Baja",IF(Z30&lt;=0.6,"Media",IF(Z30&lt;=0.8,"Alta","Muy Alta"))))),"")</f>
        <v/>
      </c>
      <c r="AB30" s="142" t="str">
        <f>+Z30</f>
        <v/>
      </c>
      <c r="AC30" s="141" t="str">
        <f t="shared" ref="AC30:AC34" si="55">IFERROR(IF(AD30="","",IF(AD30&lt;=0.2,"Leve",IF(AD30&lt;=0.4,"Menor",IF(AD30&lt;=0.6,"Moderado",IF(AD30&lt;=0.8,"Mayor","Catastrófico"))))),"")</f>
        <v/>
      </c>
      <c r="AD30" s="146" t="str">
        <f>IFERROR(IF(AND(S29="Impacto",S30="Impacto"),(AD29-(+AD29*V30)),IF(AND(S29="Probabilidad",S30="Impacto"),(O29-(+O29*V30)),IF(S30="Probabilidad",AD29,""))),"")</f>
        <v/>
      </c>
      <c r="AE30" s="143" t="str">
        <f t="shared" ref="AE30:AE34" si="56">IFERROR(IF(OR(AND(AA30="Muy Baja",AC30="Leve"),AND(AA30="Muy Baja",AC30="Menor"),AND(AA30="Baja",AC30="Leve")),"Bajo",IF(OR(AND(AA30="Muy baja",AC30="Moderado"),AND(AA30="Baja",AC30="Menor"),AND(AA30="Baja",AC30="Moderado"),AND(AA30="Media",AC30="Leve"),AND(AA30="Media",AC30="Menor"),AND(AA30="Media",AC30="Moderado"),AND(AA30="Alta",AC30="Leve"),AND(AA30="Alta",AC30="Menor")),"Moderado",IF(OR(AND(AA30="Muy Baja",AC30="Mayor"),AND(AA30="Baja",AC30="Mayor"),AND(AA30="Media",AC30="Mayor"),AND(AA30="Alta",AC30="Moderado"),AND(AA30="Alta",AC30="Mayor"),AND(AA30="Muy Alta",AC30="Leve"),AND(AA30="Muy Alta",AC30="Menor"),AND(AA30="Muy Alta",AC30="Moderado"),AND(AA30="Muy Alta",AC30="Mayor")),"Alto",IF(OR(AND(AA30="Muy Baja",AC30="Catastrófico"),AND(AA30="Baja",AC30="Catastrófico"),AND(AA30="Media",AC30="Catastrófico"),AND(AA30="Alta",AC30="Catastrófico"),AND(AA30="Muy Alta",AC30="Catastrófico")),"Extremo","")))),"")</f>
        <v/>
      </c>
      <c r="AF30" s="144"/>
      <c r="AG30" s="112"/>
      <c r="AH30" s="132"/>
      <c r="AI30" s="131"/>
      <c r="AJ30" s="131"/>
      <c r="AK30" s="112"/>
      <c r="AL30" s="132"/>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row>
    <row r="31" spans="1:70" ht="26.25" customHeight="1" x14ac:dyDescent="0.3">
      <c r="A31" s="218"/>
      <c r="B31" s="247"/>
      <c r="C31" s="247"/>
      <c r="D31" s="260"/>
      <c r="E31" s="145"/>
      <c r="F31" s="262"/>
      <c r="G31" s="154"/>
      <c r="H31" s="264"/>
      <c r="I31" s="253"/>
      <c r="J31" s="237"/>
      <c r="K31" s="235"/>
      <c r="L31" s="257"/>
      <c r="M31" s="235">
        <f ca="1">IF(NOT(ISERROR(MATCH(L31,_xlfn.ANCHORARRAY(F42),0))),K44&amp;"Por favor no seleccionar los criterios de impacto",L31)</f>
        <v>0</v>
      </c>
      <c r="N31" s="237"/>
      <c r="O31" s="235"/>
      <c r="P31" s="243"/>
      <c r="Q31" s="137">
        <v>3</v>
      </c>
      <c r="R31" s="147"/>
      <c r="S31" s="148" t="str">
        <f t="shared" ref="S31:S34" si="57">IF(OR(T31="Preventivo",T31="Detectivo"),"Probabilidad",IF(T31="Correctivo","Impacto",""))</f>
        <v/>
      </c>
      <c r="T31" s="138"/>
      <c r="U31" s="138"/>
      <c r="V31" s="139" t="str">
        <f t="shared" si="53"/>
        <v/>
      </c>
      <c r="W31" s="138"/>
      <c r="X31" s="138"/>
      <c r="Y31" s="138"/>
      <c r="Z31" s="140" t="str">
        <f>IFERROR(IF(AND(S30="Probabilidad",S31="Probabilidad"),(AB30-(+AB30*V31)),IF(AND(S30="Impacto",S31="Probabilidad"),(AB29-(+AB29*V31)),IF(S31="Impacto",AB30,""))),"")</f>
        <v/>
      </c>
      <c r="AA31" s="141" t="str">
        <f t="shared" si="54"/>
        <v/>
      </c>
      <c r="AB31" s="142" t="str">
        <f t="shared" ref="AB31:AB34" si="58">+Z31</f>
        <v/>
      </c>
      <c r="AC31" s="141" t="str">
        <f t="shared" si="55"/>
        <v/>
      </c>
      <c r="AD31" s="146" t="str">
        <f t="shared" ref="AD31:AD34" si="59">IFERROR(IF(AND(S30="Impacto",S31="Impacto"),(AD30-(+AD30*V31)),IF(AND(S30="Probabilidad",S31="Impacto"),(AD29-(+AD29*V31)),IF(S31="Probabilidad",AD30,""))),"")</f>
        <v/>
      </c>
      <c r="AE31" s="143" t="str">
        <f t="shared" si="56"/>
        <v/>
      </c>
      <c r="AF31" s="144"/>
      <c r="AG31" s="112"/>
      <c r="AH31" s="132"/>
      <c r="AI31" s="131"/>
      <c r="AJ31" s="131"/>
      <c r="AK31" s="112"/>
      <c r="AL31" s="132"/>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row>
    <row r="32" spans="1:70" ht="26.25" customHeight="1" x14ac:dyDescent="0.3">
      <c r="A32" s="218"/>
      <c r="B32" s="247"/>
      <c r="C32" s="247"/>
      <c r="D32" s="260"/>
      <c r="E32" s="145"/>
      <c r="F32" s="262"/>
      <c r="G32" s="154"/>
      <c r="H32" s="264"/>
      <c r="I32" s="253"/>
      <c r="J32" s="237"/>
      <c r="K32" s="235"/>
      <c r="L32" s="257"/>
      <c r="M32" s="235">
        <f ca="1">IF(NOT(ISERROR(MATCH(L32,_xlfn.ANCHORARRAY(F43),0))),K45&amp;"Por favor no seleccionar los criterios de impacto",L32)</f>
        <v>0</v>
      </c>
      <c r="N32" s="237"/>
      <c r="O32" s="235"/>
      <c r="P32" s="243"/>
      <c r="Q32" s="137">
        <v>4</v>
      </c>
      <c r="R32" s="93"/>
      <c r="S32" s="148" t="str">
        <f t="shared" si="57"/>
        <v/>
      </c>
      <c r="T32" s="138"/>
      <c r="U32" s="138"/>
      <c r="V32" s="139" t="str">
        <f t="shared" si="53"/>
        <v/>
      </c>
      <c r="W32" s="138"/>
      <c r="X32" s="138"/>
      <c r="Y32" s="138"/>
      <c r="Z32" s="140" t="str">
        <f t="shared" ref="Z32:Z34" si="60">IFERROR(IF(AND(S31="Probabilidad",S32="Probabilidad"),(AB31-(+AB31*V32)),IF(AND(S31="Impacto",S32="Probabilidad"),(AB30-(+AB30*V32)),IF(S32="Impacto",AB31,""))),"")</f>
        <v/>
      </c>
      <c r="AA32" s="141" t="str">
        <f t="shared" si="54"/>
        <v/>
      </c>
      <c r="AB32" s="142" t="str">
        <f t="shared" si="58"/>
        <v/>
      </c>
      <c r="AC32" s="141" t="str">
        <f t="shared" si="55"/>
        <v/>
      </c>
      <c r="AD32" s="146" t="str">
        <f t="shared" si="59"/>
        <v/>
      </c>
      <c r="AE32" s="143" t="str">
        <f t="shared" si="56"/>
        <v/>
      </c>
      <c r="AF32" s="144"/>
      <c r="AG32" s="112"/>
      <c r="AH32" s="132"/>
      <c r="AI32" s="131"/>
      <c r="AJ32" s="131"/>
      <c r="AK32" s="112"/>
      <c r="AL32" s="132"/>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row>
    <row r="33" spans="1:70" ht="26.25" customHeight="1" x14ac:dyDescent="0.3">
      <c r="A33" s="218"/>
      <c r="B33" s="247"/>
      <c r="C33" s="247"/>
      <c r="D33" s="260"/>
      <c r="E33" s="145"/>
      <c r="F33" s="262"/>
      <c r="G33" s="154"/>
      <c r="H33" s="264"/>
      <c r="I33" s="253"/>
      <c r="J33" s="237"/>
      <c r="K33" s="235"/>
      <c r="L33" s="257"/>
      <c r="M33" s="235">
        <f ca="1">IF(NOT(ISERROR(MATCH(L33,_xlfn.ANCHORARRAY(F44),0))),K46&amp;"Por favor no seleccionar los criterios de impacto",L33)</f>
        <v>0</v>
      </c>
      <c r="N33" s="237"/>
      <c r="O33" s="235"/>
      <c r="P33" s="243"/>
      <c r="Q33" s="137">
        <v>5</v>
      </c>
      <c r="R33" s="93"/>
      <c r="S33" s="148" t="str">
        <f t="shared" si="57"/>
        <v/>
      </c>
      <c r="T33" s="138"/>
      <c r="U33" s="138"/>
      <c r="V33" s="139" t="str">
        <f t="shared" si="53"/>
        <v/>
      </c>
      <c r="W33" s="138"/>
      <c r="X33" s="138"/>
      <c r="Y33" s="138"/>
      <c r="Z33" s="140" t="str">
        <f t="shared" si="60"/>
        <v/>
      </c>
      <c r="AA33" s="141" t="str">
        <f t="shared" si="54"/>
        <v/>
      </c>
      <c r="AB33" s="142" t="str">
        <f t="shared" si="58"/>
        <v/>
      </c>
      <c r="AC33" s="141" t="str">
        <f t="shared" si="55"/>
        <v/>
      </c>
      <c r="AD33" s="146" t="str">
        <f t="shared" si="59"/>
        <v/>
      </c>
      <c r="AE33" s="143" t="str">
        <f t="shared" si="56"/>
        <v/>
      </c>
      <c r="AF33" s="144"/>
      <c r="AG33" s="112"/>
      <c r="AH33" s="132"/>
      <c r="AI33" s="131"/>
      <c r="AJ33" s="131"/>
      <c r="AK33" s="112"/>
      <c r="AL33" s="132"/>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row>
    <row r="34" spans="1:70" ht="26.25" customHeight="1" x14ac:dyDescent="0.3">
      <c r="A34" s="245"/>
      <c r="B34" s="248"/>
      <c r="C34" s="248"/>
      <c r="D34" s="261"/>
      <c r="E34" s="145"/>
      <c r="F34" s="262"/>
      <c r="G34" s="154"/>
      <c r="H34" s="265"/>
      <c r="I34" s="254"/>
      <c r="J34" s="255"/>
      <c r="K34" s="241"/>
      <c r="L34" s="258"/>
      <c r="M34" s="241">
        <f ca="1">IF(NOT(ISERROR(MATCH(L34,_xlfn.ANCHORARRAY(F45),0))),K47&amp;"Por favor no seleccionar los criterios de impacto",L34)</f>
        <v>0</v>
      </c>
      <c r="N34" s="255"/>
      <c r="O34" s="241"/>
      <c r="P34" s="244"/>
      <c r="Q34" s="137">
        <v>6</v>
      </c>
      <c r="R34" s="93"/>
      <c r="S34" s="148" t="str">
        <f t="shared" si="57"/>
        <v/>
      </c>
      <c r="T34" s="138"/>
      <c r="U34" s="138"/>
      <c r="V34" s="139" t="str">
        <f t="shared" si="53"/>
        <v/>
      </c>
      <c r="W34" s="138"/>
      <c r="X34" s="138"/>
      <c r="Y34" s="138"/>
      <c r="Z34" s="140" t="str">
        <f t="shared" si="60"/>
        <v/>
      </c>
      <c r="AA34" s="141" t="str">
        <f t="shared" si="54"/>
        <v/>
      </c>
      <c r="AB34" s="142" t="str">
        <f t="shared" si="58"/>
        <v/>
      </c>
      <c r="AC34" s="141" t="str">
        <f t="shared" si="55"/>
        <v/>
      </c>
      <c r="AD34" s="146" t="str">
        <f t="shared" si="59"/>
        <v/>
      </c>
      <c r="AE34" s="143" t="str">
        <f t="shared" si="56"/>
        <v/>
      </c>
      <c r="AF34" s="144"/>
      <c r="AG34" s="112"/>
      <c r="AH34" s="132"/>
      <c r="AI34" s="131"/>
      <c r="AJ34" s="131"/>
      <c r="AK34" s="112"/>
      <c r="AL34" s="132"/>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row>
    <row r="35" spans="1:70" ht="26.25" customHeight="1" x14ac:dyDescent="0.3">
      <c r="A35" s="217">
        <v>7</v>
      </c>
      <c r="B35" s="246"/>
      <c r="C35" s="246"/>
      <c r="D35" s="246"/>
      <c r="E35" s="155"/>
      <c r="F35" s="250"/>
      <c r="G35" s="156"/>
      <c r="H35" s="246"/>
      <c r="I35" s="252"/>
      <c r="J35" s="236" t="str">
        <f t="shared" ref="J35" si="61">IF(I35&lt;=0,"",IF(I35&lt;=2,"Muy Baja",IF(I35&lt;=24,"Baja",IF(I35&lt;=500,"Media",IF(I35&lt;=5000,"Alta","Muy Alta")))))</f>
        <v/>
      </c>
      <c r="K35" s="234" t="str">
        <f t="shared" ref="K35" si="62">IF(J35="","",IF(J35="Muy Baja",0.2,IF(J35="Baja",0.4,IF(J35="Media",0.6,IF(J35="Alta",0.8,IF(J35="Muy Alta",1,))))))</f>
        <v/>
      </c>
      <c r="L35" s="256"/>
      <c r="M35" s="234">
        <f ca="1">IF(NOT(ISERROR(MATCH(L35,'Tabla Impacto'!$B$221:$B$223,0))),'Tabla Impacto'!$F$223&amp;"Por favor no seleccionar los criterios de impacto(Afectación Económica o presupuestal y Pérdida Reputacional)",L35)</f>
        <v>0</v>
      </c>
      <c r="N35" s="236" t="str">
        <f ca="1">IF(OR(M35='Tabla Impacto'!$C$11,M35='Tabla Impacto'!$D$11),"Leve",IF(OR(M35='Tabla Impacto'!$C$12,M35='Tabla Impacto'!$D$12),"Menor",IF(OR(M35='Tabla Impacto'!$C$13,M35='Tabla Impacto'!$D$13),"Moderado",IF(OR(M35='Tabla Impacto'!$C$14,M35='Tabla Impacto'!$D$14),"Mayor",IF(OR(M35='Tabla Impacto'!$C$15,M35='Tabla Impacto'!$D$15),"Catastrófico","")))))</f>
        <v/>
      </c>
      <c r="O35" s="234" t="str">
        <f t="shared" ref="O35" ca="1" si="63">IF(N35="","",IF(N35="Leve",0.2,IF(N35="Menor",0.4,IF(N35="Moderado",0.6,IF(N35="Mayor",0.8,IF(N35="Catastrófico",1,))))))</f>
        <v/>
      </c>
      <c r="P35" s="242" t="str">
        <f t="shared" ref="P35" ca="1" si="64">IF(OR(AND(J35="Muy Baja",N35="Leve"),AND(J35="Muy Baja",N35="Menor"),AND(J35="Baja",N35="Leve")),"Bajo",IF(OR(AND(J35="Muy baja",N35="Moderado"),AND(J35="Baja",N35="Menor"),AND(J35="Baja",N35="Moderado"),AND(J35="Media",N35="Leve"),AND(J35="Media",N35="Menor"),AND(J35="Media",N35="Moderado"),AND(J35="Alta",N35="Leve"),AND(J35="Alta",N35="Menor")),"Moderado",IF(OR(AND(J35="Muy Baja",N35="Mayor"),AND(J35="Baja",N35="Mayor"),AND(J35="Media",N35="Mayor"),AND(J35="Alta",N35="Moderado"),AND(J35="Alta",N35="Mayor"),AND(J35="Muy Alta",N35="Leve"),AND(J35="Muy Alta",N35="Menor"),AND(J35="Muy Alta",N35="Moderado"),AND(J35="Muy Alta",N35="Mayor")),"Alto",IF(OR(AND(J35="Muy Baja",N35="Catastrófico"),AND(J35="Baja",N35="Catastrófico"),AND(J35="Media",N35="Catastrófico"),AND(J35="Alta",N35="Catastrófico"),AND(J35="Muy Alta",N35="Catastrófico")),"Extremo",""))))</f>
        <v/>
      </c>
      <c r="Q35" s="137">
        <v>1</v>
      </c>
      <c r="R35" s="93"/>
      <c r="S35" s="148" t="str">
        <f>IF(OR(T35="Preventivo",T35="Detectivo"),"Probabilidad",IF(T35="Correctivo","Impacto",""))</f>
        <v/>
      </c>
      <c r="T35" s="138"/>
      <c r="U35" s="138"/>
      <c r="V35" s="139" t="str">
        <f>IF(AND(T35="Preventivo",U35="Automático"),"50%",IF(AND(T35="Preventivo",U35="Manual"),"40%",IF(AND(T35="Detectivo",U35="Automático"),"40%",IF(AND(T35="Detectivo",U35="Manual"),"30%",IF(AND(T35="Correctivo",U35="Automático"),"35%",IF(AND(T35="Correctivo",U35="Manual"),"25%",""))))))</f>
        <v/>
      </c>
      <c r="W35" s="138"/>
      <c r="X35" s="138"/>
      <c r="Y35" s="138"/>
      <c r="Z35" s="140" t="str">
        <f>IFERROR(IF(S35="Probabilidad",(K35-(+K35*V35)),IF(S35="Impacto",K35,"")),"")</f>
        <v/>
      </c>
      <c r="AA35" s="141" t="str">
        <f>IFERROR(IF(Z35="","",IF(Z35&lt;=0.2,"Muy Baja",IF(Z35&lt;=0.4,"Baja",IF(Z35&lt;=0.6,"Media",IF(Z35&lt;=0.8,"Alta","Muy Alta"))))),"")</f>
        <v/>
      </c>
      <c r="AB35" s="142" t="str">
        <f>+Z35</f>
        <v/>
      </c>
      <c r="AC35" s="141" t="str">
        <f>IFERROR(IF(AD35="","",IF(AD35&lt;=0.2,"Leve",IF(AD35&lt;=0.4,"Menor",IF(AD35&lt;=0.6,"Moderado",IF(AD35&lt;=0.8,"Mayor","Catastrófico"))))),"")</f>
        <v/>
      </c>
      <c r="AD35" s="142" t="str">
        <f>IFERROR(IF(S35="Impacto",(O35-(+O35*V35)),IF(S35="Probabilidad",O35,"")),"")</f>
        <v/>
      </c>
      <c r="AE35" s="143" t="str">
        <f>IFERROR(IF(OR(AND(AA35="Muy Baja",AC35="Leve"),AND(AA35="Muy Baja",AC35="Menor"),AND(AA35="Baja",AC35="Leve")),"Bajo",IF(OR(AND(AA35="Muy baja",AC35="Moderado"),AND(AA35="Baja",AC35="Menor"),AND(AA35="Baja",AC35="Moderado"),AND(AA35="Media",AC35="Leve"),AND(AA35="Media",AC35="Menor"),AND(AA35="Media",AC35="Moderado"),AND(AA35="Alta",AC35="Leve"),AND(AA35="Alta",AC35="Menor")),"Moderado",IF(OR(AND(AA35="Muy Baja",AC35="Mayor"),AND(AA35="Baja",AC35="Mayor"),AND(AA35="Media",AC35="Mayor"),AND(AA35="Alta",AC35="Moderado"),AND(AA35="Alta",AC35="Mayor"),AND(AA35="Muy Alta",AC35="Leve"),AND(AA35="Muy Alta",AC35="Menor"),AND(AA35="Muy Alta",AC35="Moderado"),AND(AA35="Muy Alta",AC35="Mayor")),"Alto",IF(OR(AND(AA35="Muy Baja",AC35="Catastrófico"),AND(AA35="Baja",AC35="Catastrófico"),AND(AA35="Media",AC35="Catastrófico"),AND(AA35="Alta",AC35="Catastrófico"),AND(AA35="Muy Alta",AC35="Catastrófico")),"Extremo","")))),"")</f>
        <v/>
      </c>
      <c r="AF35" s="144"/>
      <c r="AG35" s="112"/>
      <c r="AH35" s="132"/>
      <c r="AI35" s="131"/>
      <c r="AJ35" s="131"/>
      <c r="AK35" s="112"/>
      <c r="AL35" s="132"/>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row>
    <row r="36" spans="1:70" ht="26.25" customHeight="1" x14ac:dyDescent="0.3">
      <c r="A36" s="218"/>
      <c r="B36" s="247"/>
      <c r="C36" s="247"/>
      <c r="D36" s="247"/>
      <c r="E36" s="155"/>
      <c r="F36" s="250"/>
      <c r="G36" s="156"/>
      <c r="H36" s="247"/>
      <c r="I36" s="253"/>
      <c r="J36" s="237"/>
      <c r="K36" s="235"/>
      <c r="L36" s="257"/>
      <c r="M36" s="235">
        <f ca="1">IF(NOT(ISERROR(MATCH(L36,_xlfn.ANCHORARRAY(F47),0))),K49&amp;"Por favor no seleccionar los criterios de impacto",L36)</f>
        <v>0</v>
      </c>
      <c r="N36" s="237"/>
      <c r="O36" s="235"/>
      <c r="P36" s="243"/>
      <c r="Q36" s="137">
        <v>2</v>
      </c>
      <c r="R36" s="93"/>
      <c r="S36" s="148" t="str">
        <f>IF(OR(T36="Preventivo",T36="Detectivo"),"Probabilidad",IF(T36="Correctivo","Impacto",""))</f>
        <v/>
      </c>
      <c r="T36" s="138"/>
      <c r="U36" s="138"/>
      <c r="V36" s="139" t="str">
        <f t="shared" ref="V36:V40" si="65">IF(AND(T36="Preventivo",U36="Automático"),"50%",IF(AND(T36="Preventivo",U36="Manual"),"40%",IF(AND(T36="Detectivo",U36="Automático"),"40%",IF(AND(T36="Detectivo",U36="Manual"),"30%",IF(AND(T36="Correctivo",U36="Automático"),"35%",IF(AND(T36="Correctivo",U36="Manual"),"25%",""))))))</f>
        <v/>
      </c>
      <c r="W36" s="138"/>
      <c r="X36" s="138"/>
      <c r="Y36" s="138"/>
      <c r="Z36" s="140" t="str">
        <f>IFERROR(IF(AND(S35="Probabilidad",S36="Probabilidad"),(AB35-(+AB35*V36)),IF(AND(S35="Impacto",S36="Probabilidad"),(K35-(+K35*V36)),IF(S36="Impacto",AB35,""))),"")</f>
        <v/>
      </c>
      <c r="AA36" s="141" t="str">
        <f t="shared" ref="AA36:AA40" si="66">IFERROR(IF(Z36="","",IF(Z36&lt;=0.2,"Muy Baja",IF(Z36&lt;=0.4,"Baja",IF(Z36&lt;=0.6,"Media",IF(Z36&lt;=0.8,"Alta","Muy Alta"))))),"")</f>
        <v/>
      </c>
      <c r="AB36" s="142" t="str">
        <f>+Z36</f>
        <v/>
      </c>
      <c r="AC36" s="141" t="str">
        <f t="shared" ref="AC36:AC40" si="67">IFERROR(IF(AD36="","",IF(AD36&lt;=0.2,"Leve",IF(AD36&lt;=0.4,"Menor",IF(AD36&lt;=0.6,"Moderado",IF(AD36&lt;=0.8,"Mayor","Catastrófico"))))),"")</f>
        <v/>
      </c>
      <c r="AD36" s="146" t="str">
        <f>IFERROR(IF(AND(S35="Impacto",S36="Impacto"),(AD35-(+AD35*V36)),IF(AND(S35="Probabilidad",S36="Impacto"),(O35-(+O35*V36)),IF(S36="Probabilidad",AD35,""))),"")</f>
        <v/>
      </c>
      <c r="AE36" s="143" t="str">
        <f t="shared" ref="AE36:AE40" si="68">IFERROR(IF(OR(AND(AA36="Muy Baja",AC36="Leve"),AND(AA36="Muy Baja",AC36="Menor"),AND(AA36="Baja",AC36="Leve")),"Bajo",IF(OR(AND(AA36="Muy baja",AC36="Moderado"),AND(AA36="Baja",AC36="Menor"),AND(AA36="Baja",AC36="Moderado"),AND(AA36="Media",AC36="Leve"),AND(AA36="Media",AC36="Menor"),AND(AA36="Media",AC36="Moderado"),AND(AA36="Alta",AC36="Leve"),AND(AA36="Alta",AC36="Menor")),"Moderado",IF(OR(AND(AA36="Muy Baja",AC36="Mayor"),AND(AA36="Baja",AC36="Mayor"),AND(AA36="Media",AC36="Mayor"),AND(AA36="Alta",AC36="Moderado"),AND(AA36="Alta",AC36="Mayor"),AND(AA36="Muy Alta",AC36="Leve"),AND(AA36="Muy Alta",AC36="Menor"),AND(AA36="Muy Alta",AC36="Moderado"),AND(AA36="Muy Alta",AC36="Mayor")),"Alto",IF(OR(AND(AA36="Muy Baja",AC36="Catastrófico"),AND(AA36="Baja",AC36="Catastrófico"),AND(AA36="Media",AC36="Catastrófico"),AND(AA36="Alta",AC36="Catastrófico"),AND(AA36="Muy Alta",AC36="Catastrófico")),"Extremo","")))),"")</f>
        <v/>
      </c>
      <c r="AF36" s="144"/>
      <c r="AG36" s="112"/>
      <c r="AH36" s="132"/>
      <c r="AI36" s="131"/>
      <c r="AJ36" s="131"/>
      <c r="AK36" s="112"/>
      <c r="AL36" s="132"/>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row>
    <row r="37" spans="1:70" ht="26.25" customHeight="1" x14ac:dyDescent="0.3">
      <c r="A37" s="218"/>
      <c r="B37" s="247"/>
      <c r="C37" s="247"/>
      <c r="D37" s="247"/>
      <c r="E37" s="155"/>
      <c r="F37" s="250"/>
      <c r="G37" s="156"/>
      <c r="H37" s="247"/>
      <c r="I37" s="253"/>
      <c r="J37" s="237"/>
      <c r="K37" s="235"/>
      <c r="L37" s="257"/>
      <c r="M37" s="235">
        <f ca="1">IF(NOT(ISERROR(MATCH(L37,_xlfn.ANCHORARRAY(F48),0))),K50&amp;"Por favor no seleccionar los criterios de impacto",L37)</f>
        <v>0</v>
      </c>
      <c r="N37" s="237"/>
      <c r="O37" s="235"/>
      <c r="P37" s="243"/>
      <c r="Q37" s="137">
        <v>3</v>
      </c>
      <c r="R37" s="147"/>
      <c r="S37" s="148" t="str">
        <f t="shared" ref="S37:S40" si="69">IF(OR(T37="Preventivo",T37="Detectivo"),"Probabilidad",IF(T37="Correctivo","Impacto",""))</f>
        <v/>
      </c>
      <c r="T37" s="138"/>
      <c r="U37" s="138"/>
      <c r="V37" s="139" t="str">
        <f t="shared" si="65"/>
        <v/>
      </c>
      <c r="W37" s="138"/>
      <c r="X37" s="138"/>
      <c r="Y37" s="138"/>
      <c r="Z37" s="140" t="str">
        <f>IFERROR(IF(AND(S36="Probabilidad",S37="Probabilidad"),(AB36-(+AB36*V37)),IF(AND(S36="Impacto",S37="Probabilidad"),(AB35-(+AB35*V37)),IF(S37="Impacto",AB36,""))),"")</f>
        <v/>
      </c>
      <c r="AA37" s="141" t="str">
        <f t="shared" si="66"/>
        <v/>
      </c>
      <c r="AB37" s="142" t="str">
        <f t="shared" ref="AB37:AB40" si="70">+Z37</f>
        <v/>
      </c>
      <c r="AC37" s="141" t="str">
        <f t="shared" si="67"/>
        <v/>
      </c>
      <c r="AD37" s="146" t="str">
        <f t="shared" ref="AD37:AD40" si="71">IFERROR(IF(AND(S36="Impacto",S37="Impacto"),(AD36-(+AD36*V37)),IF(AND(S36="Probabilidad",S37="Impacto"),(AD35-(+AD35*V37)),IF(S37="Probabilidad",AD36,""))),"")</f>
        <v/>
      </c>
      <c r="AE37" s="143" t="str">
        <f t="shared" si="68"/>
        <v/>
      </c>
      <c r="AF37" s="144"/>
      <c r="AG37" s="112"/>
      <c r="AH37" s="132"/>
      <c r="AI37" s="131"/>
      <c r="AJ37" s="131"/>
      <c r="AK37" s="112"/>
      <c r="AL37" s="132"/>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row>
    <row r="38" spans="1:70" ht="26.25" customHeight="1" x14ac:dyDescent="0.3">
      <c r="A38" s="218"/>
      <c r="B38" s="247"/>
      <c r="C38" s="247"/>
      <c r="D38" s="247"/>
      <c r="E38" s="155"/>
      <c r="F38" s="250"/>
      <c r="G38" s="156"/>
      <c r="H38" s="247"/>
      <c r="I38" s="253"/>
      <c r="J38" s="237"/>
      <c r="K38" s="235"/>
      <c r="L38" s="257"/>
      <c r="M38" s="235">
        <f ca="1">IF(NOT(ISERROR(MATCH(L38,_xlfn.ANCHORARRAY(F49),0))),K51&amp;"Por favor no seleccionar los criterios de impacto",L38)</f>
        <v>0</v>
      </c>
      <c r="N38" s="237"/>
      <c r="O38" s="235"/>
      <c r="P38" s="243"/>
      <c r="Q38" s="137">
        <v>4</v>
      </c>
      <c r="R38" s="93"/>
      <c r="S38" s="148" t="str">
        <f t="shared" si="69"/>
        <v/>
      </c>
      <c r="T38" s="138"/>
      <c r="U38" s="138"/>
      <c r="V38" s="139" t="str">
        <f t="shared" si="65"/>
        <v/>
      </c>
      <c r="W38" s="138"/>
      <c r="X38" s="138"/>
      <c r="Y38" s="138"/>
      <c r="Z38" s="140" t="str">
        <f t="shared" ref="Z38:Z40" si="72">IFERROR(IF(AND(S37="Probabilidad",S38="Probabilidad"),(AB37-(+AB37*V38)),IF(AND(S37="Impacto",S38="Probabilidad"),(AB36-(+AB36*V38)),IF(S38="Impacto",AB37,""))),"")</f>
        <v/>
      </c>
      <c r="AA38" s="141" t="str">
        <f t="shared" si="66"/>
        <v/>
      </c>
      <c r="AB38" s="142" t="str">
        <f t="shared" si="70"/>
        <v/>
      </c>
      <c r="AC38" s="141" t="str">
        <f t="shared" si="67"/>
        <v/>
      </c>
      <c r="AD38" s="146" t="str">
        <f t="shared" si="71"/>
        <v/>
      </c>
      <c r="AE38" s="143" t="str">
        <f t="shared" si="68"/>
        <v/>
      </c>
      <c r="AF38" s="144"/>
      <c r="AG38" s="112"/>
      <c r="AH38" s="132"/>
      <c r="AI38" s="131"/>
      <c r="AJ38" s="131"/>
      <c r="AK38" s="112"/>
      <c r="AL38" s="132"/>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row>
    <row r="39" spans="1:70" ht="26.25" customHeight="1" x14ac:dyDescent="0.3">
      <c r="A39" s="218"/>
      <c r="B39" s="247"/>
      <c r="C39" s="247"/>
      <c r="D39" s="247"/>
      <c r="E39" s="155"/>
      <c r="F39" s="250"/>
      <c r="G39" s="156"/>
      <c r="H39" s="247"/>
      <c r="I39" s="253"/>
      <c r="J39" s="237"/>
      <c r="K39" s="235"/>
      <c r="L39" s="257"/>
      <c r="M39" s="235">
        <f ca="1">IF(NOT(ISERROR(MATCH(L39,_xlfn.ANCHORARRAY(F50),0))),K52&amp;"Por favor no seleccionar los criterios de impacto",L39)</f>
        <v>0</v>
      </c>
      <c r="N39" s="237"/>
      <c r="O39" s="235"/>
      <c r="P39" s="243"/>
      <c r="Q39" s="137">
        <v>5</v>
      </c>
      <c r="R39" s="93"/>
      <c r="S39" s="148" t="str">
        <f t="shared" si="69"/>
        <v/>
      </c>
      <c r="T39" s="138"/>
      <c r="U39" s="138"/>
      <c r="V39" s="139" t="str">
        <f t="shared" si="65"/>
        <v/>
      </c>
      <c r="W39" s="138"/>
      <c r="X39" s="138"/>
      <c r="Y39" s="138"/>
      <c r="Z39" s="140" t="str">
        <f t="shared" si="72"/>
        <v/>
      </c>
      <c r="AA39" s="141" t="str">
        <f t="shared" si="66"/>
        <v/>
      </c>
      <c r="AB39" s="142" t="str">
        <f t="shared" si="70"/>
        <v/>
      </c>
      <c r="AC39" s="141" t="str">
        <f t="shared" si="67"/>
        <v/>
      </c>
      <c r="AD39" s="146" t="str">
        <f t="shared" si="71"/>
        <v/>
      </c>
      <c r="AE39" s="143" t="str">
        <f t="shared" si="68"/>
        <v/>
      </c>
      <c r="AF39" s="144"/>
      <c r="AG39" s="112"/>
      <c r="AH39" s="132"/>
      <c r="AI39" s="131"/>
      <c r="AJ39" s="131"/>
      <c r="AK39" s="112"/>
      <c r="AL39" s="132"/>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row>
    <row r="40" spans="1:70" ht="26.25" customHeight="1" x14ac:dyDescent="0.3">
      <c r="A40" s="245"/>
      <c r="B40" s="248"/>
      <c r="C40" s="248"/>
      <c r="D40" s="248"/>
      <c r="E40" s="157"/>
      <c r="F40" s="251"/>
      <c r="G40" s="158"/>
      <c r="H40" s="248"/>
      <c r="I40" s="254"/>
      <c r="J40" s="255"/>
      <c r="K40" s="241"/>
      <c r="L40" s="258"/>
      <c r="M40" s="241">
        <f ca="1">IF(NOT(ISERROR(MATCH(L40,_xlfn.ANCHORARRAY(F51),0))),K53&amp;"Por favor no seleccionar los criterios de impacto",L40)</f>
        <v>0</v>
      </c>
      <c r="N40" s="255"/>
      <c r="O40" s="241"/>
      <c r="P40" s="244"/>
      <c r="Q40" s="137">
        <v>6</v>
      </c>
      <c r="R40" s="93"/>
      <c r="S40" s="148" t="str">
        <f t="shared" si="69"/>
        <v/>
      </c>
      <c r="T40" s="138"/>
      <c r="U40" s="138"/>
      <c r="V40" s="139" t="str">
        <f t="shared" si="65"/>
        <v/>
      </c>
      <c r="W40" s="138"/>
      <c r="X40" s="138"/>
      <c r="Y40" s="138"/>
      <c r="Z40" s="140" t="str">
        <f t="shared" si="72"/>
        <v/>
      </c>
      <c r="AA40" s="141" t="str">
        <f t="shared" si="66"/>
        <v/>
      </c>
      <c r="AB40" s="142" t="str">
        <f t="shared" si="70"/>
        <v/>
      </c>
      <c r="AC40" s="141" t="str">
        <f t="shared" si="67"/>
        <v/>
      </c>
      <c r="AD40" s="146" t="str">
        <f t="shared" si="71"/>
        <v/>
      </c>
      <c r="AE40" s="143" t="str">
        <f t="shared" si="68"/>
        <v/>
      </c>
      <c r="AF40" s="144"/>
      <c r="AG40" s="112"/>
      <c r="AH40" s="132"/>
      <c r="AI40" s="131"/>
      <c r="AJ40" s="131"/>
      <c r="AK40" s="112"/>
      <c r="AL40" s="132"/>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row>
    <row r="41" spans="1:70" ht="26.25" customHeight="1" x14ac:dyDescent="0.3">
      <c r="A41" s="217">
        <v>8</v>
      </c>
      <c r="B41" s="246"/>
      <c r="C41" s="246"/>
      <c r="D41" s="246"/>
      <c r="E41" s="159"/>
      <c r="F41" s="249"/>
      <c r="G41" s="160"/>
      <c r="H41" s="246"/>
      <c r="I41" s="252"/>
      <c r="J41" s="236" t="str">
        <f t="shared" ref="J41" si="73">IF(I41&lt;=0,"",IF(I41&lt;=2,"Muy Baja",IF(I41&lt;=24,"Baja",IF(I41&lt;=500,"Media",IF(I41&lt;=5000,"Alta","Muy Alta")))))</f>
        <v/>
      </c>
      <c r="K41" s="234" t="str">
        <f t="shared" ref="K41" si="74">IF(J41="","",IF(J41="Muy Baja",0.2,IF(J41="Baja",0.4,IF(J41="Media",0.6,IF(J41="Alta",0.8,IF(J41="Muy Alta",1,))))))</f>
        <v/>
      </c>
      <c r="L41" s="256"/>
      <c r="M41" s="234">
        <f ca="1">IF(NOT(ISERROR(MATCH(L41,'Tabla Impacto'!$B$221:$B$223,0))),'Tabla Impacto'!$F$223&amp;"Por favor no seleccionar los criterios de impacto(Afectación Económica o presupuestal y Pérdida Reputacional)",L41)</f>
        <v>0</v>
      </c>
      <c r="N41" s="236" t="str">
        <f ca="1">IF(OR(M41='Tabla Impacto'!$C$11,M41='Tabla Impacto'!$D$11),"Leve",IF(OR(M41='Tabla Impacto'!$C$12,M41='Tabla Impacto'!$D$12),"Menor",IF(OR(M41='Tabla Impacto'!$C$13,M41='Tabla Impacto'!$D$13),"Moderado",IF(OR(M41='Tabla Impacto'!$C$14,M41='Tabla Impacto'!$D$14),"Mayor",IF(OR(M41='Tabla Impacto'!$C$15,M41='Tabla Impacto'!$D$15),"Catastrófico","")))))</f>
        <v/>
      </c>
      <c r="O41" s="234" t="str">
        <f t="shared" ref="O41" ca="1" si="75">IF(N41="","",IF(N41="Leve",0.2,IF(N41="Menor",0.4,IF(N41="Moderado",0.6,IF(N41="Mayor",0.8,IF(N41="Catastrófico",1,))))))</f>
        <v/>
      </c>
      <c r="P41" s="242" t="str">
        <f t="shared" ref="P41" ca="1" si="76">IF(OR(AND(J41="Muy Baja",N41="Leve"),AND(J41="Muy Baja",N41="Menor"),AND(J41="Baja",N41="Leve")),"Bajo",IF(OR(AND(J41="Muy baja",N41="Moderado"),AND(J41="Baja",N41="Menor"),AND(J41="Baja",N41="Moderado"),AND(J41="Media",N41="Leve"),AND(J41="Media",N41="Menor"),AND(J41="Media",N41="Moderado"),AND(J41="Alta",N41="Leve"),AND(J41="Alta",N41="Menor")),"Moderado",IF(OR(AND(J41="Muy Baja",N41="Mayor"),AND(J41="Baja",N41="Mayor"),AND(J41="Media",N41="Mayor"),AND(J41="Alta",N41="Moderado"),AND(J41="Alta",N41="Mayor"),AND(J41="Muy Alta",N41="Leve"),AND(J41="Muy Alta",N41="Menor"),AND(J41="Muy Alta",N41="Moderado"),AND(J41="Muy Alta",N41="Mayor")),"Alto",IF(OR(AND(J41="Muy Baja",N41="Catastrófico"),AND(J41="Baja",N41="Catastrófico"),AND(J41="Media",N41="Catastrófico"),AND(J41="Alta",N41="Catastrófico"),AND(J41="Muy Alta",N41="Catastrófico")),"Extremo",""))))</f>
        <v/>
      </c>
      <c r="Q41" s="137">
        <v>1</v>
      </c>
      <c r="R41" s="93"/>
      <c r="S41" s="148" t="str">
        <f>IF(OR(T41="Preventivo",T41="Detectivo"),"Probabilidad",IF(T41="Correctivo","Impacto",""))</f>
        <v/>
      </c>
      <c r="T41" s="138"/>
      <c r="U41" s="138"/>
      <c r="V41" s="139" t="str">
        <f>IF(AND(T41="Preventivo",U41="Automático"),"50%",IF(AND(T41="Preventivo",U41="Manual"),"40%",IF(AND(T41="Detectivo",U41="Automático"),"40%",IF(AND(T41="Detectivo",U41="Manual"),"30%",IF(AND(T41="Correctivo",U41="Automático"),"35%",IF(AND(T41="Correctivo",U41="Manual"),"25%",""))))))</f>
        <v/>
      </c>
      <c r="W41" s="138"/>
      <c r="X41" s="138"/>
      <c r="Y41" s="138"/>
      <c r="Z41" s="140" t="str">
        <f>IFERROR(IF(S41="Probabilidad",(K41-(+K41*V41)),IF(S41="Impacto",K41,"")),"")</f>
        <v/>
      </c>
      <c r="AA41" s="141" t="str">
        <f>IFERROR(IF(Z41="","",IF(Z41&lt;=0.2,"Muy Baja",IF(Z41&lt;=0.4,"Baja",IF(Z41&lt;=0.6,"Media",IF(Z41&lt;=0.8,"Alta","Muy Alta"))))),"")</f>
        <v/>
      </c>
      <c r="AB41" s="142" t="str">
        <f>+Z41</f>
        <v/>
      </c>
      <c r="AC41" s="141" t="str">
        <f>IFERROR(IF(AD41="","",IF(AD41&lt;=0.2,"Leve",IF(AD41&lt;=0.4,"Menor",IF(AD41&lt;=0.6,"Moderado",IF(AD41&lt;=0.8,"Mayor","Catastrófico"))))),"")</f>
        <v/>
      </c>
      <c r="AD41" s="142" t="str">
        <f>IFERROR(IF(S41="Impacto",(O41-(+O41*V41)),IF(S41="Probabilidad",O41,"")),"")</f>
        <v/>
      </c>
      <c r="AE41" s="143" t="str">
        <f>IFERROR(IF(OR(AND(AA41="Muy Baja",AC41="Leve"),AND(AA41="Muy Baja",AC41="Menor"),AND(AA41="Baja",AC41="Leve")),"Bajo",IF(OR(AND(AA41="Muy baja",AC41="Moderado"),AND(AA41="Baja",AC41="Menor"),AND(AA41="Baja",AC41="Moderado"),AND(AA41="Media",AC41="Leve"),AND(AA41="Media",AC41="Menor"),AND(AA41="Media",AC41="Moderado"),AND(AA41="Alta",AC41="Leve"),AND(AA41="Alta",AC41="Menor")),"Moderado",IF(OR(AND(AA41="Muy Baja",AC41="Mayor"),AND(AA41="Baja",AC41="Mayor"),AND(AA41="Media",AC41="Mayor"),AND(AA41="Alta",AC41="Moderado"),AND(AA41="Alta",AC41="Mayor"),AND(AA41="Muy Alta",AC41="Leve"),AND(AA41="Muy Alta",AC41="Menor"),AND(AA41="Muy Alta",AC41="Moderado"),AND(AA41="Muy Alta",AC41="Mayor")),"Alto",IF(OR(AND(AA41="Muy Baja",AC41="Catastrófico"),AND(AA41="Baja",AC41="Catastrófico"),AND(AA41="Media",AC41="Catastrófico"),AND(AA41="Alta",AC41="Catastrófico"),AND(AA41="Muy Alta",AC41="Catastrófico")),"Extremo","")))),"")</f>
        <v/>
      </c>
      <c r="AF41" s="144"/>
      <c r="AG41" s="112"/>
      <c r="AH41" s="132"/>
      <c r="AI41" s="131"/>
      <c r="AJ41" s="131"/>
      <c r="AK41" s="112"/>
      <c r="AL41" s="132"/>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row>
    <row r="42" spans="1:70" ht="26.25" customHeight="1" x14ac:dyDescent="0.3">
      <c r="A42" s="218"/>
      <c r="B42" s="247"/>
      <c r="C42" s="247"/>
      <c r="D42" s="247"/>
      <c r="E42" s="155"/>
      <c r="F42" s="250"/>
      <c r="G42" s="156"/>
      <c r="H42" s="247"/>
      <c r="I42" s="253"/>
      <c r="J42" s="237"/>
      <c r="K42" s="235"/>
      <c r="L42" s="257"/>
      <c r="M42" s="235">
        <f ca="1">IF(NOT(ISERROR(MATCH(L42,_xlfn.ANCHORARRAY(F53),0))),K55&amp;"Por favor no seleccionar los criterios de impacto",L42)</f>
        <v>0</v>
      </c>
      <c r="N42" s="237"/>
      <c r="O42" s="235"/>
      <c r="P42" s="243"/>
      <c r="Q42" s="137">
        <v>2</v>
      </c>
      <c r="R42" s="93"/>
      <c r="S42" s="148" t="str">
        <f>IF(OR(T42="Preventivo",T42="Detectivo"),"Probabilidad",IF(T42="Correctivo","Impacto",""))</f>
        <v/>
      </c>
      <c r="T42" s="138"/>
      <c r="U42" s="138"/>
      <c r="V42" s="139" t="str">
        <f t="shared" ref="V42:V46" si="77">IF(AND(T42="Preventivo",U42="Automático"),"50%",IF(AND(T42="Preventivo",U42="Manual"),"40%",IF(AND(T42="Detectivo",U42="Automático"),"40%",IF(AND(T42="Detectivo",U42="Manual"),"30%",IF(AND(T42="Correctivo",U42="Automático"),"35%",IF(AND(T42="Correctivo",U42="Manual"),"25%",""))))))</f>
        <v/>
      </c>
      <c r="W42" s="138"/>
      <c r="X42" s="138"/>
      <c r="Y42" s="138"/>
      <c r="Z42" s="140" t="str">
        <f>IFERROR(IF(AND(S41="Probabilidad",S42="Probabilidad"),(AB41-(+AB41*V42)),IF(AND(S41="Impacto",S42="Probabilidad"),(K41-(+K41*V42)),IF(S42="Impacto",AB41,""))),"")</f>
        <v/>
      </c>
      <c r="AA42" s="141" t="str">
        <f t="shared" ref="AA42:AA46" si="78">IFERROR(IF(Z42="","",IF(Z42&lt;=0.2,"Muy Baja",IF(Z42&lt;=0.4,"Baja",IF(Z42&lt;=0.6,"Media",IF(Z42&lt;=0.8,"Alta","Muy Alta"))))),"")</f>
        <v/>
      </c>
      <c r="AB42" s="142" t="str">
        <f>+Z42</f>
        <v/>
      </c>
      <c r="AC42" s="141" t="str">
        <f t="shared" ref="AC42:AC46" si="79">IFERROR(IF(AD42="","",IF(AD42&lt;=0.2,"Leve",IF(AD42&lt;=0.4,"Menor",IF(AD42&lt;=0.6,"Moderado",IF(AD42&lt;=0.8,"Mayor","Catastrófico"))))),"")</f>
        <v/>
      </c>
      <c r="AD42" s="146" t="str">
        <f>IFERROR(IF(AND(S41="Impacto",S42="Impacto"),(AD41-(+AD41*V42)),IF(AND(S41="Probabilidad",S42="Impacto"),(O41-(+O41*V42)),IF(S42="Probabilidad",AD41,""))),"")</f>
        <v/>
      </c>
      <c r="AE42" s="143" t="str">
        <f t="shared" ref="AE42:AE46" si="80">IFERROR(IF(OR(AND(AA42="Muy Baja",AC42="Leve"),AND(AA42="Muy Baja",AC42="Menor"),AND(AA42="Baja",AC42="Leve")),"Bajo",IF(OR(AND(AA42="Muy baja",AC42="Moderado"),AND(AA42="Baja",AC42="Menor"),AND(AA42="Baja",AC42="Moderado"),AND(AA42="Media",AC42="Leve"),AND(AA42="Media",AC42="Menor"),AND(AA42="Media",AC42="Moderado"),AND(AA42="Alta",AC42="Leve"),AND(AA42="Alta",AC42="Menor")),"Moderado",IF(OR(AND(AA42="Muy Baja",AC42="Mayor"),AND(AA42="Baja",AC42="Mayor"),AND(AA42="Media",AC42="Mayor"),AND(AA42="Alta",AC42="Moderado"),AND(AA42="Alta",AC42="Mayor"),AND(AA42="Muy Alta",AC42="Leve"),AND(AA42="Muy Alta",AC42="Menor"),AND(AA42="Muy Alta",AC42="Moderado"),AND(AA42="Muy Alta",AC42="Mayor")),"Alto",IF(OR(AND(AA42="Muy Baja",AC42="Catastrófico"),AND(AA42="Baja",AC42="Catastrófico"),AND(AA42="Media",AC42="Catastrófico"),AND(AA42="Alta",AC42="Catastrófico"),AND(AA42="Muy Alta",AC42="Catastrófico")),"Extremo","")))),"")</f>
        <v/>
      </c>
      <c r="AF42" s="144"/>
      <c r="AG42" s="112"/>
      <c r="AH42" s="132"/>
      <c r="AI42" s="131"/>
      <c r="AJ42" s="131"/>
      <c r="AK42" s="112"/>
      <c r="AL42" s="132"/>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row>
    <row r="43" spans="1:70" ht="26.25" customHeight="1" x14ac:dyDescent="0.3">
      <c r="A43" s="218"/>
      <c r="B43" s="247"/>
      <c r="C43" s="247"/>
      <c r="D43" s="247"/>
      <c r="E43" s="155"/>
      <c r="F43" s="250"/>
      <c r="G43" s="156"/>
      <c r="H43" s="247"/>
      <c r="I43" s="253"/>
      <c r="J43" s="237"/>
      <c r="K43" s="235"/>
      <c r="L43" s="257"/>
      <c r="M43" s="235">
        <f ca="1">IF(NOT(ISERROR(MATCH(L43,_xlfn.ANCHORARRAY(F54),0))),K56&amp;"Por favor no seleccionar los criterios de impacto",L43)</f>
        <v>0</v>
      </c>
      <c r="N43" s="237"/>
      <c r="O43" s="235"/>
      <c r="P43" s="243"/>
      <c r="Q43" s="137">
        <v>3</v>
      </c>
      <c r="R43" s="147"/>
      <c r="S43" s="148" t="str">
        <f t="shared" ref="S43:S46" si="81">IF(OR(T43="Preventivo",T43="Detectivo"),"Probabilidad",IF(T43="Correctivo","Impacto",""))</f>
        <v/>
      </c>
      <c r="T43" s="138"/>
      <c r="U43" s="138"/>
      <c r="V43" s="139" t="str">
        <f t="shared" si="77"/>
        <v/>
      </c>
      <c r="W43" s="138"/>
      <c r="X43" s="138"/>
      <c r="Y43" s="138"/>
      <c r="Z43" s="140" t="str">
        <f>IFERROR(IF(AND(S42="Probabilidad",S43="Probabilidad"),(AB42-(+AB42*V43)),IF(AND(S42="Impacto",S43="Probabilidad"),(AB41-(+AB41*V43)),IF(S43="Impacto",AB42,""))),"")</f>
        <v/>
      </c>
      <c r="AA43" s="141" t="str">
        <f t="shared" si="78"/>
        <v/>
      </c>
      <c r="AB43" s="142" t="str">
        <f t="shared" ref="AB43:AB46" si="82">+Z43</f>
        <v/>
      </c>
      <c r="AC43" s="141" t="str">
        <f t="shared" si="79"/>
        <v/>
      </c>
      <c r="AD43" s="146" t="str">
        <f t="shared" ref="AD43:AD46" si="83">IFERROR(IF(AND(S42="Impacto",S43="Impacto"),(AD42-(+AD42*V43)),IF(AND(S42="Probabilidad",S43="Impacto"),(AD41-(+AD41*V43)),IF(S43="Probabilidad",AD42,""))),"")</f>
        <v/>
      </c>
      <c r="AE43" s="143" t="str">
        <f t="shared" si="80"/>
        <v/>
      </c>
      <c r="AF43" s="144"/>
      <c r="AG43" s="112"/>
      <c r="AH43" s="132"/>
      <c r="AI43" s="131"/>
      <c r="AJ43" s="131"/>
      <c r="AK43" s="112"/>
      <c r="AL43" s="132"/>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row>
    <row r="44" spans="1:70" ht="26.25" customHeight="1" x14ac:dyDescent="0.3">
      <c r="A44" s="218"/>
      <c r="B44" s="247"/>
      <c r="C44" s="247"/>
      <c r="D44" s="247"/>
      <c r="E44" s="155"/>
      <c r="F44" s="250"/>
      <c r="G44" s="156"/>
      <c r="H44" s="247"/>
      <c r="I44" s="253"/>
      <c r="J44" s="237"/>
      <c r="K44" s="235"/>
      <c r="L44" s="257"/>
      <c r="M44" s="235">
        <f ca="1">IF(NOT(ISERROR(MATCH(L44,_xlfn.ANCHORARRAY(F55),0))),K57&amp;"Por favor no seleccionar los criterios de impacto",L44)</f>
        <v>0</v>
      </c>
      <c r="N44" s="237"/>
      <c r="O44" s="235"/>
      <c r="P44" s="243"/>
      <c r="Q44" s="137">
        <v>4</v>
      </c>
      <c r="R44" s="93"/>
      <c r="S44" s="148" t="str">
        <f t="shared" si="81"/>
        <v/>
      </c>
      <c r="T44" s="138"/>
      <c r="U44" s="138"/>
      <c r="V44" s="139" t="str">
        <f t="shared" si="77"/>
        <v/>
      </c>
      <c r="W44" s="138"/>
      <c r="X44" s="138"/>
      <c r="Y44" s="138"/>
      <c r="Z44" s="140" t="str">
        <f t="shared" ref="Z44:Z46" si="84">IFERROR(IF(AND(S43="Probabilidad",S44="Probabilidad"),(AB43-(+AB43*V44)),IF(AND(S43="Impacto",S44="Probabilidad"),(AB42-(+AB42*V44)),IF(S44="Impacto",AB43,""))),"")</f>
        <v/>
      </c>
      <c r="AA44" s="141" t="str">
        <f t="shared" si="78"/>
        <v/>
      </c>
      <c r="AB44" s="142" t="str">
        <f t="shared" si="82"/>
        <v/>
      </c>
      <c r="AC44" s="141" t="str">
        <f t="shared" si="79"/>
        <v/>
      </c>
      <c r="AD44" s="146" t="str">
        <f t="shared" si="83"/>
        <v/>
      </c>
      <c r="AE44" s="143" t="str">
        <f t="shared" si="80"/>
        <v/>
      </c>
      <c r="AF44" s="144"/>
      <c r="AG44" s="112"/>
      <c r="AH44" s="132"/>
      <c r="AI44" s="131"/>
      <c r="AJ44" s="131"/>
      <c r="AK44" s="112"/>
      <c r="AL44" s="132"/>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row>
    <row r="45" spans="1:70" ht="26.25" customHeight="1" x14ac:dyDescent="0.3">
      <c r="A45" s="218"/>
      <c r="B45" s="247"/>
      <c r="C45" s="247"/>
      <c r="D45" s="247"/>
      <c r="E45" s="155"/>
      <c r="F45" s="250"/>
      <c r="G45" s="156"/>
      <c r="H45" s="247"/>
      <c r="I45" s="253"/>
      <c r="J45" s="237"/>
      <c r="K45" s="235"/>
      <c r="L45" s="257"/>
      <c r="M45" s="235">
        <f ca="1">IF(NOT(ISERROR(MATCH(L45,_xlfn.ANCHORARRAY(F56),0))),K58&amp;"Por favor no seleccionar los criterios de impacto",L45)</f>
        <v>0</v>
      </c>
      <c r="N45" s="237"/>
      <c r="O45" s="235"/>
      <c r="P45" s="243"/>
      <c r="Q45" s="137">
        <v>5</v>
      </c>
      <c r="R45" s="93"/>
      <c r="S45" s="148" t="str">
        <f t="shared" si="81"/>
        <v/>
      </c>
      <c r="T45" s="138"/>
      <c r="U45" s="138"/>
      <c r="V45" s="139" t="str">
        <f t="shared" si="77"/>
        <v/>
      </c>
      <c r="W45" s="138"/>
      <c r="X45" s="138"/>
      <c r="Y45" s="138"/>
      <c r="Z45" s="140" t="str">
        <f t="shared" si="84"/>
        <v/>
      </c>
      <c r="AA45" s="141" t="str">
        <f t="shared" si="78"/>
        <v/>
      </c>
      <c r="AB45" s="142" t="str">
        <f t="shared" si="82"/>
        <v/>
      </c>
      <c r="AC45" s="141" t="str">
        <f t="shared" si="79"/>
        <v/>
      </c>
      <c r="AD45" s="146" t="str">
        <f t="shared" si="83"/>
        <v/>
      </c>
      <c r="AE45" s="143" t="str">
        <f t="shared" si="80"/>
        <v/>
      </c>
      <c r="AF45" s="144"/>
      <c r="AG45" s="112"/>
      <c r="AH45" s="132"/>
      <c r="AI45" s="131"/>
      <c r="AJ45" s="131"/>
      <c r="AK45" s="112"/>
      <c r="AL45" s="132"/>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row>
    <row r="46" spans="1:70" ht="26.25" customHeight="1" x14ac:dyDescent="0.3">
      <c r="A46" s="245"/>
      <c r="B46" s="248"/>
      <c r="C46" s="248"/>
      <c r="D46" s="248"/>
      <c r="E46" s="157"/>
      <c r="F46" s="251"/>
      <c r="G46" s="158"/>
      <c r="H46" s="248"/>
      <c r="I46" s="254"/>
      <c r="J46" s="255"/>
      <c r="K46" s="241"/>
      <c r="L46" s="258"/>
      <c r="M46" s="241">
        <f ca="1">IF(NOT(ISERROR(MATCH(L46,_xlfn.ANCHORARRAY(F57),0))),K59&amp;"Por favor no seleccionar los criterios de impacto",L46)</f>
        <v>0</v>
      </c>
      <c r="N46" s="255"/>
      <c r="O46" s="241"/>
      <c r="P46" s="244"/>
      <c r="Q46" s="137">
        <v>6</v>
      </c>
      <c r="R46" s="93"/>
      <c r="S46" s="148" t="str">
        <f t="shared" si="81"/>
        <v/>
      </c>
      <c r="T46" s="138"/>
      <c r="U46" s="138"/>
      <c r="V46" s="139" t="str">
        <f t="shared" si="77"/>
        <v/>
      </c>
      <c r="W46" s="138"/>
      <c r="X46" s="138"/>
      <c r="Y46" s="138"/>
      <c r="Z46" s="140" t="str">
        <f t="shared" si="84"/>
        <v/>
      </c>
      <c r="AA46" s="141" t="str">
        <f t="shared" si="78"/>
        <v/>
      </c>
      <c r="AB46" s="142" t="str">
        <f t="shared" si="82"/>
        <v/>
      </c>
      <c r="AC46" s="141" t="str">
        <f t="shared" si="79"/>
        <v/>
      </c>
      <c r="AD46" s="146" t="str">
        <f t="shared" si="83"/>
        <v/>
      </c>
      <c r="AE46" s="143" t="str">
        <f t="shared" si="80"/>
        <v/>
      </c>
      <c r="AF46" s="144"/>
      <c r="AG46" s="112"/>
      <c r="AH46" s="132"/>
      <c r="AI46" s="131"/>
      <c r="AJ46" s="131"/>
      <c r="AK46" s="112"/>
      <c r="AL46" s="132"/>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row>
    <row r="47" spans="1:70" ht="26.25" customHeight="1" x14ac:dyDescent="0.3">
      <c r="A47" s="217">
        <v>9</v>
      </c>
      <c r="B47" s="246"/>
      <c r="C47" s="246"/>
      <c r="D47" s="246"/>
      <c r="E47" s="159"/>
      <c r="F47" s="249"/>
      <c r="G47" s="160"/>
      <c r="H47" s="246"/>
      <c r="I47" s="252"/>
      <c r="J47" s="236" t="str">
        <f t="shared" ref="J47" si="85">IF(I47&lt;=0,"",IF(I47&lt;=2,"Muy Baja",IF(I47&lt;=24,"Baja",IF(I47&lt;=500,"Media",IF(I47&lt;=5000,"Alta","Muy Alta")))))</f>
        <v/>
      </c>
      <c r="K47" s="234" t="str">
        <f t="shared" ref="K47" si="86">IF(J47="","",IF(J47="Muy Baja",0.2,IF(J47="Baja",0.4,IF(J47="Media",0.6,IF(J47="Alta",0.8,IF(J47="Muy Alta",1,))))))</f>
        <v/>
      </c>
      <c r="L47" s="256"/>
      <c r="M47" s="234">
        <f ca="1">IF(NOT(ISERROR(MATCH(L47,'Tabla Impacto'!$B$221:$B$223,0))),'Tabla Impacto'!$F$223&amp;"Por favor no seleccionar los criterios de impacto(Afectación Económica o presupuestal y Pérdida Reputacional)",L47)</f>
        <v>0</v>
      </c>
      <c r="N47" s="236" t="str">
        <f ca="1">IF(OR(M47='Tabla Impacto'!$C$11,M47='Tabla Impacto'!$D$11),"Leve",IF(OR(M47='Tabla Impacto'!$C$12,M47='Tabla Impacto'!$D$12),"Menor",IF(OR(M47='Tabla Impacto'!$C$13,M47='Tabla Impacto'!$D$13),"Moderado",IF(OR(M47='Tabla Impacto'!$C$14,M47='Tabla Impacto'!$D$14),"Mayor",IF(OR(M47='Tabla Impacto'!$C$15,M47='Tabla Impacto'!$D$15),"Catastrófico","")))))</f>
        <v/>
      </c>
      <c r="O47" s="234" t="str">
        <f t="shared" ref="O47" ca="1" si="87">IF(N47="","",IF(N47="Leve",0.2,IF(N47="Menor",0.4,IF(N47="Moderado",0.6,IF(N47="Mayor",0.8,IF(N47="Catastrófico",1,))))))</f>
        <v/>
      </c>
      <c r="P47" s="242" t="str">
        <f t="shared" ref="P47" ca="1" si="88">IF(OR(AND(J47="Muy Baja",N47="Leve"),AND(J47="Muy Baja",N47="Menor"),AND(J47="Baja",N47="Leve")),"Bajo",IF(OR(AND(J47="Muy baja",N47="Moderado"),AND(J47="Baja",N47="Menor"),AND(J47="Baja",N47="Moderado"),AND(J47="Media",N47="Leve"),AND(J47="Media",N47="Menor"),AND(J47="Media",N47="Moderado"),AND(J47="Alta",N47="Leve"),AND(J47="Alta",N47="Menor")),"Moderado",IF(OR(AND(J47="Muy Baja",N47="Mayor"),AND(J47="Baja",N47="Mayor"),AND(J47="Media",N47="Mayor"),AND(J47="Alta",N47="Moderado"),AND(J47="Alta",N47="Mayor"),AND(J47="Muy Alta",N47="Leve"),AND(J47="Muy Alta",N47="Menor"),AND(J47="Muy Alta",N47="Moderado"),AND(J47="Muy Alta",N47="Mayor")),"Alto",IF(OR(AND(J47="Muy Baja",N47="Catastrófico"),AND(J47="Baja",N47="Catastrófico"),AND(J47="Media",N47="Catastrófico"),AND(J47="Alta",N47="Catastrófico"),AND(J47="Muy Alta",N47="Catastrófico")),"Extremo",""))))</f>
        <v/>
      </c>
      <c r="Q47" s="137">
        <v>1</v>
      </c>
      <c r="R47" s="93"/>
      <c r="S47" s="148" t="str">
        <f>IF(OR(T47="Preventivo",T47="Detectivo"),"Probabilidad",IF(T47="Correctivo","Impacto",""))</f>
        <v/>
      </c>
      <c r="T47" s="138"/>
      <c r="U47" s="138"/>
      <c r="V47" s="139" t="str">
        <f>IF(AND(T47="Preventivo",U47="Automático"),"50%",IF(AND(T47="Preventivo",U47="Manual"),"40%",IF(AND(T47="Detectivo",U47="Automático"),"40%",IF(AND(T47="Detectivo",U47="Manual"),"30%",IF(AND(T47="Correctivo",U47="Automático"),"35%",IF(AND(T47="Correctivo",U47="Manual"),"25%",""))))))</f>
        <v/>
      </c>
      <c r="W47" s="138"/>
      <c r="X47" s="138"/>
      <c r="Y47" s="138"/>
      <c r="Z47" s="140" t="str">
        <f>IFERROR(IF(S47="Probabilidad",(K47-(+K47*V47)),IF(S47="Impacto",K47,"")),"")</f>
        <v/>
      </c>
      <c r="AA47" s="141" t="str">
        <f>IFERROR(IF(Z47="","",IF(Z47&lt;=0.2,"Muy Baja",IF(Z47&lt;=0.4,"Baja",IF(Z47&lt;=0.6,"Media",IF(Z47&lt;=0.8,"Alta","Muy Alta"))))),"")</f>
        <v/>
      </c>
      <c r="AB47" s="142" t="str">
        <f>+Z47</f>
        <v/>
      </c>
      <c r="AC47" s="141" t="str">
        <f>IFERROR(IF(AD47="","",IF(AD47&lt;=0.2,"Leve",IF(AD47&lt;=0.4,"Menor",IF(AD47&lt;=0.6,"Moderado",IF(AD47&lt;=0.8,"Mayor","Catastrófico"))))),"")</f>
        <v/>
      </c>
      <c r="AD47" s="142" t="str">
        <f>IFERROR(IF(S47="Impacto",(O47-(+O47*V47)),IF(S47="Probabilidad",O47,"")),"")</f>
        <v/>
      </c>
      <c r="AE47" s="143" t="str">
        <f>IFERROR(IF(OR(AND(AA47="Muy Baja",AC47="Leve"),AND(AA47="Muy Baja",AC47="Menor"),AND(AA47="Baja",AC47="Leve")),"Bajo",IF(OR(AND(AA47="Muy baja",AC47="Moderado"),AND(AA47="Baja",AC47="Menor"),AND(AA47="Baja",AC47="Moderado"),AND(AA47="Media",AC47="Leve"),AND(AA47="Media",AC47="Menor"),AND(AA47="Media",AC47="Moderado"),AND(AA47="Alta",AC47="Leve"),AND(AA47="Alta",AC47="Menor")),"Moderado",IF(OR(AND(AA47="Muy Baja",AC47="Mayor"),AND(AA47="Baja",AC47="Mayor"),AND(AA47="Media",AC47="Mayor"),AND(AA47="Alta",AC47="Moderado"),AND(AA47="Alta",AC47="Mayor"),AND(AA47="Muy Alta",AC47="Leve"),AND(AA47="Muy Alta",AC47="Menor"),AND(AA47="Muy Alta",AC47="Moderado"),AND(AA47="Muy Alta",AC47="Mayor")),"Alto",IF(OR(AND(AA47="Muy Baja",AC47="Catastrófico"),AND(AA47="Baja",AC47="Catastrófico"),AND(AA47="Media",AC47="Catastrófico"),AND(AA47="Alta",AC47="Catastrófico"),AND(AA47="Muy Alta",AC47="Catastrófico")),"Extremo","")))),"")</f>
        <v/>
      </c>
      <c r="AF47" s="144"/>
      <c r="AG47" s="112"/>
      <c r="AH47" s="132"/>
      <c r="AI47" s="131"/>
      <c r="AJ47" s="131"/>
      <c r="AK47" s="112"/>
      <c r="AL47" s="132"/>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row>
    <row r="48" spans="1:70" ht="26.25" customHeight="1" x14ac:dyDescent="0.3">
      <c r="A48" s="218"/>
      <c r="B48" s="247"/>
      <c r="C48" s="247"/>
      <c r="D48" s="247"/>
      <c r="E48" s="155"/>
      <c r="F48" s="250"/>
      <c r="G48" s="156"/>
      <c r="H48" s="247"/>
      <c r="I48" s="253"/>
      <c r="J48" s="237"/>
      <c r="K48" s="235"/>
      <c r="L48" s="257"/>
      <c r="M48" s="235">
        <f ca="1">IF(NOT(ISERROR(MATCH(L48,_xlfn.ANCHORARRAY(F59),0))),K61&amp;"Por favor no seleccionar los criterios de impacto",L48)</f>
        <v>0</v>
      </c>
      <c r="N48" s="237"/>
      <c r="O48" s="235"/>
      <c r="P48" s="243"/>
      <c r="Q48" s="137">
        <v>2</v>
      </c>
      <c r="R48" s="93"/>
      <c r="S48" s="148" t="str">
        <f>IF(OR(T48="Preventivo",T48="Detectivo"),"Probabilidad",IF(T48="Correctivo","Impacto",""))</f>
        <v/>
      </c>
      <c r="T48" s="138"/>
      <c r="U48" s="138"/>
      <c r="V48" s="139" t="str">
        <f t="shared" ref="V48:V52" si="89">IF(AND(T48="Preventivo",U48="Automático"),"50%",IF(AND(T48="Preventivo",U48="Manual"),"40%",IF(AND(T48="Detectivo",U48="Automático"),"40%",IF(AND(T48="Detectivo",U48="Manual"),"30%",IF(AND(T48="Correctivo",U48="Automático"),"35%",IF(AND(T48="Correctivo",U48="Manual"),"25%",""))))))</f>
        <v/>
      </c>
      <c r="W48" s="138"/>
      <c r="X48" s="138"/>
      <c r="Y48" s="138"/>
      <c r="Z48" s="140" t="str">
        <f>IFERROR(IF(AND(S47="Probabilidad",S48="Probabilidad"),(AB47-(+AB47*V48)),IF(AND(S47="Impacto",S48="Probabilidad"),(K47-(+K47*V48)),IF(S48="Impacto",AB47,""))),"")</f>
        <v/>
      </c>
      <c r="AA48" s="141" t="str">
        <f t="shared" ref="AA48:AA52" si="90">IFERROR(IF(Z48="","",IF(Z48&lt;=0.2,"Muy Baja",IF(Z48&lt;=0.4,"Baja",IF(Z48&lt;=0.6,"Media",IF(Z48&lt;=0.8,"Alta","Muy Alta"))))),"")</f>
        <v/>
      </c>
      <c r="AB48" s="142" t="str">
        <f>+Z48</f>
        <v/>
      </c>
      <c r="AC48" s="141" t="str">
        <f t="shared" ref="AC48:AC52" si="91">IFERROR(IF(AD48="","",IF(AD48&lt;=0.2,"Leve",IF(AD48&lt;=0.4,"Menor",IF(AD48&lt;=0.6,"Moderado",IF(AD48&lt;=0.8,"Mayor","Catastrófico"))))),"")</f>
        <v/>
      </c>
      <c r="AD48" s="146" t="str">
        <f>IFERROR(IF(AND(S47="Impacto",S48="Impacto"),(AD47-(+AD47*V48)),IF(AND(S47="Probabilidad",S48="Impacto"),(O47-(+O47*V48)),IF(S48="Probabilidad",AD47,""))),"")</f>
        <v/>
      </c>
      <c r="AE48" s="143" t="str">
        <f t="shared" ref="AE48:AE52" si="92">IFERROR(IF(OR(AND(AA48="Muy Baja",AC48="Leve"),AND(AA48="Muy Baja",AC48="Menor"),AND(AA48="Baja",AC48="Leve")),"Bajo",IF(OR(AND(AA48="Muy baja",AC48="Moderado"),AND(AA48="Baja",AC48="Menor"),AND(AA48="Baja",AC48="Moderado"),AND(AA48="Media",AC48="Leve"),AND(AA48="Media",AC48="Menor"),AND(AA48="Media",AC48="Moderado"),AND(AA48="Alta",AC48="Leve"),AND(AA48="Alta",AC48="Menor")),"Moderado",IF(OR(AND(AA48="Muy Baja",AC48="Mayor"),AND(AA48="Baja",AC48="Mayor"),AND(AA48="Media",AC48="Mayor"),AND(AA48="Alta",AC48="Moderado"),AND(AA48="Alta",AC48="Mayor"),AND(AA48="Muy Alta",AC48="Leve"),AND(AA48="Muy Alta",AC48="Menor"),AND(AA48="Muy Alta",AC48="Moderado"),AND(AA48="Muy Alta",AC48="Mayor")),"Alto",IF(OR(AND(AA48="Muy Baja",AC48="Catastrófico"),AND(AA48="Baja",AC48="Catastrófico"),AND(AA48="Media",AC48="Catastrófico"),AND(AA48="Alta",AC48="Catastrófico"),AND(AA48="Muy Alta",AC48="Catastrófico")),"Extremo","")))),"")</f>
        <v/>
      </c>
      <c r="AF48" s="144"/>
      <c r="AG48" s="112"/>
      <c r="AH48" s="132"/>
      <c r="AI48" s="131"/>
      <c r="AJ48" s="131"/>
      <c r="AK48" s="112"/>
      <c r="AL48" s="132"/>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row>
    <row r="49" spans="1:70" ht="26.25" customHeight="1" x14ac:dyDescent="0.3">
      <c r="A49" s="218"/>
      <c r="B49" s="247"/>
      <c r="C49" s="247"/>
      <c r="D49" s="247"/>
      <c r="E49" s="155"/>
      <c r="F49" s="250"/>
      <c r="G49" s="156"/>
      <c r="H49" s="247"/>
      <c r="I49" s="253"/>
      <c r="J49" s="237"/>
      <c r="K49" s="235"/>
      <c r="L49" s="257"/>
      <c r="M49" s="235">
        <f ca="1">IF(NOT(ISERROR(MATCH(L49,_xlfn.ANCHORARRAY(F60),0))),K62&amp;"Por favor no seleccionar los criterios de impacto",L49)</f>
        <v>0</v>
      </c>
      <c r="N49" s="237"/>
      <c r="O49" s="235"/>
      <c r="P49" s="243"/>
      <c r="Q49" s="137">
        <v>3</v>
      </c>
      <c r="R49" s="147"/>
      <c r="S49" s="148" t="str">
        <f t="shared" ref="S49:S52" si="93">IF(OR(T49="Preventivo",T49="Detectivo"),"Probabilidad",IF(T49="Correctivo","Impacto",""))</f>
        <v/>
      </c>
      <c r="T49" s="138"/>
      <c r="U49" s="138"/>
      <c r="V49" s="139" t="str">
        <f t="shared" si="89"/>
        <v/>
      </c>
      <c r="W49" s="138"/>
      <c r="X49" s="138"/>
      <c r="Y49" s="138"/>
      <c r="Z49" s="140" t="str">
        <f>IFERROR(IF(AND(S48="Probabilidad",S49="Probabilidad"),(AB48-(+AB48*V49)),IF(AND(S48="Impacto",S49="Probabilidad"),(AB47-(+AB47*V49)),IF(S49="Impacto",AB48,""))),"")</f>
        <v/>
      </c>
      <c r="AA49" s="141" t="str">
        <f t="shared" si="90"/>
        <v/>
      </c>
      <c r="AB49" s="142" t="str">
        <f t="shared" ref="AB49:AB52" si="94">+Z49</f>
        <v/>
      </c>
      <c r="AC49" s="141" t="str">
        <f t="shared" si="91"/>
        <v/>
      </c>
      <c r="AD49" s="146" t="str">
        <f t="shared" ref="AD49:AD52" si="95">IFERROR(IF(AND(S48="Impacto",S49="Impacto"),(AD48-(+AD48*V49)),IF(AND(S48="Probabilidad",S49="Impacto"),(AD47-(+AD47*V49)),IF(S49="Probabilidad",AD48,""))),"")</f>
        <v/>
      </c>
      <c r="AE49" s="143" t="str">
        <f t="shared" si="92"/>
        <v/>
      </c>
      <c r="AF49" s="144"/>
      <c r="AG49" s="112"/>
      <c r="AH49" s="132"/>
      <c r="AI49" s="131"/>
      <c r="AJ49" s="131"/>
      <c r="AK49" s="112"/>
      <c r="AL49" s="132"/>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row>
    <row r="50" spans="1:70" ht="26.25" customHeight="1" x14ac:dyDescent="0.3">
      <c r="A50" s="218"/>
      <c r="B50" s="247"/>
      <c r="C50" s="247"/>
      <c r="D50" s="247"/>
      <c r="E50" s="155"/>
      <c r="F50" s="250"/>
      <c r="G50" s="156"/>
      <c r="H50" s="247"/>
      <c r="I50" s="253"/>
      <c r="J50" s="237"/>
      <c r="K50" s="235"/>
      <c r="L50" s="257"/>
      <c r="M50" s="235">
        <f ca="1">IF(NOT(ISERROR(MATCH(L50,_xlfn.ANCHORARRAY(F61),0))),K63&amp;"Por favor no seleccionar los criterios de impacto",L50)</f>
        <v>0</v>
      </c>
      <c r="N50" s="237"/>
      <c r="O50" s="235"/>
      <c r="P50" s="243"/>
      <c r="Q50" s="137">
        <v>4</v>
      </c>
      <c r="R50" s="93"/>
      <c r="S50" s="148" t="str">
        <f t="shared" si="93"/>
        <v/>
      </c>
      <c r="T50" s="138"/>
      <c r="U50" s="138"/>
      <c r="V50" s="139" t="str">
        <f t="shared" si="89"/>
        <v/>
      </c>
      <c r="W50" s="138"/>
      <c r="X50" s="138"/>
      <c r="Y50" s="138"/>
      <c r="Z50" s="140" t="str">
        <f t="shared" ref="Z50:Z52" si="96">IFERROR(IF(AND(S49="Probabilidad",S50="Probabilidad"),(AB49-(+AB49*V50)),IF(AND(S49="Impacto",S50="Probabilidad"),(AB48-(+AB48*V50)),IF(S50="Impacto",AB49,""))),"")</f>
        <v/>
      </c>
      <c r="AA50" s="141" t="str">
        <f t="shared" si="90"/>
        <v/>
      </c>
      <c r="AB50" s="142" t="str">
        <f t="shared" si="94"/>
        <v/>
      </c>
      <c r="AC50" s="141" t="str">
        <f t="shared" si="91"/>
        <v/>
      </c>
      <c r="AD50" s="146" t="str">
        <f t="shared" si="95"/>
        <v/>
      </c>
      <c r="AE50" s="143" t="str">
        <f t="shared" si="92"/>
        <v/>
      </c>
      <c r="AF50" s="144"/>
      <c r="AG50" s="112"/>
      <c r="AH50" s="132"/>
      <c r="AI50" s="131"/>
      <c r="AJ50" s="131"/>
      <c r="AK50" s="112"/>
      <c r="AL50" s="132"/>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row>
    <row r="51" spans="1:70" ht="26.25" customHeight="1" x14ac:dyDescent="0.3">
      <c r="A51" s="218"/>
      <c r="B51" s="247"/>
      <c r="C51" s="247"/>
      <c r="D51" s="247"/>
      <c r="E51" s="155"/>
      <c r="F51" s="250"/>
      <c r="G51" s="156"/>
      <c r="H51" s="247"/>
      <c r="I51" s="253"/>
      <c r="J51" s="237"/>
      <c r="K51" s="235"/>
      <c r="L51" s="257"/>
      <c r="M51" s="235">
        <f ca="1">IF(NOT(ISERROR(MATCH(L51,_xlfn.ANCHORARRAY(F62),0))),K64&amp;"Por favor no seleccionar los criterios de impacto",L51)</f>
        <v>0</v>
      </c>
      <c r="N51" s="237"/>
      <c r="O51" s="235"/>
      <c r="P51" s="243"/>
      <c r="Q51" s="137">
        <v>5</v>
      </c>
      <c r="R51" s="93"/>
      <c r="S51" s="148" t="str">
        <f t="shared" si="93"/>
        <v/>
      </c>
      <c r="T51" s="138"/>
      <c r="U51" s="138"/>
      <c r="V51" s="139" t="str">
        <f t="shared" si="89"/>
        <v/>
      </c>
      <c r="W51" s="138"/>
      <c r="X51" s="138"/>
      <c r="Y51" s="138"/>
      <c r="Z51" s="140" t="str">
        <f t="shared" si="96"/>
        <v/>
      </c>
      <c r="AA51" s="141" t="str">
        <f t="shared" si="90"/>
        <v/>
      </c>
      <c r="AB51" s="142" t="str">
        <f t="shared" si="94"/>
        <v/>
      </c>
      <c r="AC51" s="141" t="str">
        <f t="shared" si="91"/>
        <v/>
      </c>
      <c r="AD51" s="146" t="str">
        <f t="shared" si="95"/>
        <v/>
      </c>
      <c r="AE51" s="143" t="str">
        <f t="shared" si="92"/>
        <v/>
      </c>
      <c r="AF51" s="144"/>
      <c r="AG51" s="112"/>
      <c r="AH51" s="132"/>
      <c r="AI51" s="131"/>
      <c r="AJ51" s="131"/>
      <c r="AK51" s="112"/>
      <c r="AL51" s="132"/>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row>
    <row r="52" spans="1:70" ht="26.25" customHeight="1" x14ac:dyDescent="0.3">
      <c r="A52" s="245"/>
      <c r="B52" s="248"/>
      <c r="C52" s="248"/>
      <c r="D52" s="248"/>
      <c r="E52" s="157"/>
      <c r="F52" s="251"/>
      <c r="G52" s="158"/>
      <c r="H52" s="248"/>
      <c r="I52" s="254"/>
      <c r="J52" s="255"/>
      <c r="K52" s="241"/>
      <c r="L52" s="258"/>
      <c r="M52" s="241">
        <f ca="1">IF(NOT(ISERROR(MATCH(L52,_xlfn.ANCHORARRAY(F63),0))),K65&amp;"Por favor no seleccionar los criterios de impacto",L52)</f>
        <v>0</v>
      </c>
      <c r="N52" s="255"/>
      <c r="O52" s="241"/>
      <c r="P52" s="244"/>
      <c r="Q52" s="137">
        <v>6</v>
      </c>
      <c r="R52" s="93"/>
      <c r="S52" s="148" t="str">
        <f t="shared" si="93"/>
        <v/>
      </c>
      <c r="T52" s="138"/>
      <c r="U52" s="138"/>
      <c r="V52" s="139" t="str">
        <f t="shared" si="89"/>
        <v/>
      </c>
      <c r="W52" s="138"/>
      <c r="X52" s="138"/>
      <c r="Y52" s="138"/>
      <c r="Z52" s="140" t="str">
        <f t="shared" si="96"/>
        <v/>
      </c>
      <c r="AA52" s="141" t="str">
        <f t="shared" si="90"/>
        <v/>
      </c>
      <c r="AB52" s="142" t="str">
        <f t="shared" si="94"/>
        <v/>
      </c>
      <c r="AC52" s="141" t="str">
        <f t="shared" si="91"/>
        <v/>
      </c>
      <c r="AD52" s="146" t="str">
        <f t="shared" si="95"/>
        <v/>
      </c>
      <c r="AE52" s="143" t="str">
        <f t="shared" si="92"/>
        <v/>
      </c>
      <c r="AF52" s="144"/>
      <c r="AG52" s="112"/>
      <c r="AH52" s="132"/>
      <c r="AI52" s="131"/>
      <c r="AJ52" s="131"/>
      <c r="AK52" s="112"/>
      <c r="AL52" s="132"/>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row>
    <row r="53" spans="1:70" ht="19.5" customHeight="1" x14ac:dyDescent="0.3">
      <c r="A53" s="217">
        <v>10</v>
      </c>
      <c r="B53" s="246"/>
      <c r="C53" s="246"/>
      <c r="D53" s="246"/>
      <c r="E53" s="159"/>
      <c r="F53" s="249"/>
      <c r="G53" s="160"/>
      <c r="H53" s="246"/>
      <c r="I53" s="252"/>
      <c r="J53" s="236" t="str">
        <f t="shared" ref="J53" si="97">IF(I53&lt;=0,"",IF(I53&lt;=2,"Muy Baja",IF(I53&lt;=24,"Baja",IF(I53&lt;=500,"Media",IF(I53&lt;=5000,"Alta","Muy Alta")))))</f>
        <v/>
      </c>
      <c r="K53" s="234" t="str">
        <f t="shared" ref="K53" si="98">IF(J53="","",IF(J53="Muy Baja",0.2,IF(J53="Baja",0.4,IF(J53="Media",0.6,IF(J53="Alta",0.8,IF(J53="Muy Alta",1,))))))</f>
        <v/>
      </c>
      <c r="L53" s="256"/>
      <c r="M53" s="234">
        <f ca="1">IF(NOT(ISERROR(MATCH(L53,'Tabla Impacto'!$B$221:$B$223,0))),'Tabla Impacto'!$F$223&amp;"Por favor no seleccionar los criterios de impacto(Afectación Económica o presupuestal y Pérdida Reputacional)",L53)</f>
        <v>0</v>
      </c>
      <c r="N53" s="236" t="str">
        <f ca="1">IF(OR(M53='Tabla Impacto'!$C$11,M53='Tabla Impacto'!$D$11),"Leve",IF(OR(M53='Tabla Impacto'!$C$12,M53='Tabla Impacto'!$D$12),"Menor",IF(OR(M53='Tabla Impacto'!$C$13,M53='Tabla Impacto'!$D$13),"Moderado",IF(OR(M53='Tabla Impacto'!$C$14,M53='Tabla Impacto'!$D$14),"Mayor",IF(OR(M53='Tabla Impacto'!$C$15,M53='Tabla Impacto'!$D$15),"Catastrófico","")))))</f>
        <v/>
      </c>
      <c r="O53" s="234" t="str">
        <f t="shared" ref="O53" ca="1" si="99">IF(N53="","",IF(N53="Leve",0.2,IF(N53="Menor",0.4,IF(N53="Moderado",0.6,IF(N53="Mayor",0.8,IF(N53="Catastrófico",1,))))))</f>
        <v/>
      </c>
      <c r="P53" s="242" t="str">
        <f t="shared" ref="P53" ca="1" si="100">IF(OR(AND(J53="Muy Baja",N53="Leve"),AND(J53="Muy Baja",N53="Menor"),AND(J53="Baja",N53="Leve")),"Bajo",IF(OR(AND(J53="Muy baja",N53="Moderado"),AND(J53="Baja",N53="Menor"),AND(J53="Baja",N53="Moderado"),AND(J53="Media",N53="Leve"),AND(J53="Media",N53="Menor"),AND(J53="Media",N53="Moderado"),AND(J53="Alta",N53="Leve"),AND(J53="Alta",N53="Menor")),"Moderado",IF(OR(AND(J53="Muy Baja",N53="Mayor"),AND(J53="Baja",N53="Mayor"),AND(J53="Media",N53="Mayor"),AND(J53="Alta",N53="Moderado"),AND(J53="Alta",N53="Mayor"),AND(J53="Muy Alta",N53="Leve"),AND(J53="Muy Alta",N53="Menor"),AND(J53="Muy Alta",N53="Moderado"),AND(J53="Muy Alta",N53="Mayor")),"Alto",IF(OR(AND(J53="Muy Baja",N53="Catastrófico"),AND(J53="Baja",N53="Catastrófico"),AND(J53="Media",N53="Catastrófico"),AND(J53="Alta",N53="Catastrófico"),AND(J53="Muy Alta",N53="Catastrófico")),"Extremo",""))))</f>
        <v/>
      </c>
      <c r="Q53" s="137">
        <v>1</v>
      </c>
      <c r="R53" s="93"/>
      <c r="S53" s="148" t="str">
        <f>IF(OR(T53="Preventivo",T53="Detectivo"),"Probabilidad",IF(T53="Correctivo","Impacto",""))</f>
        <v/>
      </c>
      <c r="T53" s="138"/>
      <c r="U53" s="138"/>
      <c r="V53" s="139" t="str">
        <f>IF(AND(T53="Preventivo",U53="Automático"),"50%",IF(AND(T53="Preventivo",U53="Manual"),"40%",IF(AND(T53="Detectivo",U53="Automático"),"40%",IF(AND(T53="Detectivo",U53="Manual"),"30%",IF(AND(T53="Correctivo",U53="Automático"),"35%",IF(AND(T53="Correctivo",U53="Manual"),"25%",""))))))</f>
        <v/>
      </c>
      <c r="W53" s="138"/>
      <c r="X53" s="138"/>
      <c r="Y53" s="138"/>
      <c r="Z53" s="140" t="str">
        <f>IFERROR(IF(S53="Probabilidad",(K53-(+K53*V53)),IF(S53="Impacto",K53,"")),"")</f>
        <v/>
      </c>
      <c r="AA53" s="141" t="str">
        <f>IFERROR(IF(Z53="","",IF(Z53&lt;=0.2,"Muy Baja",IF(Z53&lt;=0.4,"Baja",IF(Z53&lt;=0.6,"Media",IF(Z53&lt;=0.8,"Alta","Muy Alta"))))),"")</f>
        <v/>
      </c>
      <c r="AB53" s="142" t="str">
        <f>+Z53</f>
        <v/>
      </c>
      <c r="AC53" s="141" t="str">
        <f>IFERROR(IF(AD53="","",IF(AD53&lt;=0.2,"Leve",IF(AD53&lt;=0.4,"Menor",IF(AD53&lt;=0.6,"Moderado",IF(AD53&lt;=0.8,"Mayor","Catastrófico"))))),"")</f>
        <v/>
      </c>
      <c r="AD53" s="142" t="str">
        <f>IFERROR(IF(S53="Impacto",(O53-(+O53*V53)),IF(S53="Probabilidad",O53,"")),"")</f>
        <v/>
      </c>
      <c r="AE53" s="143" t="str">
        <f>IFERROR(IF(OR(AND(AA53="Muy Baja",AC53="Leve"),AND(AA53="Muy Baja",AC53="Menor"),AND(AA53="Baja",AC53="Leve")),"Bajo",IF(OR(AND(AA53="Muy baja",AC53="Moderado"),AND(AA53="Baja",AC53="Menor"),AND(AA53="Baja",AC53="Moderado"),AND(AA53="Media",AC53="Leve"),AND(AA53="Media",AC53="Menor"),AND(AA53="Media",AC53="Moderado"),AND(AA53="Alta",AC53="Leve"),AND(AA53="Alta",AC53="Menor")),"Moderado",IF(OR(AND(AA53="Muy Baja",AC53="Mayor"),AND(AA53="Baja",AC53="Mayor"),AND(AA53="Media",AC53="Mayor"),AND(AA53="Alta",AC53="Moderado"),AND(AA53="Alta",AC53="Mayor"),AND(AA53="Muy Alta",AC53="Leve"),AND(AA53="Muy Alta",AC53="Menor"),AND(AA53="Muy Alta",AC53="Moderado"),AND(AA53="Muy Alta",AC53="Mayor")),"Alto",IF(OR(AND(AA53="Muy Baja",AC53="Catastrófico"),AND(AA53="Baja",AC53="Catastrófico"),AND(AA53="Media",AC53="Catastrófico"),AND(AA53="Alta",AC53="Catastrófico"),AND(AA53="Muy Alta",AC53="Catastrófico")),"Extremo","")))),"")</f>
        <v/>
      </c>
      <c r="AF53" s="144"/>
      <c r="AG53" s="112"/>
      <c r="AH53" s="132"/>
      <c r="AI53" s="131"/>
      <c r="AJ53" s="131"/>
      <c r="AK53" s="112"/>
      <c r="AL53" s="132"/>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row>
    <row r="54" spans="1:70" ht="19.5" customHeight="1" x14ac:dyDescent="0.3">
      <c r="A54" s="218"/>
      <c r="B54" s="247"/>
      <c r="C54" s="247"/>
      <c r="D54" s="247"/>
      <c r="E54" s="155"/>
      <c r="F54" s="250"/>
      <c r="G54" s="156"/>
      <c r="H54" s="247"/>
      <c r="I54" s="253"/>
      <c r="J54" s="237"/>
      <c r="K54" s="235"/>
      <c r="L54" s="257"/>
      <c r="M54" s="235">
        <f ca="1">IF(NOT(ISERROR(MATCH(L54,_xlfn.ANCHORARRAY(F65),0))),K67&amp;"Por favor no seleccionar los criterios de impacto",L54)</f>
        <v>0</v>
      </c>
      <c r="N54" s="237"/>
      <c r="O54" s="235"/>
      <c r="P54" s="243"/>
      <c r="Q54" s="137">
        <v>2</v>
      </c>
      <c r="R54" s="93"/>
      <c r="S54" s="148" t="str">
        <f>IF(OR(T54="Preventivo",T54="Detectivo"),"Probabilidad",IF(T54="Correctivo","Impacto",""))</f>
        <v/>
      </c>
      <c r="T54" s="138"/>
      <c r="U54" s="138"/>
      <c r="V54" s="139" t="str">
        <f t="shared" ref="V54:V58" si="101">IF(AND(T54="Preventivo",U54="Automático"),"50%",IF(AND(T54="Preventivo",U54="Manual"),"40%",IF(AND(T54="Detectivo",U54="Automático"),"40%",IF(AND(T54="Detectivo",U54="Manual"),"30%",IF(AND(T54="Correctivo",U54="Automático"),"35%",IF(AND(T54="Correctivo",U54="Manual"),"25%",""))))))</f>
        <v/>
      </c>
      <c r="W54" s="138"/>
      <c r="X54" s="138"/>
      <c r="Y54" s="138"/>
      <c r="Z54" s="140" t="str">
        <f>IFERROR(IF(AND(S53="Probabilidad",S54="Probabilidad"),(AB53-(+AB53*V54)),IF(AND(S53="Impacto",S54="Probabilidad"),(K53-(+K53*V54)),IF(S54="Impacto",AB53,""))),"")</f>
        <v/>
      </c>
      <c r="AA54" s="141" t="str">
        <f t="shared" ref="AA54:AA58" si="102">IFERROR(IF(Z54="","",IF(Z54&lt;=0.2,"Muy Baja",IF(Z54&lt;=0.4,"Baja",IF(Z54&lt;=0.6,"Media",IF(Z54&lt;=0.8,"Alta","Muy Alta"))))),"")</f>
        <v/>
      </c>
      <c r="AB54" s="142" t="str">
        <f>+Z54</f>
        <v/>
      </c>
      <c r="AC54" s="141" t="str">
        <f t="shared" ref="AC54:AC58" si="103">IFERROR(IF(AD54="","",IF(AD54&lt;=0.2,"Leve",IF(AD54&lt;=0.4,"Menor",IF(AD54&lt;=0.6,"Moderado",IF(AD54&lt;=0.8,"Mayor","Catastrófico"))))),"")</f>
        <v/>
      </c>
      <c r="AD54" s="146" t="str">
        <f>IFERROR(IF(AND(S53="Impacto",S54="Impacto"),(AD53-(+AD53*V54)),IF(AND(S53="Probabilidad",S54="Impacto"),(O53-(+O53*V54)),IF(S54="Probabilidad",AD53,""))),"")</f>
        <v/>
      </c>
      <c r="AE54" s="143" t="str">
        <f t="shared" ref="AE54:AE58" si="104">IFERROR(IF(OR(AND(AA54="Muy Baja",AC54="Leve"),AND(AA54="Muy Baja",AC54="Menor"),AND(AA54="Baja",AC54="Leve")),"Bajo",IF(OR(AND(AA54="Muy baja",AC54="Moderado"),AND(AA54="Baja",AC54="Menor"),AND(AA54="Baja",AC54="Moderado"),AND(AA54="Media",AC54="Leve"),AND(AA54="Media",AC54="Menor"),AND(AA54="Media",AC54="Moderado"),AND(AA54="Alta",AC54="Leve"),AND(AA54="Alta",AC54="Menor")),"Moderado",IF(OR(AND(AA54="Muy Baja",AC54="Mayor"),AND(AA54="Baja",AC54="Mayor"),AND(AA54="Media",AC54="Mayor"),AND(AA54="Alta",AC54="Moderado"),AND(AA54="Alta",AC54="Mayor"),AND(AA54="Muy Alta",AC54="Leve"),AND(AA54="Muy Alta",AC54="Menor"),AND(AA54="Muy Alta",AC54="Moderado"),AND(AA54="Muy Alta",AC54="Mayor")),"Alto",IF(OR(AND(AA54="Muy Baja",AC54="Catastrófico"),AND(AA54="Baja",AC54="Catastrófico"),AND(AA54="Media",AC54="Catastrófico"),AND(AA54="Alta",AC54="Catastrófico"),AND(AA54="Muy Alta",AC54="Catastrófico")),"Extremo","")))),"")</f>
        <v/>
      </c>
      <c r="AF54" s="144"/>
      <c r="AG54" s="112"/>
      <c r="AH54" s="132"/>
      <c r="AI54" s="131"/>
      <c r="AJ54" s="131"/>
      <c r="AK54" s="112"/>
      <c r="AL54" s="132"/>
    </row>
    <row r="55" spans="1:70" ht="19.5" customHeight="1" x14ac:dyDescent="0.3">
      <c r="A55" s="218"/>
      <c r="B55" s="247"/>
      <c r="C55" s="247"/>
      <c r="D55" s="247"/>
      <c r="E55" s="155"/>
      <c r="F55" s="250"/>
      <c r="G55" s="156"/>
      <c r="H55" s="247"/>
      <c r="I55" s="253"/>
      <c r="J55" s="237"/>
      <c r="K55" s="235"/>
      <c r="L55" s="257"/>
      <c r="M55" s="235">
        <f ca="1">IF(NOT(ISERROR(MATCH(L55,_xlfn.ANCHORARRAY(F66),0))),K68&amp;"Por favor no seleccionar los criterios de impacto",L55)</f>
        <v>0</v>
      </c>
      <c r="N55" s="237"/>
      <c r="O55" s="235"/>
      <c r="P55" s="243"/>
      <c r="Q55" s="137">
        <v>3</v>
      </c>
      <c r="R55" s="147"/>
      <c r="S55" s="148" t="str">
        <f t="shared" ref="S55:S58" si="105">IF(OR(T55="Preventivo",T55="Detectivo"),"Probabilidad",IF(T55="Correctivo","Impacto",""))</f>
        <v/>
      </c>
      <c r="T55" s="138"/>
      <c r="U55" s="138"/>
      <c r="V55" s="139" t="str">
        <f t="shared" si="101"/>
        <v/>
      </c>
      <c r="W55" s="138"/>
      <c r="X55" s="138"/>
      <c r="Y55" s="138"/>
      <c r="Z55" s="140" t="str">
        <f>IFERROR(IF(AND(S54="Probabilidad",S55="Probabilidad"),(AB54-(+AB54*V55)),IF(AND(S54="Impacto",S55="Probabilidad"),(AB53-(+AB53*V55)),IF(S55="Impacto",AB54,""))),"")</f>
        <v/>
      </c>
      <c r="AA55" s="141" t="str">
        <f t="shared" si="102"/>
        <v/>
      </c>
      <c r="AB55" s="142" t="str">
        <f t="shared" ref="AB55:AB58" si="106">+Z55</f>
        <v/>
      </c>
      <c r="AC55" s="141" t="str">
        <f t="shared" si="103"/>
        <v/>
      </c>
      <c r="AD55" s="146" t="str">
        <f t="shared" ref="AD55:AD58" si="107">IFERROR(IF(AND(S54="Impacto",S55="Impacto"),(AD54-(+AD54*V55)),IF(AND(S54="Probabilidad",S55="Impacto"),(AD53-(+AD53*V55)),IF(S55="Probabilidad",AD54,""))),"")</f>
        <v/>
      </c>
      <c r="AE55" s="143" t="str">
        <f t="shared" si="104"/>
        <v/>
      </c>
      <c r="AF55" s="144"/>
      <c r="AG55" s="112"/>
      <c r="AH55" s="132"/>
      <c r="AI55" s="131"/>
      <c r="AJ55" s="131"/>
      <c r="AK55" s="112"/>
      <c r="AL55" s="132"/>
    </row>
    <row r="56" spans="1:70" ht="19.5" customHeight="1" x14ac:dyDescent="0.3">
      <c r="A56" s="218"/>
      <c r="B56" s="247"/>
      <c r="C56" s="247"/>
      <c r="D56" s="247"/>
      <c r="E56" s="155"/>
      <c r="F56" s="250"/>
      <c r="G56" s="156"/>
      <c r="H56" s="247"/>
      <c r="I56" s="253"/>
      <c r="J56" s="237"/>
      <c r="K56" s="235"/>
      <c r="L56" s="257"/>
      <c r="M56" s="235">
        <f ca="1">IF(NOT(ISERROR(MATCH(L56,_xlfn.ANCHORARRAY(F67),0))),K69&amp;"Por favor no seleccionar los criterios de impacto",L56)</f>
        <v>0</v>
      </c>
      <c r="N56" s="237"/>
      <c r="O56" s="235"/>
      <c r="P56" s="243"/>
      <c r="Q56" s="137">
        <v>4</v>
      </c>
      <c r="R56" s="93"/>
      <c r="S56" s="148" t="str">
        <f t="shared" si="105"/>
        <v/>
      </c>
      <c r="T56" s="138"/>
      <c r="U56" s="138"/>
      <c r="V56" s="139" t="str">
        <f t="shared" si="101"/>
        <v/>
      </c>
      <c r="W56" s="138"/>
      <c r="X56" s="138"/>
      <c r="Y56" s="138"/>
      <c r="Z56" s="140" t="str">
        <f t="shared" ref="Z56:Z58" si="108">IFERROR(IF(AND(S55="Probabilidad",S56="Probabilidad"),(AB55-(+AB55*V56)),IF(AND(S55="Impacto",S56="Probabilidad"),(AB54-(+AB54*V56)),IF(S56="Impacto",AB55,""))),"")</f>
        <v/>
      </c>
      <c r="AA56" s="141" t="str">
        <f t="shared" si="102"/>
        <v/>
      </c>
      <c r="AB56" s="142" t="str">
        <f t="shared" si="106"/>
        <v/>
      </c>
      <c r="AC56" s="141" t="str">
        <f t="shared" si="103"/>
        <v/>
      </c>
      <c r="AD56" s="146" t="str">
        <f t="shared" si="107"/>
        <v/>
      </c>
      <c r="AE56" s="143" t="str">
        <f t="shared" si="104"/>
        <v/>
      </c>
      <c r="AF56" s="144"/>
      <c r="AG56" s="112"/>
      <c r="AH56" s="132"/>
      <c r="AI56" s="131"/>
      <c r="AJ56" s="131"/>
      <c r="AK56" s="112"/>
      <c r="AL56" s="132"/>
    </row>
    <row r="57" spans="1:70" ht="19.5" customHeight="1" x14ac:dyDescent="0.3">
      <c r="A57" s="218"/>
      <c r="B57" s="247"/>
      <c r="C57" s="247"/>
      <c r="D57" s="247"/>
      <c r="E57" s="155"/>
      <c r="F57" s="250"/>
      <c r="G57" s="156"/>
      <c r="H57" s="247"/>
      <c r="I57" s="253"/>
      <c r="J57" s="237"/>
      <c r="K57" s="235"/>
      <c r="L57" s="257"/>
      <c r="M57" s="235">
        <f ca="1">IF(NOT(ISERROR(MATCH(L57,_xlfn.ANCHORARRAY(F68),0))),K70&amp;"Por favor no seleccionar los criterios de impacto",L57)</f>
        <v>0</v>
      </c>
      <c r="N57" s="237"/>
      <c r="O57" s="235"/>
      <c r="P57" s="243"/>
      <c r="Q57" s="137">
        <v>5</v>
      </c>
      <c r="R57" s="93"/>
      <c r="S57" s="148" t="str">
        <f t="shared" si="105"/>
        <v/>
      </c>
      <c r="T57" s="138"/>
      <c r="U57" s="138"/>
      <c r="V57" s="139" t="str">
        <f t="shared" si="101"/>
        <v/>
      </c>
      <c r="W57" s="138"/>
      <c r="X57" s="138"/>
      <c r="Y57" s="138"/>
      <c r="Z57" s="140" t="str">
        <f t="shared" si="108"/>
        <v/>
      </c>
      <c r="AA57" s="141" t="str">
        <f t="shared" si="102"/>
        <v/>
      </c>
      <c r="AB57" s="142" t="str">
        <f t="shared" si="106"/>
        <v/>
      </c>
      <c r="AC57" s="141" t="str">
        <f t="shared" si="103"/>
        <v/>
      </c>
      <c r="AD57" s="146" t="str">
        <f t="shared" si="107"/>
        <v/>
      </c>
      <c r="AE57" s="143" t="str">
        <f t="shared" si="104"/>
        <v/>
      </c>
      <c r="AF57" s="144"/>
      <c r="AG57" s="112"/>
      <c r="AH57" s="132"/>
      <c r="AI57" s="131"/>
      <c r="AJ57" s="131"/>
      <c r="AK57" s="112"/>
      <c r="AL57" s="132"/>
    </row>
    <row r="58" spans="1:70" ht="19.5" customHeight="1" x14ac:dyDescent="0.3">
      <c r="A58" s="245"/>
      <c r="B58" s="248"/>
      <c r="C58" s="248"/>
      <c r="D58" s="248"/>
      <c r="E58" s="157"/>
      <c r="F58" s="251"/>
      <c r="G58" s="158"/>
      <c r="H58" s="248"/>
      <c r="I58" s="254"/>
      <c r="J58" s="255"/>
      <c r="K58" s="241"/>
      <c r="L58" s="258"/>
      <c r="M58" s="241">
        <f ca="1">IF(NOT(ISERROR(MATCH(L58,_xlfn.ANCHORARRAY(F69),0))),K71&amp;"Por favor no seleccionar los criterios de impacto",L58)</f>
        <v>0</v>
      </c>
      <c r="N58" s="255"/>
      <c r="O58" s="241"/>
      <c r="P58" s="244"/>
      <c r="Q58" s="137">
        <v>6</v>
      </c>
      <c r="R58" s="93"/>
      <c r="S58" s="148" t="str">
        <f t="shared" si="105"/>
        <v/>
      </c>
      <c r="T58" s="138"/>
      <c r="U58" s="138"/>
      <c r="V58" s="139" t="str">
        <f t="shared" si="101"/>
        <v/>
      </c>
      <c r="W58" s="138"/>
      <c r="X58" s="138"/>
      <c r="Y58" s="138"/>
      <c r="Z58" s="140" t="str">
        <f t="shared" si="108"/>
        <v/>
      </c>
      <c r="AA58" s="141" t="str">
        <f t="shared" si="102"/>
        <v/>
      </c>
      <c r="AB58" s="142" t="str">
        <f t="shared" si="106"/>
        <v/>
      </c>
      <c r="AC58" s="141" t="str">
        <f t="shared" si="103"/>
        <v/>
      </c>
      <c r="AD58" s="146" t="str">
        <f t="shared" si="107"/>
        <v/>
      </c>
      <c r="AE58" s="143" t="str">
        <f t="shared" si="104"/>
        <v/>
      </c>
      <c r="AF58" s="144"/>
      <c r="AG58" s="112"/>
      <c r="AH58" s="132"/>
      <c r="AI58" s="131"/>
      <c r="AJ58" s="131"/>
      <c r="AK58" s="112"/>
      <c r="AL58" s="132"/>
    </row>
    <row r="59" spans="1:70" ht="49.5" customHeight="1" x14ac:dyDescent="0.3">
      <c r="A59" s="161"/>
      <c r="B59" s="238" t="s">
        <v>258</v>
      </c>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40"/>
    </row>
    <row r="61" spans="1:70" x14ac:dyDescent="0.3">
      <c r="A61" s="114"/>
      <c r="B61" s="162" t="s">
        <v>137</v>
      </c>
      <c r="C61" s="114"/>
      <c r="D61" s="114"/>
      <c r="E61" s="114"/>
      <c r="H61" s="114"/>
    </row>
  </sheetData>
  <dataConsolidate/>
  <mergeCells count="183">
    <mergeCell ref="B15:B18"/>
    <mergeCell ref="C15:C18"/>
    <mergeCell ref="D15:D18"/>
    <mergeCell ref="A10:A14"/>
    <mergeCell ref="B10:B14"/>
    <mergeCell ref="C10:C14"/>
    <mergeCell ref="D10:D14"/>
    <mergeCell ref="F10:F14"/>
    <mergeCell ref="P10:P14"/>
    <mergeCell ref="K10:K14"/>
    <mergeCell ref="L10:L14"/>
    <mergeCell ref="M10:M14"/>
    <mergeCell ref="N10:N14"/>
    <mergeCell ref="O10:O14"/>
    <mergeCell ref="G10:G14"/>
    <mergeCell ref="A4:B4"/>
    <mergeCell ref="A5:B5"/>
    <mergeCell ref="A6:B6"/>
    <mergeCell ref="A8:A9"/>
    <mergeCell ref="H8:H9"/>
    <mergeCell ref="F8:F9"/>
    <mergeCell ref="D8:D9"/>
    <mergeCell ref="C8:C9"/>
    <mergeCell ref="AF8:AF9"/>
    <mergeCell ref="Q8:Q9"/>
    <mergeCell ref="AE8:AE9"/>
    <mergeCell ref="AD8:AD9"/>
    <mergeCell ref="Z8:Z9"/>
    <mergeCell ref="R8:R9"/>
    <mergeCell ref="AC8:AC9"/>
    <mergeCell ref="AA8:AA9"/>
    <mergeCell ref="AB8:AB9"/>
    <mergeCell ref="I8:I9"/>
    <mergeCell ref="J8:J9"/>
    <mergeCell ref="K8:K9"/>
    <mergeCell ref="N8:N9"/>
    <mergeCell ref="O8:O9"/>
    <mergeCell ref="B8:B9"/>
    <mergeCell ref="P8:P9"/>
    <mergeCell ref="AL8:AL9"/>
    <mergeCell ref="AK8:AK9"/>
    <mergeCell ref="AJ8:AJ9"/>
    <mergeCell ref="AI8:AI9"/>
    <mergeCell ref="AH8:AH9"/>
    <mergeCell ref="M15:M18"/>
    <mergeCell ref="L8:L9"/>
    <mergeCell ref="M8:M9"/>
    <mergeCell ref="S8:S9"/>
    <mergeCell ref="T8:Y8"/>
    <mergeCell ref="AG15:AG18"/>
    <mergeCell ref="AH15:AH18"/>
    <mergeCell ref="AI15:AI18"/>
    <mergeCell ref="E8:E9"/>
    <mergeCell ref="H10:H14"/>
    <mergeCell ref="I10:I14"/>
    <mergeCell ref="J10:J14"/>
    <mergeCell ref="AF10:AF14"/>
    <mergeCell ref="AG10:AG14"/>
    <mergeCell ref="AH10:AH14"/>
    <mergeCell ref="AI10:AI14"/>
    <mergeCell ref="G15:G18"/>
    <mergeCell ref="AF15:AF18"/>
    <mergeCell ref="AG8:AG9"/>
    <mergeCell ref="P19:P22"/>
    <mergeCell ref="F19:F22"/>
    <mergeCell ref="G19:G22"/>
    <mergeCell ref="N15:N18"/>
    <mergeCell ref="O15:O18"/>
    <mergeCell ref="P15:P18"/>
    <mergeCell ref="H15:H18"/>
    <mergeCell ref="I15:I18"/>
    <mergeCell ref="J15:J18"/>
    <mergeCell ref="K15:K18"/>
    <mergeCell ref="L15:L18"/>
    <mergeCell ref="O23:O28"/>
    <mergeCell ref="P23:P28"/>
    <mergeCell ref="O29:O34"/>
    <mergeCell ref="P29:P34"/>
    <mergeCell ref="L35:L40"/>
    <mergeCell ref="M35:M40"/>
    <mergeCell ref="N35:N40"/>
    <mergeCell ref="A23:A28"/>
    <mergeCell ref="B23:B28"/>
    <mergeCell ref="C23:C28"/>
    <mergeCell ref="A29:A34"/>
    <mergeCell ref="B29:B34"/>
    <mergeCell ref="C29:C34"/>
    <mergeCell ref="D29:D34"/>
    <mergeCell ref="F29:F34"/>
    <mergeCell ref="H29:H34"/>
    <mergeCell ref="D23:D28"/>
    <mergeCell ref="F23:F28"/>
    <mergeCell ref="L29:L34"/>
    <mergeCell ref="M29:M34"/>
    <mergeCell ref="N29:N34"/>
    <mergeCell ref="H23:H28"/>
    <mergeCell ref="I23:I28"/>
    <mergeCell ref="J23:J28"/>
    <mergeCell ref="K23:K28"/>
    <mergeCell ref="L23:L28"/>
    <mergeCell ref="I29:I34"/>
    <mergeCell ref="J29:J34"/>
    <mergeCell ref="K29:K34"/>
    <mergeCell ref="M23:M28"/>
    <mergeCell ref="N23:N28"/>
    <mergeCell ref="A41:A46"/>
    <mergeCell ref="B41:B46"/>
    <mergeCell ref="C41:C46"/>
    <mergeCell ref="D41:D46"/>
    <mergeCell ref="F41:F46"/>
    <mergeCell ref="A35:A40"/>
    <mergeCell ref="B35:B40"/>
    <mergeCell ref="C35:C40"/>
    <mergeCell ref="D35:D40"/>
    <mergeCell ref="F35:F40"/>
    <mergeCell ref="F47:F52"/>
    <mergeCell ref="H47:H52"/>
    <mergeCell ref="I47:I52"/>
    <mergeCell ref="J47:J52"/>
    <mergeCell ref="K47:K52"/>
    <mergeCell ref="O35:O40"/>
    <mergeCell ref="P35:P40"/>
    <mergeCell ref="H41:H46"/>
    <mergeCell ref="I41:I46"/>
    <mergeCell ref="J41:J46"/>
    <mergeCell ref="K41:K46"/>
    <mergeCell ref="L41:L46"/>
    <mergeCell ref="H35:H40"/>
    <mergeCell ref="I35:I40"/>
    <mergeCell ref="J35:J40"/>
    <mergeCell ref="K35:K40"/>
    <mergeCell ref="M41:M46"/>
    <mergeCell ref="N41:N46"/>
    <mergeCell ref="O41:O46"/>
    <mergeCell ref="P41:P46"/>
    <mergeCell ref="B59:AL59"/>
    <mergeCell ref="O47:O52"/>
    <mergeCell ref="P47:P52"/>
    <mergeCell ref="A53:A58"/>
    <mergeCell ref="B53:B58"/>
    <mergeCell ref="C53:C58"/>
    <mergeCell ref="D53:D58"/>
    <mergeCell ref="F53:F58"/>
    <mergeCell ref="H53:H58"/>
    <mergeCell ref="I53:I58"/>
    <mergeCell ref="J53:J58"/>
    <mergeCell ref="K53:K58"/>
    <mergeCell ref="L53:L58"/>
    <mergeCell ref="M53:M58"/>
    <mergeCell ref="N53:N58"/>
    <mergeCell ref="O53:O58"/>
    <mergeCell ref="P53:P58"/>
    <mergeCell ref="L47:L52"/>
    <mergeCell ref="M47:M52"/>
    <mergeCell ref="N47:N52"/>
    <mergeCell ref="A47:A52"/>
    <mergeCell ref="B47:B52"/>
    <mergeCell ref="C47:C52"/>
    <mergeCell ref="D47:D52"/>
    <mergeCell ref="AF19:AF22"/>
    <mergeCell ref="C4:AL4"/>
    <mergeCell ref="C5:AL5"/>
    <mergeCell ref="C6:AL6"/>
    <mergeCell ref="A1:AL2"/>
    <mergeCell ref="A7:I7"/>
    <mergeCell ref="J7:P7"/>
    <mergeCell ref="Q7:Y7"/>
    <mergeCell ref="Z7:AF7"/>
    <mergeCell ref="AG7:AL7"/>
    <mergeCell ref="A19:A22"/>
    <mergeCell ref="B19:B22"/>
    <mergeCell ref="C19:C22"/>
    <mergeCell ref="D19:D22"/>
    <mergeCell ref="F15:F18"/>
    <mergeCell ref="H19:H22"/>
    <mergeCell ref="I19:I22"/>
    <mergeCell ref="J19:J22"/>
    <mergeCell ref="K19:K22"/>
    <mergeCell ref="L19:L22"/>
    <mergeCell ref="M19:M22"/>
    <mergeCell ref="N19:N22"/>
    <mergeCell ref="O19:O22"/>
    <mergeCell ref="A15:A18"/>
  </mergeCells>
  <conditionalFormatting sqref="J10 J15 J19 J23 J29 J35 J41 J47 J53">
    <cfRule type="cellIs" dxfId="314" priority="683" operator="equal">
      <formula>"Muy Alta"</formula>
    </cfRule>
    <cfRule type="cellIs" dxfId="313" priority="684" operator="equal">
      <formula>"Alta"</formula>
    </cfRule>
    <cfRule type="cellIs" dxfId="312" priority="685" operator="equal">
      <formula>"Media"</formula>
    </cfRule>
    <cfRule type="cellIs" dxfId="311" priority="686" operator="equal">
      <formula>"Baja"</formula>
    </cfRule>
    <cfRule type="cellIs" dxfId="310" priority="687" operator="equal">
      <formula>"Muy Baja"</formula>
    </cfRule>
  </conditionalFormatting>
  <conditionalFormatting sqref="N10 N15 N19 N23 N29 N35 N41 N47 N53">
    <cfRule type="cellIs" dxfId="309" priority="678" operator="equal">
      <formula>"Catastrófico"</formula>
    </cfRule>
    <cfRule type="cellIs" dxfId="308" priority="679" operator="equal">
      <formula>"Mayor"</formula>
    </cfRule>
    <cfRule type="cellIs" dxfId="307" priority="680" operator="equal">
      <formula>"Moderado"</formula>
    </cfRule>
    <cfRule type="cellIs" dxfId="306" priority="681" operator="equal">
      <formula>"Menor"</formula>
    </cfRule>
    <cfRule type="cellIs" dxfId="305" priority="682" operator="equal">
      <formula>"Leve"</formula>
    </cfRule>
  </conditionalFormatting>
  <conditionalFormatting sqref="P10">
    <cfRule type="cellIs" dxfId="304" priority="674" operator="equal">
      <formula>"Extremo"</formula>
    </cfRule>
    <cfRule type="cellIs" dxfId="303" priority="675" operator="equal">
      <formula>"Alto"</formula>
    </cfRule>
    <cfRule type="cellIs" dxfId="302" priority="676" operator="equal">
      <formula>"Moderado"</formula>
    </cfRule>
    <cfRule type="cellIs" dxfId="301" priority="677" operator="equal">
      <formula>"Bajo"</formula>
    </cfRule>
  </conditionalFormatting>
  <conditionalFormatting sqref="AA10">
    <cfRule type="cellIs" dxfId="300" priority="669" operator="equal">
      <formula>"Muy Alta"</formula>
    </cfRule>
    <cfRule type="cellIs" dxfId="299" priority="670" operator="equal">
      <formula>"Alta"</formula>
    </cfRule>
    <cfRule type="cellIs" dxfId="298" priority="671" operator="equal">
      <formula>"Media"</formula>
    </cfRule>
    <cfRule type="cellIs" dxfId="297" priority="672" operator="equal">
      <formula>"Baja"</formula>
    </cfRule>
    <cfRule type="cellIs" dxfId="296" priority="673" operator="equal">
      <formula>"Muy Baja"</formula>
    </cfRule>
  </conditionalFormatting>
  <conditionalFormatting sqref="AC10">
    <cfRule type="cellIs" dxfId="295" priority="664" operator="equal">
      <formula>"Catastrófico"</formula>
    </cfRule>
    <cfRule type="cellIs" dxfId="294" priority="665" operator="equal">
      <formula>"Mayor"</formula>
    </cfRule>
    <cfRule type="cellIs" dxfId="293" priority="666" operator="equal">
      <formula>"Moderado"</formula>
    </cfRule>
    <cfRule type="cellIs" dxfId="292" priority="667" operator="equal">
      <formula>"Menor"</formula>
    </cfRule>
    <cfRule type="cellIs" dxfId="291" priority="668" operator="equal">
      <formula>"Leve"</formula>
    </cfRule>
  </conditionalFormatting>
  <conditionalFormatting sqref="AE10">
    <cfRule type="cellIs" dxfId="290" priority="660" operator="equal">
      <formula>"Extremo"</formula>
    </cfRule>
    <cfRule type="cellIs" dxfId="289" priority="661" operator="equal">
      <formula>"Alto"</formula>
    </cfRule>
    <cfRule type="cellIs" dxfId="288" priority="662" operator="equal">
      <formula>"Moderado"</formula>
    </cfRule>
    <cfRule type="cellIs" dxfId="287" priority="663" operator="equal">
      <formula>"Bajo"</formula>
    </cfRule>
  </conditionalFormatting>
  <conditionalFormatting sqref="P15 P19 P23 P29 P35 P41 P47 P53">
    <cfRule type="cellIs" dxfId="286" priority="604" operator="equal">
      <formula>"Extremo"</formula>
    </cfRule>
    <cfRule type="cellIs" dxfId="285" priority="605" operator="equal">
      <formula>"Alto"</formula>
    </cfRule>
    <cfRule type="cellIs" dxfId="284" priority="606" operator="equal">
      <formula>"Moderado"</formula>
    </cfRule>
    <cfRule type="cellIs" dxfId="283" priority="607" operator="equal">
      <formula>"Bajo"</formula>
    </cfRule>
  </conditionalFormatting>
  <conditionalFormatting sqref="M10:M58">
    <cfRule type="containsText" dxfId="282" priority="365" operator="containsText" text="❌">
      <formula>NOT(ISERROR(SEARCH("❌",M10)))</formula>
    </cfRule>
  </conditionalFormatting>
  <conditionalFormatting sqref="AA11:AA14">
    <cfRule type="cellIs" dxfId="281" priority="360" operator="equal">
      <formula>"Muy Alta"</formula>
    </cfRule>
    <cfRule type="cellIs" dxfId="280" priority="361" operator="equal">
      <formula>"Alta"</formula>
    </cfRule>
    <cfRule type="cellIs" dxfId="279" priority="362" operator="equal">
      <formula>"Media"</formula>
    </cfRule>
    <cfRule type="cellIs" dxfId="278" priority="363" operator="equal">
      <formula>"Baja"</formula>
    </cfRule>
    <cfRule type="cellIs" dxfId="277" priority="364" operator="equal">
      <formula>"Muy Baja"</formula>
    </cfRule>
  </conditionalFormatting>
  <conditionalFormatting sqref="AC11:AC14">
    <cfRule type="cellIs" dxfId="276" priority="355" operator="equal">
      <formula>"Catastrófico"</formula>
    </cfRule>
    <cfRule type="cellIs" dxfId="275" priority="356" operator="equal">
      <formula>"Mayor"</formula>
    </cfRule>
    <cfRule type="cellIs" dxfId="274" priority="357" operator="equal">
      <formula>"Moderado"</formula>
    </cfRule>
    <cfRule type="cellIs" dxfId="273" priority="358" operator="equal">
      <formula>"Menor"</formula>
    </cfRule>
    <cfRule type="cellIs" dxfId="272" priority="359" operator="equal">
      <formula>"Leve"</formula>
    </cfRule>
  </conditionalFormatting>
  <conditionalFormatting sqref="AE11:AE14">
    <cfRule type="cellIs" dxfId="271" priority="351" operator="equal">
      <formula>"Extremo"</formula>
    </cfRule>
    <cfRule type="cellIs" dxfId="270" priority="352" operator="equal">
      <formula>"Alto"</formula>
    </cfRule>
    <cfRule type="cellIs" dxfId="269" priority="353" operator="equal">
      <formula>"Moderado"</formula>
    </cfRule>
    <cfRule type="cellIs" dxfId="268" priority="354" operator="equal">
      <formula>"Bajo"</formula>
    </cfRule>
  </conditionalFormatting>
  <conditionalFormatting sqref="AA15">
    <cfRule type="cellIs" dxfId="267" priority="318" operator="equal">
      <formula>"Muy Alta"</formula>
    </cfRule>
    <cfRule type="cellIs" dxfId="266" priority="319" operator="equal">
      <formula>"Alta"</formula>
    </cfRule>
    <cfRule type="cellIs" dxfId="265" priority="320" operator="equal">
      <formula>"Media"</formula>
    </cfRule>
    <cfRule type="cellIs" dxfId="264" priority="321" operator="equal">
      <formula>"Baja"</formula>
    </cfRule>
    <cfRule type="cellIs" dxfId="263" priority="322" operator="equal">
      <formula>"Muy Baja"</formula>
    </cfRule>
  </conditionalFormatting>
  <conditionalFormatting sqref="AC15">
    <cfRule type="cellIs" dxfId="262" priority="313" operator="equal">
      <formula>"Catastrófico"</formula>
    </cfRule>
    <cfRule type="cellIs" dxfId="261" priority="314" operator="equal">
      <formula>"Mayor"</formula>
    </cfRule>
    <cfRule type="cellIs" dxfId="260" priority="315" operator="equal">
      <formula>"Moderado"</formula>
    </cfRule>
    <cfRule type="cellIs" dxfId="259" priority="316" operator="equal">
      <formula>"Menor"</formula>
    </cfRule>
    <cfRule type="cellIs" dxfId="258" priority="317" operator="equal">
      <formula>"Leve"</formula>
    </cfRule>
  </conditionalFormatting>
  <conditionalFormatting sqref="AE15">
    <cfRule type="cellIs" dxfId="257" priority="309" operator="equal">
      <formula>"Extremo"</formula>
    </cfRule>
    <cfRule type="cellIs" dxfId="256" priority="310" operator="equal">
      <formula>"Alto"</formula>
    </cfRule>
    <cfRule type="cellIs" dxfId="255" priority="311" operator="equal">
      <formula>"Moderado"</formula>
    </cfRule>
    <cfRule type="cellIs" dxfId="254" priority="312" operator="equal">
      <formula>"Bajo"</formula>
    </cfRule>
  </conditionalFormatting>
  <conditionalFormatting sqref="AA16">
    <cfRule type="cellIs" dxfId="253" priority="304" operator="equal">
      <formula>"Muy Alta"</formula>
    </cfRule>
    <cfRule type="cellIs" dxfId="252" priority="305" operator="equal">
      <formula>"Alta"</formula>
    </cfRule>
    <cfRule type="cellIs" dxfId="251" priority="306" operator="equal">
      <formula>"Media"</formula>
    </cfRule>
    <cfRule type="cellIs" dxfId="250" priority="307" operator="equal">
      <formula>"Baja"</formula>
    </cfRule>
    <cfRule type="cellIs" dxfId="249" priority="308" operator="equal">
      <formula>"Muy Baja"</formula>
    </cfRule>
  </conditionalFormatting>
  <conditionalFormatting sqref="AC16">
    <cfRule type="cellIs" dxfId="248" priority="299" operator="equal">
      <formula>"Catastrófico"</formula>
    </cfRule>
    <cfRule type="cellIs" dxfId="247" priority="300" operator="equal">
      <formula>"Mayor"</formula>
    </cfRule>
    <cfRule type="cellIs" dxfId="246" priority="301" operator="equal">
      <formula>"Moderado"</formula>
    </cfRule>
    <cfRule type="cellIs" dxfId="245" priority="302" operator="equal">
      <formula>"Menor"</formula>
    </cfRule>
    <cfRule type="cellIs" dxfId="244" priority="303" operator="equal">
      <formula>"Leve"</formula>
    </cfRule>
  </conditionalFormatting>
  <conditionalFormatting sqref="AE16">
    <cfRule type="cellIs" dxfId="243" priority="295" operator="equal">
      <formula>"Extremo"</formula>
    </cfRule>
    <cfRule type="cellIs" dxfId="242" priority="296" operator="equal">
      <formula>"Alto"</formula>
    </cfRule>
    <cfRule type="cellIs" dxfId="241" priority="297" operator="equal">
      <formula>"Moderado"</formula>
    </cfRule>
    <cfRule type="cellIs" dxfId="240" priority="298" operator="equal">
      <formula>"Bajo"</formula>
    </cfRule>
  </conditionalFormatting>
  <conditionalFormatting sqref="AA19">
    <cfRule type="cellIs" dxfId="239" priority="234" operator="equal">
      <formula>"Muy Alta"</formula>
    </cfRule>
    <cfRule type="cellIs" dxfId="238" priority="235" operator="equal">
      <formula>"Alta"</formula>
    </cfRule>
    <cfRule type="cellIs" dxfId="237" priority="236" operator="equal">
      <formula>"Media"</formula>
    </cfRule>
    <cfRule type="cellIs" dxfId="236" priority="237" operator="equal">
      <formula>"Baja"</formula>
    </cfRule>
    <cfRule type="cellIs" dxfId="235" priority="238" operator="equal">
      <formula>"Muy Baja"</formula>
    </cfRule>
  </conditionalFormatting>
  <conditionalFormatting sqref="AC19">
    <cfRule type="cellIs" dxfId="234" priority="229" operator="equal">
      <formula>"Catastrófico"</formula>
    </cfRule>
    <cfRule type="cellIs" dxfId="233" priority="230" operator="equal">
      <formula>"Mayor"</formula>
    </cfRule>
    <cfRule type="cellIs" dxfId="232" priority="231" operator="equal">
      <formula>"Moderado"</formula>
    </cfRule>
    <cfRule type="cellIs" dxfId="231" priority="232" operator="equal">
      <formula>"Menor"</formula>
    </cfRule>
    <cfRule type="cellIs" dxfId="230" priority="233" operator="equal">
      <formula>"Leve"</formula>
    </cfRule>
  </conditionalFormatting>
  <conditionalFormatting sqref="AE19">
    <cfRule type="cellIs" dxfId="229" priority="225" operator="equal">
      <formula>"Extremo"</formula>
    </cfRule>
    <cfRule type="cellIs" dxfId="228" priority="226" operator="equal">
      <formula>"Alto"</formula>
    </cfRule>
    <cfRule type="cellIs" dxfId="227" priority="227" operator="equal">
      <formula>"Moderado"</formula>
    </cfRule>
    <cfRule type="cellIs" dxfId="226" priority="228" operator="equal">
      <formula>"Bajo"</formula>
    </cfRule>
  </conditionalFormatting>
  <conditionalFormatting sqref="AA20:AA22">
    <cfRule type="cellIs" dxfId="225" priority="220" operator="equal">
      <formula>"Muy Alta"</formula>
    </cfRule>
    <cfRule type="cellIs" dxfId="224" priority="221" operator="equal">
      <formula>"Alta"</formula>
    </cfRule>
    <cfRule type="cellIs" dxfId="223" priority="222" operator="equal">
      <formula>"Media"</formula>
    </cfRule>
    <cfRule type="cellIs" dxfId="222" priority="223" operator="equal">
      <formula>"Baja"</formula>
    </cfRule>
    <cfRule type="cellIs" dxfId="221" priority="224" operator="equal">
      <formula>"Muy Baja"</formula>
    </cfRule>
  </conditionalFormatting>
  <conditionalFormatting sqref="AC20:AC22">
    <cfRule type="cellIs" dxfId="220" priority="215" operator="equal">
      <formula>"Catastrófico"</formula>
    </cfRule>
    <cfRule type="cellIs" dxfId="219" priority="216" operator="equal">
      <formula>"Mayor"</formula>
    </cfRule>
    <cfRule type="cellIs" dxfId="218" priority="217" operator="equal">
      <formula>"Moderado"</formula>
    </cfRule>
    <cfRule type="cellIs" dxfId="217" priority="218" operator="equal">
      <formula>"Menor"</formula>
    </cfRule>
    <cfRule type="cellIs" dxfId="216" priority="219" operator="equal">
      <formula>"Leve"</formula>
    </cfRule>
  </conditionalFormatting>
  <conditionalFormatting sqref="AE20:AE22">
    <cfRule type="cellIs" dxfId="215" priority="211" operator="equal">
      <formula>"Extremo"</formula>
    </cfRule>
    <cfRule type="cellIs" dxfId="214" priority="212" operator="equal">
      <formula>"Alto"</formula>
    </cfRule>
    <cfRule type="cellIs" dxfId="213" priority="213" operator="equal">
      <formula>"Moderado"</formula>
    </cfRule>
    <cfRule type="cellIs" dxfId="212" priority="214" operator="equal">
      <formula>"Bajo"</formula>
    </cfRule>
  </conditionalFormatting>
  <conditionalFormatting sqref="AA23">
    <cfRule type="cellIs" dxfId="211" priority="206" operator="equal">
      <formula>"Muy Alta"</formula>
    </cfRule>
    <cfRule type="cellIs" dxfId="210" priority="207" operator="equal">
      <formula>"Alta"</formula>
    </cfRule>
    <cfRule type="cellIs" dxfId="209" priority="208" operator="equal">
      <formula>"Media"</formula>
    </cfRule>
    <cfRule type="cellIs" dxfId="208" priority="209" operator="equal">
      <formula>"Baja"</formula>
    </cfRule>
    <cfRule type="cellIs" dxfId="207" priority="210" operator="equal">
      <formula>"Muy Baja"</formula>
    </cfRule>
  </conditionalFormatting>
  <conditionalFormatting sqref="AC23">
    <cfRule type="cellIs" dxfId="206" priority="201" operator="equal">
      <formula>"Catastrófico"</formula>
    </cfRule>
    <cfRule type="cellIs" dxfId="205" priority="202" operator="equal">
      <formula>"Mayor"</formula>
    </cfRule>
    <cfRule type="cellIs" dxfId="204" priority="203" operator="equal">
      <formula>"Moderado"</formula>
    </cfRule>
    <cfRule type="cellIs" dxfId="203" priority="204" operator="equal">
      <formula>"Menor"</formula>
    </cfRule>
    <cfRule type="cellIs" dxfId="202" priority="205" operator="equal">
      <formula>"Leve"</formula>
    </cfRule>
  </conditionalFormatting>
  <conditionalFormatting sqref="AE23">
    <cfRule type="cellIs" dxfId="201" priority="197" operator="equal">
      <formula>"Extremo"</formula>
    </cfRule>
    <cfRule type="cellIs" dxfId="200" priority="198" operator="equal">
      <formula>"Alto"</formula>
    </cfRule>
    <cfRule type="cellIs" dxfId="199" priority="199" operator="equal">
      <formula>"Moderado"</formula>
    </cfRule>
    <cfRule type="cellIs" dxfId="198" priority="200" operator="equal">
      <formula>"Bajo"</formula>
    </cfRule>
  </conditionalFormatting>
  <conditionalFormatting sqref="AA24:AA28">
    <cfRule type="cellIs" dxfId="197" priority="192" operator="equal">
      <formula>"Muy Alta"</formula>
    </cfRule>
    <cfRule type="cellIs" dxfId="196" priority="193" operator="equal">
      <formula>"Alta"</formula>
    </cfRule>
    <cfRule type="cellIs" dxfId="195" priority="194" operator="equal">
      <formula>"Media"</formula>
    </cfRule>
    <cfRule type="cellIs" dxfId="194" priority="195" operator="equal">
      <formula>"Baja"</formula>
    </cfRule>
    <cfRule type="cellIs" dxfId="193" priority="196" operator="equal">
      <formula>"Muy Baja"</formula>
    </cfRule>
  </conditionalFormatting>
  <conditionalFormatting sqref="AC24:AC28">
    <cfRule type="cellIs" dxfId="192" priority="187" operator="equal">
      <formula>"Catastrófico"</formula>
    </cfRule>
    <cfRule type="cellIs" dxfId="191" priority="188" operator="equal">
      <formula>"Mayor"</formula>
    </cfRule>
    <cfRule type="cellIs" dxfId="190" priority="189" operator="equal">
      <formula>"Moderado"</formula>
    </cfRule>
    <cfRule type="cellIs" dxfId="189" priority="190" operator="equal">
      <formula>"Menor"</formula>
    </cfRule>
    <cfRule type="cellIs" dxfId="188" priority="191" operator="equal">
      <formula>"Leve"</formula>
    </cfRule>
  </conditionalFormatting>
  <conditionalFormatting sqref="AE24:AE28">
    <cfRule type="cellIs" dxfId="187" priority="183" operator="equal">
      <formula>"Extremo"</formula>
    </cfRule>
    <cfRule type="cellIs" dxfId="186" priority="184" operator="equal">
      <formula>"Alto"</formula>
    </cfRule>
    <cfRule type="cellIs" dxfId="185" priority="185" operator="equal">
      <formula>"Moderado"</formula>
    </cfRule>
    <cfRule type="cellIs" dxfId="184" priority="186" operator="equal">
      <formula>"Bajo"</formula>
    </cfRule>
  </conditionalFormatting>
  <conditionalFormatting sqref="AA29">
    <cfRule type="cellIs" dxfId="183" priority="178" operator="equal">
      <formula>"Muy Alta"</formula>
    </cfRule>
    <cfRule type="cellIs" dxfId="182" priority="179" operator="equal">
      <formula>"Alta"</formula>
    </cfRule>
    <cfRule type="cellIs" dxfId="181" priority="180" operator="equal">
      <formula>"Media"</formula>
    </cfRule>
    <cfRule type="cellIs" dxfId="180" priority="181" operator="equal">
      <formula>"Baja"</formula>
    </cfRule>
    <cfRule type="cellIs" dxfId="179" priority="182" operator="equal">
      <formula>"Muy Baja"</formula>
    </cfRule>
  </conditionalFormatting>
  <conditionalFormatting sqref="AC29">
    <cfRule type="cellIs" dxfId="178" priority="173" operator="equal">
      <formula>"Catastrófico"</formula>
    </cfRule>
    <cfRule type="cellIs" dxfId="177" priority="174" operator="equal">
      <formula>"Mayor"</formula>
    </cfRule>
    <cfRule type="cellIs" dxfId="176" priority="175" operator="equal">
      <formula>"Moderado"</formula>
    </cfRule>
    <cfRule type="cellIs" dxfId="175" priority="176" operator="equal">
      <formula>"Menor"</formula>
    </cfRule>
    <cfRule type="cellIs" dxfId="174" priority="177" operator="equal">
      <formula>"Leve"</formula>
    </cfRule>
  </conditionalFormatting>
  <conditionalFormatting sqref="AE29">
    <cfRule type="cellIs" dxfId="173" priority="169" operator="equal">
      <formula>"Extremo"</formula>
    </cfRule>
    <cfRule type="cellIs" dxfId="172" priority="170" operator="equal">
      <formula>"Alto"</formula>
    </cfRule>
    <cfRule type="cellIs" dxfId="171" priority="171" operator="equal">
      <formula>"Moderado"</formula>
    </cfRule>
    <cfRule type="cellIs" dxfId="170" priority="172" operator="equal">
      <formula>"Bajo"</formula>
    </cfRule>
  </conditionalFormatting>
  <conditionalFormatting sqref="AA30:AA34">
    <cfRule type="cellIs" dxfId="169" priority="164" operator="equal">
      <formula>"Muy Alta"</formula>
    </cfRule>
    <cfRule type="cellIs" dxfId="168" priority="165" operator="equal">
      <formula>"Alta"</formula>
    </cfRule>
    <cfRule type="cellIs" dxfId="167" priority="166" operator="equal">
      <formula>"Media"</formula>
    </cfRule>
    <cfRule type="cellIs" dxfId="166" priority="167" operator="equal">
      <formula>"Baja"</formula>
    </cfRule>
    <cfRule type="cellIs" dxfId="165" priority="168" operator="equal">
      <formula>"Muy Baja"</formula>
    </cfRule>
  </conditionalFormatting>
  <conditionalFormatting sqref="AC30:AC34">
    <cfRule type="cellIs" dxfId="164" priority="159" operator="equal">
      <formula>"Catastrófico"</formula>
    </cfRule>
    <cfRule type="cellIs" dxfId="163" priority="160" operator="equal">
      <formula>"Mayor"</formula>
    </cfRule>
    <cfRule type="cellIs" dxfId="162" priority="161" operator="equal">
      <formula>"Moderado"</formula>
    </cfRule>
    <cfRule type="cellIs" dxfId="161" priority="162" operator="equal">
      <formula>"Menor"</formula>
    </cfRule>
    <cfRule type="cellIs" dxfId="160" priority="163" operator="equal">
      <formula>"Leve"</formula>
    </cfRule>
  </conditionalFormatting>
  <conditionalFormatting sqref="AE30:AE34">
    <cfRule type="cellIs" dxfId="159" priority="155" operator="equal">
      <formula>"Extremo"</formula>
    </cfRule>
    <cfRule type="cellIs" dxfId="158" priority="156" operator="equal">
      <formula>"Alto"</formula>
    </cfRule>
    <cfRule type="cellIs" dxfId="157" priority="157" operator="equal">
      <formula>"Moderado"</formula>
    </cfRule>
    <cfRule type="cellIs" dxfId="156" priority="158" operator="equal">
      <formula>"Bajo"</formula>
    </cfRule>
  </conditionalFormatting>
  <conditionalFormatting sqref="AA35">
    <cfRule type="cellIs" dxfId="155" priority="150" operator="equal">
      <formula>"Muy Alta"</formula>
    </cfRule>
    <cfRule type="cellIs" dxfId="154" priority="151" operator="equal">
      <formula>"Alta"</formula>
    </cfRule>
    <cfRule type="cellIs" dxfId="153" priority="152" operator="equal">
      <formula>"Media"</formula>
    </cfRule>
    <cfRule type="cellIs" dxfId="152" priority="153" operator="equal">
      <formula>"Baja"</formula>
    </cfRule>
    <cfRule type="cellIs" dxfId="151" priority="154" operator="equal">
      <formula>"Muy Baja"</formula>
    </cfRule>
  </conditionalFormatting>
  <conditionalFormatting sqref="AC35">
    <cfRule type="cellIs" dxfId="150" priority="145" operator="equal">
      <formula>"Catastrófico"</formula>
    </cfRule>
    <cfRule type="cellIs" dxfId="149" priority="146" operator="equal">
      <formula>"Mayor"</formula>
    </cfRule>
    <cfRule type="cellIs" dxfId="148" priority="147" operator="equal">
      <formula>"Moderado"</formula>
    </cfRule>
    <cfRule type="cellIs" dxfId="147" priority="148" operator="equal">
      <formula>"Menor"</formula>
    </cfRule>
    <cfRule type="cellIs" dxfId="146" priority="149" operator="equal">
      <formula>"Leve"</formula>
    </cfRule>
  </conditionalFormatting>
  <conditionalFormatting sqref="AE35">
    <cfRule type="cellIs" dxfId="145" priority="141" operator="equal">
      <formula>"Extremo"</formula>
    </cfRule>
    <cfRule type="cellIs" dxfId="144" priority="142" operator="equal">
      <formula>"Alto"</formula>
    </cfRule>
    <cfRule type="cellIs" dxfId="143" priority="143" operator="equal">
      <formula>"Moderado"</formula>
    </cfRule>
    <cfRule type="cellIs" dxfId="142" priority="144" operator="equal">
      <formula>"Bajo"</formula>
    </cfRule>
  </conditionalFormatting>
  <conditionalFormatting sqref="AA36:AA40">
    <cfRule type="cellIs" dxfId="141" priority="136" operator="equal">
      <formula>"Muy Alta"</formula>
    </cfRule>
    <cfRule type="cellIs" dxfId="140" priority="137" operator="equal">
      <formula>"Alta"</formula>
    </cfRule>
    <cfRule type="cellIs" dxfId="139" priority="138" operator="equal">
      <formula>"Media"</formula>
    </cfRule>
    <cfRule type="cellIs" dxfId="138" priority="139" operator="equal">
      <formula>"Baja"</formula>
    </cfRule>
    <cfRule type="cellIs" dxfId="137" priority="140" operator="equal">
      <formula>"Muy Baja"</formula>
    </cfRule>
  </conditionalFormatting>
  <conditionalFormatting sqref="AC36:AC40">
    <cfRule type="cellIs" dxfId="136" priority="131" operator="equal">
      <formula>"Catastrófico"</formula>
    </cfRule>
    <cfRule type="cellIs" dxfId="135" priority="132" operator="equal">
      <formula>"Mayor"</formula>
    </cfRule>
    <cfRule type="cellIs" dxfId="134" priority="133" operator="equal">
      <formula>"Moderado"</formula>
    </cfRule>
    <cfRule type="cellIs" dxfId="133" priority="134" operator="equal">
      <formula>"Menor"</formula>
    </cfRule>
    <cfRule type="cellIs" dxfId="132" priority="135" operator="equal">
      <formula>"Leve"</formula>
    </cfRule>
  </conditionalFormatting>
  <conditionalFormatting sqref="AE36:AE40">
    <cfRule type="cellIs" dxfId="131" priority="127" operator="equal">
      <formula>"Extremo"</formula>
    </cfRule>
    <cfRule type="cellIs" dxfId="130" priority="128" operator="equal">
      <formula>"Alto"</formula>
    </cfRule>
    <cfRule type="cellIs" dxfId="129" priority="129" operator="equal">
      <formula>"Moderado"</formula>
    </cfRule>
    <cfRule type="cellIs" dxfId="128" priority="130" operator="equal">
      <formula>"Bajo"</formula>
    </cfRule>
  </conditionalFormatting>
  <conditionalFormatting sqref="AA41">
    <cfRule type="cellIs" dxfId="127" priority="122" operator="equal">
      <formula>"Muy Alta"</formula>
    </cfRule>
    <cfRule type="cellIs" dxfId="126" priority="123" operator="equal">
      <formula>"Alta"</formula>
    </cfRule>
    <cfRule type="cellIs" dxfId="125" priority="124" operator="equal">
      <formula>"Media"</formula>
    </cfRule>
    <cfRule type="cellIs" dxfId="124" priority="125" operator="equal">
      <formula>"Baja"</formula>
    </cfRule>
    <cfRule type="cellIs" dxfId="123" priority="126" operator="equal">
      <formula>"Muy Baja"</formula>
    </cfRule>
  </conditionalFormatting>
  <conditionalFormatting sqref="AC41">
    <cfRule type="cellIs" dxfId="122" priority="117" operator="equal">
      <formula>"Catastrófico"</formula>
    </cfRule>
    <cfRule type="cellIs" dxfId="121" priority="118" operator="equal">
      <formula>"Mayor"</formula>
    </cfRule>
    <cfRule type="cellIs" dxfId="120" priority="119" operator="equal">
      <formula>"Moderado"</formula>
    </cfRule>
    <cfRule type="cellIs" dxfId="119" priority="120" operator="equal">
      <formula>"Menor"</formula>
    </cfRule>
    <cfRule type="cellIs" dxfId="118" priority="121" operator="equal">
      <formula>"Leve"</formula>
    </cfRule>
  </conditionalFormatting>
  <conditionalFormatting sqref="AE41">
    <cfRule type="cellIs" dxfId="117" priority="113" operator="equal">
      <formula>"Extremo"</formula>
    </cfRule>
    <cfRule type="cellIs" dxfId="116" priority="114" operator="equal">
      <formula>"Alto"</formula>
    </cfRule>
    <cfRule type="cellIs" dxfId="115" priority="115" operator="equal">
      <formula>"Moderado"</formula>
    </cfRule>
    <cfRule type="cellIs" dxfId="114" priority="116" operator="equal">
      <formula>"Bajo"</formula>
    </cfRule>
  </conditionalFormatting>
  <conditionalFormatting sqref="AA42:AA46">
    <cfRule type="cellIs" dxfId="113" priority="108" operator="equal">
      <formula>"Muy Alta"</formula>
    </cfRule>
    <cfRule type="cellIs" dxfId="112" priority="109" operator="equal">
      <formula>"Alta"</formula>
    </cfRule>
    <cfRule type="cellIs" dxfId="111" priority="110" operator="equal">
      <formula>"Media"</formula>
    </cfRule>
    <cfRule type="cellIs" dxfId="110" priority="111" operator="equal">
      <formula>"Baja"</formula>
    </cfRule>
    <cfRule type="cellIs" dxfId="109" priority="112" operator="equal">
      <formula>"Muy Baja"</formula>
    </cfRule>
  </conditionalFormatting>
  <conditionalFormatting sqref="AC42:AC46">
    <cfRule type="cellIs" dxfId="108" priority="103" operator="equal">
      <formula>"Catastrófico"</formula>
    </cfRule>
    <cfRule type="cellIs" dxfId="107" priority="104" operator="equal">
      <formula>"Mayor"</formula>
    </cfRule>
    <cfRule type="cellIs" dxfId="106" priority="105" operator="equal">
      <formula>"Moderado"</formula>
    </cfRule>
    <cfRule type="cellIs" dxfId="105" priority="106" operator="equal">
      <formula>"Menor"</formula>
    </cfRule>
    <cfRule type="cellIs" dxfId="104" priority="107" operator="equal">
      <formula>"Leve"</formula>
    </cfRule>
  </conditionalFormatting>
  <conditionalFormatting sqref="AE42:AE46">
    <cfRule type="cellIs" dxfId="103" priority="99" operator="equal">
      <formula>"Extremo"</formula>
    </cfRule>
    <cfRule type="cellIs" dxfId="102" priority="100" operator="equal">
      <formula>"Alto"</formula>
    </cfRule>
    <cfRule type="cellIs" dxfId="101" priority="101" operator="equal">
      <formula>"Moderado"</formula>
    </cfRule>
    <cfRule type="cellIs" dxfId="100" priority="102" operator="equal">
      <formula>"Bajo"</formula>
    </cfRule>
  </conditionalFormatting>
  <conditionalFormatting sqref="AA47">
    <cfRule type="cellIs" dxfId="99" priority="94" operator="equal">
      <formula>"Muy Alta"</formula>
    </cfRule>
    <cfRule type="cellIs" dxfId="98" priority="95" operator="equal">
      <formula>"Alta"</formula>
    </cfRule>
    <cfRule type="cellIs" dxfId="97" priority="96" operator="equal">
      <formula>"Media"</formula>
    </cfRule>
    <cfRule type="cellIs" dxfId="96" priority="97" operator="equal">
      <formula>"Baja"</formula>
    </cfRule>
    <cfRule type="cellIs" dxfId="95" priority="98" operator="equal">
      <formula>"Muy Baja"</formula>
    </cfRule>
  </conditionalFormatting>
  <conditionalFormatting sqref="AC47">
    <cfRule type="cellIs" dxfId="94" priority="89" operator="equal">
      <formula>"Catastrófico"</formula>
    </cfRule>
    <cfRule type="cellIs" dxfId="93" priority="90" operator="equal">
      <formula>"Mayor"</formula>
    </cfRule>
    <cfRule type="cellIs" dxfId="92" priority="91" operator="equal">
      <formula>"Moderado"</formula>
    </cfRule>
    <cfRule type="cellIs" dxfId="91" priority="92" operator="equal">
      <formula>"Menor"</formula>
    </cfRule>
    <cfRule type="cellIs" dxfId="90" priority="93" operator="equal">
      <formula>"Leve"</formula>
    </cfRule>
  </conditionalFormatting>
  <conditionalFormatting sqref="AE47">
    <cfRule type="cellIs" dxfId="89" priority="85" operator="equal">
      <formula>"Extremo"</formula>
    </cfRule>
    <cfRule type="cellIs" dxfId="88" priority="86" operator="equal">
      <formula>"Alto"</formula>
    </cfRule>
    <cfRule type="cellIs" dxfId="87" priority="87" operator="equal">
      <formula>"Moderado"</formula>
    </cfRule>
    <cfRule type="cellIs" dxfId="86" priority="88" operator="equal">
      <formula>"Bajo"</formula>
    </cfRule>
  </conditionalFormatting>
  <conditionalFormatting sqref="AA48:AA52">
    <cfRule type="cellIs" dxfId="85" priority="80" operator="equal">
      <formula>"Muy Alta"</formula>
    </cfRule>
    <cfRule type="cellIs" dxfId="84" priority="81" operator="equal">
      <formula>"Alta"</formula>
    </cfRule>
    <cfRule type="cellIs" dxfId="83" priority="82" operator="equal">
      <formula>"Media"</formula>
    </cfRule>
    <cfRule type="cellIs" dxfId="82" priority="83" operator="equal">
      <formula>"Baja"</formula>
    </cfRule>
    <cfRule type="cellIs" dxfId="81" priority="84" operator="equal">
      <formula>"Muy Baja"</formula>
    </cfRule>
  </conditionalFormatting>
  <conditionalFormatting sqref="AC48:AC52">
    <cfRule type="cellIs" dxfId="80" priority="75" operator="equal">
      <formula>"Catastrófico"</formula>
    </cfRule>
    <cfRule type="cellIs" dxfId="79" priority="76" operator="equal">
      <formula>"Mayor"</formula>
    </cfRule>
    <cfRule type="cellIs" dxfId="78" priority="77" operator="equal">
      <formula>"Moderado"</formula>
    </cfRule>
    <cfRule type="cellIs" dxfId="77" priority="78" operator="equal">
      <formula>"Menor"</formula>
    </cfRule>
    <cfRule type="cellIs" dxfId="76" priority="79" operator="equal">
      <formula>"Leve"</formula>
    </cfRule>
  </conditionalFormatting>
  <conditionalFormatting sqref="AE48:AE52">
    <cfRule type="cellIs" dxfId="75" priority="71" operator="equal">
      <formula>"Extremo"</formula>
    </cfRule>
    <cfRule type="cellIs" dxfId="74" priority="72" operator="equal">
      <formula>"Alto"</formula>
    </cfRule>
    <cfRule type="cellIs" dxfId="73" priority="73" operator="equal">
      <formula>"Moderado"</formula>
    </cfRule>
    <cfRule type="cellIs" dxfId="72" priority="74" operator="equal">
      <formula>"Bajo"</formula>
    </cfRule>
  </conditionalFormatting>
  <conditionalFormatting sqref="AA53">
    <cfRule type="cellIs" dxfId="71" priority="66" operator="equal">
      <formula>"Muy Alta"</formula>
    </cfRule>
    <cfRule type="cellIs" dxfId="70" priority="67" operator="equal">
      <formula>"Alta"</formula>
    </cfRule>
    <cfRule type="cellIs" dxfId="69" priority="68" operator="equal">
      <formula>"Media"</formula>
    </cfRule>
    <cfRule type="cellIs" dxfId="68" priority="69" operator="equal">
      <formula>"Baja"</formula>
    </cfRule>
    <cfRule type="cellIs" dxfId="67" priority="70" operator="equal">
      <formula>"Muy Baja"</formula>
    </cfRule>
  </conditionalFormatting>
  <conditionalFormatting sqref="AC53">
    <cfRule type="cellIs" dxfId="66" priority="61" operator="equal">
      <formula>"Catastrófico"</formula>
    </cfRule>
    <cfRule type="cellIs" dxfId="65" priority="62" operator="equal">
      <formula>"Mayor"</formula>
    </cfRule>
    <cfRule type="cellIs" dxfId="64" priority="63" operator="equal">
      <formula>"Moderado"</formula>
    </cfRule>
    <cfRule type="cellIs" dxfId="63" priority="64" operator="equal">
      <formula>"Menor"</formula>
    </cfRule>
    <cfRule type="cellIs" dxfId="62" priority="65" operator="equal">
      <formula>"Leve"</formula>
    </cfRule>
  </conditionalFormatting>
  <conditionalFormatting sqref="AE53">
    <cfRule type="cellIs" dxfId="61" priority="57" operator="equal">
      <formula>"Extremo"</formula>
    </cfRule>
    <cfRule type="cellIs" dxfId="60" priority="58" operator="equal">
      <formula>"Alto"</formula>
    </cfRule>
    <cfRule type="cellIs" dxfId="59" priority="59" operator="equal">
      <formula>"Moderado"</formula>
    </cfRule>
    <cfRule type="cellIs" dxfId="58" priority="60" operator="equal">
      <formula>"Bajo"</formula>
    </cfRule>
  </conditionalFormatting>
  <conditionalFormatting sqref="AA54:AA58">
    <cfRule type="cellIs" dxfId="57" priority="52" operator="equal">
      <formula>"Muy Alta"</formula>
    </cfRule>
    <cfRule type="cellIs" dxfId="56" priority="53" operator="equal">
      <formula>"Alta"</formula>
    </cfRule>
    <cfRule type="cellIs" dxfId="55" priority="54" operator="equal">
      <formula>"Media"</formula>
    </cfRule>
    <cfRule type="cellIs" dxfId="54" priority="55" operator="equal">
      <formula>"Baja"</formula>
    </cfRule>
    <cfRule type="cellIs" dxfId="53" priority="56" operator="equal">
      <formula>"Muy Baja"</formula>
    </cfRule>
  </conditionalFormatting>
  <conditionalFormatting sqref="AC54:AC58">
    <cfRule type="cellIs" dxfId="52" priority="47" operator="equal">
      <formula>"Catastrófico"</formula>
    </cfRule>
    <cfRule type="cellIs" dxfId="51" priority="48" operator="equal">
      <formula>"Mayor"</formula>
    </cfRule>
    <cfRule type="cellIs" dxfId="50" priority="49" operator="equal">
      <formula>"Moderado"</formula>
    </cfRule>
    <cfRule type="cellIs" dxfId="49" priority="50" operator="equal">
      <formula>"Menor"</formula>
    </cfRule>
    <cfRule type="cellIs" dxfId="48" priority="51" operator="equal">
      <formula>"Leve"</formula>
    </cfRule>
  </conditionalFormatting>
  <conditionalFormatting sqref="AE54:AE58">
    <cfRule type="cellIs" dxfId="47" priority="43" operator="equal">
      <formula>"Extremo"</formula>
    </cfRule>
    <cfRule type="cellIs" dxfId="46" priority="44" operator="equal">
      <formula>"Alto"</formula>
    </cfRule>
    <cfRule type="cellIs" dxfId="45" priority="45" operator="equal">
      <formula>"Moderado"</formula>
    </cfRule>
    <cfRule type="cellIs" dxfId="44" priority="46" operator="equal">
      <formula>"Bajo"</formula>
    </cfRule>
  </conditionalFormatting>
  <conditionalFormatting sqref="AA17">
    <cfRule type="cellIs" dxfId="43" priority="38" operator="equal">
      <formula>"Muy Alta"</formula>
    </cfRule>
    <cfRule type="cellIs" dxfId="42" priority="39" operator="equal">
      <formula>"Alta"</formula>
    </cfRule>
    <cfRule type="cellIs" dxfId="41" priority="40" operator="equal">
      <formula>"Media"</formula>
    </cfRule>
    <cfRule type="cellIs" dxfId="40" priority="41" operator="equal">
      <formula>"Baja"</formula>
    </cfRule>
    <cfRule type="cellIs" dxfId="39" priority="42" operator="equal">
      <formula>"Muy Baja"</formula>
    </cfRule>
  </conditionalFormatting>
  <conditionalFormatting sqref="AC17">
    <cfRule type="cellIs" dxfId="38" priority="33" operator="equal">
      <formula>"Catastrófico"</formula>
    </cfRule>
    <cfRule type="cellIs" dxfId="37" priority="34" operator="equal">
      <formula>"Mayor"</formula>
    </cfRule>
    <cfRule type="cellIs" dxfId="36" priority="35" operator="equal">
      <formula>"Moderado"</formula>
    </cfRule>
    <cfRule type="cellIs" dxfId="35" priority="36" operator="equal">
      <formula>"Menor"</formula>
    </cfRule>
    <cfRule type="cellIs" dxfId="34" priority="37" operator="equal">
      <formula>"Leve"</formula>
    </cfRule>
  </conditionalFormatting>
  <conditionalFormatting sqref="AE17">
    <cfRule type="cellIs" dxfId="33" priority="29" operator="equal">
      <formula>"Extremo"</formula>
    </cfRule>
    <cfRule type="cellIs" dxfId="32" priority="30" operator="equal">
      <formula>"Alto"</formula>
    </cfRule>
    <cfRule type="cellIs" dxfId="31" priority="31" operator="equal">
      <formula>"Moderado"</formula>
    </cfRule>
    <cfRule type="cellIs" dxfId="30" priority="32" operator="equal">
      <formula>"Bajo"</formula>
    </cfRule>
  </conditionalFormatting>
  <conditionalFormatting sqref="AA18">
    <cfRule type="cellIs" dxfId="29" priority="24" operator="equal">
      <formula>"Muy Alta"</formula>
    </cfRule>
    <cfRule type="cellIs" dxfId="28" priority="25" operator="equal">
      <formula>"Alta"</formula>
    </cfRule>
    <cfRule type="cellIs" dxfId="27" priority="26" operator="equal">
      <formula>"Media"</formula>
    </cfRule>
    <cfRule type="cellIs" dxfId="26" priority="27" operator="equal">
      <formula>"Baja"</formula>
    </cfRule>
    <cfRule type="cellIs" dxfId="25" priority="28" operator="equal">
      <formula>"Muy Baja"</formula>
    </cfRule>
  </conditionalFormatting>
  <conditionalFormatting sqref="AC18">
    <cfRule type="cellIs" dxfId="24" priority="19" operator="equal">
      <formula>"Catastrófico"</formula>
    </cfRule>
    <cfRule type="cellIs" dxfId="23" priority="20" operator="equal">
      <formula>"Mayor"</formula>
    </cfRule>
    <cfRule type="cellIs" dxfId="22" priority="21" operator="equal">
      <formula>"Moderado"</formula>
    </cfRule>
    <cfRule type="cellIs" dxfId="21" priority="22" operator="equal">
      <formula>"Menor"</formula>
    </cfRule>
    <cfRule type="cellIs" dxfId="20" priority="23" operator="equal">
      <formula>"Leve"</formula>
    </cfRule>
  </conditionalFormatting>
  <conditionalFormatting sqref="AE18">
    <cfRule type="cellIs" dxfId="19" priority="15" operator="equal">
      <formula>"Extremo"</formula>
    </cfRule>
    <cfRule type="cellIs" dxfId="18" priority="16" operator="equal">
      <formula>"Alto"</formula>
    </cfRule>
    <cfRule type="cellIs" dxfId="17" priority="17" operator="equal">
      <formula>"Moderado"</formula>
    </cfRule>
    <cfRule type="cellIs" dxfId="16" priority="18" operator="equal">
      <formula>"Bajo"</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100-000004000000}">
          <x14:formula1>
            <xm:f>'Opciones Tratamiento'!$B$9:$B$10</xm:f>
          </x14:formula1>
          <xm:sqref>AL10:AL11 AL13:AL20 AL22:AL24 AL26:AL27 AL29:AL30 AL32:AL33 AL35:AL36 AL38:AL39 AL41:AL42 AL44:AL45 AL47:AL48 AL50:AL51 AL53:AL54 AL56:AL57</xm:sqref>
        </x14:dataValidation>
        <x14:dataValidation type="list" allowBlank="1" showInputMessage="1" showErrorMessage="1" xr:uid="{00000000-0002-0000-0100-000008000000}">
          <x14:formula1>
            <xm:f>'Opciones Tratamiento'!$B$2:$B$5</xm:f>
          </x14:formula1>
          <xm:sqref>AF10 AF55:AF58 AF25:AF29 AF31:AF35 AF37:AF41 AF43:AF47 AF49:AF53 AF23 AF15 AF19</xm:sqref>
        </x14:dataValidation>
        <x14:dataValidation type="list" allowBlank="1" showInputMessage="1" showErrorMessage="1" xr:uid="{00000000-0002-0000-0100-00000F000000}">
          <x14:formula1>
            <xm:f>'C:\Users\HOME\Downloads\[Formato Matriz de Riesgos 2021 (1).xlsx]Opciones Tratamiento'!#REF!</xm:f>
          </x14:formula1>
          <xm:sqref>AF48 AF42 AF54 AF24 AF30 AF36</xm:sqref>
        </x14:dataValidation>
        <x14:dataValidation type="custom" allowBlank="1" showInputMessage="1" showErrorMessage="1" error="Recuerde que las acciones se generan bajo la medida de mitigar el riesgo" xr:uid="{00000000-0002-0000-0100-00000A000000}">
          <x14:formula1>
            <xm:f>IF(OR(AF10='Opciones Tratamiento'!$B$2,AF10='Opciones Tratamiento'!$B$3,AF10='Opciones Tratamiento'!$B$4),ISBLANK(AF10),ISTEXT(AF10))</xm:f>
          </x14:formula1>
          <xm:sqref>AG10 AG15 AG19:AG58</xm:sqref>
        </x14:dataValidation>
        <x14:dataValidation type="custom" allowBlank="1" showInputMessage="1" showErrorMessage="1" error="Recuerde que las acciones se generan bajo la medida de mitigar el riesgo" xr:uid="{00000000-0002-0000-0100-00000B000000}">
          <x14:formula1>
            <xm:f>IF(OR(AF10='Opciones Tratamiento'!$B$2,AF10='Opciones Tratamiento'!$B$3,AF10='Opciones Tratamiento'!$B$4),ISBLANK(AF10),ISTEXT(AF10))</xm:f>
          </x14:formula1>
          <xm:sqref>AH10 AH15 AH19:AH58</xm:sqref>
        </x14:dataValidation>
        <x14:dataValidation type="custom" allowBlank="1" showInputMessage="1" showErrorMessage="1" error="Recuerde que las acciones se generan bajo la medida de mitigar el riesgo" xr:uid="{00000000-0002-0000-0100-00000C000000}">
          <x14:formula1>
            <xm:f>IF(OR(AF10='Opciones Tratamiento'!$B$2,AF10='Opciones Tratamiento'!$B$3,AF10='Opciones Tratamiento'!$B$4),ISBLANK(AF10),ISTEXT(AF10))</xm:f>
          </x14:formula1>
          <xm:sqref>AI10 AI15 AI19:AI58</xm:sqref>
        </x14:dataValidation>
        <x14:dataValidation type="list" allowBlank="1" showInputMessage="1" showErrorMessage="1" xr:uid="{00000000-0002-0000-0100-000000000000}">
          <x14:formula1>
            <xm:f>'Tabla Valoración controles'!$D$4:$D$6</xm:f>
          </x14:formula1>
          <xm:sqref>T10:T58</xm:sqref>
        </x14:dataValidation>
        <x14:dataValidation type="list" allowBlank="1" showInputMessage="1" showErrorMessage="1" xr:uid="{00000000-0002-0000-0100-000001000000}">
          <x14:formula1>
            <xm:f>'Tabla Valoración controles'!$D$7:$D$8</xm:f>
          </x14:formula1>
          <xm:sqref>U10:U58</xm:sqref>
        </x14:dataValidation>
        <x14:dataValidation type="list" allowBlank="1" showInputMessage="1" showErrorMessage="1" xr:uid="{00000000-0002-0000-0100-000002000000}">
          <x14:formula1>
            <xm:f>'Tabla Valoración controles'!$D$9:$D$10</xm:f>
          </x14:formula1>
          <xm:sqref>W10:W58</xm:sqref>
        </x14:dataValidation>
        <x14:dataValidation type="list" allowBlank="1" showInputMessage="1" showErrorMessage="1" xr:uid="{00000000-0002-0000-0100-000003000000}">
          <x14:formula1>
            <xm:f>'Tabla Valoración controles'!$D$11:$D$12</xm:f>
          </x14:formula1>
          <xm:sqref>X10:X58</xm:sqref>
        </x14:dataValidation>
        <x14:dataValidation type="list" allowBlank="1" showInputMessage="1" showErrorMessage="1" xr:uid="{00000000-0002-0000-0100-000005000000}">
          <x14:formula1>
            <xm:f>'Tabla Valoración controles'!$D$13:$D$14</xm:f>
          </x14:formula1>
          <xm:sqref>Y10:Y58</xm:sqref>
        </x14:dataValidation>
        <x14:dataValidation type="list" allowBlank="1" showInputMessage="1" showErrorMessage="1" xr:uid="{00000000-0002-0000-0100-000006000000}">
          <x14:formula1>
            <xm:f>'Opciones Tratamiento'!$B$13:$B$19</xm:f>
          </x14:formula1>
          <xm:sqref>H10:H58</xm:sqref>
        </x14:dataValidation>
        <x14:dataValidation type="list" allowBlank="1" showInputMessage="1" showErrorMessage="1" xr:uid="{00000000-0002-0000-0100-000007000000}">
          <x14:formula1>
            <xm:f>'Opciones Tratamiento'!$E$2:$E$4</xm:f>
          </x14:formula1>
          <xm:sqref>B10:B58</xm:sqref>
        </x14:dataValidation>
        <x14:dataValidation type="list" allowBlank="1" showInputMessage="1" showErrorMessage="1" xr:uid="{00000000-0002-0000-0100-000009000000}">
          <x14:formula1>
            <xm:f>'Tabla Impacto'!$F$210:$F$221</xm:f>
          </x14:formula1>
          <xm:sqref>L10:L58</xm:sqref>
        </x14:dataValidation>
        <x14:dataValidation type="custom" allowBlank="1" showInputMessage="1" showErrorMessage="1" error="Recuerde que las acciones se generan bajo la medida de mitigar el riesgo" xr:uid="{00000000-0002-0000-0100-00000D000000}">
          <x14:formula1>
            <xm:f>IF(OR(AF10='Opciones Tratamiento'!$B$2,AF10='Opciones Tratamiento'!$B$3,AF10='Opciones Tratamiento'!$B$4),ISBLANK(AF10),ISTEXT(AF10))</xm:f>
          </x14:formula1>
          <xm:sqref>AJ10:AJ58</xm:sqref>
        </x14:dataValidation>
        <x14:dataValidation type="custom" allowBlank="1" showInputMessage="1" showErrorMessage="1" error="Recuerde que las acciones se generan bajo la medida de mitigar el riesgo" xr:uid="{00000000-0002-0000-0100-00000E000000}">
          <x14:formula1>
            <xm:f>IF(OR(AF10='Opciones Tratamiento'!$B$2,AF10='Opciones Tratamiento'!$B$3,AF10='Opciones Tratamiento'!$B$4),ISBLANK(AF10),ISTEXT(AF10))</xm:f>
          </x14:formula1>
          <xm:sqref>AK10:AK58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70" zoomScaleNormal="70" workbookViewId="0"/>
  </sheetViews>
  <sheetFormatPr baseColWidth="10" defaultColWidth="11.5546875" defaultRowHeight="14.4" x14ac:dyDescent="0.3"/>
  <cols>
    <col min="2" max="39" width="5.6640625" customWidth="1"/>
    <col min="41" max="46" width="5.6640625" customWidth="1"/>
  </cols>
  <sheetData>
    <row r="1" spans="1:99" x14ac:dyDescent="0.3">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row>
    <row r="2" spans="1:99" ht="18" customHeight="1" x14ac:dyDescent="0.3">
      <c r="A2" s="54"/>
      <c r="B2" s="379" t="s">
        <v>149</v>
      </c>
      <c r="C2" s="379"/>
      <c r="D2" s="379"/>
      <c r="E2" s="379"/>
      <c r="F2" s="379"/>
      <c r="G2" s="379"/>
      <c r="H2" s="379"/>
      <c r="I2" s="379"/>
      <c r="J2" s="346" t="s">
        <v>2</v>
      </c>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row>
    <row r="3" spans="1:99" ht="18.75" customHeight="1" x14ac:dyDescent="0.3">
      <c r="A3" s="54"/>
      <c r="B3" s="379"/>
      <c r="C3" s="379"/>
      <c r="D3" s="379"/>
      <c r="E3" s="379"/>
      <c r="F3" s="379"/>
      <c r="G3" s="379"/>
      <c r="H3" s="379"/>
      <c r="I3" s="379"/>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row>
    <row r="4" spans="1:99" ht="15" customHeight="1" x14ac:dyDescent="0.3">
      <c r="A4" s="54"/>
      <c r="B4" s="379"/>
      <c r="C4" s="379"/>
      <c r="D4" s="379"/>
      <c r="E4" s="379"/>
      <c r="F4" s="379"/>
      <c r="G4" s="379"/>
      <c r="H4" s="379"/>
      <c r="I4" s="379"/>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row>
    <row r="5" spans="1:99" ht="15" thickBot="1" x14ac:dyDescent="0.3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row>
    <row r="6" spans="1:99" ht="15" customHeight="1" x14ac:dyDescent="0.3">
      <c r="A6" s="54"/>
      <c r="B6" s="292" t="s">
        <v>4</v>
      </c>
      <c r="C6" s="292"/>
      <c r="D6" s="293"/>
      <c r="E6" s="330" t="s">
        <v>111</v>
      </c>
      <c r="F6" s="331"/>
      <c r="G6" s="331"/>
      <c r="H6" s="331"/>
      <c r="I6" s="332"/>
      <c r="J6" s="342" t="str">
        <f ca="1">IF(AND('Mapa final'!$J$10="Muy Alta",'Mapa final'!$N$10="Leve"),CONCATENATE("R",'Mapa final'!$A$10),"")</f>
        <v/>
      </c>
      <c r="K6" s="343"/>
      <c r="L6" s="343" t="str">
        <f ca="1">IF(AND('Mapa final'!$J$15="Muy Alta",'Mapa final'!$N$15="Leve"),CONCATENATE("R",'Mapa final'!$A$15),"")</f>
        <v/>
      </c>
      <c r="M6" s="343"/>
      <c r="N6" s="343" t="e">
        <f>IF(AND('Mapa final'!#REF!="Muy Alta",'Mapa final'!#REF!="Leve"),CONCATENATE("R",'Mapa final'!#REF!),"")</f>
        <v>#REF!</v>
      </c>
      <c r="O6" s="345"/>
      <c r="P6" s="342" t="str">
        <f ca="1">IF(AND('Mapa final'!$J$10="Muy Alta",'Mapa final'!$N$10="Menor"),CONCATENATE("R",'Mapa final'!$A$10),"")</f>
        <v/>
      </c>
      <c r="Q6" s="343"/>
      <c r="R6" s="343" t="str">
        <f ca="1">IF(AND('Mapa final'!$J$15="Muy Alta",'Mapa final'!$N$15="Menor"),CONCATENATE("R",'Mapa final'!$A$15),"")</f>
        <v/>
      </c>
      <c r="S6" s="343"/>
      <c r="T6" s="343" t="e">
        <f>IF(AND('Mapa final'!#REF!="Muy Alta",'Mapa final'!#REF!="Menor"),CONCATENATE("R",'Mapa final'!#REF!),"")</f>
        <v>#REF!</v>
      </c>
      <c r="U6" s="345"/>
      <c r="V6" s="342" t="str">
        <f ca="1">IF(AND('Mapa final'!$J$10="Muy Alta",'Mapa final'!$N$10="Moderado"),CONCATENATE("R",'Mapa final'!$A$10),"")</f>
        <v/>
      </c>
      <c r="W6" s="343"/>
      <c r="X6" s="343" t="str">
        <f ca="1">IF(AND('Mapa final'!$J$15="Muy Alta",'Mapa final'!$N$15="Moderado"),CONCATENATE("R",'Mapa final'!$A$15),"")</f>
        <v/>
      </c>
      <c r="Y6" s="343"/>
      <c r="Z6" s="343" t="e">
        <f>IF(AND('Mapa final'!#REF!="Muy Alta",'Mapa final'!#REF!="Moderado"),CONCATENATE("R",'Mapa final'!#REF!),"")</f>
        <v>#REF!</v>
      </c>
      <c r="AA6" s="345"/>
      <c r="AB6" s="342" t="str">
        <f ca="1">IF(AND('Mapa final'!$J$10="Muy Alta",'Mapa final'!$N$10="Mayor"),CONCATENATE("R",'Mapa final'!$A$10),"")</f>
        <v/>
      </c>
      <c r="AC6" s="343"/>
      <c r="AD6" s="343" t="str">
        <f ca="1">IF(AND('Mapa final'!$J$15="Muy Alta",'Mapa final'!$N$15="Mayor"),CONCATENATE("R",'Mapa final'!$A$15),"")</f>
        <v/>
      </c>
      <c r="AE6" s="343"/>
      <c r="AF6" s="343" t="e">
        <f>IF(AND('Mapa final'!#REF!="Muy Alta",'Mapa final'!#REF!="Mayor"),CONCATENATE("R",'Mapa final'!#REF!),"")</f>
        <v>#REF!</v>
      </c>
      <c r="AG6" s="345"/>
      <c r="AH6" s="358" t="str">
        <f ca="1">IF(AND('Mapa final'!$J$10="Muy Alta",'Mapa final'!$N$10="Catastrófico"),CONCATENATE("R",'Mapa final'!$A$10),"")</f>
        <v/>
      </c>
      <c r="AI6" s="359"/>
      <c r="AJ6" s="359" t="str">
        <f ca="1">IF(AND('Mapa final'!$J$15="Muy Alta",'Mapa final'!$N$15="Catastrófico"),CONCATENATE("R",'Mapa final'!$A$15),"")</f>
        <v/>
      </c>
      <c r="AK6" s="359"/>
      <c r="AL6" s="359" t="e">
        <f>IF(AND('Mapa final'!#REF!="Muy Alta",'Mapa final'!#REF!="Catastrófico"),CONCATENATE("R",'Mapa final'!#REF!),"")</f>
        <v>#REF!</v>
      </c>
      <c r="AM6" s="360"/>
      <c r="AO6" s="294" t="s">
        <v>78</v>
      </c>
      <c r="AP6" s="295"/>
      <c r="AQ6" s="295"/>
      <c r="AR6" s="295"/>
      <c r="AS6" s="295"/>
      <c r="AT6" s="296"/>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row>
    <row r="7" spans="1:99" ht="15" customHeight="1" x14ac:dyDescent="0.3">
      <c r="A7" s="54"/>
      <c r="B7" s="292"/>
      <c r="C7" s="292"/>
      <c r="D7" s="293"/>
      <c r="E7" s="333"/>
      <c r="F7" s="334"/>
      <c r="G7" s="334"/>
      <c r="H7" s="334"/>
      <c r="I7" s="335"/>
      <c r="J7" s="344"/>
      <c r="K7" s="341"/>
      <c r="L7" s="341"/>
      <c r="M7" s="341"/>
      <c r="N7" s="341"/>
      <c r="O7" s="340"/>
      <c r="P7" s="344"/>
      <c r="Q7" s="341"/>
      <c r="R7" s="341"/>
      <c r="S7" s="341"/>
      <c r="T7" s="341"/>
      <c r="U7" s="340"/>
      <c r="V7" s="344"/>
      <c r="W7" s="341"/>
      <c r="X7" s="341"/>
      <c r="Y7" s="341"/>
      <c r="Z7" s="341"/>
      <c r="AA7" s="340"/>
      <c r="AB7" s="344"/>
      <c r="AC7" s="341"/>
      <c r="AD7" s="341"/>
      <c r="AE7" s="341"/>
      <c r="AF7" s="341"/>
      <c r="AG7" s="340"/>
      <c r="AH7" s="352"/>
      <c r="AI7" s="353"/>
      <c r="AJ7" s="353"/>
      <c r="AK7" s="353"/>
      <c r="AL7" s="353"/>
      <c r="AM7" s="354"/>
      <c r="AN7" s="54"/>
      <c r="AO7" s="297"/>
      <c r="AP7" s="298"/>
      <c r="AQ7" s="298"/>
      <c r="AR7" s="298"/>
      <c r="AS7" s="298"/>
      <c r="AT7" s="299"/>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row>
    <row r="8" spans="1:99" ht="15" customHeight="1" x14ac:dyDescent="0.3">
      <c r="A8" s="54"/>
      <c r="B8" s="292"/>
      <c r="C8" s="292"/>
      <c r="D8" s="293"/>
      <c r="E8" s="333"/>
      <c r="F8" s="334"/>
      <c r="G8" s="334"/>
      <c r="H8" s="334"/>
      <c r="I8" s="335"/>
      <c r="J8" s="344" t="str">
        <f ca="1">IF(AND('Mapa final'!$J$19="Muy Alta",'Mapa final'!$N$19="Leve"),CONCATENATE("R",'Mapa final'!$A$19),"")</f>
        <v/>
      </c>
      <c r="K8" s="341"/>
      <c r="L8" s="339" t="str">
        <f ca="1">IF(AND('Mapa final'!$J$23="Muy Alta",'Mapa final'!$N$23="Leve"),CONCATENATE("R",'Mapa final'!$A$23),"")</f>
        <v/>
      </c>
      <c r="M8" s="339"/>
      <c r="N8" s="339" t="str">
        <f ca="1">IF(AND('Mapa final'!$J$29="Muy Alta",'Mapa final'!$N$29="Leve"),CONCATENATE("R",'Mapa final'!$A$29),"")</f>
        <v/>
      </c>
      <c r="O8" s="340"/>
      <c r="P8" s="344" t="str">
        <f ca="1">IF(AND('Mapa final'!$J$19="Muy Alta",'Mapa final'!$N$19="Menor"),CONCATENATE("R",'Mapa final'!$A$19),"")</f>
        <v/>
      </c>
      <c r="Q8" s="341"/>
      <c r="R8" s="339" t="str">
        <f ca="1">IF(AND('Mapa final'!$J$23="Muy Alta",'Mapa final'!$N$23="Menor"),CONCATENATE("R",'Mapa final'!$A$23),"")</f>
        <v/>
      </c>
      <c r="S8" s="339"/>
      <c r="T8" s="339" t="str">
        <f ca="1">IF(AND('Mapa final'!$J$29="Muy Alta",'Mapa final'!$N$29="Menor"),CONCATENATE("R",'Mapa final'!$A$29),"")</f>
        <v/>
      </c>
      <c r="U8" s="340"/>
      <c r="V8" s="344" t="str">
        <f ca="1">IF(AND('Mapa final'!$J$19="Muy Alta",'Mapa final'!$N$19="Moderado"),CONCATENATE("R",'Mapa final'!$A$19),"")</f>
        <v/>
      </c>
      <c r="W8" s="341"/>
      <c r="X8" s="339" t="str">
        <f ca="1">IF(AND('Mapa final'!$J$23="Muy Alta",'Mapa final'!$N$23="Moderado"),CONCATENATE("R",'Mapa final'!$A$23),"")</f>
        <v/>
      </c>
      <c r="Y8" s="339"/>
      <c r="Z8" s="339" t="str">
        <f ca="1">IF(AND('Mapa final'!$J$29="Muy Alta",'Mapa final'!$N$29="Moderado"),CONCATENATE("R",'Mapa final'!$A$29),"")</f>
        <v/>
      </c>
      <c r="AA8" s="340"/>
      <c r="AB8" s="344" t="str">
        <f ca="1">IF(AND('Mapa final'!$J$19="Muy Alta",'Mapa final'!$N$19="Mayor"),CONCATENATE("R",'Mapa final'!$A$19),"")</f>
        <v/>
      </c>
      <c r="AC8" s="341"/>
      <c r="AD8" s="339" t="str">
        <f ca="1">IF(AND('Mapa final'!$J$23="Muy Alta",'Mapa final'!$N$23="Mayor"),CONCATENATE("R",'Mapa final'!$A$23),"")</f>
        <v/>
      </c>
      <c r="AE8" s="339"/>
      <c r="AF8" s="339" t="str">
        <f ca="1">IF(AND('Mapa final'!$J$29="Muy Alta",'Mapa final'!$N$29="Mayor"),CONCATENATE("R",'Mapa final'!$A$29),"")</f>
        <v/>
      </c>
      <c r="AG8" s="340"/>
      <c r="AH8" s="352" t="str">
        <f ca="1">IF(AND('Mapa final'!$J$19="Muy Alta",'Mapa final'!$N$19="Catastrófico"),CONCATENATE("R",'Mapa final'!$A$19),"")</f>
        <v>R3</v>
      </c>
      <c r="AI8" s="353"/>
      <c r="AJ8" s="353" t="str">
        <f ca="1">IF(AND('Mapa final'!$J$23="Muy Alta",'Mapa final'!$N$23="Catastrófico"),CONCATENATE("R",'Mapa final'!$A$23),"")</f>
        <v/>
      </c>
      <c r="AK8" s="353"/>
      <c r="AL8" s="353" t="str">
        <f ca="1">IF(AND('Mapa final'!$J$29="Muy Alta",'Mapa final'!$N$29="Catastrófico"),CONCATENATE("R",'Mapa final'!$A$29),"")</f>
        <v/>
      </c>
      <c r="AM8" s="354"/>
      <c r="AN8" s="54"/>
      <c r="AO8" s="297"/>
      <c r="AP8" s="298"/>
      <c r="AQ8" s="298"/>
      <c r="AR8" s="298"/>
      <c r="AS8" s="298"/>
      <c r="AT8" s="299"/>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row>
    <row r="9" spans="1:99" ht="15" customHeight="1" x14ac:dyDescent="0.3">
      <c r="A9" s="54"/>
      <c r="B9" s="292"/>
      <c r="C9" s="292"/>
      <c r="D9" s="293"/>
      <c r="E9" s="333"/>
      <c r="F9" s="334"/>
      <c r="G9" s="334"/>
      <c r="H9" s="334"/>
      <c r="I9" s="335"/>
      <c r="J9" s="344"/>
      <c r="K9" s="341"/>
      <c r="L9" s="339"/>
      <c r="M9" s="339"/>
      <c r="N9" s="339"/>
      <c r="O9" s="340"/>
      <c r="P9" s="344"/>
      <c r="Q9" s="341"/>
      <c r="R9" s="339"/>
      <c r="S9" s="339"/>
      <c r="T9" s="339"/>
      <c r="U9" s="340"/>
      <c r="V9" s="344"/>
      <c r="W9" s="341"/>
      <c r="X9" s="339"/>
      <c r="Y9" s="339"/>
      <c r="Z9" s="339"/>
      <c r="AA9" s="340"/>
      <c r="AB9" s="344"/>
      <c r="AC9" s="341"/>
      <c r="AD9" s="339"/>
      <c r="AE9" s="339"/>
      <c r="AF9" s="339"/>
      <c r="AG9" s="340"/>
      <c r="AH9" s="352"/>
      <c r="AI9" s="353"/>
      <c r="AJ9" s="353"/>
      <c r="AK9" s="353"/>
      <c r="AL9" s="353"/>
      <c r="AM9" s="354"/>
      <c r="AN9" s="54"/>
      <c r="AO9" s="297"/>
      <c r="AP9" s="298"/>
      <c r="AQ9" s="298"/>
      <c r="AR9" s="298"/>
      <c r="AS9" s="298"/>
      <c r="AT9" s="299"/>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row>
    <row r="10" spans="1:99" ht="15" customHeight="1" x14ac:dyDescent="0.3">
      <c r="A10" s="54"/>
      <c r="B10" s="292"/>
      <c r="C10" s="292"/>
      <c r="D10" s="293"/>
      <c r="E10" s="333"/>
      <c r="F10" s="334"/>
      <c r="G10" s="334"/>
      <c r="H10" s="334"/>
      <c r="I10" s="335"/>
      <c r="J10" s="344" t="str">
        <f ca="1">IF(AND('Mapa final'!$J$35="Muy Alta",'Mapa final'!$N$35="Leve"),CONCATENATE("R",'Mapa final'!$A$35),"")</f>
        <v/>
      </c>
      <c r="K10" s="341"/>
      <c r="L10" s="339" t="str">
        <f ca="1">IF(AND('Mapa final'!$J$41="Muy Alta",'Mapa final'!$N$41="Leve"),CONCATENATE("R",'Mapa final'!$A$41),"")</f>
        <v/>
      </c>
      <c r="M10" s="339"/>
      <c r="N10" s="339" t="str">
        <f ca="1">IF(AND('Mapa final'!$J$47="Muy Alta",'Mapa final'!$N$47="Leve"),CONCATENATE("R",'Mapa final'!$A$47),"")</f>
        <v/>
      </c>
      <c r="O10" s="340"/>
      <c r="P10" s="344" t="str">
        <f ca="1">IF(AND('Mapa final'!$J$35="Muy Alta",'Mapa final'!$N$35="Menor"),CONCATENATE("R",'Mapa final'!$A$35),"")</f>
        <v/>
      </c>
      <c r="Q10" s="341"/>
      <c r="R10" s="339" t="str">
        <f ca="1">IF(AND('Mapa final'!$J$41="Muy Alta",'Mapa final'!$N$41="Menor"),CONCATENATE("R",'Mapa final'!$A$41),"")</f>
        <v/>
      </c>
      <c r="S10" s="339"/>
      <c r="T10" s="339" t="str">
        <f ca="1">IF(AND('Mapa final'!$J$47="Muy Alta",'Mapa final'!$N$47="Menor"),CONCATENATE("R",'Mapa final'!$A$47),"")</f>
        <v/>
      </c>
      <c r="U10" s="340"/>
      <c r="V10" s="344" t="str">
        <f ca="1">IF(AND('Mapa final'!$J$35="Muy Alta",'Mapa final'!$N$35="Moderado"),CONCATENATE("R",'Mapa final'!$A$35),"")</f>
        <v/>
      </c>
      <c r="W10" s="341"/>
      <c r="X10" s="339" t="str">
        <f ca="1">IF(AND('Mapa final'!$J$41="Muy Alta",'Mapa final'!$N$41="Moderado"),CONCATENATE("R",'Mapa final'!$A$41),"")</f>
        <v/>
      </c>
      <c r="Y10" s="339"/>
      <c r="Z10" s="339" t="str">
        <f ca="1">IF(AND('Mapa final'!$J$47="Muy Alta",'Mapa final'!$N$47="Moderado"),CONCATENATE("R",'Mapa final'!$A$47),"")</f>
        <v/>
      </c>
      <c r="AA10" s="340"/>
      <c r="AB10" s="344" t="str">
        <f ca="1">IF(AND('Mapa final'!$J$35="Muy Alta",'Mapa final'!$N$35="Mayor"),CONCATENATE("R",'Mapa final'!$A$35),"")</f>
        <v/>
      </c>
      <c r="AC10" s="341"/>
      <c r="AD10" s="339" t="str">
        <f ca="1">IF(AND('Mapa final'!$J$41="Muy Alta",'Mapa final'!$N$41="Mayor"),CONCATENATE("R",'Mapa final'!$A$41),"")</f>
        <v/>
      </c>
      <c r="AE10" s="339"/>
      <c r="AF10" s="339" t="str">
        <f ca="1">IF(AND('Mapa final'!$J$47="Muy Alta",'Mapa final'!$N$47="Mayor"),CONCATENATE("R",'Mapa final'!$A$47),"")</f>
        <v/>
      </c>
      <c r="AG10" s="340"/>
      <c r="AH10" s="352" t="str">
        <f ca="1">IF(AND('Mapa final'!$J$35="Muy Alta",'Mapa final'!$N$35="Catastrófico"),CONCATENATE("R",'Mapa final'!$A$35),"")</f>
        <v/>
      </c>
      <c r="AI10" s="353"/>
      <c r="AJ10" s="353" t="str">
        <f ca="1">IF(AND('Mapa final'!$J$41="Muy Alta",'Mapa final'!$N$41="Catastrófico"),CONCATENATE("R",'Mapa final'!$A$41),"")</f>
        <v/>
      </c>
      <c r="AK10" s="353"/>
      <c r="AL10" s="353" t="str">
        <f ca="1">IF(AND('Mapa final'!$J$47="Muy Alta",'Mapa final'!$N$47="Catastrófico"),CONCATENATE("R",'Mapa final'!$A$47),"")</f>
        <v/>
      </c>
      <c r="AM10" s="354"/>
      <c r="AN10" s="54"/>
      <c r="AO10" s="297"/>
      <c r="AP10" s="298"/>
      <c r="AQ10" s="298"/>
      <c r="AR10" s="298"/>
      <c r="AS10" s="298"/>
      <c r="AT10" s="299"/>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row>
    <row r="11" spans="1:99" ht="15" customHeight="1" x14ac:dyDescent="0.3">
      <c r="A11" s="54"/>
      <c r="B11" s="292"/>
      <c r="C11" s="292"/>
      <c r="D11" s="293"/>
      <c r="E11" s="333"/>
      <c r="F11" s="334"/>
      <c r="G11" s="334"/>
      <c r="H11" s="334"/>
      <c r="I11" s="335"/>
      <c r="J11" s="344"/>
      <c r="K11" s="341"/>
      <c r="L11" s="339"/>
      <c r="M11" s="339"/>
      <c r="N11" s="339"/>
      <c r="O11" s="340"/>
      <c r="P11" s="344"/>
      <c r="Q11" s="341"/>
      <c r="R11" s="339"/>
      <c r="S11" s="339"/>
      <c r="T11" s="339"/>
      <c r="U11" s="340"/>
      <c r="V11" s="344"/>
      <c r="W11" s="341"/>
      <c r="X11" s="339"/>
      <c r="Y11" s="339"/>
      <c r="Z11" s="339"/>
      <c r="AA11" s="340"/>
      <c r="AB11" s="344"/>
      <c r="AC11" s="341"/>
      <c r="AD11" s="339"/>
      <c r="AE11" s="339"/>
      <c r="AF11" s="339"/>
      <c r="AG11" s="340"/>
      <c r="AH11" s="352"/>
      <c r="AI11" s="353"/>
      <c r="AJ11" s="353"/>
      <c r="AK11" s="353"/>
      <c r="AL11" s="353"/>
      <c r="AM11" s="354"/>
      <c r="AN11" s="54"/>
      <c r="AO11" s="297"/>
      <c r="AP11" s="298"/>
      <c r="AQ11" s="298"/>
      <c r="AR11" s="298"/>
      <c r="AS11" s="298"/>
      <c r="AT11" s="299"/>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row>
    <row r="12" spans="1:99" ht="15" customHeight="1" x14ac:dyDescent="0.3">
      <c r="A12" s="54"/>
      <c r="B12" s="292"/>
      <c r="C12" s="292"/>
      <c r="D12" s="293"/>
      <c r="E12" s="333"/>
      <c r="F12" s="334"/>
      <c r="G12" s="334"/>
      <c r="H12" s="334"/>
      <c r="I12" s="335"/>
      <c r="J12" s="344" t="str">
        <f ca="1">IF(AND('Mapa final'!$J$53="Muy Alta",'Mapa final'!$N$53="Leve"),CONCATENATE("R",'Mapa final'!$A$53),"")</f>
        <v/>
      </c>
      <c r="K12" s="341"/>
      <c r="L12" s="339" t="str">
        <f>IF(AND('Mapa final'!$J$59="Muy Alta",'Mapa final'!$N$59="Leve"),CONCATENATE("R",'Mapa final'!$A$59),"")</f>
        <v/>
      </c>
      <c r="M12" s="339"/>
      <c r="N12" s="339" t="str">
        <f>IF(AND('Mapa final'!$J$65="Muy Alta",'Mapa final'!$N$65="Leve"),CONCATENATE("R",'Mapa final'!$A$65),"")</f>
        <v/>
      </c>
      <c r="O12" s="340"/>
      <c r="P12" s="344" t="str">
        <f ca="1">IF(AND('Mapa final'!$J$53="Muy Alta",'Mapa final'!$N$53="Menor"),CONCATENATE("R",'Mapa final'!$A$53),"")</f>
        <v/>
      </c>
      <c r="Q12" s="341"/>
      <c r="R12" s="339" t="str">
        <f>IF(AND('Mapa final'!$J$59="Muy Alta",'Mapa final'!$N$59="Menor"),CONCATENATE("R",'Mapa final'!$A$59),"")</f>
        <v/>
      </c>
      <c r="S12" s="339"/>
      <c r="T12" s="339" t="str">
        <f>IF(AND('Mapa final'!$J$65="Muy Alta",'Mapa final'!$N$65="Menor"),CONCATENATE("R",'Mapa final'!$A$65),"")</f>
        <v/>
      </c>
      <c r="U12" s="340"/>
      <c r="V12" s="344" t="str">
        <f ca="1">IF(AND('Mapa final'!$J$53="Muy Alta",'Mapa final'!$N$53="Moderado"),CONCATENATE("R",'Mapa final'!$A$53),"")</f>
        <v/>
      </c>
      <c r="W12" s="341"/>
      <c r="X12" s="339" t="str">
        <f>IF(AND('Mapa final'!$J$59="Muy Alta",'Mapa final'!$N$59="Moderado"),CONCATENATE("R",'Mapa final'!$A$59),"")</f>
        <v/>
      </c>
      <c r="Y12" s="339"/>
      <c r="Z12" s="339" t="str">
        <f>IF(AND('Mapa final'!$J$65="Muy Alta",'Mapa final'!$N$65="Moderado"),CONCATENATE("R",'Mapa final'!$A$65),"")</f>
        <v/>
      </c>
      <c r="AA12" s="340"/>
      <c r="AB12" s="344" t="str">
        <f ca="1">IF(AND('Mapa final'!$J$53="Muy Alta",'Mapa final'!$N$53="Mayor"),CONCATENATE("R",'Mapa final'!$A$53),"")</f>
        <v/>
      </c>
      <c r="AC12" s="341"/>
      <c r="AD12" s="339" t="str">
        <f>IF(AND('Mapa final'!$J$59="Muy Alta",'Mapa final'!$N$59="Mayor"),CONCATENATE("R",'Mapa final'!$A$59),"")</f>
        <v/>
      </c>
      <c r="AE12" s="339"/>
      <c r="AF12" s="339" t="str">
        <f>IF(AND('Mapa final'!$J$65="Muy Alta",'Mapa final'!$N$65="Mayor"),CONCATENATE("R",'Mapa final'!$A$65),"")</f>
        <v/>
      </c>
      <c r="AG12" s="340"/>
      <c r="AH12" s="352" t="str">
        <f ca="1">IF(AND('Mapa final'!$J$53="Muy Alta",'Mapa final'!$N$53="Catastrófico"),CONCATENATE("R",'Mapa final'!$A$53),"")</f>
        <v/>
      </c>
      <c r="AI12" s="353"/>
      <c r="AJ12" s="353" t="str">
        <f>IF(AND('Mapa final'!$J$59="Muy Alta",'Mapa final'!$N$59="Catastrófico"),CONCATENATE("R",'Mapa final'!$A$59),"")</f>
        <v/>
      </c>
      <c r="AK12" s="353"/>
      <c r="AL12" s="353" t="str">
        <f>IF(AND('Mapa final'!$J$65="Muy Alta",'Mapa final'!$N$65="Catastrófico"),CONCATENATE("R",'Mapa final'!$A$65),"")</f>
        <v/>
      </c>
      <c r="AM12" s="354"/>
      <c r="AN12" s="54"/>
      <c r="AO12" s="297"/>
      <c r="AP12" s="298"/>
      <c r="AQ12" s="298"/>
      <c r="AR12" s="298"/>
      <c r="AS12" s="298"/>
      <c r="AT12" s="299"/>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row>
    <row r="13" spans="1:99" ht="15.75" customHeight="1" thickBot="1" x14ac:dyDescent="0.35">
      <c r="A13" s="54"/>
      <c r="B13" s="292"/>
      <c r="C13" s="292"/>
      <c r="D13" s="293"/>
      <c r="E13" s="336"/>
      <c r="F13" s="337"/>
      <c r="G13" s="337"/>
      <c r="H13" s="337"/>
      <c r="I13" s="338"/>
      <c r="J13" s="344"/>
      <c r="K13" s="341"/>
      <c r="L13" s="341"/>
      <c r="M13" s="341"/>
      <c r="N13" s="341"/>
      <c r="O13" s="340"/>
      <c r="P13" s="344"/>
      <c r="Q13" s="341"/>
      <c r="R13" s="341"/>
      <c r="S13" s="341"/>
      <c r="T13" s="341"/>
      <c r="U13" s="340"/>
      <c r="V13" s="344"/>
      <c r="W13" s="341"/>
      <c r="X13" s="341"/>
      <c r="Y13" s="341"/>
      <c r="Z13" s="341"/>
      <c r="AA13" s="340"/>
      <c r="AB13" s="344"/>
      <c r="AC13" s="341"/>
      <c r="AD13" s="341"/>
      <c r="AE13" s="341"/>
      <c r="AF13" s="341"/>
      <c r="AG13" s="340"/>
      <c r="AH13" s="355"/>
      <c r="AI13" s="356"/>
      <c r="AJ13" s="356"/>
      <c r="AK13" s="356"/>
      <c r="AL13" s="356"/>
      <c r="AM13" s="357"/>
      <c r="AN13" s="54"/>
      <c r="AO13" s="300"/>
      <c r="AP13" s="301"/>
      <c r="AQ13" s="301"/>
      <c r="AR13" s="301"/>
      <c r="AS13" s="301"/>
      <c r="AT13" s="302"/>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row>
    <row r="14" spans="1:99" ht="15" customHeight="1" x14ac:dyDescent="0.3">
      <c r="A14" s="54"/>
      <c r="B14" s="292"/>
      <c r="C14" s="292"/>
      <c r="D14" s="293"/>
      <c r="E14" s="330" t="s">
        <v>110</v>
      </c>
      <c r="F14" s="331"/>
      <c r="G14" s="331"/>
      <c r="H14" s="331"/>
      <c r="I14" s="331"/>
      <c r="J14" s="367" t="str">
        <f ca="1">IF(AND('Mapa final'!$J$10="Alta",'Mapa final'!$N$10="Leve"),CONCATENATE("R",'Mapa final'!$A$10),"")</f>
        <v/>
      </c>
      <c r="K14" s="368"/>
      <c r="L14" s="368" t="str">
        <f ca="1">IF(AND('Mapa final'!$J$15="Alta",'Mapa final'!$N$15="Leve"),CONCATENATE("R",'Mapa final'!$A$15),"")</f>
        <v/>
      </c>
      <c r="M14" s="368"/>
      <c r="N14" s="368" t="e">
        <f>IF(AND('Mapa final'!#REF!="Alta",'Mapa final'!#REF!="Leve"),CONCATENATE("R",'Mapa final'!#REF!),"")</f>
        <v>#REF!</v>
      </c>
      <c r="O14" s="369"/>
      <c r="P14" s="367" t="str">
        <f ca="1">IF(AND('Mapa final'!$J$10="Alta",'Mapa final'!$N$10="Menor"),CONCATENATE("R",'Mapa final'!$A$10),"")</f>
        <v/>
      </c>
      <c r="Q14" s="368"/>
      <c r="R14" s="368" t="str">
        <f ca="1">IF(AND('Mapa final'!$J$15="Alta",'Mapa final'!$N$15="Menor"),CONCATENATE("R",'Mapa final'!$A$15),"")</f>
        <v/>
      </c>
      <c r="S14" s="368"/>
      <c r="T14" s="368" t="e">
        <f>IF(AND('Mapa final'!#REF!="Alta",'Mapa final'!#REF!="Menor"),CONCATENATE("R",'Mapa final'!#REF!),"")</f>
        <v>#REF!</v>
      </c>
      <c r="U14" s="369"/>
      <c r="V14" s="342" t="str">
        <f ca="1">IF(AND('Mapa final'!$J$10="Alta",'Mapa final'!$N$10="Moderado"),CONCATENATE("R",'Mapa final'!$A$10),"")</f>
        <v/>
      </c>
      <c r="W14" s="343"/>
      <c r="X14" s="343" t="str">
        <f ca="1">IF(AND('Mapa final'!$J$15="Alta",'Mapa final'!$N$15="Moderado"),CONCATENATE("R",'Mapa final'!$A$15),"")</f>
        <v/>
      </c>
      <c r="Y14" s="343"/>
      <c r="Z14" s="343" t="e">
        <f>IF(AND('Mapa final'!#REF!="Alta",'Mapa final'!#REF!="Moderado"),CONCATENATE("R",'Mapa final'!#REF!),"")</f>
        <v>#REF!</v>
      </c>
      <c r="AA14" s="345"/>
      <c r="AB14" s="342" t="str">
        <f ca="1">IF(AND('Mapa final'!$J$10="Alta",'Mapa final'!$N$10="Mayor"),CONCATENATE("R",'Mapa final'!$A$10),"")</f>
        <v/>
      </c>
      <c r="AC14" s="343"/>
      <c r="AD14" s="343" t="str">
        <f ca="1">IF(AND('Mapa final'!$J$15="Alta",'Mapa final'!$N$15="Mayor"),CONCATENATE("R",'Mapa final'!$A$15),"")</f>
        <v>R2</v>
      </c>
      <c r="AE14" s="343"/>
      <c r="AF14" s="343" t="e">
        <f>IF(AND('Mapa final'!#REF!="Alta",'Mapa final'!#REF!="Mayor"),CONCATENATE("R",'Mapa final'!#REF!),"")</f>
        <v>#REF!</v>
      </c>
      <c r="AG14" s="345"/>
      <c r="AH14" s="358" t="str">
        <f ca="1">IF(AND('Mapa final'!$J$10="Alta",'Mapa final'!$N$10="Catastrófico"),CONCATENATE("R",'Mapa final'!$A$10),"")</f>
        <v/>
      </c>
      <c r="AI14" s="359"/>
      <c r="AJ14" s="359" t="str">
        <f ca="1">IF(AND('Mapa final'!$J$15="Alta",'Mapa final'!$N$15="Catastrófico"),CONCATENATE("R",'Mapa final'!$A$15),"")</f>
        <v/>
      </c>
      <c r="AK14" s="359"/>
      <c r="AL14" s="359" t="e">
        <f>IF(AND('Mapa final'!#REF!="Alta",'Mapa final'!#REF!="Catastrófico"),CONCATENATE("R",'Mapa final'!#REF!),"")</f>
        <v>#REF!</v>
      </c>
      <c r="AM14" s="360"/>
      <c r="AN14" s="54"/>
      <c r="AO14" s="303" t="s">
        <v>79</v>
      </c>
      <c r="AP14" s="304"/>
      <c r="AQ14" s="304"/>
      <c r="AR14" s="304"/>
      <c r="AS14" s="304"/>
      <c r="AT14" s="305"/>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row>
    <row r="15" spans="1:99" ht="15" customHeight="1" x14ac:dyDescent="0.3">
      <c r="A15" s="54"/>
      <c r="B15" s="292"/>
      <c r="C15" s="292"/>
      <c r="D15" s="293"/>
      <c r="E15" s="333"/>
      <c r="F15" s="334"/>
      <c r="G15" s="334"/>
      <c r="H15" s="334"/>
      <c r="I15" s="347"/>
      <c r="J15" s="361"/>
      <c r="K15" s="362"/>
      <c r="L15" s="362"/>
      <c r="M15" s="362"/>
      <c r="N15" s="362"/>
      <c r="O15" s="363"/>
      <c r="P15" s="361"/>
      <c r="Q15" s="362"/>
      <c r="R15" s="362"/>
      <c r="S15" s="362"/>
      <c r="T15" s="362"/>
      <c r="U15" s="363"/>
      <c r="V15" s="344"/>
      <c r="W15" s="341"/>
      <c r="X15" s="341"/>
      <c r="Y15" s="341"/>
      <c r="Z15" s="341"/>
      <c r="AA15" s="340"/>
      <c r="AB15" s="344"/>
      <c r="AC15" s="341"/>
      <c r="AD15" s="341"/>
      <c r="AE15" s="341"/>
      <c r="AF15" s="341"/>
      <c r="AG15" s="340"/>
      <c r="AH15" s="352"/>
      <c r="AI15" s="353"/>
      <c r="AJ15" s="353"/>
      <c r="AK15" s="353"/>
      <c r="AL15" s="353"/>
      <c r="AM15" s="354"/>
      <c r="AN15" s="54"/>
      <c r="AO15" s="306"/>
      <c r="AP15" s="307"/>
      <c r="AQ15" s="307"/>
      <c r="AR15" s="307"/>
      <c r="AS15" s="307"/>
      <c r="AT15" s="308"/>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row>
    <row r="16" spans="1:99" ht="15" customHeight="1" x14ac:dyDescent="0.3">
      <c r="A16" s="54"/>
      <c r="B16" s="292"/>
      <c r="C16" s="292"/>
      <c r="D16" s="293"/>
      <c r="E16" s="333"/>
      <c r="F16" s="334"/>
      <c r="G16" s="334"/>
      <c r="H16" s="334"/>
      <c r="I16" s="347"/>
      <c r="J16" s="361" t="str">
        <f ca="1">IF(AND('Mapa final'!$J$19="Alta",'Mapa final'!$N$19="Leve"),CONCATENATE("R",'Mapa final'!$A$19),"")</f>
        <v/>
      </c>
      <c r="K16" s="362"/>
      <c r="L16" s="362" t="str">
        <f ca="1">IF(AND('Mapa final'!$J$23="Alta",'Mapa final'!$N$23="Leve"),CONCATENATE("R",'Mapa final'!$A$23),"")</f>
        <v/>
      </c>
      <c r="M16" s="362"/>
      <c r="N16" s="362" t="str">
        <f ca="1">IF(AND('Mapa final'!$J$29="Alta",'Mapa final'!$N$29="Leve"),CONCATENATE("R",'Mapa final'!$A$29),"")</f>
        <v/>
      </c>
      <c r="O16" s="363"/>
      <c r="P16" s="361" t="str">
        <f ca="1">IF(AND('Mapa final'!$J$19="Alta",'Mapa final'!$N$19="Menor"),CONCATENATE("R",'Mapa final'!$A$19),"")</f>
        <v/>
      </c>
      <c r="Q16" s="362"/>
      <c r="R16" s="362" t="str">
        <f ca="1">IF(AND('Mapa final'!$J$23="Alta",'Mapa final'!$N$23="Menor"),CONCATENATE("R",'Mapa final'!$A$23),"")</f>
        <v/>
      </c>
      <c r="S16" s="362"/>
      <c r="T16" s="362" t="str">
        <f ca="1">IF(AND('Mapa final'!$J$29="Alta",'Mapa final'!$N$29="Menor"),CONCATENATE("R",'Mapa final'!$A$29),"")</f>
        <v/>
      </c>
      <c r="U16" s="363"/>
      <c r="V16" s="344" t="str">
        <f ca="1">IF(AND('Mapa final'!$J$19="Alta",'Mapa final'!$N$19="Moderado"),CONCATENATE("R",'Mapa final'!$A$19),"")</f>
        <v/>
      </c>
      <c r="W16" s="341"/>
      <c r="X16" s="339" t="str">
        <f ca="1">IF(AND('Mapa final'!$J$23="Alta",'Mapa final'!$N$23="Moderado"),CONCATENATE("R",'Mapa final'!$A$23),"")</f>
        <v/>
      </c>
      <c r="Y16" s="339"/>
      <c r="Z16" s="339" t="str">
        <f ca="1">IF(AND('Mapa final'!$J$29="Alta",'Mapa final'!$N$29="Moderado"),CONCATENATE("R",'Mapa final'!$A$29),"")</f>
        <v/>
      </c>
      <c r="AA16" s="340"/>
      <c r="AB16" s="344" t="str">
        <f ca="1">IF(AND('Mapa final'!$J$19="Alta",'Mapa final'!$N$19="Mayor"),CONCATENATE("R",'Mapa final'!$A$19),"")</f>
        <v/>
      </c>
      <c r="AC16" s="341"/>
      <c r="AD16" s="339" t="str">
        <f ca="1">IF(AND('Mapa final'!$J$23="Alta",'Mapa final'!$N$23="Mayor"),CONCATENATE("R",'Mapa final'!$A$23),"")</f>
        <v/>
      </c>
      <c r="AE16" s="339"/>
      <c r="AF16" s="339" t="str">
        <f ca="1">IF(AND('Mapa final'!$J$29="Alta",'Mapa final'!$N$29="Mayor"),CONCATENATE("R",'Mapa final'!$A$29),"")</f>
        <v/>
      </c>
      <c r="AG16" s="340"/>
      <c r="AH16" s="352" t="str">
        <f ca="1">IF(AND('Mapa final'!$J$19="Alta",'Mapa final'!$N$19="Catastrófico"),CONCATENATE("R",'Mapa final'!$A$19),"")</f>
        <v/>
      </c>
      <c r="AI16" s="353"/>
      <c r="AJ16" s="353" t="str">
        <f ca="1">IF(AND('Mapa final'!$J$23="Alta",'Mapa final'!$N$23="Catastrófico"),CONCATENATE("R",'Mapa final'!$A$23),"")</f>
        <v/>
      </c>
      <c r="AK16" s="353"/>
      <c r="AL16" s="353" t="str">
        <f ca="1">IF(AND('Mapa final'!$J$29="Alta",'Mapa final'!$N$29="Catastrófico"),CONCATENATE("R",'Mapa final'!$A$29),"")</f>
        <v/>
      </c>
      <c r="AM16" s="354"/>
      <c r="AN16" s="54"/>
      <c r="AO16" s="306"/>
      <c r="AP16" s="307"/>
      <c r="AQ16" s="307"/>
      <c r="AR16" s="307"/>
      <c r="AS16" s="307"/>
      <c r="AT16" s="308"/>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row>
    <row r="17" spans="1:80" ht="15" customHeight="1" x14ac:dyDescent="0.3">
      <c r="A17" s="54"/>
      <c r="B17" s="292"/>
      <c r="C17" s="292"/>
      <c r="D17" s="293"/>
      <c r="E17" s="333"/>
      <c r="F17" s="334"/>
      <c r="G17" s="334"/>
      <c r="H17" s="334"/>
      <c r="I17" s="347"/>
      <c r="J17" s="361"/>
      <c r="K17" s="362"/>
      <c r="L17" s="362"/>
      <c r="M17" s="362"/>
      <c r="N17" s="362"/>
      <c r="O17" s="363"/>
      <c r="P17" s="361"/>
      <c r="Q17" s="362"/>
      <c r="R17" s="362"/>
      <c r="S17" s="362"/>
      <c r="T17" s="362"/>
      <c r="U17" s="363"/>
      <c r="V17" s="344"/>
      <c r="W17" s="341"/>
      <c r="X17" s="339"/>
      <c r="Y17" s="339"/>
      <c r="Z17" s="339"/>
      <c r="AA17" s="340"/>
      <c r="AB17" s="344"/>
      <c r="AC17" s="341"/>
      <c r="AD17" s="339"/>
      <c r="AE17" s="339"/>
      <c r="AF17" s="339"/>
      <c r="AG17" s="340"/>
      <c r="AH17" s="352"/>
      <c r="AI17" s="353"/>
      <c r="AJ17" s="353"/>
      <c r="AK17" s="353"/>
      <c r="AL17" s="353"/>
      <c r="AM17" s="354"/>
      <c r="AN17" s="54"/>
      <c r="AO17" s="306"/>
      <c r="AP17" s="307"/>
      <c r="AQ17" s="307"/>
      <c r="AR17" s="307"/>
      <c r="AS17" s="307"/>
      <c r="AT17" s="308"/>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row>
    <row r="18" spans="1:80" ht="15" customHeight="1" x14ac:dyDescent="0.3">
      <c r="A18" s="54"/>
      <c r="B18" s="292"/>
      <c r="C18" s="292"/>
      <c r="D18" s="293"/>
      <c r="E18" s="333"/>
      <c r="F18" s="334"/>
      <c r="G18" s="334"/>
      <c r="H18" s="334"/>
      <c r="I18" s="347"/>
      <c r="J18" s="361" t="str">
        <f ca="1">IF(AND('Mapa final'!$J$35="Alta",'Mapa final'!$N$35="Leve"),CONCATENATE("R",'Mapa final'!$A$35),"")</f>
        <v/>
      </c>
      <c r="K18" s="362"/>
      <c r="L18" s="362" t="str">
        <f ca="1">IF(AND('Mapa final'!$J$41="Alta",'Mapa final'!$N$41="Leve"),CONCATENATE("R",'Mapa final'!$A$41),"")</f>
        <v/>
      </c>
      <c r="M18" s="362"/>
      <c r="N18" s="362" t="str">
        <f ca="1">IF(AND('Mapa final'!$J$47="Alta",'Mapa final'!$N$47="Leve"),CONCATENATE("R",'Mapa final'!$A$47),"")</f>
        <v/>
      </c>
      <c r="O18" s="363"/>
      <c r="P18" s="361" t="str">
        <f ca="1">IF(AND('Mapa final'!$J$35="Alta",'Mapa final'!$N$35="Menor"),CONCATENATE("R",'Mapa final'!$A$35),"")</f>
        <v/>
      </c>
      <c r="Q18" s="362"/>
      <c r="R18" s="362" t="str">
        <f ca="1">IF(AND('Mapa final'!$J$41="Alta",'Mapa final'!$N$41="Menor"),CONCATENATE("R",'Mapa final'!$A$41),"")</f>
        <v/>
      </c>
      <c r="S18" s="362"/>
      <c r="T18" s="362" t="str">
        <f ca="1">IF(AND('Mapa final'!$J$47="Alta",'Mapa final'!$N$47="Menor"),CONCATENATE("R",'Mapa final'!$A$47),"")</f>
        <v/>
      </c>
      <c r="U18" s="363"/>
      <c r="V18" s="344" t="str">
        <f ca="1">IF(AND('Mapa final'!$J$35="Alta",'Mapa final'!$N$35="Moderado"),CONCATENATE("R",'Mapa final'!$A$35),"")</f>
        <v/>
      </c>
      <c r="W18" s="341"/>
      <c r="X18" s="339" t="str">
        <f ca="1">IF(AND('Mapa final'!$J$41="Alta",'Mapa final'!$N$41="Moderado"),CONCATENATE("R",'Mapa final'!$A$41),"")</f>
        <v/>
      </c>
      <c r="Y18" s="339"/>
      <c r="Z18" s="339" t="str">
        <f ca="1">IF(AND('Mapa final'!$J$47="Alta",'Mapa final'!$N$47="Moderado"),CONCATENATE("R",'Mapa final'!$A$47),"")</f>
        <v/>
      </c>
      <c r="AA18" s="340"/>
      <c r="AB18" s="344" t="str">
        <f ca="1">IF(AND('Mapa final'!$J$35="Alta",'Mapa final'!$N$35="Mayor"),CONCATENATE("R",'Mapa final'!$A$35),"")</f>
        <v/>
      </c>
      <c r="AC18" s="341"/>
      <c r="AD18" s="339" t="str">
        <f ca="1">IF(AND('Mapa final'!$J$41="Alta",'Mapa final'!$N$41="Mayor"),CONCATENATE("R",'Mapa final'!$A$41),"")</f>
        <v/>
      </c>
      <c r="AE18" s="339"/>
      <c r="AF18" s="339" t="str">
        <f ca="1">IF(AND('Mapa final'!$J$47="Alta",'Mapa final'!$N$47="Mayor"),CONCATENATE("R",'Mapa final'!$A$47),"")</f>
        <v/>
      </c>
      <c r="AG18" s="340"/>
      <c r="AH18" s="352" t="str">
        <f ca="1">IF(AND('Mapa final'!$J$35="Alta",'Mapa final'!$N$35="Catastrófico"),CONCATENATE("R",'Mapa final'!$A$35),"")</f>
        <v/>
      </c>
      <c r="AI18" s="353"/>
      <c r="AJ18" s="353" t="str">
        <f ca="1">IF(AND('Mapa final'!$J$41="Alta",'Mapa final'!$N$41="Catastrófico"),CONCATENATE("R",'Mapa final'!$A$41),"")</f>
        <v/>
      </c>
      <c r="AK18" s="353"/>
      <c r="AL18" s="353" t="str">
        <f ca="1">IF(AND('Mapa final'!$J$47="Alta",'Mapa final'!$N$47="Catastrófico"),CONCATENATE("R",'Mapa final'!$A$47),"")</f>
        <v/>
      </c>
      <c r="AM18" s="354"/>
      <c r="AN18" s="54"/>
      <c r="AO18" s="306"/>
      <c r="AP18" s="307"/>
      <c r="AQ18" s="307"/>
      <c r="AR18" s="307"/>
      <c r="AS18" s="307"/>
      <c r="AT18" s="308"/>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row>
    <row r="19" spans="1:80" ht="15" customHeight="1" x14ac:dyDescent="0.3">
      <c r="A19" s="54"/>
      <c r="B19" s="292"/>
      <c r="C19" s="292"/>
      <c r="D19" s="293"/>
      <c r="E19" s="333"/>
      <c r="F19" s="334"/>
      <c r="G19" s="334"/>
      <c r="H19" s="334"/>
      <c r="I19" s="347"/>
      <c r="J19" s="361"/>
      <c r="K19" s="362"/>
      <c r="L19" s="362"/>
      <c r="M19" s="362"/>
      <c r="N19" s="362"/>
      <c r="O19" s="363"/>
      <c r="P19" s="361"/>
      <c r="Q19" s="362"/>
      <c r="R19" s="362"/>
      <c r="S19" s="362"/>
      <c r="T19" s="362"/>
      <c r="U19" s="363"/>
      <c r="V19" s="344"/>
      <c r="W19" s="341"/>
      <c r="X19" s="339"/>
      <c r="Y19" s="339"/>
      <c r="Z19" s="339"/>
      <c r="AA19" s="340"/>
      <c r="AB19" s="344"/>
      <c r="AC19" s="341"/>
      <c r="AD19" s="339"/>
      <c r="AE19" s="339"/>
      <c r="AF19" s="339"/>
      <c r="AG19" s="340"/>
      <c r="AH19" s="352"/>
      <c r="AI19" s="353"/>
      <c r="AJ19" s="353"/>
      <c r="AK19" s="353"/>
      <c r="AL19" s="353"/>
      <c r="AM19" s="354"/>
      <c r="AN19" s="54"/>
      <c r="AO19" s="306"/>
      <c r="AP19" s="307"/>
      <c r="AQ19" s="307"/>
      <c r="AR19" s="307"/>
      <c r="AS19" s="307"/>
      <c r="AT19" s="308"/>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row>
    <row r="20" spans="1:80" ht="15" customHeight="1" x14ac:dyDescent="0.3">
      <c r="A20" s="54"/>
      <c r="B20" s="292"/>
      <c r="C20" s="292"/>
      <c r="D20" s="293"/>
      <c r="E20" s="333"/>
      <c r="F20" s="334"/>
      <c r="G20" s="334"/>
      <c r="H20" s="334"/>
      <c r="I20" s="347"/>
      <c r="J20" s="361" t="str">
        <f ca="1">IF(AND('Mapa final'!$J$53="Alta",'Mapa final'!$N$53="Leve"),CONCATENATE("R",'Mapa final'!$A$53),"")</f>
        <v/>
      </c>
      <c r="K20" s="362"/>
      <c r="L20" s="362" t="str">
        <f>IF(AND('Mapa final'!$J$59="Alta",'Mapa final'!$N$59="Leve"),CONCATENATE("R",'Mapa final'!$A$59),"")</f>
        <v/>
      </c>
      <c r="M20" s="362"/>
      <c r="N20" s="362" t="str">
        <f>IF(AND('Mapa final'!$J$65="Alta",'Mapa final'!$N$65="Leve"),CONCATENATE("R",'Mapa final'!$A$65),"")</f>
        <v/>
      </c>
      <c r="O20" s="363"/>
      <c r="P20" s="361" t="str">
        <f ca="1">IF(AND('Mapa final'!$J$53="Alta",'Mapa final'!$N$53="Menor"),CONCATENATE("R",'Mapa final'!$A$53),"")</f>
        <v/>
      </c>
      <c r="Q20" s="362"/>
      <c r="R20" s="362" t="str">
        <f>IF(AND('Mapa final'!$J$59="Alta",'Mapa final'!$N$59="Menor"),CONCATENATE("R",'Mapa final'!$A$59),"")</f>
        <v/>
      </c>
      <c r="S20" s="362"/>
      <c r="T20" s="362" t="str">
        <f>IF(AND('Mapa final'!$J$65="Alta",'Mapa final'!$N$65="Menor"),CONCATENATE("R",'Mapa final'!$A$65),"")</f>
        <v/>
      </c>
      <c r="U20" s="363"/>
      <c r="V20" s="344" t="str">
        <f ca="1">IF(AND('Mapa final'!$J$53="Alta",'Mapa final'!$N$53="Moderado"),CONCATENATE("R",'Mapa final'!$A$53),"")</f>
        <v/>
      </c>
      <c r="W20" s="341"/>
      <c r="X20" s="339" t="str">
        <f>IF(AND('Mapa final'!$J$59="Alta",'Mapa final'!$N$59="Moderado"),CONCATENATE("R",'Mapa final'!$A$59),"")</f>
        <v/>
      </c>
      <c r="Y20" s="339"/>
      <c r="Z20" s="339" t="str">
        <f>IF(AND('Mapa final'!$J$65="Alta",'Mapa final'!$N$65="Moderado"),CONCATENATE("R",'Mapa final'!$A$65),"")</f>
        <v/>
      </c>
      <c r="AA20" s="340"/>
      <c r="AB20" s="344" t="str">
        <f ca="1">IF(AND('Mapa final'!$J$53="Alta",'Mapa final'!$N$53="Mayor"),CONCATENATE("R",'Mapa final'!$A$53),"")</f>
        <v/>
      </c>
      <c r="AC20" s="341"/>
      <c r="AD20" s="339" t="str">
        <f>IF(AND('Mapa final'!$J$59="Alta",'Mapa final'!$N$59="Mayor"),CONCATENATE("R",'Mapa final'!$A$59),"")</f>
        <v/>
      </c>
      <c r="AE20" s="339"/>
      <c r="AF20" s="339" t="str">
        <f>IF(AND('Mapa final'!$J$65="Alta",'Mapa final'!$N$65="Mayor"),CONCATENATE("R",'Mapa final'!$A$65),"")</f>
        <v/>
      </c>
      <c r="AG20" s="340"/>
      <c r="AH20" s="352" t="str">
        <f ca="1">IF(AND('Mapa final'!$J$53="Alta",'Mapa final'!$N$53="Catastrófico"),CONCATENATE("R",'Mapa final'!$A$53),"")</f>
        <v/>
      </c>
      <c r="AI20" s="353"/>
      <c r="AJ20" s="353" t="str">
        <f>IF(AND('Mapa final'!$J$59="Alta",'Mapa final'!$N$59="Catastrófico"),CONCATENATE("R",'Mapa final'!$A$59),"")</f>
        <v/>
      </c>
      <c r="AK20" s="353"/>
      <c r="AL20" s="353" t="str">
        <f>IF(AND('Mapa final'!$J$65="Alta",'Mapa final'!$N$65="Catastrófico"),CONCATENATE("R",'Mapa final'!$A$65),"")</f>
        <v/>
      </c>
      <c r="AM20" s="354"/>
      <c r="AN20" s="54"/>
      <c r="AO20" s="306"/>
      <c r="AP20" s="307"/>
      <c r="AQ20" s="307"/>
      <c r="AR20" s="307"/>
      <c r="AS20" s="307"/>
      <c r="AT20" s="308"/>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row>
    <row r="21" spans="1:80" ht="15.75" customHeight="1" thickBot="1" x14ac:dyDescent="0.35">
      <c r="A21" s="54"/>
      <c r="B21" s="292"/>
      <c r="C21" s="292"/>
      <c r="D21" s="293"/>
      <c r="E21" s="336"/>
      <c r="F21" s="337"/>
      <c r="G21" s="337"/>
      <c r="H21" s="337"/>
      <c r="I21" s="337"/>
      <c r="J21" s="364"/>
      <c r="K21" s="365"/>
      <c r="L21" s="365"/>
      <c r="M21" s="365"/>
      <c r="N21" s="365"/>
      <c r="O21" s="366"/>
      <c r="P21" s="364"/>
      <c r="Q21" s="365"/>
      <c r="R21" s="365"/>
      <c r="S21" s="365"/>
      <c r="T21" s="365"/>
      <c r="U21" s="366"/>
      <c r="V21" s="349"/>
      <c r="W21" s="350"/>
      <c r="X21" s="350"/>
      <c r="Y21" s="350"/>
      <c r="Z21" s="350"/>
      <c r="AA21" s="351"/>
      <c r="AB21" s="349"/>
      <c r="AC21" s="350"/>
      <c r="AD21" s="350"/>
      <c r="AE21" s="350"/>
      <c r="AF21" s="350"/>
      <c r="AG21" s="351"/>
      <c r="AH21" s="355"/>
      <c r="AI21" s="356"/>
      <c r="AJ21" s="356"/>
      <c r="AK21" s="356"/>
      <c r="AL21" s="356"/>
      <c r="AM21" s="357"/>
      <c r="AN21" s="54"/>
      <c r="AO21" s="309"/>
      <c r="AP21" s="310"/>
      <c r="AQ21" s="310"/>
      <c r="AR21" s="310"/>
      <c r="AS21" s="310"/>
      <c r="AT21" s="311"/>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row>
    <row r="22" spans="1:80" x14ac:dyDescent="0.3">
      <c r="A22" s="54"/>
      <c r="B22" s="292"/>
      <c r="C22" s="292"/>
      <c r="D22" s="293"/>
      <c r="E22" s="330" t="s">
        <v>112</v>
      </c>
      <c r="F22" s="331"/>
      <c r="G22" s="331"/>
      <c r="H22" s="331"/>
      <c r="I22" s="332"/>
      <c r="J22" s="367" t="str">
        <f ca="1">IF(AND('Mapa final'!$J$10="Media",'Mapa final'!$N$10="Leve"),CONCATENATE("R",'Mapa final'!$A$10),"")</f>
        <v/>
      </c>
      <c r="K22" s="368"/>
      <c r="L22" s="368" t="str">
        <f ca="1">IF(AND('Mapa final'!$J$15="Media",'Mapa final'!$N$15="Leve"),CONCATENATE("R",'Mapa final'!$A$15),"")</f>
        <v/>
      </c>
      <c r="M22" s="368"/>
      <c r="N22" s="368" t="e">
        <f>IF(AND('Mapa final'!#REF!="Media",'Mapa final'!#REF!="Leve"),CONCATENATE("R",'Mapa final'!#REF!),"")</f>
        <v>#REF!</v>
      </c>
      <c r="O22" s="369"/>
      <c r="P22" s="367" t="str">
        <f ca="1">IF(AND('Mapa final'!$J$10="Media",'Mapa final'!$N$10="Menor"),CONCATENATE("R",'Mapa final'!$A$10),"")</f>
        <v/>
      </c>
      <c r="Q22" s="368"/>
      <c r="R22" s="368" t="str">
        <f ca="1">IF(AND('Mapa final'!$J$15="Media",'Mapa final'!$N$15="Menor"),CONCATENATE("R",'Mapa final'!$A$15),"")</f>
        <v/>
      </c>
      <c r="S22" s="368"/>
      <c r="T22" s="368" t="e">
        <f>IF(AND('Mapa final'!#REF!="Media",'Mapa final'!#REF!="Menor"),CONCATENATE("R",'Mapa final'!#REF!),"")</f>
        <v>#REF!</v>
      </c>
      <c r="U22" s="369"/>
      <c r="V22" s="367" t="str">
        <f ca="1">IF(AND('Mapa final'!$J$10="Media",'Mapa final'!$N$10="Moderado"),CONCATENATE("R",'Mapa final'!$A$10),"")</f>
        <v/>
      </c>
      <c r="W22" s="368"/>
      <c r="X22" s="368" t="str">
        <f ca="1">IF(AND('Mapa final'!$J$15="Media",'Mapa final'!$N$15="Moderado"),CONCATENATE("R",'Mapa final'!$A$15),"")</f>
        <v/>
      </c>
      <c r="Y22" s="368"/>
      <c r="Z22" s="368" t="e">
        <f>IF(AND('Mapa final'!#REF!="Media",'Mapa final'!#REF!="Moderado"),CONCATENATE("R",'Mapa final'!#REF!),"")</f>
        <v>#REF!</v>
      </c>
      <c r="AA22" s="369"/>
      <c r="AB22" s="342" t="str">
        <f ca="1">IF(AND('Mapa final'!$J$10="Media",'Mapa final'!$N$10="Mayor"),CONCATENATE("R",'Mapa final'!$A$10),"")</f>
        <v>R1</v>
      </c>
      <c r="AC22" s="343"/>
      <c r="AD22" s="343" t="str">
        <f ca="1">IF(AND('Mapa final'!$J$15="Media",'Mapa final'!$N$15="Mayor"),CONCATENATE("R",'Mapa final'!$A$15),"")</f>
        <v/>
      </c>
      <c r="AE22" s="343"/>
      <c r="AF22" s="343" t="e">
        <f>IF(AND('Mapa final'!#REF!="Media",'Mapa final'!#REF!="Mayor"),CONCATENATE("R",'Mapa final'!#REF!),"")</f>
        <v>#REF!</v>
      </c>
      <c r="AG22" s="345"/>
      <c r="AH22" s="358" t="str">
        <f ca="1">IF(AND('Mapa final'!$J$10="Media",'Mapa final'!$N$10="Catastrófico"),CONCATENATE("R",'Mapa final'!$A$10),"")</f>
        <v/>
      </c>
      <c r="AI22" s="359"/>
      <c r="AJ22" s="359" t="str">
        <f ca="1">IF(AND('Mapa final'!$J$15="Media",'Mapa final'!$N$15="Catastrófico"),CONCATENATE("R",'Mapa final'!$A$15),"")</f>
        <v/>
      </c>
      <c r="AK22" s="359"/>
      <c r="AL22" s="359" t="e">
        <f>IF(AND('Mapa final'!#REF!="Media",'Mapa final'!#REF!="Catastrófico"),CONCATENATE("R",'Mapa final'!#REF!),"")</f>
        <v>#REF!</v>
      </c>
      <c r="AM22" s="360"/>
      <c r="AN22" s="54"/>
      <c r="AO22" s="312" t="s">
        <v>80</v>
      </c>
      <c r="AP22" s="313"/>
      <c r="AQ22" s="313"/>
      <c r="AR22" s="313"/>
      <c r="AS22" s="313"/>
      <c r="AT22" s="31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row>
    <row r="23" spans="1:80" x14ac:dyDescent="0.3">
      <c r="A23" s="54"/>
      <c r="B23" s="292"/>
      <c r="C23" s="292"/>
      <c r="D23" s="293"/>
      <c r="E23" s="333"/>
      <c r="F23" s="334"/>
      <c r="G23" s="334"/>
      <c r="H23" s="334"/>
      <c r="I23" s="335"/>
      <c r="J23" s="361"/>
      <c r="K23" s="362"/>
      <c r="L23" s="362"/>
      <c r="M23" s="362"/>
      <c r="N23" s="362"/>
      <c r="O23" s="363"/>
      <c r="P23" s="361"/>
      <c r="Q23" s="362"/>
      <c r="R23" s="362"/>
      <c r="S23" s="362"/>
      <c r="T23" s="362"/>
      <c r="U23" s="363"/>
      <c r="V23" s="361"/>
      <c r="W23" s="362"/>
      <c r="X23" s="362"/>
      <c r="Y23" s="362"/>
      <c r="Z23" s="362"/>
      <c r="AA23" s="363"/>
      <c r="AB23" s="344"/>
      <c r="AC23" s="341"/>
      <c r="AD23" s="341"/>
      <c r="AE23" s="341"/>
      <c r="AF23" s="341"/>
      <c r="AG23" s="340"/>
      <c r="AH23" s="352"/>
      <c r="AI23" s="353"/>
      <c r="AJ23" s="353"/>
      <c r="AK23" s="353"/>
      <c r="AL23" s="353"/>
      <c r="AM23" s="354"/>
      <c r="AN23" s="54"/>
      <c r="AO23" s="315"/>
      <c r="AP23" s="316"/>
      <c r="AQ23" s="316"/>
      <c r="AR23" s="316"/>
      <c r="AS23" s="316"/>
      <c r="AT23" s="317"/>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row>
    <row r="24" spans="1:80" x14ac:dyDescent="0.3">
      <c r="A24" s="54"/>
      <c r="B24" s="292"/>
      <c r="C24" s="292"/>
      <c r="D24" s="293"/>
      <c r="E24" s="333"/>
      <c r="F24" s="334"/>
      <c r="G24" s="334"/>
      <c r="H24" s="334"/>
      <c r="I24" s="335"/>
      <c r="J24" s="361" t="str">
        <f ca="1">IF(AND('Mapa final'!$J$19="Media",'Mapa final'!$N$19="Leve"),CONCATENATE("R",'Mapa final'!$A$19),"")</f>
        <v/>
      </c>
      <c r="K24" s="362"/>
      <c r="L24" s="362" t="str">
        <f ca="1">IF(AND('Mapa final'!$J$23="Media",'Mapa final'!$N$23="Leve"),CONCATENATE("R",'Mapa final'!$A$23),"")</f>
        <v/>
      </c>
      <c r="M24" s="362"/>
      <c r="N24" s="362" t="str">
        <f ca="1">IF(AND('Mapa final'!$J$29="Media",'Mapa final'!$N$29="Leve"),CONCATENATE("R",'Mapa final'!$A$29),"")</f>
        <v/>
      </c>
      <c r="O24" s="363"/>
      <c r="P24" s="361" t="str">
        <f ca="1">IF(AND('Mapa final'!$J$19="Media",'Mapa final'!$N$19="Menor"),CONCATENATE("R",'Mapa final'!$A$19),"")</f>
        <v/>
      </c>
      <c r="Q24" s="362"/>
      <c r="R24" s="362" t="str">
        <f ca="1">IF(AND('Mapa final'!$J$23="Media",'Mapa final'!$N$23="Menor"),CONCATENATE("R",'Mapa final'!$A$23),"")</f>
        <v/>
      </c>
      <c r="S24" s="362"/>
      <c r="T24" s="362" t="str">
        <f ca="1">IF(AND('Mapa final'!$J$29="Media",'Mapa final'!$N$29="Menor"),CONCATENATE("R",'Mapa final'!$A$29),"")</f>
        <v/>
      </c>
      <c r="U24" s="363"/>
      <c r="V24" s="361" t="str">
        <f ca="1">IF(AND('Mapa final'!$J$19="Media",'Mapa final'!$N$19="Moderado"),CONCATENATE("R",'Mapa final'!$A$19),"")</f>
        <v/>
      </c>
      <c r="W24" s="362"/>
      <c r="X24" s="362" t="str">
        <f ca="1">IF(AND('Mapa final'!$J$23="Media",'Mapa final'!$N$23="Moderado"),CONCATENATE("R",'Mapa final'!$A$23),"")</f>
        <v/>
      </c>
      <c r="Y24" s="362"/>
      <c r="Z24" s="362" t="str">
        <f ca="1">IF(AND('Mapa final'!$J$29="Media",'Mapa final'!$N$29="Moderado"),CONCATENATE("R",'Mapa final'!$A$29),"")</f>
        <v/>
      </c>
      <c r="AA24" s="363"/>
      <c r="AB24" s="344" t="str">
        <f ca="1">IF(AND('Mapa final'!$J$19="Media",'Mapa final'!$N$19="Mayor"),CONCATENATE("R",'Mapa final'!$A$19),"")</f>
        <v/>
      </c>
      <c r="AC24" s="341"/>
      <c r="AD24" s="339" t="str">
        <f ca="1">IF(AND('Mapa final'!$J$23="Media",'Mapa final'!$N$23="Mayor"),CONCATENATE("R",'Mapa final'!$A$23),"")</f>
        <v/>
      </c>
      <c r="AE24" s="339"/>
      <c r="AF24" s="339" t="str">
        <f ca="1">IF(AND('Mapa final'!$J$29="Media",'Mapa final'!$N$29="Mayor"),CONCATENATE("R",'Mapa final'!$A$29),"")</f>
        <v/>
      </c>
      <c r="AG24" s="340"/>
      <c r="AH24" s="352" t="str">
        <f ca="1">IF(AND('Mapa final'!$J$19="Media",'Mapa final'!$N$19="Catastrófico"),CONCATENATE("R",'Mapa final'!$A$19),"")</f>
        <v/>
      </c>
      <c r="AI24" s="353"/>
      <c r="AJ24" s="353" t="str">
        <f ca="1">IF(AND('Mapa final'!$J$23="Media",'Mapa final'!$N$23="Catastrófico"),CONCATENATE("R",'Mapa final'!$A$23),"")</f>
        <v/>
      </c>
      <c r="AK24" s="353"/>
      <c r="AL24" s="353" t="str">
        <f ca="1">IF(AND('Mapa final'!$J$29="Media",'Mapa final'!$N$29="Catastrófico"),CONCATENATE("R",'Mapa final'!$A$29),"")</f>
        <v/>
      </c>
      <c r="AM24" s="354"/>
      <c r="AN24" s="54"/>
      <c r="AO24" s="315"/>
      <c r="AP24" s="316"/>
      <c r="AQ24" s="316"/>
      <c r="AR24" s="316"/>
      <c r="AS24" s="316"/>
      <c r="AT24" s="317"/>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row>
    <row r="25" spans="1:80" x14ac:dyDescent="0.3">
      <c r="A25" s="54"/>
      <c r="B25" s="292"/>
      <c r="C25" s="292"/>
      <c r="D25" s="293"/>
      <c r="E25" s="333"/>
      <c r="F25" s="334"/>
      <c r="G25" s="334"/>
      <c r="H25" s="334"/>
      <c r="I25" s="335"/>
      <c r="J25" s="361"/>
      <c r="K25" s="362"/>
      <c r="L25" s="362"/>
      <c r="M25" s="362"/>
      <c r="N25" s="362"/>
      <c r="O25" s="363"/>
      <c r="P25" s="361"/>
      <c r="Q25" s="362"/>
      <c r="R25" s="362"/>
      <c r="S25" s="362"/>
      <c r="T25" s="362"/>
      <c r="U25" s="363"/>
      <c r="V25" s="361"/>
      <c r="W25" s="362"/>
      <c r="X25" s="362"/>
      <c r="Y25" s="362"/>
      <c r="Z25" s="362"/>
      <c r="AA25" s="363"/>
      <c r="AB25" s="344"/>
      <c r="AC25" s="341"/>
      <c r="AD25" s="339"/>
      <c r="AE25" s="339"/>
      <c r="AF25" s="339"/>
      <c r="AG25" s="340"/>
      <c r="AH25" s="352"/>
      <c r="AI25" s="353"/>
      <c r="AJ25" s="353"/>
      <c r="AK25" s="353"/>
      <c r="AL25" s="353"/>
      <c r="AM25" s="354"/>
      <c r="AN25" s="54"/>
      <c r="AO25" s="315"/>
      <c r="AP25" s="316"/>
      <c r="AQ25" s="316"/>
      <c r="AR25" s="316"/>
      <c r="AS25" s="316"/>
      <c r="AT25" s="317"/>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row>
    <row r="26" spans="1:80" x14ac:dyDescent="0.3">
      <c r="A26" s="54"/>
      <c r="B26" s="292"/>
      <c r="C26" s="292"/>
      <c r="D26" s="293"/>
      <c r="E26" s="333"/>
      <c r="F26" s="334"/>
      <c r="G26" s="334"/>
      <c r="H26" s="334"/>
      <c r="I26" s="335"/>
      <c r="J26" s="361" t="str">
        <f ca="1">IF(AND('Mapa final'!$J$35="Media",'Mapa final'!$N$35="Leve"),CONCATENATE("R",'Mapa final'!$A$35),"")</f>
        <v/>
      </c>
      <c r="K26" s="362"/>
      <c r="L26" s="362" t="str">
        <f ca="1">IF(AND('Mapa final'!$J$41="Media",'Mapa final'!$N$41="Leve"),CONCATENATE("R",'Mapa final'!$A$41),"")</f>
        <v/>
      </c>
      <c r="M26" s="362"/>
      <c r="N26" s="362" t="str">
        <f ca="1">IF(AND('Mapa final'!$J$47="Media",'Mapa final'!$N$47="Leve"),CONCATENATE("R",'Mapa final'!$A$47),"")</f>
        <v/>
      </c>
      <c r="O26" s="363"/>
      <c r="P26" s="361" t="str">
        <f ca="1">IF(AND('Mapa final'!$J$35="Media",'Mapa final'!$N$35="Menor"),CONCATENATE("R",'Mapa final'!$A$35),"")</f>
        <v/>
      </c>
      <c r="Q26" s="362"/>
      <c r="R26" s="362" t="str">
        <f ca="1">IF(AND('Mapa final'!$J$41="Media",'Mapa final'!$N$41="Menor"),CONCATENATE("R",'Mapa final'!$A$41),"")</f>
        <v/>
      </c>
      <c r="S26" s="362"/>
      <c r="T26" s="362" t="str">
        <f ca="1">IF(AND('Mapa final'!$J$47="Media",'Mapa final'!$N$47="Menor"),CONCATENATE("R",'Mapa final'!$A$47),"")</f>
        <v/>
      </c>
      <c r="U26" s="363"/>
      <c r="V26" s="361" t="str">
        <f ca="1">IF(AND('Mapa final'!$J$35="Media",'Mapa final'!$N$35="Moderado"),CONCATENATE("R",'Mapa final'!$A$35),"")</f>
        <v/>
      </c>
      <c r="W26" s="362"/>
      <c r="X26" s="362" t="str">
        <f ca="1">IF(AND('Mapa final'!$J$41="Media",'Mapa final'!$N$41="Moderado"),CONCATENATE("R",'Mapa final'!$A$41),"")</f>
        <v/>
      </c>
      <c r="Y26" s="362"/>
      <c r="Z26" s="362" t="str">
        <f ca="1">IF(AND('Mapa final'!$J$47="Media",'Mapa final'!$N$47="Moderado"),CONCATENATE("R",'Mapa final'!$A$47),"")</f>
        <v/>
      </c>
      <c r="AA26" s="363"/>
      <c r="AB26" s="344" t="str">
        <f ca="1">IF(AND('Mapa final'!$J$35="Media",'Mapa final'!$N$35="Mayor"),CONCATENATE("R",'Mapa final'!$A$35),"")</f>
        <v/>
      </c>
      <c r="AC26" s="341"/>
      <c r="AD26" s="339" t="str">
        <f ca="1">IF(AND('Mapa final'!$J$41="Media",'Mapa final'!$N$41="Mayor"),CONCATENATE("R",'Mapa final'!$A$41),"")</f>
        <v/>
      </c>
      <c r="AE26" s="339"/>
      <c r="AF26" s="339" t="str">
        <f ca="1">IF(AND('Mapa final'!$J$47="Media",'Mapa final'!$N$47="Mayor"),CONCATENATE("R",'Mapa final'!$A$47),"")</f>
        <v/>
      </c>
      <c r="AG26" s="340"/>
      <c r="AH26" s="352" t="str">
        <f ca="1">IF(AND('Mapa final'!$J$35="Media",'Mapa final'!$N$35="Catastrófico"),CONCATENATE("R",'Mapa final'!$A$35),"")</f>
        <v/>
      </c>
      <c r="AI26" s="353"/>
      <c r="AJ26" s="353" t="str">
        <f ca="1">IF(AND('Mapa final'!$J$41="Media",'Mapa final'!$N$41="Catastrófico"),CONCATENATE("R",'Mapa final'!$A$41),"")</f>
        <v/>
      </c>
      <c r="AK26" s="353"/>
      <c r="AL26" s="353" t="str">
        <f ca="1">IF(AND('Mapa final'!$J$47="Media",'Mapa final'!$N$47="Catastrófico"),CONCATENATE("R",'Mapa final'!$A$47),"")</f>
        <v/>
      </c>
      <c r="AM26" s="354"/>
      <c r="AN26" s="54"/>
      <c r="AO26" s="315"/>
      <c r="AP26" s="316"/>
      <c r="AQ26" s="316"/>
      <c r="AR26" s="316"/>
      <c r="AS26" s="316"/>
      <c r="AT26" s="317"/>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row>
    <row r="27" spans="1:80" x14ac:dyDescent="0.3">
      <c r="A27" s="54"/>
      <c r="B27" s="292"/>
      <c r="C27" s="292"/>
      <c r="D27" s="293"/>
      <c r="E27" s="333"/>
      <c r="F27" s="334"/>
      <c r="G27" s="334"/>
      <c r="H27" s="334"/>
      <c r="I27" s="335"/>
      <c r="J27" s="361"/>
      <c r="K27" s="362"/>
      <c r="L27" s="362"/>
      <c r="M27" s="362"/>
      <c r="N27" s="362"/>
      <c r="O27" s="363"/>
      <c r="P27" s="361"/>
      <c r="Q27" s="362"/>
      <c r="R27" s="362"/>
      <c r="S27" s="362"/>
      <c r="T27" s="362"/>
      <c r="U27" s="363"/>
      <c r="V27" s="361"/>
      <c r="W27" s="362"/>
      <c r="X27" s="362"/>
      <c r="Y27" s="362"/>
      <c r="Z27" s="362"/>
      <c r="AA27" s="363"/>
      <c r="AB27" s="344"/>
      <c r="AC27" s="341"/>
      <c r="AD27" s="339"/>
      <c r="AE27" s="339"/>
      <c r="AF27" s="339"/>
      <c r="AG27" s="340"/>
      <c r="AH27" s="352"/>
      <c r="AI27" s="353"/>
      <c r="AJ27" s="353"/>
      <c r="AK27" s="353"/>
      <c r="AL27" s="353"/>
      <c r="AM27" s="354"/>
      <c r="AN27" s="54"/>
      <c r="AO27" s="315"/>
      <c r="AP27" s="316"/>
      <c r="AQ27" s="316"/>
      <c r="AR27" s="316"/>
      <c r="AS27" s="316"/>
      <c r="AT27" s="317"/>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row>
    <row r="28" spans="1:80" x14ac:dyDescent="0.3">
      <c r="A28" s="54"/>
      <c r="B28" s="292"/>
      <c r="C28" s="292"/>
      <c r="D28" s="293"/>
      <c r="E28" s="333"/>
      <c r="F28" s="334"/>
      <c r="G28" s="334"/>
      <c r="H28" s="334"/>
      <c r="I28" s="335"/>
      <c r="J28" s="361" t="str">
        <f ca="1">IF(AND('Mapa final'!$J$53="Media",'Mapa final'!$N$53="Leve"),CONCATENATE("R",'Mapa final'!$A$53),"")</f>
        <v/>
      </c>
      <c r="K28" s="362"/>
      <c r="L28" s="362" t="str">
        <f>IF(AND('Mapa final'!$J$59="Media",'Mapa final'!$N$59="Leve"),CONCATENATE("R",'Mapa final'!$A$59),"")</f>
        <v/>
      </c>
      <c r="M28" s="362"/>
      <c r="N28" s="362" t="str">
        <f>IF(AND('Mapa final'!$J$65="Media",'Mapa final'!$N$65="Leve"),CONCATENATE("R",'Mapa final'!$A$65),"")</f>
        <v/>
      </c>
      <c r="O28" s="363"/>
      <c r="P28" s="361" t="str">
        <f ca="1">IF(AND('Mapa final'!$J$53="Media",'Mapa final'!$N$53="Menor"),CONCATENATE("R",'Mapa final'!$A$53),"")</f>
        <v/>
      </c>
      <c r="Q28" s="362"/>
      <c r="R28" s="362" t="str">
        <f>IF(AND('Mapa final'!$J$59="Media",'Mapa final'!$N$59="Menor"),CONCATENATE("R",'Mapa final'!$A$59),"")</f>
        <v/>
      </c>
      <c r="S28" s="362"/>
      <c r="T28" s="362" t="str">
        <f>IF(AND('Mapa final'!$J$65="Media",'Mapa final'!$N$65="Menor"),CONCATENATE("R",'Mapa final'!$A$65),"")</f>
        <v/>
      </c>
      <c r="U28" s="363"/>
      <c r="V28" s="361" t="str">
        <f ca="1">IF(AND('Mapa final'!$J$53="Media",'Mapa final'!$N$53="Moderado"),CONCATENATE("R",'Mapa final'!$A$53),"")</f>
        <v/>
      </c>
      <c r="W28" s="362"/>
      <c r="X28" s="362" t="str">
        <f>IF(AND('Mapa final'!$J$59="Media",'Mapa final'!$N$59="Moderado"),CONCATENATE("R",'Mapa final'!$A$59),"")</f>
        <v/>
      </c>
      <c r="Y28" s="362"/>
      <c r="Z28" s="362" t="str">
        <f>IF(AND('Mapa final'!$J$65="Media",'Mapa final'!$N$65="Moderado"),CONCATENATE("R",'Mapa final'!$A$65),"")</f>
        <v/>
      </c>
      <c r="AA28" s="363"/>
      <c r="AB28" s="344" t="str">
        <f ca="1">IF(AND('Mapa final'!$J$53="Media",'Mapa final'!$N$53="Mayor"),CONCATENATE("R",'Mapa final'!$A$53),"")</f>
        <v/>
      </c>
      <c r="AC28" s="341"/>
      <c r="AD28" s="339" t="str">
        <f>IF(AND('Mapa final'!$J$59="Media",'Mapa final'!$N$59="Mayor"),CONCATENATE("R",'Mapa final'!$A$59),"")</f>
        <v/>
      </c>
      <c r="AE28" s="339"/>
      <c r="AF28" s="339" t="str">
        <f>IF(AND('Mapa final'!$J$65="Media",'Mapa final'!$N$65="Mayor"),CONCATENATE("R",'Mapa final'!$A$65),"")</f>
        <v/>
      </c>
      <c r="AG28" s="340"/>
      <c r="AH28" s="352" t="str">
        <f ca="1">IF(AND('Mapa final'!$J$53="Media",'Mapa final'!$N$53="Catastrófico"),CONCATENATE("R",'Mapa final'!$A$53),"")</f>
        <v/>
      </c>
      <c r="AI28" s="353"/>
      <c r="AJ28" s="353" t="str">
        <f>IF(AND('Mapa final'!$J$59="Media",'Mapa final'!$N$59="Catastrófico"),CONCATENATE("R",'Mapa final'!$A$59),"")</f>
        <v/>
      </c>
      <c r="AK28" s="353"/>
      <c r="AL28" s="353" t="str">
        <f>IF(AND('Mapa final'!$J$65="Media",'Mapa final'!$N$65="Catastrófico"),CONCATENATE("R",'Mapa final'!$A$65),"")</f>
        <v/>
      </c>
      <c r="AM28" s="354"/>
      <c r="AN28" s="54"/>
      <c r="AO28" s="315"/>
      <c r="AP28" s="316"/>
      <c r="AQ28" s="316"/>
      <c r="AR28" s="316"/>
      <c r="AS28" s="316"/>
      <c r="AT28" s="317"/>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row>
    <row r="29" spans="1:80" ht="15" thickBot="1" x14ac:dyDescent="0.35">
      <c r="A29" s="54"/>
      <c r="B29" s="292"/>
      <c r="C29" s="292"/>
      <c r="D29" s="293"/>
      <c r="E29" s="336"/>
      <c r="F29" s="337"/>
      <c r="G29" s="337"/>
      <c r="H29" s="337"/>
      <c r="I29" s="338"/>
      <c r="J29" s="361"/>
      <c r="K29" s="362"/>
      <c r="L29" s="362"/>
      <c r="M29" s="362"/>
      <c r="N29" s="362"/>
      <c r="O29" s="363"/>
      <c r="P29" s="364"/>
      <c r="Q29" s="365"/>
      <c r="R29" s="365"/>
      <c r="S29" s="365"/>
      <c r="T29" s="365"/>
      <c r="U29" s="366"/>
      <c r="V29" s="364"/>
      <c r="W29" s="365"/>
      <c r="X29" s="365"/>
      <c r="Y29" s="365"/>
      <c r="Z29" s="365"/>
      <c r="AA29" s="366"/>
      <c r="AB29" s="349"/>
      <c r="AC29" s="350"/>
      <c r="AD29" s="350"/>
      <c r="AE29" s="350"/>
      <c r="AF29" s="350"/>
      <c r="AG29" s="351"/>
      <c r="AH29" s="355"/>
      <c r="AI29" s="356"/>
      <c r="AJ29" s="356"/>
      <c r="AK29" s="356"/>
      <c r="AL29" s="356"/>
      <c r="AM29" s="357"/>
      <c r="AN29" s="54"/>
      <c r="AO29" s="318"/>
      <c r="AP29" s="319"/>
      <c r="AQ29" s="319"/>
      <c r="AR29" s="319"/>
      <c r="AS29" s="319"/>
      <c r="AT29" s="320"/>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row>
    <row r="30" spans="1:80" x14ac:dyDescent="0.3">
      <c r="A30" s="54"/>
      <c r="B30" s="292"/>
      <c r="C30" s="292"/>
      <c r="D30" s="293"/>
      <c r="E30" s="330" t="s">
        <v>109</v>
      </c>
      <c r="F30" s="331"/>
      <c r="G30" s="331"/>
      <c r="H30" s="331"/>
      <c r="I30" s="331"/>
      <c r="J30" s="376" t="str">
        <f ca="1">IF(AND('Mapa final'!$J$10="Baja",'Mapa final'!$N$10="Leve"),CONCATENATE("R",'Mapa final'!$A$10),"")</f>
        <v/>
      </c>
      <c r="K30" s="377"/>
      <c r="L30" s="377" t="str">
        <f ca="1">IF(AND('Mapa final'!$J$15="Baja",'Mapa final'!$N$15="Leve"),CONCATENATE("R",'Mapa final'!$A$15),"")</f>
        <v/>
      </c>
      <c r="M30" s="377"/>
      <c r="N30" s="377" t="e">
        <f>IF(AND('Mapa final'!#REF!="Baja",'Mapa final'!#REF!="Leve"),CONCATENATE("R",'Mapa final'!#REF!),"")</f>
        <v>#REF!</v>
      </c>
      <c r="O30" s="378"/>
      <c r="P30" s="368" t="str">
        <f ca="1">IF(AND('Mapa final'!$J$10="Baja",'Mapa final'!$N$10="Menor"),CONCATENATE("R",'Mapa final'!$A$10),"")</f>
        <v/>
      </c>
      <c r="Q30" s="368"/>
      <c r="R30" s="368" t="str">
        <f ca="1">IF(AND('Mapa final'!$J$15="Baja",'Mapa final'!$N$15="Menor"),CONCATENATE("R",'Mapa final'!$A$15),"")</f>
        <v/>
      </c>
      <c r="S30" s="368"/>
      <c r="T30" s="368" t="e">
        <f>IF(AND('Mapa final'!#REF!="Baja",'Mapa final'!#REF!="Menor"),CONCATENATE("R",'Mapa final'!#REF!),"")</f>
        <v>#REF!</v>
      </c>
      <c r="U30" s="369"/>
      <c r="V30" s="367" t="str">
        <f ca="1">IF(AND('Mapa final'!$J$10="Baja",'Mapa final'!$N$10="Moderado"),CONCATENATE("R",'Mapa final'!$A$10),"")</f>
        <v/>
      </c>
      <c r="W30" s="368"/>
      <c r="X30" s="368" t="str">
        <f ca="1">IF(AND('Mapa final'!$J$15="Baja",'Mapa final'!$N$15="Moderado"),CONCATENATE("R",'Mapa final'!$A$15),"")</f>
        <v/>
      </c>
      <c r="Y30" s="368"/>
      <c r="Z30" s="368" t="e">
        <f>IF(AND('Mapa final'!#REF!="Baja",'Mapa final'!#REF!="Moderado"),CONCATENATE("R",'Mapa final'!#REF!),"")</f>
        <v>#REF!</v>
      </c>
      <c r="AA30" s="369"/>
      <c r="AB30" s="342" t="str">
        <f ca="1">IF(AND('Mapa final'!$J$10="Baja",'Mapa final'!$N$10="Mayor"),CONCATENATE("R",'Mapa final'!$A$10),"")</f>
        <v/>
      </c>
      <c r="AC30" s="343"/>
      <c r="AD30" s="343" t="str">
        <f ca="1">IF(AND('Mapa final'!$J$15="Baja",'Mapa final'!$N$15="Mayor"),CONCATENATE("R",'Mapa final'!$A$15),"")</f>
        <v/>
      </c>
      <c r="AE30" s="343"/>
      <c r="AF30" s="343" t="e">
        <f>IF(AND('Mapa final'!#REF!="Baja",'Mapa final'!#REF!="Mayor"),CONCATENATE("R",'Mapa final'!#REF!),"")</f>
        <v>#REF!</v>
      </c>
      <c r="AG30" s="345"/>
      <c r="AH30" s="358" t="str">
        <f ca="1">IF(AND('Mapa final'!$J$10="Baja",'Mapa final'!$N$10="Catastrófico"),CONCATENATE("R",'Mapa final'!$A$10),"")</f>
        <v/>
      </c>
      <c r="AI30" s="359"/>
      <c r="AJ30" s="359" t="str">
        <f ca="1">IF(AND('Mapa final'!$J$15="Baja",'Mapa final'!$N$15="Catastrófico"),CONCATENATE("R",'Mapa final'!$A$15),"")</f>
        <v/>
      </c>
      <c r="AK30" s="359"/>
      <c r="AL30" s="359" t="e">
        <f>IF(AND('Mapa final'!#REF!="Baja",'Mapa final'!#REF!="Catastrófico"),CONCATENATE("R",'Mapa final'!#REF!),"")</f>
        <v>#REF!</v>
      </c>
      <c r="AM30" s="360"/>
      <c r="AN30" s="54"/>
      <c r="AO30" s="321" t="s">
        <v>81</v>
      </c>
      <c r="AP30" s="322"/>
      <c r="AQ30" s="322"/>
      <c r="AR30" s="322"/>
      <c r="AS30" s="322"/>
      <c r="AT30" s="323"/>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row>
    <row r="31" spans="1:80" x14ac:dyDescent="0.3">
      <c r="A31" s="54"/>
      <c r="B31" s="292"/>
      <c r="C31" s="292"/>
      <c r="D31" s="293"/>
      <c r="E31" s="333"/>
      <c r="F31" s="334"/>
      <c r="G31" s="334"/>
      <c r="H31" s="334"/>
      <c r="I31" s="347"/>
      <c r="J31" s="372"/>
      <c r="K31" s="370"/>
      <c r="L31" s="370"/>
      <c r="M31" s="370"/>
      <c r="N31" s="370"/>
      <c r="O31" s="371"/>
      <c r="P31" s="362"/>
      <c r="Q31" s="362"/>
      <c r="R31" s="362"/>
      <c r="S31" s="362"/>
      <c r="T31" s="362"/>
      <c r="U31" s="363"/>
      <c r="V31" s="361"/>
      <c r="W31" s="362"/>
      <c r="X31" s="362"/>
      <c r="Y31" s="362"/>
      <c r="Z31" s="362"/>
      <c r="AA31" s="363"/>
      <c r="AB31" s="344"/>
      <c r="AC31" s="341"/>
      <c r="AD31" s="341"/>
      <c r="AE31" s="341"/>
      <c r="AF31" s="341"/>
      <c r="AG31" s="340"/>
      <c r="AH31" s="352"/>
      <c r="AI31" s="353"/>
      <c r="AJ31" s="353"/>
      <c r="AK31" s="353"/>
      <c r="AL31" s="353"/>
      <c r="AM31" s="354"/>
      <c r="AN31" s="54"/>
      <c r="AO31" s="324"/>
      <c r="AP31" s="325"/>
      <c r="AQ31" s="325"/>
      <c r="AR31" s="325"/>
      <c r="AS31" s="325"/>
      <c r="AT31" s="326"/>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row>
    <row r="32" spans="1:80" x14ac:dyDescent="0.3">
      <c r="A32" s="54"/>
      <c r="B32" s="292"/>
      <c r="C32" s="292"/>
      <c r="D32" s="293"/>
      <c r="E32" s="333"/>
      <c r="F32" s="334"/>
      <c r="G32" s="334"/>
      <c r="H32" s="334"/>
      <c r="I32" s="347"/>
      <c r="J32" s="372" t="str">
        <f ca="1">IF(AND('Mapa final'!$J$19="Baja",'Mapa final'!$N$19="Leve"),CONCATENATE("R",'Mapa final'!$A$19),"")</f>
        <v/>
      </c>
      <c r="K32" s="370"/>
      <c r="L32" s="370" t="str">
        <f ca="1">IF(AND('Mapa final'!$J$23="Baja",'Mapa final'!$N$23="Leve"),CONCATENATE("R",'Mapa final'!$A$23),"")</f>
        <v/>
      </c>
      <c r="M32" s="370"/>
      <c r="N32" s="370" t="str">
        <f ca="1">IF(AND('Mapa final'!$J$29="Baja",'Mapa final'!$N$29="Leve"),CONCATENATE("R",'Mapa final'!$A$29),"")</f>
        <v/>
      </c>
      <c r="O32" s="371"/>
      <c r="P32" s="362" t="str">
        <f ca="1">IF(AND('Mapa final'!$J$19="Baja",'Mapa final'!$N$19="Menor"),CONCATENATE("R",'Mapa final'!$A$19),"")</f>
        <v/>
      </c>
      <c r="Q32" s="362"/>
      <c r="R32" s="362" t="str">
        <f ca="1">IF(AND('Mapa final'!$J$23="Baja",'Mapa final'!$N$23="Menor"),CONCATENATE("R",'Mapa final'!$A$23),"")</f>
        <v/>
      </c>
      <c r="S32" s="362"/>
      <c r="T32" s="362" t="str">
        <f ca="1">IF(AND('Mapa final'!$J$29="Baja",'Mapa final'!$N$29="Menor"),CONCATENATE("R",'Mapa final'!$A$29),"")</f>
        <v/>
      </c>
      <c r="U32" s="363"/>
      <c r="V32" s="361" t="str">
        <f ca="1">IF(AND('Mapa final'!$J$19="Baja",'Mapa final'!$N$19="Moderado"),CONCATENATE("R",'Mapa final'!$A$19),"")</f>
        <v/>
      </c>
      <c r="W32" s="362"/>
      <c r="X32" s="362" t="str">
        <f ca="1">IF(AND('Mapa final'!$J$23="Baja",'Mapa final'!$N$23="Moderado"),CONCATENATE("R",'Mapa final'!$A$23),"")</f>
        <v/>
      </c>
      <c r="Y32" s="362"/>
      <c r="Z32" s="362" t="str">
        <f ca="1">IF(AND('Mapa final'!$J$29="Baja",'Mapa final'!$N$29="Moderado"),CONCATENATE("R",'Mapa final'!$A$29),"")</f>
        <v/>
      </c>
      <c r="AA32" s="363"/>
      <c r="AB32" s="344" t="str">
        <f ca="1">IF(AND('Mapa final'!$J$19="Baja",'Mapa final'!$N$19="Mayor"),CONCATENATE("R",'Mapa final'!$A$19),"")</f>
        <v/>
      </c>
      <c r="AC32" s="341"/>
      <c r="AD32" s="339" t="str">
        <f ca="1">IF(AND('Mapa final'!$J$23="Baja",'Mapa final'!$N$23="Mayor"),CONCATENATE("R",'Mapa final'!$A$23),"")</f>
        <v/>
      </c>
      <c r="AE32" s="339"/>
      <c r="AF32" s="339" t="str">
        <f ca="1">IF(AND('Mapa final'!$J$29="Baja",'Mapa final'!$N$29="Mayor"),CONCATENATE("R",'Mapa final'!$A$29),"")</f>
        <v/>
      </c>
      <c r="AG32" s="340"/>
      <c r="AH32" s="352" t="str">
        <f ca="1">IF(AND('Mapa final'!$J$19="Baja",'Mapa final'!$N$19="Catastrófico"),CONCATENATE("R",'Mapa final'!$A$19),"")</f>
        <v/>
      </c>
      <c r="AI32" s="353"/>
      <c r="AJ32" s="353" t="str">
        <f ca="1">IF(AND('Mapa final'!$J$23="Baja",'Mapa final'!$N$23="Catastrófico"),CONCATENATE("R",'Mapa final'!$A$23),"")</f>
        <v/>
      </c>
      <c r="AK32" s="353"/>
      <c r="AL32" s="353" t="str">
        <f ca="1">IF(AND('Mapa final'!$J$29="Baja",'Mapa final'!$N$29="Catastrófico"),CONCATENATE("R",'Mapa final'!$A$29),"")</f>
        <v/>
      </c>
      <c r="AM32" s="354"/>
      <c r="AN32" s="54"/>
      <c r="AO32" s="324"/>
      <c r="AP32" s="325"/>
      <c r="AQ32" s="325"/>
      <c r="AR32" s="325"/>
      <c r="AS32" s="325"/>
      <c r="AT32" s="326"/>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row>
    <row r="33" spans="1:80" x14ac:dyDescent="0.3">
      <c r="A33" s="54"/>
      <c r="B33" s="292"/>
      <c r="C33" s="292"/>
      <c r="D33" s="293"/>
      <c r="E33" s="333"/>
      <c r="F33" s="334"/>
      <c r="G33" s="334"/>
      <c r="H33" s="334"/>
      <c r="I33" s="347"/>
      <c r="J33" s="372"/>
      <c r="K33" s="370"/>
      <c r="L33" s="370"/>
      <c r="M33" s="370"/>
      <c r="N33" s="370"/>
      <c r="O33" s="371"/>
      <c r="P33" s="362"/>
      <c r="Q33" s="362"/>
      <c r="R33" s="362"/>
      <c r="S33" s="362"/>
      <c r="T33" s="362"/>
      <c r="U33" s="363"/>
      <c r="V33" s="361"/>
      <c r="W33" s="362"/>
      <c r="X33" s="362"/>
      <c r="Y33" s="362"/>
      <c r="Z33" s="362"/>
      <c r="AA33" s="363"/>
      <c r="AB33" s="344"/>
      <c r="AC33" s="341"/>
      <c r="AD33" s="339"/>
      <c r="AE33" s="339"/>
      <c r="AF33" s="339"/>
      <c r="AG33" s="340"/>
      <c r="AH33" s="352"/>
      <c r="AI33" s="353"/>
      <c r="AJ33" s="353"/>
      <c r="AK33" s="353"/>
      <c r="AL33" s="353"/>
      <c r="AM33" s="354"/>
      <c r="AN33" s="54"/>
      <c r="AO33" s="324"/>
      <c r="AP33" s="325"/>
      <c r="AQ33" s="325"/>
      <c r="AR33" s="325"/>
      <c r="AS33" s="325"/>
      <c r="AT33" s="326"/>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row>
    <row r="34" spans="1:80" x14ac:dyDescent="0.3">
      <c r="A34" s="54"/>
      <c r="B34" s="292"/>
      <c r="C34" s="292"/>
      <c r="D34" s="293"/>
      <c r="E34" s="333"/>
      <c r="F34" s="334"/>
      <c r="G34" s="334"/>
      <c r="H34" s="334"/>
      <c r="I34" s="347"/>
      <c r="J34" s="372" t="str">
        <f ca="1">IF(AND('Mapa final'!$J$35="Baja",'Mapa final'!$N$35="Leve"),CONCATENATE("R",'Mapa final'!$A$35),"")</f>
        <v/>
      </c>
      <c r="K34" s="370"/>
      <c r="L34" s="370" t="str">
        <f ca="1">IF(AND('Mapa final'!$J$41="Baja",'Mapa final'!$N$41="Leve"),CONCATENATE("R",'Mapa final'!$A$41),"")</f>
        <v/>
      </c>
      <c r="M34" s="370"/>
      <c r="N34" s="370" t="str">
        <f ca="1">IF(AND('Mapa final'!$J$47="Baja",'Mapa final'!$N$47="Leve"),CONCATENATE("R",'Mapa final'!$A$47),"")</f>
        <v/>
      </c>
      <c r="O34" s="371"/>
      <c r="P34" s="362" t="str">
        <f ca="1">IF(AND('Mapa final'!$J$35="Baja",'Mapa final'!$N$35="Menor"),CONCATENATE("R",'Mapa final'!$A$35),"")</f>
        <v/>
      </c>
      <c r="Q34" s="362"/>
      <c r="R34" s="362" t="str">
        <f ca="1">IF(AND('Mapa final'!$J$41="Baja",'Mapa final'!$N$41="Menor"),CONCATENATE("R",'Mapa final'!$A$41),"")</f>
        <v/>
      </c>
      <c r="S34" s="362"/>
      <c r="T34" s="362" t="str">
        <f ca="1">IF(AND('Mapa final'!$J$47="Baja",'Mapa final'!$N$47="Menor"),CONCATENATE("R",'Mapa final'!$A$47),"")</f>
        <v/>
      </c>
      <c r="U34" s="363"/>
      <c r="V34" s="361" t="str">
        <f ca="1">IF(AND('Mapa final'!$J$35="Baja",'Mapa final'!$N$35="Moderado"),CONCATENATE("R",'Mapa final'!$A$35),"")</f>
        <v/>
      </c>
      <c r="W34" s="362"/>
      <c r="X34" s="362" t="str">
        <f ca="1">IF(AND('Mapa final'!$J$41="Baja",'Mapa final'!$N$41="Moderado"),CONCATENATE("R",'Mapa final'!$A$41),"")</f>
        <v/>
      </c>
      <c r="Y34" s="362"/>
      <c r="Z34" s="362" t="str">
        <f ca="1">IF(AND('Mapa final'!$J$47="Baja",'Mapa final'!$N$47="Moderado"),CONCATENATE("R",'Mapa final'!$A$47),"")</f>
        <v/>
      </c>
      <c r="AA34" s="363"/>
      <c r="AB34" s="344" t="str">
        <f ca="1">IF(AND('Mapa final'!$J$35="Baja",'Mapa final'!$N$35="Mayor"),CONCATENATE("R",'Mapa final'!$A$35),"")</f>
        <v/>
      </c>
      <c r="AC34" s="341"/>
      <c r="AD34" s="339" t="str">
        <f ca="1">IF(AND('Mapa final'!$J$41="Baja",'Mapa final'!$N$41="Mayor"),CONCATENATE("R",'Mapa final'!$A$41),"")</f>
        <v/>
      </c>
      <c r="AE34" s="339"/>
      <c r="AF34" s="339" t="str">
        <f ca="1">IF(AND('Mapa final'!$J$47="Baja",'Mapa final'!$N$47="Mayor"),CONCATENATE("R",'Mapa final'!$A$47),"")</f>
        <v/>
      </c>
      <c r="AG34" s="340"/>
      <c r="AH34" s="352" t="str">
        <f ca="1">IF(AND('Mapa final'!$J$35="Baja",'Mapa final'!$N$35="Catastrófico"),CONCATENATE("R",'Mapa final'!$A$35),"")</f>
        <v/>
      </c>
      <c r="AI34" s="353"/>
      <c r="AJ34" s="353" t="str">
        <f ca="1">IF(AND('Mapa final'!$J$41="Baja",'Mapa final'!$N$41="Catastrófico"),CONCATENATE("R",'Mapa final'!$A$41),"")</f>
        <v/>
      </c>
      <c r="AK34" s="353"/>
      <c r="AL34" s="353" t="str">
        <f ca="1">IF(AND('Mapa final'!$J$47="Baja",'Mapa final'!$N$47="Catastrófico"),CONCATENATE("R",'Mapa final'!$A$47),"")</f>
        <v/>
      </c>
      <c r="AM34" s="354"/>
      <c r="AN34" s="54"/>
      <c r="AO34" s="324"/>
      <c r="AP34" s="325"/>
      <c r="AQ34" s="325"/>
      <c r="AR34" s="325"/>
      <c r="AS34" s="325"/>
      <c r="AT34" s="326"/>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row>
    <row r="35" spans="1:80" x14ac:dyDescent="0.3">
      <c r="A35" s="54"/>
      <c r="B35" s="292"/>
      <c r="C35" s="292"/>
      <c r="D35" s="293"/>
      <c r="E35" s="333"/>
      <c r="F35" s="334"/>
      <c r="G35" s="334"/>
      <c r="H35" s="334"/>
      <c r="I35" s="347"/>
      <c r="J35" s="372"/>
      <c r="K35" s="370"/>
      <c r="L35" s="370"/>
      <c r="M35" s="370"/>
      <c r="N35" s="370"/>
      <c r="O35" s="371"/>
      <c r="P35" s="362"/>
      <c r="Q35" s="362"/>
      <c r="R35" s="362"/>
      <c r="S35" s="362"/>
      <c r="T35" s="362"/>
      <c r="U35" s="363"/>
      <c r="V35" s="361"/>
      <c r="W35" s="362"/>
      <c r="X35" s="362"/>
      <c r="Y35" s="362"/>
      <c r="Z35" s="362"/>
      <c r="AA35" s="363"/>
      <c r="AB35" s="344"/>
      <c r="AC35" s="341"/>
      <c r="AD35" s="339"/>
      <c r="AE35" s="339"/>
      <c r="AF35" s="339"/>
      <c r="AG35" s="340"/>
      <c r="AH35" s="352"/>
      <c r="AI35" s="353"/>
      <c r="AJ35" s="353"/>
      <c r="AK35" s="353"/>
      <c r="AL35" s="353"/>
      <c r="AM35" s="354"/>
      <c r="AN35" s="54"/>
      <c r="AO35" s="324"/>
      <c r="AP35" s="325"/>
      <c r="AQ35" s="325"/>
      <c r="AR35" s="325"/>
      <c r="AS35" s="325"/>
      <c r="AT35" s="326"/>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row>
    <row r="36" spans="1:80" x14ac:dyDescent="0.3">
      <c r="A36" s="54"/>
      <c r="B36" s="292"/>
      <c r="C36" s="292"/>
      <c r="D36" s="293"/>
      <c r="E36" s="333"/>
      <c r="F36" s="334"/>
      <c r="G36" s="334"/>
      <c r="H36" s="334"/>
      <c r="I36" s="347"/>
      <c r="J36" s="372" t="str">
        <f ca="1">IF(AND('Mapa final'!$J$53="Baja",'Mapa final'!$N$53="Leve"),CONCATENATE("R",'Mapa final'!$A$53),"")</f>
        <v/>
      </c>
      <c r="K36" s="370"/>
      <c r="L36" s="370" t="str">
        <f>IF(AND('Mapa final'!$J$59="Baja",'Mapa final'!$N$59="Leve"),CONCATENATE("R",'Mapa final'!$A$59),"")</f>
        <v/>
      </c>
      <c r="M36" s="370"/>
      <c r="N36" s="370" t="str">
        <f>IF(AND('Mapa final'!$J$65="Baja",'Mapa final'!$N$65="Leve"),CONCATENATE("R",'Mapa final'!$A$65),"")</f>
        <v/>
      </c>
      <c r="O36" s="371"/>
      <c r="P36" s="362" t="str">
        <f ca="1">IF(AND('Mapa final'!$J$53="Baja",'Mapa final'!$N$53="Menor"),CONCATENATE("R",'Mapa final'!$A$53),"")</f>
        <v/>
      </c>
      <c r="Q36" s="362"/>
      <c r="R36" s="362" t="str">
        <f>IF(AND('Mapa final'!$J$59="Baja",'Mapa final'!$N$59="Menor"),CONCATENATE("R",'Mapa final'!$A$59),"")</f>
        <v/>
      </c>
      <c r="S36" s="362"/>
      <c r="T36" s="362" t="str">
        <f>IF(AND('Mapa final'!$J$65="Baja",'Mapa final'!$N$65="Menor"),CONCATENATE("R",'Mapa final'!$A$65),"")</f>
        <v/>
      </c>
      <c r="U36" s="363"/>
      <c r="V36" s="361" t="str">
        <f ca="1">IF(AND('Mapa final'!$J$53="Baja",'Mapa final'!$N$53="Moderado"),CONCATENATE("R",'Mapa final'!$A$53),"")</f>
        <v/>
      </c>
      <c r="W36" s="362"/>
      <c r="X36" s="362" t="str">
        <f>IF(AND('Mapa final'!$J$59="Baja",'Mapa final'!$N$59="Moderado"),CONCATENATE("R",'Mapa final'!$A$59),"")</f>
        <v/>
      </c>
      <c r="Y36" s="362"/>
      <c r="Z36" s="362" t="str">
        <f>IF(AND('Mapa final'!$J$65="Baja",'Mapa final'!$N$65="Moderado"),CONCATENATE("R",'Mapa final'!$A$65),"")</f>
        <v/>
      </c>
      <c r="AA36" s="363"/>
      <c r="AB36" s="344" t="str">
        <f ca="1">IF(AND('Mapa final'!$J$53="Baja",'Mapa final'!$N$53="Mayor"),CONCATENATE("R",'Mapa final'!$A$53),"")</f>
        <v/>
      </c>
      <c r="AC36" s="341"/>
      <c r="AD36" s="339" t="str">
        <f>IF(AND('Mapa final'!$J$59="Baja",'Mapa final'!$N$59="Mayor"),CONCATENATE("R",'Mapa final'!$A$59),"")</f>
        <v/>
      </c>
      <c r="AE36" s="339"/>
      <c r="AF36" s="339" t="str">
        <f>IF(AND('Mapa final'!$J$65="Baja",'Mapa final'!$N$65="Mayor"),CONCATENATE("R",'Mapa final'!$A$65),"")</f>
        <v/>
      </c>
      <c r="AG36" s="340"/>
      <c r="AH36" s="352" t="str">
        <f ca="1">IF(AND('Mapa final'!$J$53="Baja",'Mapa final'!$N$53="Catastrófico"),CONCATENATE("R",'Mapa final'!$A$53),"")</f>
        <v/>
      </c>
      <c r="AI36" s="353"/>
      <c r="AJ36" s="353" t="str">
        <f>IF(AND('Mapa final'!$J$59="Baja",'Mapa final'!$N$59="Catastrófico"),CONCATENATE("R",'Mapa final'!$A$59),"")</f>
        <v/>
      </c>
      <c r="AK36" s="353"/>
      <c r="AL36" s="353" t="str">
        <f>IF(AND('Mapa final'!$J$65="Baja",'Mapa final'!$N$65="Catastrófico"),CONCATENATE("R",'Mapa final'!$A$65),"")</f>
        <v/>
      </c>
      <c r="AM36" s="354"/>
      <c r="AN36" s="54"/>
      <c r="AO36" s="324"/>
      <c r="AP36" s="325"/>
      <c r="AQ36" s="325"/>
      <c r="AR36" s="325"/>
      <c r="AS36" s="325"/>
      <c r="AT36" s="326"/>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row>
    <row r="37" spans="1:80" ht="15" thickBot="1" x14ac:dyDescent="0.35">
      <c r="A37" s="54"/>
      <c r="B37" s="292"/>
      <c r="C37" s="292"/>
      <c r="D37" s="293"/>
      <c r="E37" s="336"/>
      <c r="F37" s="337"/>
      <c r="G37" s="337"/>
      <c r="H37" s="337"/>
      <c r="I37" s="337"/>
      <c r="J37" s="373"/>
      <c r="K37" s="374"/>
      <c r="L37" s="374"/>
      <c r="M37" s="374"/>
      <c r="N37" s="374"/>
      <c r="O37" s="375"/>
      <c r="P37" s="365"/>
      <c r="Q37" s="365"/>
      <c r="R37" s="365"/>
      <c r="S37" s="365"/>
      <c r="T37" s="365"/>
      <c r="U37" s="366"/>
      <c r="V37" s="364"/>
      <c r="W37" s="365"/>
      <c r="X37" s="365"/>
      <c r="Y37" s="365"/>
      <c r="Z37" s="365"/>
      <c r="AA37" s="366"/>
      <c r="AB37" s="349"/>
      <c r="AC37" s="350"/>
      <c r="AD37" s="350"/>
      <c r="AE37" s="350"/>
      <c r="AF37" s="350"/>
      <c r="AG37" s="351"/>
      <c r="AH37" s="355"/>
      <c r="AI37" s="356"/>
      <c r="AJ37" s="356"/>
      <c r="AK37" s="356"/>
      <c r="AL37" s="356"/>
      <c r="AM37" s="357"/>
      <c r="AN37" s="54"/>
      <c r="AO37" s="327"/>
      <c r="AP37" s="328"/>
      <c r="AQ37" s="328"/>
      <c r="AR37" s="328"/>
      <c r="AS37" s="328"/>
      <c r="AT37" s="329"/>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row>
    <row r="38" spans="1:80" x14ac:dyDescent="0.3">
      <c r="A38" s="54"/>
      <c r="B38" s="292"/>
      <c r="C38" s="292"/>
      <c r="D38" s="293"/>
      <c r="E38" s="330" t="s">
        <v>108</v>
      </c>
      <c r="F38" s="331"/>
      <c r="G38" s="331"/>
      <c r="H38" s="331"/>
      <c r="I38" s="332"/>
      <c r="J38" s="376" t="str">
        <f ca="1">IF(AND('Mapa final'!$J$10="Muy Baja",'Mapa final'!$N$10="Leve"),CONCATENATE("R",'Mapa final'!$A$10),"")</f>
        <v/>
      </c>
      <c r="K38" s="377"/>
      <c r="L38" s="377" t="str">
        <f ca="1">IF(AND('Mapa final'!$J$15="Muy Baja",'Mapa final'!$N$15="Leve"),CONCATENATE("R",'Mapa final'!$A$15),"")</f>
        <v/>
      </c>
      <c r="M38" s="377"/>
      <c r="N38" s="377" t="e">
        <f>IF(AND('Mapa final'!#REF!="Muy Baja",'Mapa final'!#REF!="Leve"),CONCATENATE("R",'Mapa final'!#REF!),"")</f>
        <v>#REF!</v>
      </c>
      <c r="O38" s="378"/>
      <c r="P38" s="376" t="str">
        <f ca="1">IF(AND('Mapa final'!$J$10="Muy Baja",'Mapa final'!$N$10="Menor"),CONCATENATE("R",'Mapa final'!$A$10),"")</f>
        <v/>
      </c>
      <c r="Q38" s="377"/>
      <c r="R38" s="377" t="str">
        <f ca="1">IF(AND('Mapa final'!$J$15="Muy Baja",'Mapa final'!$N$15="Menor"),CONCATENATE("R",'Mapa final'!$A$15),"")</f>
        <v/>
      </c>
      <c r="S38" s="377"/>
      <c r="T38" s="377" t="e">
        <f>IF(AND('Mapa final'!#REF!="Muy Baja",'Mapa final'!#REF!="Menor"),CONCATENATE("R",'Mapa final'!#REF!),"")</f>
        <v>#REF!</v>
      </c>
      <c r="U38" s="378"/>
      <c r="V38" s="367" t="str">
        <f ca="1">IF(AND('Mapa final'!$J$10="Muy Baja",'Mapa final'!$N$10="Moderado"),CONCATENATE("R",'Mapa final'!$A$10),"")</f>
        <v/>
      </c>
      <c r="W38" s="368"/>
      <c r="X38" s="368" t="str">
        <f ca="1">IF(AND('Mapa final'!$J$15="Muy Baja",'Mapa final'!$N$15="Moderado"),CONCATENATE("R",'Mapa final'!$A$15),"")</f>
        <v/>
      </c>
      <c r="Y38" s="368"/>
      <c r="Z38" s="368" t="e">
        <f>IF(AND('Mapa final'!#REF!="Muy Baja",'Mapa final'!#REF!="Moderado"),CONCATENATE("R",'Mapa final'!#REF!),"")</f>
        <v>#REF!</v>
      </c>
      <c r="AA38" s="369"/>
      <c r="AB38" s="342" t="str">
        <f ca="1">IF(AND('Mapa final'!$J$10="Muy Baja",'Mapa final'!$N$10="Mayor"),CONCATENATE("R",'Mapa final'!$A$10),"")</f>
        <v/>
      </c>
      <c r="AC38" s="343"/>
      <c r="AD38" s="343" t="str">
        <f ca="1">IF(AND('Mapa final'!$J$15="Muy Baja",'Mapa final'!$N$15="Mayor"),CONCATENATE("R",'Mapa final'!$A$15),"")</f>
        <v/>
      </c>
      <c r="AE38" s="343"/>
      <c r="AF38" s="343" t="e">
        <f>IF(AND('Mapa final'!#REF!="Muy Baja",'Mapa final'!#REF!="Mayor"),CONCATENATE("R",'Mapa final'!#REF!),"")</f>
        <v>#REF!</v>
      </c>
      <c r="AG38" s="345"/>
      <c r="AH38" s="358" t="str">
        <f ca="1">IF(AND('Mapa final'!$J$10="Muy Baja",'Mapa final'!$N$10="Catastrófico"),CONCATENATE("R",'Mapa final'!$A$10),"")</f>
        <v/>
      </c>
      <c r="AI38" s="359"/>
      <c r="AJ38" s="359" t="str">
        <f ca="1">IF(AND('Mapa final'!$J$15="Muy Baja",'Mapa final'!$N$15="Catastrófico"),CONCATENATE("R",'Mapa final'!$A$15),"")</f>
        <v/>
      </c>
      <c r="AK38" s="359"/>
      <c r="AL38" s="359" t="e">
        <f>IF(AND('Mapa final'!#REF!="Muy Baja",'Mapa final'!#REF!="Catastrófico"),CONCATENATE("R",'Mapa final'!#REF!),"")</f>
        <v>#REF!</v>
      </c>
      <c r="AM38" s="360"/>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row>
    <row r="39" spans="1:80" x14ac:dyDescent="0.3">
      <c r="A39" s="54"/>
      <c r="B39" s="292"/>
      <c r="C39" s="292"/>
      <c r="D39" s="293"/>
      <c r="E39" s="333"/>
      <c r="F39" s="334"/>
      <c r="G39" s="334"/>
      <c r="H39" s="334"/>
      <c r="I39" s="335"/>
      <c r="J39" s="372"/>
      <c r="K39" s="370"/>
      <c r="L39" s="370"/>
      <c r="M39" s="370"/>
      <c r="N39" s="370"/>
      <c r="O39" s="371"/>
      <c r="P39" s="372"/>
      <c r="Q39" s="370"/>
      <c r="R39" s="370"/>
      <c r="S39" s="370"/>
      <c r="T39" s="370"/>
      <c r="U39" s="371"/>
      <c r="V39" s="361"/>
      <c r="W39" s="362"/>
      <c r="X39" s="362"/>
      <c r="Y39" s="362"/>
      <c r="Z39" s="362"/>
      <c r="AA39" s="363"/>
      <c r="AB39" s="344"/>
      <c r="AC39" s="341"/>
      <c r="AD39" s="341"/>
      <c r="AE39" s="341"/>
      <c r="AF39" s="341"/>
      <c r="AG39" s="340"/>
      <c r="AH39" s="352"/>
      <c r="AI39" s="353"/>
      <c r="AJ39" s="353"/>
      <c r="AK39" s="353"/>
      <c r="AL39" s="353"/>
      <c r="AM39" s="3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row>
    <row r="40" spans="1:80" x14ac:dyDescent="0.3">
      <c r="A40" s="54"/>
      <c r="B40" s="292"/>
      <c r="C40" s="292"/>
      <c r="D40" s="293"/>
      <c r="E40" s="333"/>
      <c r="F40" s="334"/>
      <c r="G40" s="334"/>
      <c r="H40" s="334"/>
      <c r="I40" s="335"/>
      <c r="J40" s="372" t="str">
        <f ca="1">IF(AND('Mapa final'!$J$19="Muy Baja",'Mapa final'!$N$19="Leve"),CONCATENATE("R",'Mapa final'!$A$19),"")</f>
        <v/>
      </c>
      <c r="K40" s="370"/>
      <c r="L40" s="370" t="str">
        <f ca="1">IF(AND('Mapa final'!$J$23="Muy Baja",'Mapa final'!$N$23="Leve"),CONCATENATE("R",'Mapa final'!$A$23),"")</f>
        <v/>
      </c>
      <c r="M40" s="370"/>
      <c r="N40" s="370" t="str">
        <f ca="1">IF(AND('Mapa final'!$J$29="Muy Baja",'Mapa final'!$N$29="Leve"),CONCATENATE("R",'Mapa final'!$A$29),"")</f>
        <v/>
      </c>
      <c r="O40" s="371"/>
      <c r="P40" s="372" t="str">
        <f ca="1">IF(AND('Mapa final'!$J$19="Muy Baja",'Mapa final'!$N$19="Menor"),CONCATENATE("R",'Mapa final'!$A$19),"")</f>
        <v/>
      </c>
      <c r="Q40" s="370"/>
      <c r="R40" s="370" t="str">
        <f ca="1">IF(AND('Mapa final'!$J$23="Muy Baja",'Mapa final'!$N$23="Menor"),CONCATENATE("R",'Mapa final'!$A$23),"")</f>
        <v/>
      </c>
      <c r="S40" s="370"/>
      <c r="T40" s="370" t="str">
        <f ca="1">IF(AND('Mapa final'!$J$29="Muy Baja",'Mapa final'!$N$29="Menor"),CONCATENATE("R",'Mapa final'!$A$29),"")</f>
        <v/>
      </c>
      <c r="U40" s="371"/>
      <c r="V40" s="361" t="str">
        <f ca="1">IF(AND('Mapa final'!$J$19="Muy Baja",'Mapa final'!$N$19="Moderado"),CONCATENATE("R",'Mapa final'!$A$19),"")</f>
        <v/>
      </c>
      <c r="W40" s="362"/>
      <c r="X40" s="362" t="str">
        <f ca="1">IF(AND('Mapa final'!$J$23="Muy Baja",'Mapa final'!$N$23="Moderado"),CONCATENATE("R",'Mapa final'!$A$23),"")</f>
        <v/>
      </c>
      <c r="Y40" s="362"/>
      <c r="Z40" s="362" t="str">
        <f ca="1">IF(AND('Mapa final'!$J$29="Muy Baja",'Mapa final'!$N$29="Moderado"),CONCATENATE("R",'Mapa final'!$A$29),"")</f>
        <v/>
      </c>
      <c r="AA40" s="363"/>
      <c r="AB40" s="344" t="str">
        <f ca="1">IF(AND('Mapa final'!$J$19="Muy Baja",'Mapa final'!$N$19="Mayor"),CONCATENATE("R",'Mapa final'!$A$19),"")</f>
        <v/>
      </c>
      <c r="AC40" s="341"/>
      <c r="AD40" s="339" t="str">
        <f ca="1">IF(AND('Mapa final'!$J$23="Muy Baja",'Mapa final'!$N$23="Mayor"),CONCATENATE("R",'Mapa final'!$A$23),"")</f>
        <v/>
      </c>
      <c r="AE40" s="339"/>
      <c r="AF40" s="339" t="str">
        <f ca="1">IF(AND('Mapa final'!$J$29="Muy Baja",'Mapa final'!$N$29="Mayor"),CONCATENATE("R",'Mapa final'!$A$29),"")</f>
        <v/>
      </c>
      <c r="AG40" s="340"/>
      <c r="AH40" s="352" t="str">
        <f ca="1">IF(AND('Mapa final'!$J$19="Muy Baja",'Mapa final'!$N$19="Catastrófico"),CONCATENATE("R",'Mapa final'!$A$19),"")</f>
        <v/>
      </c>
      <c r="AI40" s="353"/>
      <c r="AJ40" s="353" t="str">
        <f ca="1">IF(AND('Mapa final'!$J$23="Muy Baja",'Mapa final'!$N$23="Catastrófico"),CONCATENATE("R",'Mapa final'!$A$23),"")</f>
        <v/>
      </c>
      <c r="AK40" s="353"/>
      <c r="AL40" s="353" t="str">
        <f ca="1">IF(AND('Mapa final'!$J$29="Muy Baja",'Mapa final'!$N$29="Catastrófico"),CONCATENATE("R",'Mapa final'!$A$29),"")</f>
        <v/>
      </c>
      <c r="AM40" s="3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row>
    <row r="41" spans="1:80" x14ac:dyDescent="0.3">
      <c r="A41" s="54"/>
      <c r="B41" s="292"/>
      <c r="C41" s="292"/>
      <c r="D41" s="293"/>
      <c r="E41" s="333"/>
      <c r="F41" s="334"/>
      <c r="G41" s="334"/>
      <c r="H41" s="334"/>
      <c r="I41" s="335"/>
      <c r="J41" s="372"/>
      <c r="K41" s="370"/>
      <c r="L41" s="370"/>
      <c r="M41" s="370"/>
      <c r="N41" s="370"/>
      <c r="O41" s="371"/>
      <c r="P41" s="372"/>
      <c r="Q41" s="370"/>
      <c r="R41" s="370"/>
      <c r="S41" s="370"/>
      <c r="T41" s="370"/>
      <c r="U41" s="371"/>
      <c r="V41" s="361"/>
      <c r="W41" s="362"/>
      <c r="X41" s="362"/>
      <c r="Y41" s="362"/>
      <c r="Z41" s="362"/>
      <c r="AA41" s="363"/>
      <c r="AB41" s="344"/>
      <c r="AC41" s="341"/>
      <c r="AD41" s="339"/>
      <c r="AE41" s="339"/>
      <c r="AF41" s="339"/>
      <c r="AG41" s="340"/>
      <c r="AH41" s="352"/>
      <c r="AI41" s="353"/>
      <c r="AJ41" s="353"/>
      <c r="AK41" s="353"/>
      <c r="AL41" s="353"/>
      <c r="AM41" s="3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row>
    <row r="42" spans="1:80" x14ac:dyDescent="0.3">
      <c r="A42" s="54"/>
      <c r="B42" s="292"/>
      <c r="C42" s="292"/>
      <c r="D42" s="293"/>
      <c r="E42" s="333"/>
      <c r="F42" s="334"/>
      <c r="G42" s="334"/>
      <c r="H42" s="334"/>
      <c r="I42" s="335"/>
      <c r="J42" s="372" t="str">
        <f ca="1">IF(AND('Mapa final'!$J$35="Muy Baja",'Mapa final'!$N$35="Leve"),CONCATENATE("R",'Mapa final'!$A$35),"")</f>
        <v/>
      </c>
      <c r="K42" s="370"/>
      <c r="L42" s="370" t="str">
        <f ca="1">IF(AND('Mapa final'!$J$41="Muy Baja",'Mapa final'!$N$41="Leve"),CONCATENATE("R",'Mapa final'!$A$41),"")</f>
        <v/>
      </c>
      <c r="M42" s="370"/>
      <c r="N42" s="370" t="str">
        <f ca="1">IF(AND('Mapa final'!$J$47="Muy Baja",'Mapa final'!$N$47="Leve"),CONCATENATE("R",'Mapa final'!$A$47),"")</f>
        <v/>
      </c>
      <c r="O42" s="371"/>
      <c r="P42" s="372" t="str">
        <f ca="1">IF(AND('Mapa final'!$J$35="Muy Baja",'Mapa final'!$N$35="Menor"),CONCATENATE("R",'Mapa final'!$A$35),"")</f>
        <v/>
      </c>
      <c r="Q42" s="370"/>
      <c r="R42" s="370" t="str">
        <f ca="1">IF(AND('Mapa final'!$J$41="Muy Baja",'Mapa final'!$N$41="Menor"),CONCATENATE("R",'Mapa final'!$A$41),"")</f>
        <v/>
      </c>
      <c r="S42" s="370"/>
      <c r="T42" s="370" t="str">
        <f ca="1">IF(AND('Mapa final'!$J$47="Muy Baja",'Mapa final'!$N$47="Menor"),CONCATENATE("R",'Mapa final'!$A$47),"")</f>
        <v/>
      </c>
      <c r="U42" s="371"/>
      <c r="V42" s="361" t="str">
        <f ca="1">IF(AND('Mapa final'!$J$35="Muy Baja",'Mapa final'!$N$35="Moderado"),CONCATENATE("R",'Mapa final'!$A$35),"")</f>
        <v/>
      </c>
      <c r="W42" s="362"/>
      <c r="X42" s="362" t="str">
        <f ca="1">IF(AND('Mapa final'!$J$41="Muy Baja",'Mapa final'!$N$41="Moderado"),CONCATENATE("R",'Mapa final'!$A$41),"")</f>
        <v/>
      </c>
      <c r="Y42" s="362"/>
      <c r="Z42" s="362" t="str">
        <f ca="1">IF(AND('Mapa final'!$J$47="Muy Baja",'Mapa final'!$N$47="Moderado"),CONCATENATE("R",'Mapa final'!$A$47),"")</f>
        <v/>
      </c>
      <c r="AA42" s="363"/>
      <c r="AB42" s="344" t="str">
        <f ca="1">IF(AND('Mapa final'!$J$35="Muy Baja",'Mapa final'!$N$35="Mayor"),CONCATENATE("R",'Mapa final'!$A$35),"")</f>
        <v/>
      </c>
      <c r="AC42" s="341"/>
      <c r="AD42" s="339" t="str">
        <f ca="1">IF(AND('Mapa final'!$J$41="Muy Baja",'Mapa final'!$N$41="Mayor"),CONCATENATE("R",'Mapa final'!$A$41),"")</f>
        <v/>
      </c>
      <c r="AE42" s="339"/>
      <c r="AF42" s="339" t="str">
        <f ca="1">IF(AND('Mapa final'!$J$47="Muy Baja",'Mapa final'!$N$47="Mayor"),CONCATENATE("R",'Mapa final'!$A$47),"")</f>
        <v/>
      </c>
      <c r="AG42" s="340"/>
      <c r="AH42" s="352" t="str">
        <f ca="1">IF(AND('Mapa final'!$J$35="Muy Baja",'Mapa final'!$N$35="Catastrófico"),CONCATENATE("R",'Mapa final'!$A$35),"")</f>
        <v/>
      </c>
      <c r="AI42" s="353"/>
      <c r="AJ42" s="353" t="str">
        <f ca="1">IF(AND('Mapa final'!$J$41="Muy Baja",'Mapa final'!$N$41="Catastrófico"),CONCATENATE("R",'Mapa final'!$A$41),"")</f>
        <v/>
      </c>
      <c r="AK42" s="353"/>
      <c r="AL42" s="353" t="str">
        <f ca="1">IF(AND('Mapa final'!$J$47="Muy Baja",'Mapa final'!$N$47="Catastrófico"),CONCATENATE("R",'Mapa final'!$A$47),"")</f>
        <v/>
      </c>
      <c r="AM42" s="3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row>
    <row r="43" spans="1:80" x14ac:dyDescent="0.3">
      <c r="A43" s="54"/>
      <c r="B43" s="292"/>
      <c r="C43" s="292"/>
      <c r="D43" s="293"/>
      <c r="E43" s="333"/>
      <c r="F43" s="334"/>
      <c r="G43" s="334"/>
      <c r="H43" s="334"/>
      <c r="I43" s="335"/>
      <c r="J43" s="372"/>
      <c r="K43" s="370"/>
      <c r="L43" s="370"/>
      <c r="M43" s="370"/>
      <c r="N43" s="370"/>
      <c r="O43" s="371"/>
      <c r="P43" s="372"/>
      <c r="Q43" s="370"/>
      <c r="R43" s="370"/>
      <c r="S43" s="370"/>
      <c r="T43" s="370"/>
      <c r="U43" s="371"/>
      <c r="V43" s="361"/>
      <c r="W43" s="362"/>
      <c r="X43" s="362"/>
      <c r="Y43" s="362"/>
      <c r="Z43" s="362"/>
      <c r="AA43" s="363"/>
      <c r="AB43" s="344"/>
      <c r="AC43" s="341"/>
      <c r="AD43" s="339"/>
      <c r="AE43" s="339"/>
      <c r="AF43" s="339"/>
      <c r="AG43" s="340"/>
      <c r="AH43" s="352"/>
      <c r="AI43" s="353"/>
      <c r="AJ43" s="353"/>
      <c r="AK43" s="353"/>
      <c r="AL43" s="353"/>
      <c r="AM43" s="3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row>
    <row r="44" spans="1:80" x14ac:dyDescent="0.3">
      <c r="A44" s="54"/>
      <c r="B44" s="292"/>
      <c r="C44" s="292"/>
      <c r="D44" s="293"/>
      <c r="E44" s="333"/>
      <c r="F44" s="334"/>
      <c r="G44" s="334"/>
      <c r="H44" s="334"/>
      <c r="I44" s="335"/>
      <c r="J44" s="372" t="str">
        <f ca="1">IF(AND('Mapa final'!$J$53="Muy Baja",'Mapa final'!$N$53="Leve"),CONCATENATE("R",'Mapa final'!$A$53),"")</f>
        <v/>
      </c>
      <c r="K44" s="370"/>
      <c r="L44" s="370" t="str">
        <f>IF(AND('Mapa final'!$J$59="Muy Baja",'Mapa final'!$N$59="Leve"),CONCATENATE("R",'Mapa final'!$A$59),"")</f>
        <v/>
      </c>
      <c r="M44" s="370"/>
      <c r="N44" s="370" t="str">
        <f>IF(AND('Mapa final'!$J$65="Muy Baja",'Mapa final'!$N$65="Leve"),CONCATENATE("R",'Mapa final'!$A$65),"")</f>
        <v/>
      </c>
      <c r="O44" s="371"/>
      <c r="P44" s="372" t="str">
        <f ca="1">IF(AND('Mapa final'!$J$53="Muy Baja",'Mapa final'!$N$53="Menor"),CONCATENATE("R",'Mapa final'!$A$53),"")</f>
        <v/>
      </c>
      <c r="Q44" s="370"/>
      <c r="R44" s="370" t="str">
        <f>IF(AND('Mapa final'!$J$59="Muy Baja",'Mapa final'!$N$59="Menor"),CONCATENATE("R",'Mapa final'!$A$59),"")</f>
        <v/>
      </c>
      <c r="S44" s="370"/>
      <c r="T44" s="370" t="str">
        <f>IF(AND('Mapa final'!$J$65="Muy Baja",'Mapa final'!$N$65="Menor"),CONCATENATE("R",'Mapa final'!$A$65),"")</f>
        <v/>
      </c>
      <c r="U44" s="371"/>
      <c r="V44" s="361" t="str">
        <f ca="1">IF(AND('Mapa final'!$J$53="Muy Baja",'Mapa final'!$N$53="Moderado"),CONCATENATE("R",'Mapa final'!$A$53),"")</f>
        <v/>
      </c>
      <c r="W44" s="362"/>
      <c r="X44" s="362" t="str">
        <f>IF(AND('Mapa final'!$J$59="Muy Baja",'Mapa final'!$N$59="Moderado"),CONCATENATE("R",'Mapa final'!$A$59),"")</f>
        <v/>
      </c>
      <c r="Y44" s="362"/>
      <c r="Z44" s="362" t="str">
        <f>IF(AND('Mapa final'!$J$65="Muy Baja",'Mapa final'!$N$65="Moderado"),CONCATENATE("R",'Mapa final'!$A$65),"")</f>
        <v/>
      </c>
      <c r="AA44" s="363"/>
      <c r="AB44" s="344" t="str">
        <f ca="1">IF(AND('Mapa final'!$J$53="Muy Baja",'Mapa final'!$N$53="Mayor"),CONCATENATE("R",'Mapa final'!$A$53),"")</f>
        <v/>
      </c>
      <c r="AC44" s="341"/>
      <c r="AD44" s="339" t="str">
        <f>IF(AND('Mapa final'!$J$59="Muy Baja",'Mapa final'!$N$59="Mayor"),CONCATENATE("R",'Mapa final'!$A$59),"")</f>
        <v/>
      </c>
      <c r="AE44" s="339"/>
      <c r="AF44" s="339" t="str">
        <f>IF(AND('Mapa final'!$J$65="Muy Baja",'Mapa final'!$N$65="Mayor"),CONCATENATE("R",'Mapa final'!$A$65),"")</f>
        <v/>
      </c>
      <c r="AG44" s="340"/>
      <c r="AH44" s="352" t="str">
        <f ca="1">IF(AND('Mapa final'!$J$53="Muy Baja",'Mapa final'!$N$53="Catastrófico"),CONCATENATE("R",'Mapa final'!$A$53),"")</f>
        <v/>
      </c>
      <c r="AI44" s="353"/>
      <c r="AJ44" s="353" t="str">
        <f>IF(AND('Mapa final'!$J$59="Muy Baja",'Mapa final'!$N$59="Catastrófico"),CONCATENATE("R",'Mapa final'!$A$59),"")</f>
        <v/>
      </c>
      <c r="AK44" s="353"/>
      <c r="AL44" s="353" t="str">
        <f>IF(AND('Mapa final'!$J$65="Muy Baja",'Mapa final'!$N$65="Catastrófico"),CONCATENATE("R",'Mapa final'!$A$65),"")</f>
        <v/>
      </c>
      <c r="AM44" s="3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row>
    <row r="45" spans="1:80" ht="15" thickBot="1" x14ac:dyDescent="0.35">
      <c r="A45" s="54"/>
      <c r="B45" s="292"/>
      <c r="C45" s="292"/>
      <c r="D45" s="293"/>
      <c r="E45" s="336"/>
      <c r="F45" s="337"/>
      <c r="G45" s="337"/>
      <c r="H45" s="337"/>
      <c r="I45" s="338"/>
      <c r="J45" s="373"/>
      <c r="K45" s="374"/>
      <c r="L45" s="374"/>
      <c r="M45" s="374"/>
      <c r="N45" s="374"/>
      <c r="O45" s="375"/>
      <c r="P45" s="373"/>
      <c r="Q45" s="374"/>
      <c r="R45" s="374"/>
      <c r="S45" s="374"/>
      <c r="T45" s="374"/>
      <c r="U45" s="375"/>
      <c r="V45" s="364"/>
      <c r="W45" s="365"/>
      <c r="X45" s="365"/>
      <c r="Y45" s="365"/>
      <c r="Z45" s="365"/>
      <c r="AA45" s="366"/>
      <c r="AB45" s="349"/>
      <c r="AC45" s="350"/>
      <c r="AD45" s="350"/>
      <c r="AE45" s="350"/>
      <c r="AF45" s="350"/>
      <c r="AG45" s="351"/>
      <c r="AH45" s="355"/>
      <c r="AI45" s="356"/>
      <c r="AJ45" s="356"/>
      <c r="AK45" s="356"/>
      <c r="AL45" s="356"/>
      <c r="AM45" s="357"/>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row>
    <row r="46" spans="1:80" x14ac:dyDescent="0.3">
      <c r="A46" s="54"/>
      <c r="B46" s="54"/>
      <c r="C46" s="54"/>
      <c r="D46" s="54"/>
      <c r="E46" s="54"/>
      <c r="F46" s="54"/>
      <c r="G46" s="54"/>
      <c r="H46" s="54"/>
      <c r="I46" s="54"/>
      <c r="J46" s="330" t="s">
        <v>107</v>
      </c>
      <c r="K46" s="331"/>
      <c r="L46" s="331"/>
      <c r="M46" s="331"/>
      <c r="N46" s="331"/>
      <c r="O46" s="332"/>
      <c r="P46" s="330" t="s">
        <v>106</v>
      </c>
      <c r="Q46" s="331"/>
      <c r="R46" s="331"/>
      <c r="S46" s="331"/>
      <c r="T46" s="331"/>
      <c r="U46" s="332"/>
      <c r="V46" s="330" t="s">
        <v>105</v>
      </c>
      <c r="W46" s="331"/>
      <c r="X46" s="331"/>
      <c r="Y46" s="331"/>
      <c r="Z46" s="331"/>
      <c r="AA46" s="332"/>
      <c r="AB46" s="330" t="s">
        <v>104</v>
      </c>
      <c r="AC46" s="348"/>
      <c r="AD46" s="331"/>
      <c r="AE46" s="331"/>
      <c r="AF46" s="331"/>
      <c r="AG46" s="332"/>
      <c r="AH46" s="330" t="s">
        <v>103</v>
      </c>
      <c r="AI46" s="331"/>
      <c r="AJ46" s="331"/>
      <c r="AK46" s="331"/>
      <c r="AL46" s="331"/>
      <c r="AM46" s="332"/>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row>
    <row r="47" spans="1:80" x14ac:dyDescent="0.3">
      <c r="A47" s="54"/>
      <c r="B47" s="54"/>
      <c r="C47" s="54"/>
      <c r="D47" s="54"/>
      <c r="E47" s="54"/>
      <c r="F47" s="54"/>
      <c r="G47" s="54"/>
      <c r="H47" s="54"/>
      <c r="I47" s="54"/>
      <c r="J47" s="333"/>
      <c r="K47" s="334"/>
      <c r="L47" s="334"/>
      <c r="M47" s="334"/>
      <c r="N47" s="334"/>
      <c r="O47" s="335"/>
      <c r="P47" s="333"/>
      <c r="Q47" s="334"/>
      <c r="R47" s="334"/>
      <c r="S47" s="334"/>
      <c r="T47" s="334"/>
      <c r="U47" s="335"/>
      <c r="V47" s="333"/>
      <c r="W47" s="334"/>
      <c r="X47" s="334"/>
      <c r="Y47" s="334"/>
      <c r="Z47" s="334"/>
      <c r="AA47" s="335"/>
      <c r="AB47" s="333"/>
      <c r="AC47" s="334"/>
      <c r="AD47" s="334"/>
      <c r="AE47" s="334"/>
      <c r="AF47" s="334"/>
      <c r="AG47" s="335"/>
      <c r="AH47" s="333"/>
      <c r="AI47" s="334"/>
      <c r="AJ47" s="334"/>
      <c r="AK47" s="334"/>
      <c r="AL47" s="334"/>
      <c r="AM47" s="335"/>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row>
    <row r="48" spans="1:80" x14ac:dyDescent="0.3">
      <c r="A48" s="54"/>
      <c r="B48" s="54"/>
      <c r="C48" s="54"/>
      <c r="D48" s="54"/>
      <c r="E48" s="54"/>
      <c r="F48" s="54"/>
      <c r="G48" s="54"/>
      <c r="H48" s="54"/>
      <c r="I48" s="54"/>
      <c r="J48" s="333"/>
      <c r="K48" s="334"/>
      <c r="L48" s="334"/>
      <c r="M48" s="334"/>
      <c r="N48" s="334"/>
      <c r="O48" s="335"/>
      <c r="P48" s="333"/>
      <c r="Q48" s="334"/>
      <c r="R48" s="334"/>
      <c r="S48" s="334"/>
      <c r="T48" s="334"/>
      <c r="U48" s="335"/>
      <c r="V48" s="333"/>
      <c r="W48" s="334"/>
      <c r="X48" s="334"/>
      <c r="Y48" s="334"/>
      <c r="Z48" s="334"/>
      <c r="AA48" s="335"/>
      <c r="AB48" s="333"/>
      <c r="AC48" s="334"/>
      <c r="AD48" s="334"/>
      <c r="AE48" s="334"/>
      <c r="AF48" s="334"/>
      <c r="AG48" s="335"/>
      <c r="AH48" s="333"/>
      <c r="AI48" s="334"/>
      <c r="AJ48" s="334"/>
      <c r="AK48" s="334"/>
      <c r="AL48" s="334"/>
      <c r="AM48" s="335"/>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row>
    <row r="49" spans="1:80" x14ac:dyDescent="0.3">
      <c r="A49" s="54"/>
      <c r="B49" s="54"/>
      <c r="C49" s="54"/>
      <c r="D49" s="54"/>
      <c r="E49" s="54"/>
      <c r="F49" s="54"/>
      <c r="G49" s="54"/>
      <c r="H49" s="54"/>
      <c r="I49" s="54"/>
      <c r="J49" s="333"/>
      <c r="K49" s="334"/>
      <c r="L49" s="334"/>
      <c r="M49" s="334"/>
      <c r="N49" s="334"/>
      <c r="O49" s="335"/>
      <c r="P49" s="333"/>
      <c r="Q49" s="334"/>
      <c r="R49" s="334"/>
      <c r="S49" s="334"/>
      <c r="T49" s="334"/>
      <c r="U49" s="335"/>
      <c r="V49" s="333"/>
      <c r="W49" s="334"/>
      <c r="X49" s="334"/>
      <c r="Y49" s="334"/>
      <c r="Z49" s="334"/>
      <c r="AA49" s="335"/>
      <c r="AB49" s="333"/>
      <c r="AC49" s="334"/>
      <c r="AD49" s="334"/>
      <c r="AE49" s="334"/>
      <c r="AF49" s="334"/>
      <c r="AG49" s="335"/>
      <c r="AH49" s="333"/>
      <c r="AI49" s="334"/>
      <c r="AJ49" s="334"/>
      <c r="AK49" s="334"/>
      <c r="AL49" s="334"/>
      <c r="AM49" s="335"/>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row>
    <row r="50" spans="1:80" x14ac:dyDescent="0.3">
      <c r="A50" s="54"/>
      <c r="B50" s="54"/>
      <c r="C50" s="54"/>
      <c r="D50" s="54"/>
      <c r="E50" s="54"/>
      <c r="F50" s="54"/>
      <c r="G50" s="54"/>
      <c r="H50" s="54"/>
      <c r="I50" s="54"/>
      <c r="J50" s="333"/>
      <c r="K50" s="334"/>
      <c r="L50" s="334"/>
      <c r="M50" s="334"/>
      <c r="N50" s="334"/>
      <c r="O50" s="335"/>
      <c r="P50" s="333"/>
      <c r="Q50" s="334"/>
      <c r="R50" s="334"/>
      <c r="S50" s="334"/>
      <c r="T50" s="334"/>
      <c r="U50" s="335"/>
      <c r="V50" s="333"/>
      <c r="W50" s="334"/>
      <c r="X50" s="334"/>
      <c r="Y50" s="334"/>
      <c r="Z50" s="334"/>
      <c r="AA50" s="335"/>
      <c r="AB50" s="333"/>
      <c r="AC50" s="334"/>
      <c r="AD50" s="334"/>
      <c r="AE50" s="334"/>
      <c r="AF50" s="334"/>
      <c r="AG50" s="335"/>
      <c r="AH50" s="333"/>
      <c r="AI50" s="334"/>
      <c r="AJ50" s="334"/>
      <c r="AK50" s="334"/>
      <c r="AL50" s="334"/>
      <c r="AM50" s="335"/>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row>
    <row r="51" spans="1:80" ht="15" thickBot="1" x14ac:dyDescent="0.35">
      <c r="A51" s="54"/>
      <c r="B51" s="54"/>
      <c r="C51" s="54"/>
      <c r="D51" s="54"/>
      <c r="E51" s="54"/>
      <c r="F51" s="54"/>
      <c r="G51" s="54"/>
      <c r="H51" s="54"/>
      <c r="I51" s="54"/>
      <c r="J51" s="336"/>
      <c r="K51" s="337"/>
      <c r="L51" s="337"/>
      <c r="M51" s="337"/>
      <c r="N51" s="337"/>
      <c r="O51" s="338"/>
      <c r="P51" s="336"/>
      <c r="Q51" s="337"/>
      <c r="R51" s="337"/>
      <c r="S51" s="337"/>
      <c r="T51" s="337"/>
      <c r="U51" s="338"/>
      <c r="V51" s="336"/>
      <c r="W51" s="337"/>
      <c r="X51" s="337"/>
      <c r="Y51" s="337"/>
      <c r="Z51" s="337"/>
      <c r="AA51" s="338"/>
      <c r="AB51" s="336"/>
      <c r="AC51" s="337"/>
      <c r="AD51" s="337"/>
      <c r="AE51" s="337"/>
      <c r="AF51" s="337"/>
      <c r="AG51" s="338"/>
      <c r="AH51" s="336"/>
      <c r="AI51" s="337"/>
      <c r="AJ51" s="337"/>
      <c r="AK51" s="337"/>
      <c r="AL51" s="337"/>
      <c r="AM51" s="338"/>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row>
    <row r="52" spans="1:80" x14ac:dyDescent="0.3">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row>
    <row r="53" spans="1:80" ht="15" customHeight="1" x14ac:dyDescent="0.3">
      <c r="A53" s="54"/>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row>
    <row r="54" spans="1:80" ht="15" customHeight="1" x14ac:dyDescent="0.3">
      <c r="A54" s="54"/>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row>
    <row r="55" spans="1:80" x14ac:dyDescent="0.3">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row>
    <row r="56" spans="1:80" x14ac:dyDescent="0.3">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row>
    <row r="57" spans="1:80" x14ac:dyDescent="0.3">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row>
    <row r="58" spans="1:80" x14ac:dyDescent="0.3">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row>
    <row r="59" spans="1:80" x14ac:dyDescent="0.3">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row>
    <row r="60" spans="1:80" x14ac:dyDescent="0.3">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row>
    <row r="61" spans="1:80" x14ac:dyDescent="0.3">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row>
    <row r="62" spans="1:80" x14ac:dyDescent="0.3">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row>
    <row r="63" spans="1:80" x14ac:dyDescent="0.3">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row>
    <row r="64" spans="1:80" x14ac:dyDescent="0.3">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row>
    <row r="65" spans="1:80" x14ac:dyDescent="0.3">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row>
    <row r="66" spans="1:80" x14ac:dyDescent="0.3">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row>
    <row r="67" spans="1:80" x14ac:dyDescent="0.3">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row>
    <row r="68" spans="1:80" x14ac:dyDescent="0.3">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row>
    <row r="69" spans="1:80" x14ac:dyDescent="0.3">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row>
    <row r="70" spans="1:80" x14ac:dyDescent="0.3">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row>
    <row r="71" spans="1:80" x14ac:dyDescent="0.3">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row>
    <row r="72" spans="1:80" x14ac:dyDescent="0.3">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row>
    <row r="73" spans="1:80" x14ac:dyDescent="0.3">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row>
    <row r="74" spans="1:80" x14ac:dyDescent="0.3">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row>
    <row r="75" spans="1:80" x14ac:dyDescent="0.3">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row>
    <row r="76" spans="1:80" x14ac:dyDescent="0.3">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row>
    <row r="77" spans="1:80" x14ac:dyDescent="0.3">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row>
    <row r="78" spans="1:80" x14ac:dyDescent="0.3">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row>
    <row r="79" spans="1:80" x14ac:dyDescent="0.3">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row>
    <row r="80" spans="1:80" x14ac:dyDescent="0.3">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row>
    <row r="81" spans="1:63" x14ac:dyDescent="0.3">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row>
    <row r="82" spans="1:63" x14ac:dyDescent="0.3">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row>
    <row r="83" spans="1:63" x14ac:dyDescent="0.3">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row>
    <row r="84" spans="1:63" x14ac:dyDescent="0.3">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row>
    <row r="85" spans="1:63" x14ac:dyDescent="0.3">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row>
    <row r="86" spans="1:63" x14ac:dyDescent="0.3">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row>
    <row r="87" spans="1:63" x14ac:dyDescent="0.3">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row>
    <row r="88" spans="1:63" x14ac:dyDescent="0.3">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row>
    <row r="89" spans="1:63" x14ac:dyDescent="0.3">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row>
    <row r="90" spans="1:63" x14ac:dyDescent="0.3">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row>
    <row r="91" spans="1:63" x14ac:dyDescent="0.3">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row>
    <row r="92" spans="1:63" x14ac:dyDescent="0.3">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row>
    <row r="93" spans="1:63" x14ac:dyDescent="0.3">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row>
    <row r="94" spans="1:63" x14ac:dyDescent="0.3">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row>
    <row r="95" spans="1:63" x14ac:dyDescent="0.3">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row>
    <row r="96" spans="1:63" x14ac:dyDescent="0.3">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row>
    <row r="97" spans="1:63" x14ac:dyDescent="0.3">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row>
    <row r="98" spans="1:63" x14ac:dyDescent="0.3">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row>
    <row r="99" spans="1:63" x14ac:dyDescent="0.3">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row>
    <row r="100" spans="1:63" x14ac:dyDescent="0.3">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row>
    <row r="101" spans="1:63" x14ac:dyDescent="0.3">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row>
    <row r="102" spans="1:63" x14ac:dyDescent="0.3">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row>
    <row r="103" spans="1:63" x14ac:dyDescent="0.3">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row>
    <row r="104" spans="1:63" x14ac:dyDescent="0.3">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row>
    <row r="105" spans="1:63" x14ac:dyDescent="0.3">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row>
    <row r="106" spans="1:63" x14ac:dyDescent="0.3">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row>
    <row r="107" spans="1:63" x14ac:dyDescent="0.3">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row>
    <row r="108" spans="1:63" x14ac:dyDescent="0.3">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row>
    <row r="109" spans="1:63" x14ac:dyDescent="0.3">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row>
    <row r="110" spans="1:63" x14ac:dyDescent="0.3">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row>
    <row r="111" spans="1:63" x14ac:dyDescent="0.3">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row>
    <row r="112" spans="1:63" x14ac:dyDescent="0.3">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row>
    <row r="113" spans="1:63" x14ac:dyDescent="0.3">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row>
    <row r="114" spans="1:63" x14ac:dyDescent="0.3">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row>
    <row r="115" spans="1:63" x14ac:dyDescent="0.3">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row>
    <row r="116" spans="1:63" x14ac:dyDescent="0.3">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row>
    <row r="117" spans="1:63" x14ac:dyDescent="0.3">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row>
    <row r="118" spans="1:63" x14ac:dyDescent="0.3">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row>
    <row r="119" spans="1:63" x14ac:dyDescent="0.3">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row>
    <row r="120" spans="1:63" x14ac:dyDescent="0.3">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row>
    <row r="121" spans="1:63" x14ac:dyDescent="0.3">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row>
    <row r="122" spans="1:63" x14ac:dyDescent="0.3">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row>
    <row r="123" spans="1:63" x14ac:dyDescent="0.3">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row>
    <row r="124" spans="1:63" x14ac:dyDescent="0.3">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row>
    <row r="125" spans="1:63" x14ac:dyDescent="0.3">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row>
    <row r="126" spans="1:63" x14ac:dyDescent="0.3">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row>
    <row r="127" spans="1:63" x14ac:dyDescent="0.3">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row>
    <row r="128" spans="1:63" x14ac:dyDescent="0.3">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row>
    <row r="129" spans="2:63" x14ac:dyDescent="0.3">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row>
    <row r="130" spans="2:63" x14ac:dyDescent="0.3">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row>
    <row r="131" spans="2:63" x14ac:dyDescent="0.3">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row>
    <row r="132" spans="2:63" x14ac:dyDescent="0.3">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row>
    <row r="133" spans="2:63" x14ac:dyDescent="0.3">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row>
    <row r="134" spans="2:63" x14ac:dyDescent="0.3">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row>
    <row r="135" spans="2:63" x14ac:dyDescent="0.3">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row>
    <row r="136" spans="2:63" x14ac:dyDescent="0.3">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row>
    <row r="137" spans="2:63" x14ac:dyDescent="0.3">
      <c r="B137" s="54"/>
      <c r="C137" s="54"/>
      <c r="D137" s="54"/>
      <c r="E137" s="54"/>
      <c r="F137" s="54"/>
      <c r="G137" s="54"/>
      <c r="H137" s="54"/>
      <c r="I137" s="54"/>
    </row>
    <row r="138" spans="2:63" x14ac:dyDescent="0.3">
      <c r="B138" s="54"/>
      <c r="C138" s="54"/>
      <c r="D138" s="54"/>
      <c r="E138" s="54"/>
      <c r="F138" s="54"/>
      <c r="G138" s="54"/>
      <c r="H138" s="54"/>
      <c r="I138" s="54"/>
    </row>
    <row r="139" spans="2:63" x14ac:dyDescent="0.3">
      <c r="B139" s="54"/>
      <c r="C139" s="54"/>
      <c r="D139" s="54"/>
      <c r="E139" s="54"/>
      <c r="F139" s="54"/>
      <c r="G139" s="54"/>
      <c r="H139" s="54"/>
      <c r="I139" s="54"/>
    </row>
    <row r="140" spans="2:63" x14ac:dyDescent="0.3">
      <c r="B140" s="54"/>
      <c r="C140" s="54"/>
      <c r="D140" s="54"/>
      <c r="E140" s="54"/>
      <c r="F140" s="54"/>
      <c r="G140" s="54"/>
      <c r="H140" s="54"/>
      <c r="I140" s="5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40" zoomScaleNormal="40" workbookViewId="0">
      <selection activeCell="T28" sqref="T28"/>
    </sheetView>
  </sheetViews>
  <sheetFormatPr baseColWidth="10" defaultColWidth="11.5546875"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row>
    <row r="2" spans="1:91" ht="18" customHeight="1" x14ac:dyDescent="0.3">
      <c r="A2" s="54"/>
      <c r="B2" s="406" t="s">
        <v>148</v>
      </c>
      <c r="C2" s="407"/>
      <c r="D2" s="407"/>
      <c r="E2" s="407"/>
      <c r="F2" s="407"/>
      <c r="G2" s="407"/>
      <c r="H2" s="407"/>
      <c r="I2" s="407"/>
      <c r="J2" s="346" t="s">
        <v>2</v>
      </c>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row>
    <row r="3" spans="1:91" ht="18.75" customHeight="1" x14ac:dyDescent="0.3">
      <c r="A3" s="54"/>
      <c r="B3" s="407"/>
      <c r="C3" s="407"/>
      <c r="D3" s="407"/>
      <c r="E3" s="407"/>
      <c r="F3" s="407"/>
      <c r="G3" s="407"/>
      <c r="H3" s="407"/>
      <c r="I3" s="407"/>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row>
    <row r="4" spans="1:91" ht="15" customHeight="1" x14ac:dyDescent="0.3">
      <c r="A4" s="54"/>
      <c r="B4" s="407"/>
      <c r="C4" s="407"/>
      <c r="D4" s="407"/>
      <c r="E4" s="407"/>
      <c r="F4" s="407"/>
      <c r="G4" s="407"/>
      <c r="H4" s="407"/>
      <c r="I4" s="407"/>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row>
    <row r="5" spans="1:91" ht="15" thickBot="1" x14ac:dyDescent="0.3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row>
    <row r="6" spans="1:91" ht="15" customHeight="1" x14ac:dyDescent="0.3">
      <c r="A6" s="54"/>
      <c r="B6" s="292" t="s">
        <v>4</v>
      </c>
      <c r="C6" s="292"/>
      <c r="D6" s="293"/>
      <c r="E6" s="389" t="s">
        <v>111</v>
      </c>
      <c r="F6" s="390"/>
      <c r="G6" s="390"/>
      <c r="H6" s="390"/>
      <c r="I6" s="408"/>
      <c r="J6" s="16" t="str">
        <f ca="1">IF(AND('Mapa final'!$AA$10="Muy Alta",'Mapa final'!$AC$10="Leve"),CONCATENATE("R1C",'Mapa final'!$Q$10),"")</f>
        <v/>
      </c>
      <c r="K6" s="17" t="str">
        <f ca="1">IF(AND('Mapa final'!$AA$11="Muy Alta",'Mapa final'!$AC$11="Leve"),CONCATENATE("R1C",'Mapa final'!$Q$11),"")</f>
        <v/>
      </c>
      <c r="L6" s="17" t="str">
        <f ca="1">IF(AND('Mapa final'!$AA$12="Muy Alta",'Mapa final'!$AC$12="Leve"),CONCATENATE("R1C",'Mapa final'!$Q$12),"")</f>
        <v/>
      </c>
      <c r="M6" s="17" t="str">
        <f ca="1">IF(AND('Mapa final'!$AA$13="Muy Alta",'Mapa final'!$AC$13="Leve"),CONCATENATE("R1C",'Mapa final'!$Q$13),"")</f>
        <v/>
      </c>
      <c r="N6" s="17" t="str">
        <f ca="1">IF(AND('Mapa final'!$AA$14="Muy Alta",'Mapa final'!$AC$14="Leve"),CONCATENATE("R1C",'Mapa final'!$Q$14),"")</f>
        <v/>
      </c>
      <c r="O6" s="18" t="e">
        <f>IF(AND('Mapa final'!#REF!="Muy Alta",'Mapa final'!#REF!="Leve"),CONCATENATE("R1C",'Mapa final'!#REF!),"")</f>
        <v>#REF!</v>
      </c>
      <c r="P6" s="16" t="str">
        <f ca="1">IF(AND('Mapa final'!$AA$10="Muy Alta",'Mapa final'!$AC$10="Menor"),CONCATENATE("R1C",'Mapa final'!$Q$10),"")</f>
        <v/>
      </c>
      <c r="Q6" s="17" t="str">
        <f ca="1">IF(AND('Mapa final'!$AA$11="Muy Alta",'Mapa final'!$AC$11="Menor"),CONCATENATE("R1C",'Mapa final'!$Q$11),"")</f>
        <v/>
      </c>
      <c r="R6" s="17" t="str">
        <f ca="1">IF(AND('Mapa final'!$AA$12="Muy Alta",'Mapa final'!$AC$12="Menor"),CONCATENATE("R1C",'Mapa final'!$Q$12),"")</f>
        <v/>
      </c>
      <c r="S6" s="17" t="str">
        <f ca="1">IF(AND('Mapa final'!$AA$13="Muy Alta",'Mapa final'!$AC$13="Menor"),CONCATENATE("R1C",'Mapa final'!$Q$13),"")</f>
        <v/>
      </c>
      <c r="T6" s="17" t="str">
        <f ca="1">IF(AND('Mapa final'!$AA$14="Muy Alta",'Mapa final'!$AC$14="Menor"),CONCATENATE("R1C",'Mapa final'!$Q$14),"")</f>
        <v/>
      </c>
      <c r="U6" s="18" t="e">
        <f>IF(AND('Mapa final'!#REF!="Muy Alta",'Mapa final'!#REF!="Menor"),CONCATENATE("R1C",'Mapa final'!#REF!),"")</f>
        <v>#REF!</v>
      </c>
      <c r="V6" s="16" t="str">
        <f ca="1">IF(AND('Mapa final'!$AA$10="Muy Alta",'Mapa final'!$AC$10="Moderado"),CONCATENATE("R1C",'Mapa final'!$Q$10),"")</f>
        <v/>
      </c>
      <c r="W6" s="17" t="str">
        <f ca="1">IF(AND('Mapa final'!$AA$11="Muy Alta",'Mapa final'!$AC$11="Moderado"),CONCATENATE("R1C",'Mapa final'!$Q$11),"")</f>
        <v/>
      </c>
      <c r="X6" s="17" t="str">
        <f ca="1">IF(AND('Mapa final'!$AA$12="Muy Alta",'Mapa final'!$AC$12="Moderado"),CONCATENATE("R1C",'Mapa final'!$Q$12),"")</f>
        <v/>
      </c>
      <c r="Y6" s="17" t="str">
        <f ca="1">IF(AND('Mapa final'!$AA$13="Muy Alta",'Mapa final'!$AC$13="Moderado"),CONCATENATE("R1C",'Mapa final'!$Q$13),"")</f>
        <v/>
      </c>
      <c r="Z6" s="17" t="str">
        <f ca="1">IF(AND('Mapa final'!$AA$14="Muy Alta",'Mapa final'!$AC$14="Moderado"),CONCATENATE("R1C",'Mapa final'!$Q$14),"")</f>
        <v/>
      </c>
      <c r="AA6" s="18" t="e">
        <f>IF(AND('Mapa final'!#REF!="Muy Alta",'Mapa final'!#REF!="Moderado"),CONCATENATE("R1C",'Mapa final'!#REF!),"")</f>
        <v>#REF!</v>
      </c>
      <c r="AB6" s="16" t="str">
        <f ca="1">IF(AND('Mapa final'!$AA$10="Muy Alta",'Mapa final'!$AC$10="Mayor"),CONCATENATE("R1C",'Mapa final'!$Q$10),"")</f>
        <v/>
      </c>
      <c r="AC6" s="17" t="str">
        <f ca="1">IF(AND('Mapa final'!$AA$11="Muy Alta",'Mapa final'!$AC$11="Mayor"),CONCATENATE("R1C",'Mapa final'!$Q$11),"")</f>
        <v/>
      </c>
      <c r="AD6" s="17" t="str">
        <f ca="1">IF(AND('Mapa final'!$AA$12="Muy Alta",'Mapa final'!$AC$12="Mayor"),CONCATENATE("R1C",'Mapa final'!$Q$12),"")</f>
        <v/>
      </c>
      <c r="AE6" s="17" t="str">
        <f ca="1">IF(AND('Mapa final'!$AA$13="Muy Alta",'Mapa final'!$AC$13="Mayor"),CONCATENATE("R1C",'Mapa final'!$Q$13),"")</f>
        <v/>
      </c>
      <c r="AF6" s="17" t="str">
        <f ca="1">IF(AND('Mapa final'!$AA$14="Muy Alta",'Mapa final'!$AC$14="Mayor"),CONCATENATE("R1C",'Mapa final'!$Q$14),"")</f>
        <v/>
      </c>
      <c r="AG6" s="18" t="e">
        <f>IF(AND('Mapa final'!#REF!="Muy Alta",'Mapa final'!#REF!="Mayor"),CONCATENATE("R1C",'Mapa final'!#REF!),"")</f>
        <v>#REF!</v>
      </c>
      <c r="AH6" s="19" t="str">
        <f ca="1">IF(AND('Mapa final'!$AA$10="Muy Alta",'Mapa final'!$AC$10="Catastrófico"),CONCATENATE("R1C",'Mapa final'!$Q$10),"")</f>
        <v/>
      </c>
      <c r="AI6" s="20" t="str">
        <f ca="1">IF(AND('Mapa final'!$AA$11="Muy Alta",'Mapa final'!$AC$11="Catastrófico"),CONCATENATE("R1C",'Mapa final'!$Q$11),"")</f>
        <v/>
      </c>
      <c r="AJ6" s="20" t="str">
        <f ca="1">IF(AND('Mapa final'!$AA$12="Muy Alta",'Mapa final'!$AC$12="Catastrófico"),CONCATENATE("R1C",'Mapa final'!$Q$12),"")</f>
        <v/>
      </c>
      <c r="AK6" s="20" t="str">
        <f ca="1">IF(AND('Mapa final'!$AA$13="Muy Alta",'Mapa final'!$AC$13="Catastrófico"),CONCATENATE("R1C",'Mapa final'!$Q$13),"")</f>
        <v/>
      </c>
      <c r="AL6" s="20" t="str">
        <f ca="1">IF(AND('Mapa final'!$AA$14="Muy Alta",'Mapa final'!$AC$14="Catastrófico"),CONCATENATE("R1C",'Mapa final'!$Q$14),"")</f>
        <v/>
      </c>
      <c r="AM6" s="21" t="e">
        <f>IF(AND('Mapa final'!#REF!="Muy Alta",'Mapa final'!#REF!="Catastrófico"),CONCATENATE("R1C",'Mapa final'!#REF!),"")</f>
        <v>#REF!</v>
      </c>
      <c r="AN6" s="54"/>
      <c r="AO6" s="397" t="s">
        <v>78</v>
      </c>
      <c r="AP6" s="398"/>
      <c r="AQ6" s="398"/>
      <c r="AR6" s="398"/>
      <c r="AS6" s="398"/>
      <c r="AT6" s="399"/>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row>
    <row r="7" spans="1:91" ht="15" customHeight="1" x14ac:dyDescent="0.3">
      <c r="A7" s="54"/>
      <c r="B7" s="292"/>
      <c r="C7" s="292"/>
      <c r="D7" s="293"/>
      <c r="E7" s="393"/>
      <c r="F7" s="394"/>
      <c r="G7" s="394"/>
      <c r="H7" s="394"/>
      <c r="I7" s="409"/>
      <c r="J7" s="22" t="str">
        <f ca="1">IF(AND('Mapa final'!$AA$15="Muy Alta",'Mapa final'!$AC$15="Leve"),CONCATENATE("R2C",'Mapa final'!$Q$15),"")</f>
        <v/>
      </c>
      <c r="K7" s="23" t="str">
        <f ca="1">IF(AND('Mapa final'!$AA$16="Muy Alta",'Mapa final'!$AC$16="Leve"),CONCATENATE("R2C",'Mapa final'!$Q$16),"")</f>
        <v/>
      </c>
      <c r="L7" s="23" t="e">
        <f>IF(AND('Mapa final'!#REF!="Muy Alta",'Mapa final'!#REF!="Leve"),CONCATENATE("R2C",'Mapa final'!$Q$17),"")</f>
        <v>#REF!</v>
      </c>
      <c r="M7" s="23" t="e">
        <f>IF(AND('Mapa final'!#REF!="Muy Alta",'Mapa final'!#REF!="Leve"),CONCATENATE("R2C",'Mapa final'!#REF!),"")</f>
        <v>#REF!</v>
      </c>
      <c r="N7" s="23" t="e">
        <f>IF(AND('Mapa final'!#REF!="Muy Alta",'Mapa final'!#REF!="Leve"),CONCATENATE("R2C",'Mapa final'!#REF!),"")</f>
        <v>#REF!</v>
      </c>
      <c r="O7" s="24" t="e">
        <f>IF(AND('Mapa final'!#REF!="Muy Alta",'Mapa final'!#REF!="Leve"),CONCATENATE("R2C",'Mapa final'!#REF!),"")</f>
        <v>#REF!</v>
      </c>
      <c r="P7" s="22" t="str">
        <f ca="1">IF(AND('Mapa final'!$AA$15="Muy Alta",'Mapa final'!$AC$15="Menor"),CONCATENATE("R2C",'Mapa final'!$Q$15),"")</f>
        <v/>
      </c>
      <c r="Q7" s="23" t="str">
        <f ca="1">IF(AND('Mapa final'!$AA$16="Muy Alta",'Mapa final'!$AC$16="Menor"),CONCATENATE("R2C",'Mapa final'!$Q$16),"")</f>
        <v/>
      </c>
      <c r="R7" s="23" t="e">
        <f>IF(AND('Mapa final'!#REF!="Muy Alta",'Mapa final'!#REF!="Menor"),CONCATENATE("R2C",'Mapa final'!$Q$17),"")</f>
        <v>#REF!</v>
      </c>
      <c r="S7" s="23" t="e">
        <f>IF(AND('Mapa final'!#REF!="Muy Alta",'Mapa final'!#REF!="Menor"),CONCATENATE("R2C",'Mapa final'!#REF!),"")</f>
        <v>#REF!</v>
      </c>
      <c r="T7" s="23" t="e">
        <f>IF(AND('Mapa final'!#REF!="Muy Alta",'Mapa final'!#REF!="Menor"),CONCATENATE("R2C",'Mapa final'!#REF!),"")</f>
        <v>#REF!</v>
      </c>
      <c r="U7" s="24" t="e">
        <f>IF(AND('Mapa final'!#REF!="Muy Alta",'Mapa final'!#REF!="Menor"),CONCATENATE("R2C",'Mapa final'!#REF!),"")</f>
        <v>#REF!</v>
      </c>
      <c r="V7" s="22" t="str">
        <f ca="1">IF(AND('Mapa final'!$AA$15="Muy Alta",'Mapa final'!$AC$15="Moderado"),CONCATENATE("R2C",'Mapa final'!$Q$15),"")</f>
        <v/>
      </c>
      <c r="W7" s="23" t="str">
        <f ca="1">IF(AND('Mapa final'!$AA$16="Muy Alta",'Mapa final'!$AC$16="Moderado"),CONCATENATE("R2C",'Mapa final'!$Q$16),"")</f>
        <v/>
      </c>
      <c r="X7" s="23" t="e">
        <f>IF(AND('Mapa final'!#REF!="Muy Alta",'Mapa final'!#REF!="Moderado"),CONCATENATE("R2C",'Mapa final'!$Q$17),"")</f>
        <v>#REF!</v>
      </c>
      <c r="Y7" s="23" t="e">
        <f>IF(AND('Mapa final'!#REF!="Muy Alta",'Mapa final'!#REF!="Moderado"),CONCATENATE("R2C",'Mapa final'!#REF!),"")</f>
        <v>#REF!</v>
      </c>
      <c r="Z7" s="23" t="e">
        <f>IF(AND('Mapa final'!#REF!="Muy Alta",'Mapa final'!#REF!="Moderado"),CONCATENATE("R2C",'Mapa final'!#REF!),"")</f>
        <v>#REF!</v>
      </c>
      <c r="AA7" s="24" t="e">
        <f>IF(AND('Mapa final'!#REF!="Muy Alta",'Mapa final'!#REF!="Moderado"),CONCATENATE("R2C",'Mapa final'!#REF!),"")</f>
        <v>#REF!</v>
      </c>
      <c r="AB7" s="22" t="str">
        <f ca="1">IF(AND('Mapa final'!$AA$15="Muy Alta",'Mapa final'!$AC$15="Mayor"),CONCATENATE("R2C",'Mapa final'!$Q$15),"")</f>
        <v/>
      </c>
      <c r="AC7" s="23" t="str">
        <f ca="1">IF(AND('Mapa final'!$AA$16="Muy Alta",'Mapa final'!$AC$16="Mayor"),CONCATENATE("R2C",'Mapa final'!$Q$16),"")</f>
        <v/>
      </c>
      <c r="AD7" s="23" t="e">
        <f>IF(AND('Mapa final'!#REF!="Muy Alta",'Mapa final'!#REF!="Mayor"),CONCATENATE("R2C",'Mapa final'!$Q$17),"")</f>
        <v>#REF!</v>
      </c>
      <c r="AE7" s="23" t="e">
        <f>IF(AND('Mapa final'!#REF!="Muy Alta",'Mapa final'!#REF!="Mayor"),CONCATENATE("R2C",'Mapa final'!#REF!),"")</f>
        <v>#REF!</v>
      </c>
      <c r="AF7" s="23" t="e">
        <f>IF(AND('Mapa final'!#REF!="Muy Alta",'Mapa final'!#REF!="Mayor"),CONCATENATE("R2C",'Mapa final'!#REF!),"")</f>
        <v>#REF!</v>
      </c>
      <c r="AG7" s="24" t="e">
        <f>IF(AND('Mapa final'!#REF!="Muy Alta",'Mapa final'!#REF!="Mayor"),CONCATENATE("R2C",'Mapa final'!#REF!),"")</f>
        <v>#REF!</v>
      </c>
      <c r="AH7" s="25" t="str">
        <f ca="1">IF(AND('Mapa final'!$AA$15="Muy Alta",'Mapa final'!$AC$15="Catastrófico"),CONCATENATE("R2C",'Mapa final'!$Q$15),"")</f>
        <v/>
      </c>
      <c r="AI7" s="26" t="str">
        <f ca="1">IF(AND('Mapa final'!$AA$16="Muy Alta",'Mapa final'!$AC$16="Catastrófico"),CONCATENATE("R2C",'Mapa final'!$Q$16),"")</f>
        <v/>
      </c>
      <c r="AJ7" s="26" t="e">
        <f>IF(AND('Mapa final'!#REF!="Muy Alta",'Mapa final'!#REF!="Catastrófico"),CONCATENATE("R2C",'Mapa final'!$Q$17),"")</f>
        <v>#REF!</v>
      </c>
      <c r="AK7" s="26" t="e">
        <f>IF(AND('Mapa final'!#REF!="Muy Alta",'Mapa final'!#REF!="Catastrófico"),CONCATENATE("R2C",'Mapa final'!#REF!),"")</f>
        <v>#REF!</v>
      </c>
      <c r="AL7" s="26" t="e">
        <f>IF(AND('Mapa final'!#REF!="Muy Alta",'Mapa final'!#REF!="Catastrófico"),CONCATENATE("R2C",'Mapa final'!#REF!),"")</f>
        <v>#REF!</v>
      </c>
      <c r="AM7" s="27" t="e">
        <f>IF(AND('Mapa final'!#REF!="Muy Alta",'Mapa final'!#REF!="Catastrófico"),CONCATENATE("R2C",'Mapa final'!#REF!),"")</f>
        <v>#REF!</v>
      </c>
      <c r="AN7" s="54"/>
      <c r="AO7" s="400"/>
      <c r="AP7" s="401"/>
      <c r="AQ7" s="401"/>
      <c r="AR7" s="401"/>
      <c r="AS7" s="401"/>
      <c r="AT7" s="402"/>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row>
    <row r="8" spans="1:91" ht="15" customHeight="1" x14ac:dyDescent="0.3">
      <c r="A8" s="54"/>
      <c r="B8" s="292"/>
      <c r="C8" s="292"/>
      <c r="D8" s="293"/>
      <c r="E8" s="393"/>
      <c r="F8" s="394"/>
      <c r="G8" s="394"/>
      <c r="H8" s="394"/>
      <c r="I8" s="409"/>
      <c r="J8" s="22" t="e">
        <f>IF(AND('Mapa final'!#REF!="Muy Alta",'Mapa final'!#REF!="Leve"),CONCATENATE("R3C",'Mapa final'!#REF!),"")</f>
        <v>#REF!</v>
      </c>
      <c r="K8" s="23" t="e">
        <f>IF(AND('Mapa final'!#REF!="Muy Alta",'Mapa final'!#REF!="Leve"),CONCATENATE("R3C",'Mapa final'!#REF!),"")</f>
        <v>#REF!</v>
      </c>
      <c r="L8" s="23" t="e">
        <f>IF(AND('Mapa final'!#REF!="Muy Alta",'Mapa final'!#REF!="Leve"),CONCATENATE("R3C",'Mapa final'!#REF!),"")</f>
        <v>#REF!</v>
      </c>
      <c r="M8" s="23" t="e">
        <f>IF(AND('Mapa final'!#REF!="Muy Alta",'Mapa final'!#REF!="Leve"),CONCATENATE("R3C",'Mapa final'!#REF!),"")</f>
        <v>#REF!</v>
      </c>
      <c r="N8" s="23" t="e">
        <f>IF(AND('Mapa final'!#REF!="Muy Alta",'Mapa final'!#REF!="Leve"),CONCATENATE("R3C",'Mapa final'!#REF!),"")</f>
        <v>#REF!</v>
      </c>
      <c r="O8" s="24" t="e">
        <f>IF(AND('Mapa final'!#REF!="Muy Alta",'Mapa final'!#REF!="Leve"),CONCATENATE("R3C",'Mapa final'!#REF!),"")</f>
        <v>#REF!</v>
      </c>
      <c r="P8" s="22" t="e">
        <f>IF(AND('Mapa final'!#REF!="Muy Alta",'Mapa final'!#REF!="Menor"),CONCATENATE("R3C",'Mapa final'!#REF!),"")</f>
        <v>#REF!</v>
      </c>
      <c r="Q8" s="23" t="e">
        <f>IF(AND('Mapa final'!#REF!="Muy Alta",'Mapa final'!#REF!="Menor"),CONCATENATE("R3C",'Mapa final'!#REF!),"")</f>
        <v>#REF!</v>
      </c>
      <c r="R8" s="23" t="e">
        <f>IF(AND('Mapa final'!#REF!="Muy Alta",'Mapa final'!#REF!="Menor"),CONCATENATE("R3C",'Mapa final'!#REF!),"")</f>
        <v>#REF!</v>
      </c>
      <c r="S8" s="23" t="e">
        <f>IF(AND('Mapa final'!#REF!="Muy Alta",'Mapa final'!#REF!="Menor"),CONCATENATE("R3C",'Mapa final'!#REF!),"")</f>
        <v>#REF!</v>
      </c>
      <c r="T8" s="23" t="e">
        <f>IF(AND('Mapa final'!#REF!="Muy Alta",'Mapa final'!#REF!="Menor"),CONCATENATE("R3C",'Mapa final'!#REF!),"")</f>
        <v>#REF!</v>
      </c>
      <c r="U8" s="24" t="e">
        <f>IF(AND('Mapa final'!#REF!="Muy Alta",'Mapa final'!#REF!="Menor"),CONCATENATE("R3C",'Mapa final'!#REF!),"")</f>
        <v>#REF!</v>
      </c>
      <c r="V8" s="22" t="e">
        <f>IF(AND('Mapa final'!#REF!="Muy Alta",'Mapa final'!#REF!="Moderado"),CONCATENATE("R3C",'Mapa final'!#REF!),"")</f>
        <v>#REF!</v>
      </c>
      <c r="W8" s="23" t="e">
        <f>IF(AND('Mapa final'!#REF!="Muy Alta",'Mapa final'!#REF!="Moderado"),CONCATENATE("R3C",'Mapa final'!#REF!),"")</f>
        <v>#REF!</v>
      </c>
      <c r="X8" s="23" t="e">
        <f>IF(AND('Mapa final'!#REF!="Muy Alta",'Mapa final'!#REF!="Moderado"),CONCATENATE("R3C",'Mapa final'!#REF!),"")</f>
        <v>#REF!</v>
      </c>
      <c r="Y8" s="23" t="e">
        <f>IF(AND('Mapa final'!#REF!="Muy Alta",'Mapa final'!#REF!="Moderado"),CONCATENATE("R3C",'Mapa final'!#REF!),"")</f>
        <v>#REF!</v>
      </c>
      <c r="Z8" s="23" t="e">
        <f>IF(AND('Mapa final'!#REF!="Muy Alta",'Mapa final'!#REF!="Moderado"),CONCATENATE("R3C",'Mapa final'!#REF!),"")</f>
        <v>#REF!</v>
      </c>
      <c r="AA8" s="24" t="e">
        <f>IF(AND('Mapa final'!#REF!="Muy Alta",'Mapa final'!#REF!="Moderado"),CONCATENATE("R3C",'Mapa final'!#REF!),"")</f>
        <v>#REF!</v>
      </c>
      <c r="AB8" s="22" t="e">
        <f>IF(AND('Mapa final'!#REF!="Muy Alta",'Mapa final'!#REF!="Mayor"),CONCATENATE("R3C",'Mapa final'!#REF!),"")</f>
        <v>#REF!</v>
      </c>
      <c r="AC8" s="23" t="e">
        <f>IF(AND('Mapa final'!#REF!="Muy Alta",'Mapa final'!#REF!="Mayor"),CONCATENATE("R3C",'Mapa final'!#REF!),"")</f>
        <v>#REF!</v>
      </c>
      <c r="AD8" s="23" t="e">
        <f>IF(AND('Mapa final'!#REF!="Muy Alta",'Mapa final'!#REF!="Mayor"),CONCATENATE("R3C",'Mapa final'!#REF!),"")</f>
        <v>#REF!</v>
      </c>
      <c r="AE8" s="23" t="e">
        <f>IF(AND('Mapa final'!#REF!="Muy Alta",'Mapa final'!#REF!="Mayor"),CONCATENATE("R3C",'Mapa final'!#REF!),"")</f>
        <v>#REF!</v>
      </c>
      <c r="AF8" s="23" t="e">
        <f>IF(AND('Mapa final'!#REF!="Muy Alta",'Mapa final'!#REF!="Mayor"),CONCATENATE("R3C",'Mapa final'!#REF!),"")</f>
        <v>#REF!</v>
      </c>
      <c r="AG8" s="24" t="e">
        <f>IF(AND('Mapa final'!#REF!="Muy Alta",'Mapa final'!#REF!="Mayor"),CONCATENATE("R3C",'Mapa final'!#REF!),"")</f>
        <v>#REF!</v>
      </c>
      <c r="AH8" s="25" t="e">
        <f>IF(AND('Mapa final'!#REF!="Muy Alta",'Mapa final'!#REF!="Catastrófico"),CONCATENATE("R3C",'Mapa final'!#REF!),"")</f>
        <v>#REF!</v>
      </c>
      <c r="AI8" s="26" t="e">
        <f>IF(AND('Mapa final'!#REF!="Muy Alta",'Mapa final'!#REF!="Catastrófico"),CONCATENATE("R3C",'Mapa final'!#REF!),"")</f>
        <v>#REF!</v>
      </c>
      <c r="AJ8" s="26" t="e">
        <f>IF(AND('Mapa final'!#REF!="Muy Alta",'Mapa final'!#REF!="Catastrófico"),CONCATENATE("R3C",'Mapa final'!#REF!),"")</f>
        <v>#REF!</v>
      </c>
      <c r="AK8" s="26" t="e">
        <f>IF(AND('Mapa final'!#REF!="Muy Alta",'Mapa final'!#REF!="Catastrófico"),CONCATENATE("R3C",'Mapa final'!#REF!),"")</f>
        <v>#REF!</v>
      </c>
      <c r="AL8" s="26" t="e">
        <f>IF(AND('Mapa final'!#REF!="Muy Alta",'Mapa final'!#REF!="Catastrófico"),CONCATENATE("R3C",'Mapa final'!#REF!),"")</f>
        <v>#REF!</v>
      </c>
      <c r="AM8" s="27" t="e">
        <f>IF(AND('Mapa final'!#REF!="Muy Alta",'Mapa final'!#REF!="Catastrófico"),CONCATENATE("R3C",'Mapa final'!#REF!),"")</f>
        <v>#REF!</v>
      </c>
      <c r="AN8" s="54"/>
      <c r="AO8" s="400"/>
      <c r="AP8" s="401"/>
      <c r="AQ8" s="401"/>
      <c r="AR8" s="401"/>
      <c r="AS8" s="401"/>
      <c r="AT8" s="402"/>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row>
    <row r="9" spans="1:91" ht="15" customHeight="1" x14ac:dyDescent="0.3">
      <c r="A9" s="54"/>
      <c r="B9" s="292"/>
      <c r="C9" s="292"/>
      <c r="D9" s="293"/>
      <c r="E9" s="393"/>
      <c r="F9" s="394"/>
      <c r="G9" s="394"/>
      <c r="H9" s="394"/>
      <c r="I9" s="409"/>
      <c r="J9" s="22" t="str">
        <f ca="1">IF(AND('Mapa final'!$AA$19="Muy Alta",'Mapa final'!$AC$19="Leve"),CONCATENATE("R4C",'Mapa final'!$Q$19),"")</f>
        <v/>
      </c>
      <c r="K9" s="23" t="str">
        <f ca="1">IF(AND('Mapa final'!$AA$20="Muy Alta",'Mapa final'!$AC$20="Leve"),CONCATENATE("R4C",'Mapa final'!$Q$20),"")</f>
        <v/>
      </c>
      <c r="L9" s="28" t="str">
        <f ca="1">IF(AND('Mapa final'!$AA$21="Muy Alta",'Mapa final'!$AC$21="Leve"),CONCATENATE("R4C",'Mapa final'!$Q$21),"")</f>
        <v/>
      </c>
      <c r="M9" s="28" t="str">
        <f ca="1">IF(AND('Mapa final'!$AA$22="Muy Alta",'Mapa final'!$AC$22="Leve"),CONCATENATE("R4C",'Mapa final'!$Q$22),"")</f>
        <v/>
      </c>
      <c r="N9" s="28" t="e">
        <f>IF(AND('Mapa final'!#REF!="Muy Alta",'Mapa final'!#REF!="Leve"),CONCATENATE("R4C",'Mapa final'!#REF!),"")</f>
        <v>#REF!</v>
      </c>
      <c r="O9" s="24" t="e">
        <f>IF(AND('Mapa final'!#REF!="Muy Alta",'Mapa final'!#REF!="Leve"),CONCATENATE("R4C",'Mapa final'!#REF!),"")</f>
        <v>#REF!</v>
      </c>
      <c r="P9" s="22" t="str">
        <f ca="1">IF(AND('Mapa final'!$AA$19="Muy Alta",'Mapa final'!$AC$19="Menor"),CONCATENATE("R4C",'Mapa final'!$Q$19),"")</f>
        <v/>
      </c>
      <c r="Q9" s="23" t="str">
        <f ca="1">IF(AND('Mapa final'!$AA$20="Muy Alta",'Mapa final'!$AC$20="Menor"),CONCATENATE("R4C",'Mapa final'!$Q$20),"")</f>
        <v/>
      </c>
      <c r="R9" s="28" t="str">
        <f ca="1">IF(AND('Mapa final'!$AA$21="Muy Alta",'Mapa final'!$AC$21="Menor"),CONCATENATE("R4C",'Mapa final'!$Q$21),"")</f>
        <v/>
      </c>
      <c r="S9" s="28" t="str">
        <f ca="1">IF(AND('Mapa final'!$AA$22="Muy Alta",'Mapa final'!$AC$22="Menor"),CONCATENATE("R4C",'Mapa final'!$Q$22),"")</f>
        <v/>
      </c>
      <c r="T9" s="28" t="e">
        <f>IF(AND('Mapa final'!#REF!="Muy Alta",'Mapa final'!#REF!="Menor"),CONCATENATE("R4C",'Mapa final'!#REF!),"")</f>
        <v>#REF!</v>
      </c>
      <c r="U9" s="24" t="e">
        <f>IF(AND('Mapa final'!#REF!="Muy Alta",'Mapa final'!#REF!="Menor"),CONCATENATE("R4C",'Mapa final'!#REF!),"")</f>
        <v>#REF!</v>
      </c>
      <c r="V9" s="22" t="str">
        <f ca="1">IF(AND('Mapa final'!$AA$19="Muy Alta",'Mapa final'!$AC$19="Moderado"),CONCATENATE("R4C",'Mapa final'!$Q$19),"")</f>
        <v/>
      </c>
      <c r="W9" s="23" t="str">
        <f ca="1">IF(AND('Mapa final'!$AA$20="Muy Alta",'Mapa final'!$AC$20="Moderado"),CONCATENATE("R4C",'Mapa final'!$Q$20),"")</f>
        <v/>
      </c>
      <c r="X9" s="28" t="str">
        <f ca="1">IF(AND('Mapa final'!$AA$21="Muy Alta",'Mapa final'!$AC$21="Moderado"),CONCATENATE("R4C",'Mapa final'!$Q$21),"")</f>
        <v/>
      </c>
      <c r="Y9" s="28" t="str">
        <f ca="1">IF(AND('Mapa final'!$AA$22="Muy Alta",'Mapa final'!$AC$22="Moderado"),CONCATENATE("R4C",'Mapa final'!$Q$22),"")</f>
        <v/>
      </c>
      <c r="Z9" s="28" t="e">
        <f>IF(AND('Mapa final'!#REF!="Muy Alta",'Mapa final'!#REF!="Moderado"),CONCATENATE("R4C",'Mapa final'!#REF!),"")</f>
        <v>#REF!</v>
      </c>
      <c r="AA9" s="24" t="e">
        <f>IF(AND('Mapa final'!#REF!="Muy Alta",'Mapa final'!#REF!="Moderado"),CONCATENATE("R4C",'Mapa final'!#REF!),"")</f>
        <v>#REF!</v>
      </c>
      <c r="AB9" s="22" t="str">
        <f ca="1">IF(AND('Mapa final'!$AA$19="Muy Alta",'Mapa final'!$AC$19="Mayor"),CONCATENATE("R4C",'Mapa final'!$Q$19),"")</f>
        <v/>
      </c>
      <c r="AC9" s="23" t="str">
        <f ca="1">IF(AND('Mapa final'!$AA$20="Muy Alta",'Mapa final'!$AC$20="Mayor"),CONCATENATE("R4C",'Mapa final'!$Q$20),"")</f>
        <v/>
      </c>
      <c r="AD9" s="28" t="str">
        <f ca="1">IF(AND('Mapa final'!$AA$21="Muy Alta",'Mapa final'!$AC$21="Mayor"),CONCATENATE("R4C",'Mapa final'!$Q$21),"")</f>
        <v/>
      </c>
      <c r="AE9" s="28" t="str">
        <f ca="1">IF(AND('Mapa final'!$AA$22="Muy Alta",'Mapa final'!$AC$22="Mayor"),CONCATENATE("R4C",'Mapa final'!$Q$22),"")</f>
        <v/>
      </c>
      <c r="AF9" s="28" t="e">
        <f>IF(AND('Mapa final'!#REF!="Muy Alta",'Mapa final'!#REF!="Mayor"),CONCATENATE("R4C",'Mapa final'!#REF!),"")</f>
        <v>#REF!</v>
      </c>
      <c r="AG9" s="24" t="e">
        <f>IF(AND('Mapa final'!#REF!="Muy Alta",'Mapa final'!#REF!="Mayor"),CONCATENATE("R4C",'Mapa final'!#REF!),"")</f>
        <v>#REF!</v>
      </c>
      <c r="AH9" s="25" t="str">
        <f ca="1">IF(AND('Mapa final'!$AA$19="Muy Alta",'Mapa final'!$AC$19="Catastrófico"),CONCATENATE("R4C",'Mapa final'!$Q$19),"")</f>
        <v/>
      </c>
      <c r="AI9" s="26" t="str">
        <f ca="1">IF(AND('Mapa final'!$AA$20="Muy Alta",'Mapa final'!$AC$20="Catastrófico"),CONCATENATE("R4C",'Mapa final'!$Q$20),"")</f>
        <v/>
      </c>
      <c r="AJ9" s="26" t="str">
        <f ca="1">IF(AND('Mapa final'!$AA$21="Muy Alta",'Mapa final'!$AC$21="Catastrófico"),CONCATENATE("R4C",'Mapa final'!$Q$21),"")</f>
        <v/>
      </c>
      <c r="AK9" s="26" t="str">
        <f ca="1">IF(AND('Mapa final'!$AA$22="Muy Alta",'Mapa final'!$AC$22="Catastrófico"),CONCATENATE("R4C",'Mapa final'!$Q$22),"")</f>
        <v/>
      </c>
      <c r="AL9" s="26" t="e">
        <f>IF(AND('Mapa final'!#REF!="Muy Alta",'Mapa final'!#REF!="Catastrófico"),CONCATENATE("R4C",'Mapa final'!#REF!),"")</f>
        <v>#REF!</v>
      </c>
      <c r="AM9" s="27" t="e">
        <f>IF(AND('Mapa final'!#REF!="Muy Alta",'Mapa final'!#REF!="Catastrófico"),CONCATENATE("R4C",'Mapa final'!#REF!),"")</f>
        <v>#REF!</v>
      </c>
      <c r="AN9" s="54"/>
      <c r="AO9" s="400"/>
      <c r="AP9" s="401"/>
      <c r="AQ9" s="401"/>
      <c r="AR9" s="401"/>
      <c r="AS9" s="401"/>
      <c r="AT9" s="402"/>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row>
    <row r="10" spans="1:91" ht="15" customHeight="1" x14ac:dyDescent="0.3">
      <c r="A10" s="54"/>
      <c r="B10" s="292"/>
      <c r="C10" s="292"/>
      <c r="D10" s="293"/>
      <c r="E10" s="393"/>
      <c r="F10" s="394"/>
      <c r="G10" s="394"/>
      <c r="H10" s="394"/>
      <c r="I10" s="409"/>
      <c r="J10" s="22" t="str">
        <f>IF(AND('Mapa final'!$AA$23="Muy Alta",'Mapa final'!$AC$23="Leve"),CONCATENATE("R5C",'Mapa final'!$Q$23),"")</f>
        <v/>
      </c>
      <c r="K10" s="23" t="str">
        <f>IF(AND('Mapa final'!$AA$24="Muy Alta",'Mapa final'!$AC$24="Leve"),CONCATENATE("R5C",'Mapa final'!$Q$24),"")</f>
        <v/>
      </c>
      <c r="L10" s="28" t="str">
        <f>IF(AND('Mapa final'!$AA$25="Muy Alta",'Mapa final'!$AC$25="Leve"),CONCATENATE("R5C",'Mapa final'!$Q$25),"")</f>
        <v/>
      </c>
      <c r="M10" s="28" t="str">
        <f>IF(AND('Mapa final'!$AA$26="Muy Alta",'Mapa final'!$AC$26="Leve"),CONCATENATE("R5C",'Mapa final'!$Q$26),"")</f>
        <v/>
      </c>
      <c r="N10" s="28" t="str">
        <f>IF(AND('Mapa final'!$AA$27="Muy Alta",'Mapa final'!$AC$27="Leve"),CONCATENATE("R5C",'Mapa final'!$Q$27),"")</f>
        <v/>
      </c>
      <c r="O10" s="24" t="str">
        <f>IF(AND('Mapa final'!$AA$28="Muy Alta",'Mapa final'!$AC$28="Leve"),CONCATENATE("R5C",'Mapa final'!$Q$28),"")</f>
        <v/>
      </c>
      <c r="P10" s="22" t="str">
        <f>IF(AND('Mapa final'!$AA$23="Muy Alta",'Mapa final'!$AC$23="Menor"),CONCATENATE("R5C",'Mapa final'!$Q$23),"")</f>
        <v/>
      </c>
      <c r="Q10" s="23" t="str">
        <f>IF(AND('Mapa final'!$AA$24="Muy Alta",'Mapa final'!$AC$24="Menor"),CONCATENATE("R5C",'Mapa final'!$Q$24),"")</f>
        <v/>
      </c>
      <c r="R10" s="28" t="str">
        <f>IF(AND('Mapa final'!$AA$25="Muy Alta",'Mapa final'!$AC$25="Menor"),CONCATENATE("R5C",'Mapa final'!$Q$25),"")</f>
        <v/>
      </c>
      <c r="S10" s="28" t="str">
        <f>IF(AND('Mapa final'!$AA$26="Muy Alta",'Mapa final'!$AC$26="Menor"),CONCATENATE("R5C",'Mapa final'!$Q$26),"")</f>
        <v/>
      </c>
      <c r="T10" s="28" t="str">
        <f>IF(AND('Mapa final'!$AA$27="Muy Alta",'Mapa final'!$AC$27="Menor"),CONCATENATE("R5C",'Mapa final'!$Q$27),"")</f>
        <v/>
      </c>
      <c r="U10" s="24" t="str">
        <f>IF(AND('Mapa final'!$AA$28="Muy Alta",'Mapa final'!$AC$28="Menor"),CONCATENATE("R5C",'Mapa final'!$Q$28),"")</f>
        <v/>
      </c>
      <c r="V10" s="22" t="str">
        <f>IF(AND('Mapa final'!$AA$23="Muy Alta",'Mapa final'!$AC$23="Moderado"),CONCATENATE("R5C",'Mapa final'!$Q$23),"")</f>
        <v/>
      </c>
      <c r="W10" s="23" t="str">
        <f>IF(AND('Mapa final'!$AA$24="Muy Alta",'Mapa final'!$AC$24="Moderado"),CONCATENATE("R5C",'Mapa final'!$Q$24),"")</f>
        <v/>
      </c>
      <c r="X10" s="28" t="str">
        <f>IF(AND('Mapa final'!$AA$25="Muy Alta",'Mapa final'!$AC$25="Moderado"),CONCATENATE("R5C",'Mapa final'!$Q$25),"")</f>
        <v/>
      </c>
      <c r="Y10" s="28" t="str">
        <f>IF(AND('Mapa final'!$AA$26="Muy Alta",'Mapa final'!$AC$26="Moderado"),CONCATENATE("R5C",'Mapa final'!$Q$26),"")</f>
        <v/>
      </c>
      <c r="Z10" s="28" t="str">
        <f>IF(AND('Mapa final'!$AA$27="Muy Alta",'Mapa final'!$AC$27="Moderado"),CONCATENATE("R5C",'Mapa final'!$Q$27),"")</f>
        <v/>
      </c>
      <c r="AA10" s="24" t="str">
        <f>IF(AND('Mapa final'!$AA$28="Muy Alta",'Mapa final'!$AC$28="Moderado"),CONCATENATE("R5C",'Mapa final'!$Q$28),"")</f>
        <v/>
      </c>
      <c r="AB10" s="22" t="str">
        <f>IF(AND('Mapa final'!$AA$23="Muy Alta",'Mapa final'!$AC$23="Mayor"),CONCATENATE("R5C",'Mapa final'!$Q$23),"")</f>
        <v/>
      </c>
      <c r="AC10" s="23" t="str">
        <f>IF(AND('Mapa final'!$AA$24="Muy Alta",'Mapa final'!$AC$24="Mayor"),CONCATENATE("R5C",'Mapa final'!$Q$24),"")</f>
        <v/>
      </c>
      <c r="AD10" s="28" t="str">
        <f>IF(AND('Mapa final'!$AA$25="Muy Alta",'Mapa final'!$AC$25="Mayor"),CONCATENATE("R5C",'Mapa final'!$Q$25),"")</f>
        <v/>
      </c>
      <c r="AE10" s="28" t="str">
        <f>IF(AND('Mapa final'!$AA$26="Muy Alta",'Mapa final'!$AC$26="Mayor"),CONCATENATE("R5C",'Mapa final'!$Q$26),"")</f>
        <v/>
      </c>
      <c r="AF10" s="28" t="str">
        <f>IF(AND('Mapa final'!$AA$27="Muy Alta",'Mapa final'!$AC$27="Mayor"),CONCATENATE("R5C",'Mapa final'!$Q$27),"")</f>
        <v/>
      </c>
      <c r="AG10" s="24" t="str">
        <f>IF(AND('Mapa final'!$AA$28="Muy Alta",'Mapa final'!$AC$28="Mayor"),CONCATENATE("R5C",'Mapa final'!$Q$28),"")</f>
        <v/>
      </c>
      <c r="AH10" s="25" t="str">
        <f>IF(AND('Mapa final'!$AA$23="Muy Alta",'Mapa final'!$AC$23="Catastrófico"),CONCATENATE("R5C",'Mapa final'!$Q$23),"")</f>
        <v/>
      </c>
      <c r="AI10" s="26" t="str">
        <f>IF(AND('Mapa final'!$AA$24="Muy Alta",'Mapa final'!$AC$24="Catastrófico"),CONCATENATE("R5C",'Mapa final'!$Q$24),"")</f>
        <v/>
      </c>
      <c r="AJ10" s="26" t="str">
        <f>IF(AND('Mapa final'!$AA$25="Muy Alta",'Mapa final'!$AC$25="Catastrófico"),CONCATENATE("R5C",'Mapa final'!$Q$25),"")</f>
        <v/>
      </c>
      <c r="AK10" s="26" t="str">
        <f>IF(AND('Mapa final'!$AA$26="Muy Alta",'Mapa final'!$AC$26="Catastrófico"),CONCATENATE("R5C",'Mapa final'!$Q$26),"")</f>
        <v/>
      </c>
      <c r="AL10" s="26" t="str">
        <f>IF(AND('Mapa final'!$AA$27="Muy Alta",'Mapa final'!$AC$27="Catastrófico"),CONCATENATE("R5C",'Mapa final'!$Q$27),"")</f>
        <v/>
      </c>
      <c r="AM10" s="27" t="str">
        <f>IF(AND('Mapa final'!$AA$28="Muy Alta",'Mapa final'!$AC$28="Catastrófico"),CONCATENATE("R5C",'Mapa final'!$Q$28),"")</f>
        <v/>
      </c>
      <c r="AN10" s="54"/>
      <c r="AO10" s="400"/>
      <c r="AP10" s="401"/>
      <c r="AQ10" s="401"/>
      <c r="AR10" s="401"/>
      <c r="AS10" s="401"/>
      <c r="AT10" s="402"/>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row>
    <row r="11" spans="1:91" ht="15" customHeight="1" x14ac:dyDescent="0.3">
      <c r="A11" s="54"/>
      <c r="B11" s="292"/>
      <c r="C11" s="292"/>
      <c r="D11" s="293"/>
      <c r="E11" s="393"/>
      <c r="F11" s="394"/>
      <c r="G11" s="394"/>
      <c r="H11" s="394"/>
      <c r="I11" s="409"/>
      <c r="J11" s="22" t="str">
        <f>IF(AND('Mapa final'!$AA$29="Muy Alta",'Mapa final'!$AC$29="Leve"),CONCATENATE("R6C",'Mapa final'!$Q$29),"")</f>
        <v/>
      </c>
      <c r="K11" s="23" t="str">
        <f>IF(AND('Mapa final'!$AA$30="Muy Alta",'Mapa final'!$AC$30="Leve"),CONCATENATE("R6C",'Mapa final'!$Q$30),"")</f>
        <v/>
      </c>
      <c r="L11" s="28" t="str">
        <f>IF(AND('Mapa final'!$AA$31="Muy Alta",'Mapa final'!$AC$31="Leve"),CONCATENATE("R6C",'Mapa final'!$Q$31),"")</f>
        <v/>
      </c>
      <c r="M11" s="28" t="str">
        <f>IF(AND('Mapa final'!$AA$32="Muy Alta",'Mapa final'!$AC$32="Leve"),CONCATENATE("R6C",'Mapa final'!$Q$32),"")</f>
        <v/>
      </c>
      <c r="N11" s="28" t="str">
        <f>IF(AND('Mapa final'!$AA$33="Muy Alta",'Mapa final'!$AC$33="Leve"),CONCATENATE("R6C",'Mapa final'!$Q$33),"")</f>
        <v/>
      </c>
      <c r="O11" s="24" t="str">
        <f>IF(AND('Mapa final'!$AA$34="Muy Alta",'Mapa final'!$AC$34="Leve"),CONCATENATE("R6C",'Mapa final'!$Q$34),"")</f>
        <v/>
      </c>
      <c r="P11" s="22" t="str">
        <f>IF(AND('Mapa final'!$AA$29="Muy Alta",'Mapa final'!$AC$29="Menor"),CONCATENATE("R6C",'Mapa final'!$Q$29),"")</f>
        <v/>
      </c>
      <c r="Q11" s="23" t="str">
        <f>IF(AND('Mapa final'!$AA$30="Muy Alta",'Mapa final'!$AC$30="Menor"),CONCATENATE("R6C",'Mapa final'!$Q$30),"")</f>
        <v/>
      </c>
      <c r="R11" s="28" t="str">
        <f>IF(AND('Mapa final'!$AA$31="Muy Alta",'Mapa final'!$AC$31="Menor"),CONCATENATE("R6C",'Mapa final'!$Q$31),"")</f>
        <v/>
      </c>
      <c r="S11" s="28" t="str">
        <f>IF(AND('Mapa final'!$AA$32="Muy Alta",'Mapa final'!$AC$32="Menor"),CONCATENATE("R6C",'Mapa final'!$Q$32),"")</f>
        <v/>
      </c>
      <c r="T11" s="28" t="str">
        <f>IF(AND('Mapa final'!$AA$33="Muy Alta",'Mapa final'!$AC$33="Menor"),CONCATENATE("R6C",'Mapa final'!$Q$33),"")</f>
        <v/>
      </c>
      <c r="U11" s="24" t="str">
        <f>IF(AND('Mapa final'!$AA$34="Muy Alta",'Mapa final'!$AC$34="Menor"),CONCATENATE("R6C",'Mapa final'!$Q$34),"")</f>
        <v/>
      </c>
      <c r="V11" s="22" t="str">
        <f>IF(AND('Mapa final'!$AA$29="Muy Alta",'Mapa final'!$AC$29="Moderado"),CONCATENATE("R6C",'Mapa final'!$Q$29),"")</f>
        <v/>
      </c>
      <c r="W11" s="23" t="str">
        <f>IF(AND('Mapa final'!$AA$30="Muy Alta",'Mapa final'!$AC$30="Moderado"),CONCATENATE("R6C",'Mapa final'!$Q$30),"")</f>
        <v/>
      </c>
      <c r="X11" s="28" t="str">
        <f>IF(AND('Mapa final'!$AA$31="Muy Alta",'Mapa final'!$AC$31="Moderado"),CONCATENATE("R6C",'Mapa final'!$Q$31),"")</f>
        <v/>
      </c>
      <c r="Y11" s="28" t="str">
        <f>IF(AND('Mapa final'!$AA$32="Muy Alta",'Mapa final'!$AC$32="Moderado"),CONCATENATE("R6C",'Mapa final'!$Q$32),"")</f>
        <v/>
      </c>
      <c r="Z11" s="28" t="str">
        <f>IF(AND('Mapa final'!$AA$33="Muy Alta",'Mapa final'!$AC$33="Moderado"),CONCATENATE("R6C",'Mapa final'!$Q$33),"")</f>
        <v/>
      </c>
      <c r="AA11" s="24" t="str">
        <f>IF(AND('Mapa final'!$AA$34="Muy Alta",'Mapa final'!$AC$34="Moderado"),CONCATENATE("R6C",'Mapa final'!$Q$34),"")</f>
        <v/>
      </c>
      <c r="AB11" s="22" t="str">
        <f>IF(AND('Mapa final'!$AA$29="Muy Alta",'Mapa final'!$AC$29="Mayor"),CONCATENATE("R6C",'Mapa final'!$Q$29),"")</f>
        <v/>
      </c>
      <c r="AC11" s="23" t="str">
        <f>IF(AND('Mapa final'!$AA$30="Muy Alta",'Mapa final'!$AC$30="Mayor"),CONCATENATE("R6C",'Mapa final'!$Q$30),"")</f>
        <v/>
      </c>
      <c r="AD11" s="28" t="str">
        <f>IF(AND('Mapa final'!$AA$31="Muy Alta",'Mapa final'!$AC$31="Mayor"),CONCATENATE("R6C",'Mapa final'!$Q$31),"")</f>
        <v/>
      </c>
      <c r="AE11" s="28" t="str">
        <f>IF(AND('Mapa final'!$AA$32="Muy Alta",'Mapa final'!$AC$32="Mayor"),CONCATENATE("R6C",'Mapa final'!$Q$32),"")</f>
        <v/>
      </c>
      <c r="AF11" s="28" t="str">
        <f>IF(AND('Mapa final'!$AA$33="Muy Alta",'Mapa final'!$AC$33="Mayor"),CONCATENATE("R6C",'Mapa final'!$Q$33),"")</f>
        <v/>
      </c>
      <c r="AG11" s="24" t="str">
        <f>IF(AND('Mapa final'!$AA$34="Muy Alta",'Mapa final'!$AC$34="Mayor"),CONCATENATE("R6C",'Mapa final'!$Q$34),"")</f>
        <v/>
      </c>
      <c r="AH11" s="25" t="str">
        <f>IF(AND('Mapa final'!$AA$29="Muy Alta",'Mapa final'!$AC$29="Catastrófico"),CONCATENATE("R6C",'Mapa final'!$Q$29),"")</f>
        <v/>
      </c>
      <c r="AI11" s="26" t="str">
        <f>IF(AND('Mapa final'!$AA$30="Muy Alta",'Mapa final'!$AC$30="Catastrófico"),CONCATENATE("R6C",'Mapa final'!$Q$30),"")</f>
        <v/>
      </c>
      <c r="AJ11" s="26" t="str">
        <f>IF(AND('Mapa final'!$AA$31="Muy Alta",'Mapa final'!$AC$31="Catastrófico"),CONCATENATE("R6C",'Mapa final'!$Q$31),"")</f>
        <v/>
      </c>
      <c r="AK11" s="26" t="str">
        <f>IF(AND('Mapa final'!$AA$32="Muy Alta",'Mapa final'!$AC$32="Catastrófico"),CONCATENATE("R6C",'Mapa final'!$Q$32),"")</f>
        <v/>
      </c>
      <c r="AL11" s="26" t="str">
        <f>IF(AND('Mapa final'!$AA$33="Muy Alta",'Mapa final'!$AC$33="Catastrófico"),CONCATENATE("R6C",'Mapa final'!$Q$33),"")</f>
        <v/>
      </c>
      <c r="AM11" s="27" t="str">
        <f>IF(AND('Mapa final'!$AA$34="Muy Alta",'Mapa final'!$AC$34="Catastrófico"),CONCATENATE("R6C",'Mapa final'!$Q$34),"")</f>
        <v/>
      </c>
      <c r="AN11" s="54"/>
      <c r="AO11" s="400"/>
      <c r="AP11" s="401"/>
      <c r="AQ11" s="401"/>
      <c r="AR11" s="401"/>
      <c r="AS11" s="401"/>
      <c r="AT11" s="402"/>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row>
    <row r="12" spans="1:91" ht="15" customHeight="1" x14ac:dyDescent="0.3">
      <c r="A12" s="54"/>
      <c r="B12" s="292"/>
      <c r="C12" s="292"/>
      <c r="D12" s="293"/>
      <c r="E12" s="393"/>
      <c r="F12" s="394"/>
      <c r="G12" s="394"/>
      <c r="H12" s="394"/>
      <c r="I12" s="409"/>
      <c r="J12" s="22" t="str">
        <f>IF(AND('Mapa final'!$AA$35="Muy Alta",'Mapa final'!$AC$35="Leve"),CONCATENATE("R7C",'Mapa final'!$Q$35),"")</f>
        <v/>
      </c>
      <c r="K12" s="23" t="str">
        <f>IF(AND('Mapa final'!$AA$36="Muy Alta",'Mapa final'!$AC$36="Leve"),CONCATENATE("R7C",'Mapa final'!$Q$36),"")</f>
        <v/>
      </c>
      <c r="L12" s="28" t="str">
        <f>IF(AND('Mapa final'!$AA$37="Muy Alta",'Mapa final'!$AC$37="Leve"),CONCATENATE("R7C",'Mapa final'!$Q$37),"")</f>
        <v/>
      </c>
      <c r="M12" s="28" t="str">
        <f>IF(AND('Mapa final'!$AA$38="Muy Alta",'Mapa final'!$AC$38="Leve"),CONCATENATE("R7C",'Mapa final'!$Q$38),"")</f>
        <v/>
      </c>
      <c r="N12" s="28" t="str">
        <f>IF(AND('Mapa final'!$AA$39="Muy Alta",'Mapa final'!$AC$39="Leve"),CONCATENATE("R7C",'Mapa final'!$Q$39),"")</f>
        <v/>
      </c>
      <c r="O12" s="24" t="str">
        <f>IF(AND('Mapa final'!$AA$40="Muy Alta",'Mapa final'!$AC$40="Leve"),CONCATENATE("R7C",'Mapa final'!$Q$40),"")</f>
        <v/>
      </c>
      <c r="P12" s="22" t="str">
        <f>IF(AND('Mapa final'!$AA$35="Muy Alta",'Mapa final'!$AC$35="Menor"),CONCATENATE("R7C",'Mapa final'!$Q$35),"")</f>
        <v/>
      </c>
      <c r="Q12" s="23" t="str">
        <f>IF(AND('Mapa final'!$AA$36="Muy Alta",'Mapa final'!$AC$36="Menor"),CONCATENATE("R7C",'Mapa final'!$Q$36),"")</f>
        <v/>
      </c>
      <c r="R12" s="28" t="str">
        <f>IF(AND('Mapa final'!$AA$37="Muy Alta",'Mapa final'!$AC$37="Menor"),CONCATENATE("R7C",'Mapa final'!$Q$37),"")</f>
        <v/>
      </c>
      <c r="S12" s="28" t="str">
        <f>IF(AND('Mapa final'!$AA$38="Muy Alta",'Mapa final'!$AC$38="Menor"),CONCATENATE("R7C",'Mapa final'!$Q$38),"")</f>
        <v/>
      </c>
      <c r="T12" s="28" t="str">
        <f>IF(AND('Mapa final'!$AA$39="Muy Alta",'Mapa final'!$AC$39="Menor"),CONCATENATE("R7C",'Mapa final'!$Q$39),"")</f>
        <v/>
      </c>
      <c r="U12" s="24" t="str">
        <f>IF(AND('Mapa final'!$AA$40="Muy Alta",'Mapa final'!$AC$40="Menor"),CONCATENATE("R7C",'Mapa final'!$Q$40),"")</f>
        <v/>
      </c>
      <c r="V12" s="22" t="str">
        <f>IF(AND('Mapa final'!$AA$35="Muy Alta",'Mapa final'!$AC$35="Moderado"),CONCATENATE("R7C",'Mapa final'!$Q$35),"")</f>
        <v/>
      </c>
      <c r="W12" s="23" t="str">
        <f>IF(AND('Mapa final'!$AA$36="Muy Alta",'Mapa final'!$AC$36="Moderado"),CONCATENATE("R7C",'Mapa final'!$Q$36),"")</f>
        <v/>
      </c>
      <c r="X12" s="28" t="str">
        <f>IF(AND('Mapa final'!$AA$37="Muy Alta",'Mapa final'!$AC$37="Moderado"),CONCATENATE("R7C",'Mapa final'!$Q$37),"")</f>
        <v/>
      </c>
      <c r="Y12" s="28" t="str">
        <f>IF(AND('Mapa final'!$AA$38="Muy Alta",'Mapa final'!$AC$38="Moderado"),CONCATENATE("R7C",'Mapa final'!$Q$38),"")</f>
        <v/>
      </c>
      <c r="Z12" s="28" t="str">
        <f>IF(AND('Mapa final'!$AA$39="Muy Alta",'Mapa final'!$AC$39="Moderado"),CONCATENATE("R7C",'Mapa final'!$Q$39),"")</f>
        <v/>
      </c>
      <c r="AA12" s="24" t="str">
        <f>IF(AND('Mapa final'!$AA$40="Muy Alta",'Mapa final'!$AC$40="Moderado"),CONCATENATE("R7C",'Mapa final'!$Q$40),"")</f>
        <v/>
      </c>
      <c r="AB12" s="22" t="str">
        <f>IF(AND('Mapa final'!$AA$35="Muy Alta",'Mapa final'!$AC$35="Mayor"),CONCATENATE("R7C",'Mapa final'!$Q$35),"")</f>
        <v/>
      </c>
      <c r="AC12" s="23" t="str">
        <f>IF(AND('Mapa final'!$AA$36="Muy Alta",'Mapa final'!$AC$36="Mayor"),CONCATENATE("R7C",'Mapa final'!$Q$36),"")</f>
        <v/>
      </c>
      <c r="AD12" s="28" t="str">
        <f>IF(AND('Mapa final'!$AA$37="Muy Alta",'Mapa final'!$AC$37="Mayor"),CONCATENATE("R7C",'Mapa final'!$Q$37),"")</f>
        <v/>
      </c>
      <c r="AE12" s="28" t="str">
        <f>IF(AND('Mapa final'!$AA$38="Muy Alta",'Mapa final'!$AC$38="Mayor"),CONCATENATE("R7C",'Mapa final'!$Q$38),"")</f>
        <v/>
      </c>
      <c r="AF12" s="28" t="str">
        <f>IF(AND('Mapa final'!$AA$39="Muy Alta",'Mapa final'!$AC$39="Mayor"),CONCATENATE("R7C",'Mapa final'!$Q$39),"")</f>
        <v/>
      </c>
      <c r="AG12" s="24" t="str">
        <f>IF(AND('Mapa final'!$AA$40="Muy Alta",'Mapa final'!$AC$40="Mayor"),CONCATENATE("R7C",'Mapa final'!$Q$40),"")</f>
        <v/>
      </c>
      <c r="AH12" s="25" t="str">
        <f>IF(AND('Mapa final'!$AA$35="Muy Alta",'Mapa final'!$AC$35="Catastrófico"),CONCATENATE("R7C",'Mapa final'!$Q$35),"")</f>
        <v/>
      </c>
      <c r="AI12" s="26" t="str">
        <f>IF(AND('Mapa final'!$AA$36="Muy Alta",'Mapa final'!$AC$36="Catastrófico"),CONCATENATE("R7C",'Mapa final'!$Q$36),"")</f>
        <v/>
      </c>
      <c r="AJ12" s="26" t="str">
        <f>IF(AND('Mapa final'!$AA$37="Muy Alta",'Mapa final'!$AC$37="Catastrófico"),CONCATENATE("R7C",'Mapa final'!$Q$37),"")</f>
        <v/>
      </c>
      <c r="AK12" s="26" t="str">
        <f>IF(AND('Mapa final'!$AA$38="Muy Alta",'Mapa final'!$AC$38="Catastrófico"),CONCATENATE("R7C",'Mapa final'!$Q$38),"")</f>
        <v/>
      </c>
      <c r="AL12" s="26" t="str">
        <f>IF(AND('Mapa final'!$AA$39="Muy Alta",'Mapa final'!$AC$39="Catastrófico"),CONCATENATE("R7C",'Mapa final'!$Q$39),"")</f>
        <v/>
      </c>
      <c r="AM12" s="27" t="str">
        <f>IF(AND('Mapa final'!$AA$40="Muy Alta",'Mapa final'!$AC$40="Catastrófico"),CONCATENATE("R7C",'Mapa final'!$Q$40),"")</f>
        <v/>
      </c>
      <c r="AN12" s="54"/>
      <c r="AO12" s="400"/>
      <c r="AP12" s="401"/>
      <c r="AQ12" s="401"/>
      <c r="AR12" s="401"/>
      <c r="AS12" s="401"/>
      <c r="AT12" s="402"/>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row>
    <row r="13" spans="1:91" ht="15" customHeight="1" x14ac:dyDescent="0.3">
      <c r="A13" s="54"/>
      <c r="B13" s="292"/>
      <c r="C13" s="292"/>
      <c r="D13" s="293"/>
      <c r="E13" s="393"/>
      <c r="F13" s="394"/>
      <c r="G13" s="394"/>
      <c r="H13" s="394"/>
      <c r="I13" s="409"/>
      <c r="J13" s="22" t="str">
        <f>IF(AND('Mapa final'!$AA$41="Muy Alta",'Mapa final'!$AC$41="Leve"),CONCATENATE("R8C",'Mapa final'!$Q$41),"")</f>
        <v/>
      </c>
      <c r="K13" s="23" t="str">
        <f>IF(AND('Mapa final'!$AA$42="Muy Alta",'Mapa final'!$AC$42="Leve"),CONCATENATE("R8C",'Mapa final'!$Q$42),"")</f>
        <v/>
      </c>
      <c r="L13" s="28" t="str">
        <f>IF(AND('Mapa final'!$AA$43="Muy Alta",'Mapa final'!$AC$43="Leve"),CONCATENATE("R8C",'Mapa final'!$Q$43),"")</f>
        <v/>
      </c>
      <c r="M13" s="28" t="str">
        <f>IF(AND('Mapa final'!$AA$44="Muy Alta",'Mapa final'!$AC$44="Leve"),CONCATENATE("R8C",'Mapa final'!$Q$44),"")</f>
        <v/>
      </c>
      <c r="N13" s="28" t="str">
        <f>IF(AND('Mapa final'!$AA$45="Muy Alta",'Mapa final'!$AC$45="Leve"),CONCATENATE("R8C",'Mapa final'!$Q$45),"")</f>
        <v/>
      </c>
      <c r="O13" s="24" t="str">
        <f>IF(AND('Mapa final'!$AA$46="Muy Alta",'Mapa final'!$AC$46="Leve"),CONCATENATE("R8C",'Mapa final'!$Q$46),"")</f>
        <v/>
      </c>
      <c r="P13" s="22" t="str">
        <f>IF(AND('Mapa final'!$AA$41="Muy Alta",'Mapa final'!$AC$41="Menor"),CONCATENATE("R8C",'Mapa final'!$Q$41),"")</f>
        <v/>
      </c>
      <c r="Q13" s="23" t="str">
        <f>IF(AND('Mapa final'!$AA$42="Muy Alta",'Mapa final'!$AC$42="Menor"),CONCATENATE("R8C",'Mapa final'!$Q$42),"")</f>
        <v/>
      </c>
      <c r="R13" s="28" t="str">
        <f>IF(AND('Mapa final'!$AA$43="Muy Alta",'Mapa final'!$AC$43="Menor"),CONCATENATE("R8C",'Mapa final'!$Q$43),"")</f>
        <v/>
      </c>
      <c r="S13" s="28" t="str">
        <f>IF(AND('Mapa final'!$AA$44="Muy Alta",'Mapa final'!$AC$44="Menor"),CONCATENATE("R8C",'Mapa final'!$Q$44),"")</f>
        <v/>
      </c>
      <c r="T13" s="28" t="str">
        <f>IF(AND('Mapa final'!$AA$45="Muy Alta",'Mapa final'!$AC$45="Menor"),CONCATENATE("R8C",'Mapa final'!$Q$45),"")</f>
        <v/>
      </c>
      <c r="U13" s="24" t="str">
        <f>IF(AND('Mapa final'!$AA$46="Muy Alta",'Mapa final'!$AC$46="Menor"),CONCATENATE("R8C",'Mapa final'!$Q$46),"")</f>
        <v/>
      </c>
      <c r="V13" s="22" t="str">
        <f>IF(AND('Mapa final'!$AA$41="Muy Alta",'Mapa final'!$AC$41="Moderado"),CONCATENATE("R8C",'Mapa final'!$Q$41),"")</f>
        <v/>
      </c>
      <c r="W13" s="23" t="str">
        <f>IF(AND('Mapa final'!$AA$42="Muy Alta",'Mapa final'!$AC$42="Moderado"),CONCATENATE("R8C",'Mapa final'!$Q$42),"")</f>
        <v/>
      </c>
      <c r="X13" s="28" t="str">
        <f>IF(AND('Mapa final'!$AA$43="Muy Alta",'Mapa final'!$AC$43="Moderado"),CONCATENATE("R8C",'Mapa final'!$Q$43),"")</f>
        <v/>
      </c>
      <c r="Y13" s="28" t="str">
        <f>IF(AND('Mapa final'!$AA$44="Muy Alta",'Mapa final'!$AC$44="Moderado"),CONCATENATE("R8C",'Mapa final'!$Q$44),"")</f>
        <v/>
      </c>
      <c r="Z13" s="28" t="str">
        <f>IF(AND('Mapa final'!$AA$45="Muy Alta",'Mapa final'!$AC$45="Moderado"),CONCATENATE("R8C",'Mapa final'!$Q$45),"")</f>
        <v/>
      </c>
      <c r="AA13" s="24" t="str">
        <f>IF(AND('Mapa final'!$AA$46="Muy Alta",'Mapa final'!$AC$46="Moderado"),CONCATENATE("R8C",'Mapa final'!$Q$46),"")</f>
        <v/>
      </c>
      <c r="AB13" s="22" t="str">
        <f>IF(AND('Mapa final'!$AA$41="Muy Alta",'Mapa final'!$AC$41="Mayor"),CONCATENATE("R8C",'Mapa final'!$Q$41),"")</f>
        <v/>
      </c>
      <c r="AC13" s="23" t="str">
        <f>IF(AND('Mapa final'!$AA$42="Muy Alta",'Mapa final'!$AC$42="Mayor"),CONCATENATE("R8C",'Mapa final'!$Q$42),"")</f>
        <v/>
      </c>
      <c r="AD13" s="28" t="str">
        <f>IF(AND('Mapa final'!$AA$43="Muy Alta",'Mapa final'!$AC$43="Mayor"),CONCATENATE("R8C",'Mapa final'!$Q$43),"")</f>
        <v/>
      </c>
      <c r="AE13" s="28" t="str">
        <f>IF(AND('Mapa final'!$AA$44="Muy Alta",'Mapa final'!$AC$44="Mayor"),CONCATENATE("R8C",'Mapa final'!$Q$44),"")</f>
        <v/>
      </c>
      <c r="AF13" s="28" t="str">
        <f>IF(AND('Mapa final'!$AA$45="Muy Alta",'Mapa final'!$AC$45="Mayor"),CONCATENATE("R8C",'Mapa final'!$Q$45),"")</f>
        <v/>
      </c>
      <c r="AG13" s="24" t="str">
        <f>IF(AND('Mapa final'!$AA$46="Muy Alta",'Mapa final'!$AC$46="Mayor"),CONCATENATE("R8C",'Mapa final'!$Q$46),"")</f>
        <v/>
      </c>
      <c r="AH13" s="25" t="str">
        <f>IF(AND('Mapa final'!$AA$41="Muy Alta",'Mapa final'!$AC$41="Catastrófico"),CONCATENATE("R8C",'Mapa final'!$Q$41),"")</f>
        <v/>
      </c>
      <c r="AI13" s="26" t="str">
        <f>IF(AND('Mapa final'!$AA$42="Muy Alta",'Mapa final'!$AC$42="Catastrófico"),CONCATENATE("R8C",'Mapa final'!$Q$42),"")</f>
        <v/>
      </c>
      <c r="AJ13" s="26" t="str">
        <f>IF(AND('Mapa final'!$AA$43="Muy Alta",'Mapa final'!$AC$43="Catastrófico"),CONCATENATE("R8C",'Mapa final'!$Q$43),"")</f>
        <v/>
      </c>
      <c r="AK13" s="26" t="str">
        <f>IF(AND('Mapa final'!$AA$44="Muy Alta",'Mapa final'!$AC$44="Catastrófico"),CONCATENATE("R8C",'Mapa final'!$Q$44),"")</f>
        <v/>
      </c>
      <c r="AL13" s="26" t="str">
        <f>IF(AND('Mapa final'!$AA$45="Muy Alta",'Mapa final'!$AC$45="Catastrófico"),CONCATENATE("R8C",'Mapa final'!$Q$45),"")</f>
        <v/>
      </c>
      <c r="AM13" s="27" t="str">
        <f>IF(AND('Mapa final'!$AA$46="Muy Alta",'Mapa final'!$AC$46="Catastrófico"),CONCATENATE("R8C",'Mapa final'!$Q$46),"")</f>
        <v/>
      </c>
      <c r="AN13" s="54"/>
      <c r="AO13" s="400"/>
      <c r="AP13" s="401"/>
      <c r="AQ13" s="401"/>
      <c r="AR13" s="401"/>
      <c r="AS13" s="401"/>
      <c r="AT13" s="402"/>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row>
    <row r="14" spans="1:91" ht="15" customHeight="1" x14ac:dyDescent="0.3">
      <c r="A14" s="54"/>
      <c r="B14" s="292"/>
      <c r="C14" s="292"/>
      <c r="D14" s="293"/>
      <c r="E14" s="393"/>
      <c r="F14" s="394"/>
      <c r="G14" s="394"/>
      <c r="H14" s="394"/>
      <c r="I14" s="409"/>
      <c r="J14" s="22" t="str">
        <f>IF(AND('Mapa final'!$AA$47="Muy Alta",'Mapa final'!$AC$47="Leve"),CONCATENATE("R9C",'Mapa final'!$Q$47),"")</f>
        <v/>
      </c>
      <c r="K14" s="23" t="str">
        <f>IF(AND('Mapa final'!$AA$48="Muy Alta",'Mapa final'!$AC$48="Leve"),CONCATENATE("R9C",'Mapa final'!$Q$48),"")</f>
        <v/>
      </c>
      <c r="L14" s="28" t="str">
        <f>IF(AND('Mapa final'!$AA$49="Muy Alta",'Mapa final'!$AC$49="Leve"),CONCATENATE("R9C",'Mapa final'!$Q$49),"")</f>
        <v/>
      </c>
      <c r="M14" s="28" t="str">
        <f>IF(AND('Mapa final'!$AA$50="Muy Alta",'Mapa final'!$AC$50="Leve"),CONCATENATE("R9C",'Mapa final'!$Q$50),"")</f>
        <v/>
      </c>
      <c r="N14" s="28" t="str">
        <f>IF(AND('Mapa final'!$AA$51="Muy Alta",'Mapa final'!$AC$51="Leve"),CONCATENATE("R9C",'Mapa final'!$Q$51),"")</f>
        <v/>
      </c>
      <c r="O14" s="24" t="str">
        <f>IF(AND('Mapa final'!$AA$52="Muy Alta",'Mapa final'!$AC$52="Leve"),CONCATENATE("R9C",'Mapa final'!$Q$52),"")</f>
        <v/>
      </c>
      <c r="P14" s="22" t="str">
        <f>IF(AND('Mapa final'!$AA$47="Muy Alta",'Mapa final'!$AC$47="Menor"),CONCATENATE("R9C",'Mapa final'!$Q$47),"")</f>
        <v/>
      </c>
      <c r="Q14" s="23" t="str">
        <f>IF(AND('Mapa final'!$AA$48="Muy Alta",'Mapa final'!$AC$48="Menor"),CONCATENATE("R9C",'Mapa final'!$Q$48),"")</f>
        <v/>
      </c>
      <c r="R14" s="28" t="str">
        <f>IF(AND('Mapa final'!$AA$49="Muy Alta",'Mapa final'!$AC$49="Menor"),CONCATENATE("R9C",'Mapa final'!$Q$49),"")</f>
        <v/>
      </c>
      <c r="S14" s="28" t="str">
        <f>IF(AND('Mapa final'!$AA$50="Muy Alta",'Mapa final'!$AC$50="Menor"),CONCATENATE("R9C",'Mapa final'!$Q$50),"")</f>
        <v/>
      </c>
      <c r="T14" s="28" t="str">
        <f>IF(AND('Mapa final'!$AA$51="Muy Alta",'Mapa final'!$AC$51="Menor"),CONCATENATE("R9C",'Mapa final'!$Q$51),"")</f>
        <v/>
      </c>
      <c r="U14" s="24" t="str">
        <f>IF(AND('Mapa final'!$AA$52="Muy Alta",'Mapa final'!$AC$52="Menor"),CONCATENATE("R9C",'Mapa final'!$Q$52),"")</f>
        <v/>
      </c>
      <c r="V14" s="22" t="str">
        <f>IF(AND('Mapa final'!$AA$47="Muy Alta",'Mapa final'!$AC$47="Moderado"),CONCATENATE("R9C",'Mapa final'!$Q$47),"")</f>
        <v/>
      </c>
      <c r="W14" s="23" t="str">
        <f>IF(AND('Mapa final'!$AA$48="Muy Alta",'Mapa final'!$AC$48="Moderado"),CONCATENATE("R9C",'Mapa final'!$Q$48),"")</f>
        <v/>
      </c>
      <c r="X14" s="28" t="str">
        <f>IF(AND('Mapa final'!$AA$49="Muy Alta",'Mapa final'!$AC$49="Moderado"),CONCATENATE("R9C",'Mapa final'!$Q$49),"")</f>
        <v/>
      </c>
      <c r="Y14" s="28" t="str">
        <f>IF(AND('Mapa final'!$AA$50="Muy Alta",'Mapa final'!$AC$50="Moderado"),CONCATENATE("R9C",'Mapa final'!$Q$50),"")</f>
        <v/>
      </c>
      <c r="Z14" s="28" t="str">
        <f>IF(AND('Mapa final'!$AA$51="Muy Alta",'Mapa final'!$AC$51="Moderado"),CONCATENATE("R9C",'Mapa final'!$Q$51),"")</f>
        <v/>
      </c>
      <c r="AA14" s="24" t="str">
        <f>IF(AND('Mapa final'!$AA$52="Muy Alta",'Mapa final'!$AC$52="Moderado"),CONCATENATE("R9C",'Mapa final'!$Q$52),"")</f>
        <v/>
      </c>
      <c r="AB14" s="22" t="str">
        <f>IF(AND('Mapa final'!$AA$47="Muy Alta",'Mapa final'!$AC$47="Mayor"),CONCATENATE("R9C",'Mapa final'!$Q$47),"")</f>
        <v/>
      </c>
      <c r="AC14" s="23" t="str">
        <f>IF(AND('Mapa final'!$AA$48="Muy Alta",'Mapa final'!$AC$48="Mayor"),CONCATENATE("R9C",'Mapa final'!$Q$48),"")</f>
        <v/>
      </c>
      <c r="AD14" s="28" t="str">
        <f>IF(AND('Mapa final'!$AA$49="Muy Alta",'Mapa final'!$AC$49="Mayor"),CONCATENATE("R9C",'Mapa final'!$Q$49),"")</f>
        <v/>
      </c>
      <c r="AE14" s="28" t="str">
        <f>IF(AND('Mapa final'!$AA$50="Muy Alta",'Mapa final'!$AC$50="Mayor"),CONCATENATE("R9C",'Mapa final'!$Q$50),"")</f>
        <v/>
      </c>
      <c r="AF14" s="28" t="str">
        <f>IF(AND('Mapa final'!$AA$51="Muy Alta",'Mapa final'!$AC$51="Mayor"),CONCATENATE("R9C",'Mapa final'!$Q$51),"")</f>
        <v/>
      </c>
      <c r="AG14" s="24" t="str">
        <f>IF(AND('Mapa final'!$AA$52="Muy Alta",'Mapa final'!$AC$52="Mayor"),CONCATENATE("R9C",'Mapa final'!$Q$52),"")</f>
        <v/>
      </c>
      <c r="AH14" s="25" t="str">
        <f>IF(AND('Mapa final'!$AA$47="Muy Alta",'Mapa final'!$AC$47="Catastrófico"),CONCATENATE("R9C",'Mapa final'!$Q$47),"")</f>
        <v/>
      </c>
      <c r="AI14" s="26" t="str">
        <f>IF(AND('Mapa final'!$AA$48="Muy Alta",'Mapa final'!$AC$48="Catastrófico"),CONCATENATE("R9C",'Mapa final'!$Q$48),"")</f>
        <v/>
      </c>
      <c r="AJ14" s="26" t="str">
        <f>IF(AND('Mapa final'!$AA$49="Muy Alta",'Mapa final'!$AC$49="Catastrófico"),CONCATENATE("R9C",'Mapa final'!$Q$49),"")</f>
        <v/>
      </c>
      <c r="AK14" s="26" t="str">
        <f>IF(AND('Mapa final'!$AA$50="Muy Alta",'Mapa final'!$AC$50="Catastrófico"),CONCATENATE("R9C",'Mapa final'!$Q$50),"")</f>
        <v/>
      </c>
      <c r="AL14" s="26" t="str">
        <f>IF(AND('Mapa final'!$AA$51="Muy Alta",'Mapa final'!$AC$51="Catastrófico"),CONCATENATE("R9C",'Mapa final'!$Q$51),"")</f>
        <v/>
      </c>
      <c r="AM14" s="27" t="str">
        <f>IF(AND('Mapa final'!$AA$52="Muy Alta",'Mapa final'!$AC$52="Catastrófico"),CONCATENATE("R9C",'Mapa final'!$Q$52),"")</f>
        <v/>
      </c>
      <c r="AN14" s="54"/>
      <c r="AO14" s="400"/>
      <c r="AP14" s="401"/>
      <c r="AQ14" s="401"/>
      <c r="AR14" s="401"/>
      <c r="AS14" s="401"/>
      <c r="AT14" s="402"/>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row>
    <row r="15" spans="1:91" ht="15.75" customHeight="1" thickBot="1" x14ac:dyDescent="0.35">
      <c r="A15" s="54"/>
      <c r="B15" s="292"/>
      <c r="C15" s="292"/>
      <c r="D15" s="293"/>
      <c r="E15" s="395"/>
      <c r="F15" s="396"/>
      <c r="G15" s="396"/>
      <c r="H15" s="396"/>
      <c r="I15" s="410"/>
      <c r="J15" s="29" t="str">
        <f>IF(AND('Mapa final'!$AA$53="Muy Alta",'Mapa final'!$AC$53="Leve"),CONCATENATE("R10C",'Mapa final'!$Q$53),"")</f>
        <v/>
      </c>
      <c r="K15" s="30" t="str">
        <f>IF(AND('Mapa final'!$AA$54="Muy Alta",'Mapa final'!$AC$54="Leve"),CONCATENATE("R10C",'Mapa final'!$Q$54),"")</f>
        <v/>
      </c>
      <c r="L15" s="30" t="str">
        <f>IF(AND('Mapa final'!$AA$55="Muy Alta",'Mapa final'!$AC$55="Leve"),CONCATENATE("R10C",'Mapa final'!$Q$55),"")</f>
        <v/>
      </c>
      <c r="M15" s="30" t="str">
        <f>IF(AND('Mapa final'!$AA$56="Muy Alta",'Mapa final'!$AC$56="Leve"),CONCATENATE("R10C",'Mapa final'!$Q$56),"")</f>
        <v/>
      </c>
      <c r="N15" s="30" t="str">
        <f>IF(AND('Mapa final'!$AA$57="Muy Alta",'Mapa final'!$AC$57="Leve"),CONCATENATE("R10C",'Mapa final'!$Q$57),"")</f>
        <v/>
      </c>
      <c r="O15" s="31" t="str">
        <f>IF(AND('Mapa final'!$AA$58="Muy Alta",'Mapa final'!$AC$58="Leve"),CONCATENATE("R10C",'Mapa final'!$Q$58),"")</f>
        <v/>
      </c>
      <c r="P15" s="22" t="str">
        <f>IF(AND('Mapa final'!$AA$53="Muy Alta",'Mapa final'!$AC$53="Menor"),CONCATENATE("R10C",'Mapa final'!$Q$53),"")</f>
        <v/>
      </c>
      <c r="Q15" s="23" t="str">
        <f>IF(AND('Mapa final'!$AA$54="Muy Alta",'Mapa final'!$AC$54="Menor"),CONCATENATE("R10C",'Mapa final'!$Q$54),"")</f>
        <v/>
      </c>
      <c r="R15" s="23" t="str">
        <f>IF(AND('Mapa final'!$AA$55="Muy Alta",'Mapa final'!$AC$55="Menor"),CONCATENATE("R10C",'Mapa final'!$Q$55),"")</f>
        <v/>
      </c>
      <c r="S15" s="23" t="str">
        <f>IF(AND('Mapa final'!$AA$56="Muy Alta",'Mapa final'!$AC$56="Menor"),CONCATENATE("R10C",'Mapa final'!$Q$56),"")</f>
        <v/>
      </c>
      <c r="T15" s="23" t="str">
        <f>IF(AND('Mapa final'!$AA$57="Muy Alta",'Mapa final'!$AC$57="Menor"),CONCATENATE("R10C",'Mapa final'!$Q$57),"")</f>
        <v/>
      </c>
      <c r="U15" s="24" t="str">
        <f>IF(AND('Mapa final'!$AA$58="Muy Alta",'Mapa final'!$AC$58="Menor"),CONCATENATE("R10C",'Mapa final'!$Q$58),"")</f>
        <v/>
      </c>
      <c r="V15" s="29" t="str">
        <f>IF(AND('Mapa final'!$AA$53="Muy Alta",'Mapa final'!$AC$53="Moderado"),CONCATENATE("R10C",'Mapa final'!$Q$53),"")</f>
        <v/>
      </c>
      <c r="W15" s="30" t="str">
        <f>IF(AND('Mapa final'!$AA$54="Muy Alta",'Mapa final'!$AC$54="Moderado"),CONCATENATE("R10C",'Mapa final'!$Q$54),"")</f>
        <v/>
      </c>
      <c r="X15" s="30" t="str">
        <f>IF(AND('Mapa final'!$AA$55="Muy Alta",'Mapa final'!$AC$55="Moderado"),CONCATENATE("R10C",'Mapa final'!$Q$55),"")</f>
        <v/>
      </c>
      <c r="Y15" s="30" t="str">
        <f>IF(AND('Mapa final'!$AA$56="Muy Alta",'Mapa final'!$AC$56="Moderado"),CONCATENATE("R10C",'Mapa final'!$Q$56),"")</f>
        <v/>
      </c>
      <c r="Z15" s="30" t="str">
        <f>IF(AND('Mapa final'!$AA$57="Muy Alta",'Mapa final'!$AC$57="Moderado"),CONCATENATE("R10C",'Mapa final'!$Q$57),"")</f>
        <v/>
      </c>
      <c r="AA15" s="31" t="str">
        <f>IF(AND('Mapa final'!$AA$58="Muy Alta",'Mapa final'!$AC$58="Moderado"),CONCATENATE("R10C",'Mapa final'!$Q$58),"")</f>
        <v/>
      </c>
      <c r="AB15" s="22" t="str">
        <f>IF(AND('Mapa final'!$AA$53="Muy Alta",'Mapa final'!$AC$53="Mayor"),CONCATENATE("R10C",'Mapa final'!$Q$53),"")</f>
        <v/>
      </c>
      <c r="AC15" s="23" t="str">
        <f>IF(AND('Mapa final'!$AA$54="Muy Alta",'Mapa final'!$AC$54="Mayor"),CONCATENATE("R10C",'Mapa final'!$Q$54),"")</f>
        <v/>
      </c>
      <c r="AD15" s="23" t="str">
        <f>IF(AND('Mapa final'!$AA$55="Muy Alta",'Mapa final'!$AC$55="Mayor"),CONCATENATE("R10C",'Mapa final'!$Q$55),"")</f>
        <v/>
      </c>
      <c r="AE15" s="23" t="str">
        <f>IF(AND('Mapa final'!$AA$56="Muy Alta",'Mapa final'!$AC$56="Mayor"),CONCATENATE("R10C",'Mapa final'!$Q$56),"")</f>
        <v/>
      </c>
      <c r="AF15" s="23" t="str">
        <f>IF(AND('Mapa final'!$AA$57="Muy Alta",'Mapa final'!$AC$57="Mayor"),CONCATENATE("R10C",'Mapa final'!$Q$57),"")</f>
        <v/>
      </c>
      <c r="AG15" s="24" t="str">
        <f>IF(AND('Mapa final'!$AA$58="Muy Alta",'Mapa final'!$AC$58="Mayor"),CONCATENATE("R10C",'Mapa final'!$Q$58),"")</f>
        <v/>
      </c>
      <c r="AH15" s="32" t="str">
        <f>IF(AND('Mapa final'!$AA$53="Muy Alta",'Mapa final'!$AC$53="Catastrófico"),CONCATENATE("R10C",'Mapa final'!$Q$53),"")</f>
        <v/>
      </c>
      <c r="AI15" s="33" t="str">
        <f>IF(AND('Mapa final'!$AA$54="Muy Alta",'Mapa final'!$AC$54="Catastrófico"),CONCATENATE("R10C",'Mapa final'!$Q$54),"")</f>
        <v/>
      </c>
      <c r="AJ15" s="33" t="str">
        <f>IF(AND('Mapa final'!$AA$55="Muy Alta",'Mapa final'!$AC$55="Catastrófico"),CONCATENATE("R10C",'Mapa final'!$Q$55),"")</f>
        <v/>
      </c>
      <c r="AK15" s="33" t="str">
        <f>IF(AND('Mapa final'!$AA$56="Muy Alta",'Mapa final'!$AC$56="Catastrófico"),CONCATENATE("R10C",'Mapa final'!$Q$56),"")</f>
        <v/>
      </c>
      <c r="AL15" s="33" t="str">
        <f>IF(AND('Mapa final'!$AA$57="Muy Alta",'Mapa final'!$AC$57="Catastrófico"),CONCATENATE("R10C",'Mapa final'!$Q$57),"")</f>
        <v/>
      </c>
      <c r="AM15" s="34" t="str">
        <f>IF(AND('Mapa final'!$AA$58="Muy Alta",'Mapa final'!$AC$58="Catastrófico"),CONCATENATE("R10C",'Mapa final'!$Q$58),"")</f>
        <v/>
      </c>
      <c r="AN15" s="54"/>
      <c r="AO15" s="403"/>
      <c r="AP15" s="404"/>
      <c r="AQ15" s="404"/>
      <c r="AR15" s="404"/>
      <c r="AS15" s="404"/>
      <c r="AT15" s="405"/>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row>
    <row r="16" spans="1:91" ht="15" customHeight="1" x14ac:dyDescent="0.3">
      <c r="A16" s="54"/>
      <c r="B16" s="292"/>
      <c r="C16" s="292"/>
      <c r="D16" s="293"/>
      <c r="E16" s="389" t="s">
        <v>110</v>
      </c>
      <c r="F16" s="390"/>
      <c r="G16" s="390"/>
      <c r="H16" s="390"/>
      <c r="I16" s="390"/>
      <c r="J16" s="35" t="str">
        <f ca="1">IF(AND('Mapa final'!$AA$10="Alta",'Mapa final'!$AC$10="Leve"),CONCATENATE("R1C",'Mapa final'!$Q$10),"")</f>
        <v/>
      </c>
      <c r="K16" s="36" t="str">
        <f ca="1">IF(AND('Mapa final'!$AA$11="Alta",'Mapa final'!$AC$11="Leve"),CONCATENATE("R1C",'Mapa final'!$Q$11),"")</f>
        <v/>
      </c>
      <c r="L16" s="36" t="str">
        <f ca="1">IF(AND('Mapa final'!$AA$12="Alta",'Mapa final'!$AC$12="Leve"),CONCATENATE("R1C",'Mapa final'!$Q$12),"")</f>
        <v/>
      </c>
      <c r="M16" s="36" t="str">
        <f ca="1">IF(AND('Mapa final'!$AA$13="Alta",'Mapa final'!$AC$13="Leve"),CONCATENATE("R1C",'Mapa final'!$Q$13),"")</f>
        <v/>
      </c>
      <c r="N16" s="36" t="str">
        <f ca="1">IF(AND('Mapa final'!$AA$14="Alta",'Mapa final'!$AC$14="Leve"),CONCATENATE("R1C",'Mapa final'!$Q$14),"")</f>
        <v/>
      </c>
      <c r="O16" s="37" t="e">
        <f>IF(AND('Mapa final'!#REF!="Alta",'Mapa final'!#REF!="Leve"),CONCATENATE("R1C",'Mapa final'!#REF!),"")</f>
        <v>#REF!</v>
      </c>
      <c r="P16" s="35" t="str">
        <f ca="1">IF(AND('Mapa final'!$AA$10="Alta",'Mapa final'!$AC$10="Menor"),CONCATENATE("R1C",'Mapa final'!$Q$10),"")</f>
        <v/>
      </c>
      <c r="Q16" s="36" t="str">
        <f ca="1">IF(AND('Mapa final'!$AA$11="Alta",'Mapa final'!$AC$11="Menor"),CONCATENATE("R1C",'Mapa final'!$Q$11),"")</f>
        <v/>
      </c>
      <c r="R16" s="36" t="str">
        <f ca="1">IF(AND('Mapa final'!$AA$12="Alta",'Mapa final'!$AC$12="Menor"),CONCATENATE("R1C",'Mapa final'!$Q$12),"")</f>
        <v/>
      </c>
      <c r="S16" s="36" t="str">
        <f ca="1">IF(AND('Mapa final'!$AA$13="Alta",'Mapa final'!$AC$13="Menor"),CONCATENATE("R1C",'Mapa final'!$Q$13),"")</f>
        <v/>
      </c>
      <c r="T16" s="36" t="str">
        <f ca="1">IF(AND('Mapa final'!$AA$14="Alta",'Mapa final'!$AC$14="Menor"),CONCATENATE("R1C",'Mapa final'!$Q$14),"")</f>
        <v/>
      </c>
      <c r="U16" s="37" t="e">
        <f>IF(AND('Mapa final'!#REF!="Alta",'Mapa final'!#REF!="Menor"),CONCATENATE("R1C",'Mapa final'!#REF!),"")</f>
        <v>#REF!</v>
      </c>
      <c r="V16" s="16" t="str">
        <f ca="1">IF(AND('Mapa final'!$AA$10="Alta",'Mapa final'!$AC$10="Moderado"),CONCATENATE("R1C",'Mapa final'!$Q$10),"")</f>
        <v/>
      </c>
      <c r="W16" s="17" t="str">
        <f ca="1">IF(AND('Mapa final'!$AA$11="Alta",'Mapa final'!$AC$11="Moderado"),CONCATENATE("R1C",'Mapa final'!$Q$11),"")</f>
        <v/>
      </c>
      <c r="X16" s="17" t="str">
        <f ca="1">IF(AND('Mapa final'!$AA$12="Alta",'Mapa final'!$AC$12="Moderado"),CONCATENATE("R1C",'Mapa final'!$Q$12),"")</f>
        <v/>
      </c>
      <c r="Y16" s="17" t="str">
        <f ca="1">IF(AND('Mapa final'!$AA$13="Alta",'Mapa final'!$AC$13="Moderado"),CONCATENATE("R1C",'Mapa final'!$Q$13),"")</f>
        <v/>
      </c>
      <c r="Z16" s="17" t="str">
        <f ca="1">IF(AND('Mapa final'!$AA$14="Alta",'Mapa final'!$AC$14="Moderado"),CONCATENATE("R1C",'Mapa final'!$Q$14),"")</f>
        <v/>
      </c>
      <c r="AA16" s="18" t="e">
        <f>IF(AND('Mapa final'!#REF!="Alta",'Mapa final'!#REF!="Moderado"),CONCATENATE("R1C",'Mapa final'!#REF!),"")</f>
        <v>#REF!</v>
      </c>
      <c r="AB16" s="16" t="str">
        <f ca="1">IF(AND('Mapa final'!$AA$10="Alta",'Mapa final'!$AC$10="Mayor"),CONCATENATE("R1C",'Mapa final'!$Q$10),"")</f>
        <v/>
      </c>
      <c r="AC16" s="17" t="str">
        <f ca="1">IF(AND('Mapa final'!$AA$11="Alta",'Mapa final'!$AC$11="Mayor"),CONCATENATE("R1C",'Mapa final'!$Q$11),"")</f>
        <v/>
      </c>
      <c r="AD16" s="17" t="str">
        <f ca="1">IF(AND('Mapa final'!$AA$12="Alta",'Mapa final'!$AC$12="Mayor"),CONCATENATE("R1C",'Mapa final'!$Q$12),"")</f>
        <v/>
      </c>
      <c r="AE16" s="17" t="str">
        <f ca="1">IF(AND('Mapa final'!$AA$13="Alta",'Mapa final'!$AC$13="Mayor"),CONCATENATE("R1C",'Mapa final'!$Q$13),"")</f>
        <v/>
      </c>
      <c r="AF16" s="17" t="str">
        <f ca="1">IF(AND('Mapa final'!$AA$14="Alta",'Mapa final'!$AC$14="Mayor"),CONCATENATE("R1C",'Mapa final'!$Q$14),"")</f>
        <v/>
      </c>
      <c r="AG16" s="18" t="e">
        <f>IF(AND('Mapa final'!#REF!="Alta",'Mapa final'!#REF!="Mayor"),CONCATENATE("R1C",'Mapa final'!#REF!),"")</f>
        <v>#REF!</v>
      </c>
      <c r="AH16" s="19" t="str">
        <f ca="1">IF(AND('Mapa final'!$AA$10="Alta",'Mapa final'!$AC$10="Catastrófico"),CONCATENATE("R1C",'Mapa final'!$Q$10),"")</f>
        <v/>
      </c>
      <c r="AI16" s="20" t="str">
        <f ca="1">IF(AND('Mapa final'!$AA$11="Alta",'Mapa final'!$AC$11="Catastrófico"),CONCATENATE("R1C",'Mapa final'!$Q$11),"")</f>
        <v/>
      </c>
      <c r="AJ16" s="20" t="str">
        <f ca="1">IF(AND('Mapa final'!$AA$12="Alta",'Mapa final'!$AC$12="Catastrófico"),CONCATENATE("R1C",'Mapa final'!$Q$12),"")</f>
        <v/>
      </c>
      <c r="AK16" s="20" t="str">
        <f ca="1">IF(AND('Mapa final'!$AA$13="Alta",'Mapa final'!$AC$13="Catastrófico"),CONCATENATE("R1C",'Mapa final'!$Q$13),"")</f>
        <v/>
      </c>
      <c r="AL16" s="20" t="str">
        <f ca="1">IF(AND('Mapa final'!$AA$14="Alta",'Mapa final'!$AC$14="Catastrófico"),CONCATENATE("R1C",'Mapa final'!$Q$14),"")</f>
        <v/>
      </c>
      <c r="AM16" s="21" t="e">
        <f>IF(AND('Mapa final'!#REF!="Alta",'Mapa final'!#REF!="Catastrófico"),CONCATENATE("R1C",'Mapa final'!#REF!),"")</f>
        <v>#REF!</v>
      </c>
      <c r="AN16" s="54"/>
      <c r="AO16" s="380" t="s">
        <v>79</v>
      </c>
      <c r="AP16" s="381"/>
      <c r="AQ16" s="381"/>
      <c r="AR16" s="381"/>
      <c r="AS16" s="381"/>
      <c r="AT16" s="382"/>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row>
    <row r="17" spans="1:76" ht="15" customHeight="1" x14ac:dyDescent="0.3">
      <c r="A17" s="54"/>
      <c r="B17" s="292"/>
      <c r="C17" s="292"/>
      <c r="D17" s="293"/>
      <c r="E17" s="391"/>
      <c r="F17" s="392"/>
      <c r="G17" s="392"/>
      <c r="H17" s="392"/>
      <c r="I17" s="392"/>
      <c r="J17" s="38" t="str">
        <f ca="1">IF(AND('Mapa final'!$AA$15="Alta",'Mapa final'!$AC$15="Leve"),CONCATENATE("R2C",'Mapa final'!$Q$15),"")</f>
        <v/>
      </c>
      <c r="K17" s="39" t="str">
        <f ca="1">IF(AND('Mapa final'!$AA$16="Alta",'Mapa final'!$AC$16="Leve"),CONCATENATE("R2C",'Mapa final'!$Q$16),"")</f>
        <v/>
      </c>
      <c r="L17" s="39" t="e">
        <f>IF(AND('Mapa final'!#REF!="Alta",'Mapa final'!#REF!="Leve"),CONCATENATE("R2C",'Mapa final'!$Q$17),"")</f>
        <v>#REF!</v>
      </c>
      <c r="M17" s="39" t="e">
        <f>IF(AND('Mapa final'!#REF!="Alta",'Mapa final'!#REF!="Leve"),CONCATENATE("R2C",'Mapa final'!#REF!),"")</f>
        <v>#REF!</v>
      </c>
      <c r="N17" s="39" t="e">
        <f>IF(AND('Mapa final'!#REF!="Alta",'Mapa final'!#REF!="Leve"),CONCATENATE("R2C",'Mapa final'!#REF!),"")</f>
        <v>#REF!</v>
      </c>
      <c r="O17" s="40" t="e">
        <f>IF(AND('Mapa final'!#REF!="Alta",'Mapa final'!#REF!="Leve"),CONCATENATE("R2C",'Mapa final'!#REF!),"")</f>
        <v>#REF!</v>
      </c>
      <c r="P17" s="38" t="str">
        <f ca="1">IF(AND('Mapa final'!$AA$15="Alta",'Mapa final'!$AC$15="Menor"),CONCATENATE("R2C",'Mapa final'!$Q$15),"")</f>
        <v/>
      </c>
      <c r="Q17" s="39" t="str">
        <f ca="1">IF(AND('Mapa final'!$AA$16="Alta",'Mapa final'!$AC$16="Menor"),CONCATENATE("R2C",'Mapa final'!$Q$16),"")</f>
        <v/>
      </c>
      <c r="R17" s="39" t="e">
        <f>IF(AND('Mapa final'!#REF!="Alta",'Mapa final'!#REF!="Menor"),CONCATENATE("R2C",'Mapa final'!$Q$17),"")</f>
        <v>#REF!</v>
      </c>
      <c r="S17" s="39" t="e">
        <f>IF(AND('Mapa final'!#REF!="Alta",'Mapa final'!#REF!="Menor"),CONCATENATE("R2C",'Mapa final'!#REF!),"")</f>
        <v>#REF!</v>
      </c>
      <c r="T17" s="39" t="e">
        <f>IF(AND('Mapa final'!#REF!="Alta",'Mapa final'!#REF!="Menor"),CONCATENATE("R2C",'Mapa final'!#REF!),"")</f>
        <v>#REF!</v>
      </c>
      <c r="U17" s="40" t="e">
        <f>IF(AND('Mapa final'!#REF!="Alta",'Mapa final'!#REF!="Menor"),CONCATENATE("R2C",'Mapa final'!#REF!),"")</f>
        <v>#REF!</v>
      </c>
      <c r="V17" s="22" t="str">
        <f ca="1">IF(AND('Mapa final'!$AA$15="Alta",'Mapa final'!$AC$15="Moderado"),CONCATENATE("R2C",'Mapa final'!$Q$15),"")</f>
        <v/>
      </c>
      <c r="W17" s="23" t="str">
        <f ca="1">IF(AND('Mapa final'!$AA$16="Alta",'Mapa final'!$AC$16="Moderado"),CONCATENATE("R2C",'Mapa final'!$Q$16),"")</f>
        <v/>
      </c>
      <c r="X17" s="23" t="e">
        <f>IF(AND('Mapa final'!#REF!="Alta",'Mapa final'!#REF!="Moderado"),CONCATENATE("R2C",'Mapa final'!$Q$17),"")</f>
        <v>#REF!</v>
      </c>
      <c r="Y17" s="23" t="e">
        <f>IF(AND('Mapa final'!#REF!="Alta",'Mapa final'!#REF!="Moderado"),CONCATENATE("R2C",'Mapa final'!#REF!),"")</f>
        <v>#REF!</v>
      </c>
      <c r="Z17" s="23" t="e">
        <f>IF(AND('Mapa final'!#REF!="Alta",'Mapa final'!#REF!="Moderado"),CONCATENATE("R2C",'Mapa final'!#REF!),"")</f>
        <v>#REF!</v>
      </c>
      <c r="AA17" s="24" t="e">
        <f>IF(AND('Mapa final'!#REF!="Alta",'Mapa final'!#REF!="Moderado"),CONCATENATE("R2C",'Mapa final'!#REF!),"")</f>
        <v>#REF!</v>
      </c>
      <c r="AB17" s="22" t="str">
        <f ca="1">IF(AND('Mapa final'!$AA$15="Alta",'Mapa final'!$AC$15="Mayor"),CONCATENATE("R2C",'Mapa final'!$Q$15),"")</f>
        <v/>
      </c>
      <c r="AC17" s="23" t="str">
        <f ca="1">IF(AND('Mapa final'!$AA$16="Alta",'Mapa final'!$AC$16="Mayor"),CONCATENATE("R2C",'Mapa final'!$Q$16),"")</f>
        <v/>
      </c>
      <c r="AD17" s="23" t="e">
        <f>IF(AND('Mapa final'!#REF!="Alta",'Mapa final'!#REF!="Mayor"),CONCATENATE("R2C",'Mapa final'!$Q$17),"")</f>
        <v>#REF!</v>
      </c>
      <c r="AE17" s="23" t="e">
        <f>IF(AND('Mapa final'!#REF!="Alta",'Mapa final'!#REF!="Mayor"),CONCATENATE("R2C",'Mapa final'!#REF!),"")</f>
        <v>#REF!</v>
      </c>
      <c r="AF17" s="23" t="e">
        <f>IF(AND('Mapa final'!#REF!="Alta",'Mapa final'!#REF!="Mayor"),CONCATENATE("R2C",'Mapa final'!#REF!),"")</f>
        <v>#REF!</v>
      </c>
      <c r="AG17" s="24" t="e">
        <f>IF(AND('Mapa final'!#REF!="Alta",'Mapa final'!#REF!="Mayor"),CONCATENATE("R2C",'Mapa final'!#REF!),"")</f>
        <v>#REF!</v>
      </c>
      <c r="AH17" s="25" t="str">
        <f ca="1">IF(AND('Mapa final'!$AA$15="Alta",'Mapa final'!$AC$15="Catastrófico"),CONCATENATE("R2C",'Mapa final'!$Q$15),"")</f>
        <v/>
      </c>
      <c r="AI17" s="26" t="str">
        <f ca="1">IF(AND('Mapa final'!$AA$16="Alta",'Mapa final'!$AC$16="Catastrófico"),CONCATENATE("R2C",'Mapa final'!$Q$16),"")</f>
        <v/>
      </c>
      <c r="AJ17" s="26" t="e">
        <f>IF(AND('Mapa final'!#REF!="Alta",'Mapa final'!#REF!="Catastrófico"),CONCATENATE("R2C",'Mapa final'!$Q$17),"")</f>
        <v>#REF!</v>
      </c>
      <c r="AK17" s="26" t="e">
        <f>IF(AND('Mapa final'!#REF!="Alta",'Mapa final'!#REF!="Catastrófico"),CONCATENATE("R2C",'Mapa final'!#REF!),"")</f>
        <v>#REF!</v>
      </c>
      <c r="AL17" s="26" t="e">
        <f>IF(AND('Mapa final'!#REF!="Alta",'Mapa final'!#REF!="Catastrófico"),CONCATENATE("R2C",'Mapa final'!#REF!),"")</f>
        <v>#REF!</v>
      </c>
      <c r="AM17" s="27" t="e">
        <f>IF(AND('Mapa final'!#REF!="Alta",'Mapa final'!#REF!="Catastrófico"),CONCATENATE("R2C",'Mapa final'!#REF!),"")</f>
        <v>#REF!</v>
      </c>
      <c r="AN17" s="54"/>
      <c r="AO17" s="383"/>
      <c r="AP17" s="384"/>
      <c r="AQ17" s="384"/>
      <c r="AR17" s="384"/>
      <c r="AS17" s="384"/>
      <c r="AT17" s="385"/>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row>
    <row r="18" spans="1:76" ht="15" customHeight="1" x14ac:dyDescent="0.3">
      <c r="A18" s="54"/>
      <c r="B18" s="292"/>
      <c r="C18" s="292"/>
      <c r="D18" s="293"/>
      <c r="E18" s="393"/>
      <c r="F18" s="394"/>
      <c r="G18" s="394"/>
      <c r="H18" s="394"/>
      <c r="I18" s="392"/>
      <c r="J18" s="38" t="e">
        <f>IF(AND('Mapa final'!#REF!="Alta",'Mapa final'!#REF!="Leve"),CONCATENATE("R3C",'Mapa final'!#REF!),"")</f>
        <v>#REF!</v>
      </c>
      <c r="K18" s="39" t="e">
        <f>IF(AND('Mapa final'!#REF!="Alta",'Mapa final'!#REF!="Leve"),CONCATENATE("R3C",'Mapa final'!#REF!),"")</f>
        <v>#REF!</v>
      </c>
      <c r="L18" s="39" t="e">
        <f>IF(AND('Mapa final'!#REF!="Alta",'Mapa final'!#REF!="Leve"),CONCATENATE("R3C",'Mapa final'!#REF!),"")</f>
        <v>#REF!</v>
      </c>
      <c r="M18" s="39" t="e">
        <f>IF(AND('Mapa final'!#REF!="Alta",'Mapa final'!#REF!="Leve"),CONCATENATE("R3C",'Mapa final'!#REF!),"")</f>
        <v>#REF!</v>
      </c>
      <c r="N18" s="39" t="e">
        <f>IF(AND('Mapa final'!#REF!="Alta",'Mapa final'!#REF!="Leve"),CONCATENATE("R3C",'Mapa final'!#REF!),"")</f>
        <v>#REF!</v>
      </c>
      <c r="O18" s="40" t="e">
        <f>IF(AND('Mapa final'!#REF!="Alta",'Mapa final'!#REF!="Leve"),CONCATENATE("R3C",'Mapa final'!#REF!),"")</f>
        <v>#REF!</v>
      </c>
      <c r="P18" s="38" t="e">
        <f>IF(AND('Mapa final'!#REF!="Alta",'Mapa final'!#REF!="Menor"),CONCATENATE("R3C",'Mapa final'!#REF!),"")</f>
        <v>#REF!</v>
      </c>
      <c r="Q18" s="39" t="e">
        <f>IF(AND('Mapa final'!#REF!="Alta",'Mapa final'!#REF!="Menor"),CONCATENATE("R3C",'Mapa final'!#REF!),"")</f>
        <v>#REF!</v>
      </c>
      <c r="R18" s="39" t="e">
        <f>IF(AND('Mapa final'!#REF!="Alta",'Mapa final'!#REF!="Menor"),CONCATENATE("R3C",'Mapa final'!#REF!),"")</f>
        <v>#REF!</v>
      </c>
      <c r="S18" s="39" t="e">
        <f>IF(AND('Mapa final'!#REF!="Alta",'Mapa final'!#REF!="Menor"),CONCATENATE("R3C",'Mapa final'!#REF!),"")</f>
        <v>#REF!</v>
      </c>
      <c r="T18" s="39" t="e">
        <f>IF(AND('Mapa final'!#REF!="Alta",'Mapa final'!#REF!="Menor"),CONCATENATE("R3C",'Mapa final'!#REF!),"")</f>
        <v>#REF!</v>
      </c>
      <c r="U18" s="40" t="e">
        <f>IF(AND('Mapa final'!#REF!="Alta",'Mapa final'!#REF!="Menor"),CONCATENATE("R3C",'Mapa final'!#REF!),"")</f>
        <v>#REF!</v>
      </c>
      <c r="V18" s="22" t="e">
        <f>IF(AND('Mapa final'!#REF!="Alta",'Mapa final'!#REF!="Moderado"),CONCATENATE("R3C",'Mapa final'!#REF!),"")</f>
        <v>#REF!</v>
      </c>
      <c r="W18" s="23" t="e">
        <f>IF(AND('Mapa final'!#REF!="Alta",'Mapa final'!#REF!="Moderado"),CONCATENATE("R3C",'Mapa final'!#REF!),"")</f>
        <v>#REF!</v>
      </c>
      <c r="X18" s="23" t="e">
        <f>IF(AND('Mapa final'!#REF!="Alta",'Mapa final'!#REF!="Moderado"),CONCATENATE("R3C",'Mapa final'!#REF!),"")</f>
        <v>#REF!</v>
      </c>
      <c r="Y18" s="23" t="e">
        <f>IF(AND('Mapa final'!#REF!="Alta",'Mapa final'!#REF!="Moderado"),CONCATENATE("R3C",'Mapa final'!#REF!),"")</f>
        <v>#REF!</v>
      </c>
      <c r="Z18" s="23" t="e">
        <f>IF(AND('Mapa final'!#REF!="Alta",'Mapa final'!#REF!="Moderado"),CONCATENATE("R3C",'Mapa final'!#REF!),"")</f>
        <v>#REF!</v>
      </c>
      <c r="AA18" s="24" t="e">
        <f>IF(AND('Mapa final'!#REF!="Alta",'Mapa final'!#REF!="Moderado"),CONCATENATE("R3C",'Mapa final'!#REF!),"")</f>
        <v>#REF!</v>
      </c>
      <c r="AB18" s="22" t="e">
        <f>IF(AND('Mapa final'!#REF!="Alta",'Mapa final'!#REF!="Mayor"),CONCATENATE("R3C",'Mapa final'!#REF!),"")</f>
        <v>#REF!</v>
      </c>
      <c r="AC18" s="23" t="e">
        <f>IF(AND('Mapa final'!#REF!="Alta",'Mapa final'!#REF!="Mayor"),CONCATENATE("R3C",'Mapa final'!#REF!),"")</f>
        <v>#REF!</v>
      </c>
      <c r="AD18" s="23" t="e">
        <f>IF(AND('Mapa final'!#REF!="Alta",'Mapa final'!#REF!="Mayor"),CONCATENATE("R3C",'Mapa final'!#REF!),"")</f>
        <v>#REF!</v>
      </c>
      <c r="AE18" s="23" t="e">
        <f>IF(AND('Mapa final'!#REF!="Alta",'Mapa final'!#REF!="Mayor"),CONCATENATE("R3C",'Mapa final'!#REF!),"")</f>
        <v>#REF!</v>
      </c>
      <c r="AF18" s="23" t="e">
        <f>IF(AND('Mapa final'!#REF!="Alta",'Mapa final'!#REF!="Mayor"),CONCATENATE("R3C",'Mapa final'!#REF!),"")</f>
        <v>#REF!</v>
      </c>
      <c r="AG18" s="24" t="e">
        <f>IF(AND('Mapa final'!#REF!="Alta",'Mapa final'!#REF!="Mayor"),CONCATENATE("R3C",'Mapa final'!#REF!),"")</f>
        <v>#REF!</v>
      </c>
      <c r="AH18" s="25" t="e">
        <f>IF(AND('Mapa final'!#REF!="Alta",'Mapa final'!#REF!="Catastrófico"),CONCATENATE("R3C",'Mapa final'!#REF!),"")</f>
        <v>#REF!</v>
      </c>
      <c r="AI18" s="26" t="e">
        <f>IF(AND('Mapa final'!#REF!="Alta",'Mapa final'!#REF!="Catastrófico"),CONCATENATE("R3C",'Mapa final'!#REF!),"")</f>
        <v>#REF!</v>
      </c>
      <c r="AJ18" s="26" t="e">
        <f>IF(AND('Mapa final'!#REF!="Alta",'Mapa final'!#REF!="Catastrófico"),CONCATENATE("R3C",'Mapa final'!#REF!),"")</f>
        <v>#REF!</v>
      </c>
      <c r="AK18" s="26" t="e">
        <f>IF(AND('Mapa final'!#REF!="Alta",'Mapa final'!#REF!="Catastrófico"),CONCATENATE("R3C",'Mapa final'!#REF!),"")</f>
        <v>#REF!</v>
      </c>
      <c r="AL18" s="26" t="e">
        <f>IF(AND('Mapa final'!#REF!="Alta",'Mapa final'!#REF!="Catastrófico"),CONCATENATE("R3C",'Mapa final'!#REF!),"")</f>
        <v>#REF!</v>
      </c>
      <c r="AM18" s="27" t="e">
        <f>IF(AND('Mapa final'!#REF!="Alta",'Mapa final'!#REF!="Catastrófico"),CONCATENATE("R3C",'Mapa final'!#REF!),"")</f>
        <v>#REF!</v>
      </c>
      <c r="AN18" s="54"/>
      <c r="AO18" s="383"/>
      <c r="AP18" s="384"/>
      <c r="AQ18" s="384"/>
      <c r="AR18" s="384"/>
      <c r="AS18" s="384"/>
      <c r="AT18" s="385"/>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row>
    <row r="19" spans="1:76" ht="15" customHeight="1" x14ac:dyDescent="0.3">
      <c r="A19" s="54"/>
      <c r="B19" s="292"/>
      <c r="C19" s="292"/>
      <c r="D19" s="293"/>
      <c r="E19" s="393"/>
      <c r="F19" s="394"/>
      <c r="G19" s="394"/>
      <c r="H19" s="394"/>
      <c r="I19" s="392"/>
      <c r="J19" s="38" t="str">
        <f ca="1">IF(AND('Mapa final'!$AA$19="Alta",'Mapa final'!$AC$19="Leve"),CONCATENATE("R4C",'Mapa final'!$Q$19),"")</f>
        <v/>
      </c>
      <c r="K19" s="39" t="str">
        <f ca="1">IF(AND('Mapa final'!$AA$20="Alta",'Mapa final'!$AC$20="Leve"),CONCATENATE("R4C",'Mapa final'!$Q$20),"")</f>
        <v/>
      </c>
      <c r="L19" s="39" t="str">
        <f ca="1">IF(AND('Mapa final'!$AA$21="Alta",'Mapa final'!$AC$21="Leve"),CONCATENATE("R4C",'Mapa final'!$Q$21),"")</f>
        <v/>
      </c>
      <c r="M19" s="39" t="str">
        <f ca="1">IF(AND('Mapa final'!$AA$22="Alta",'Mapa final'!$AC$22="Leve"),CONCATENATE("R4C",'Mapa final'!$Q$22),"")</f>
        <v/>
      </c>
      <c r="N19" s="39" t="e">
        <f>IF(AND('Mapa final'!#REF!="Alta",'Mapa final'!#REF!="Leve"),CONCATENATE("R4C",'Mapa final'!#REF!),"")</f>
        <v>#REF!</v>
      </c>
      <c r="O19" s="40" t="e">
        <f>IF(AND('Mapa final'!#REF!="Alta",'Mapa final'!#REF!="Leve"),CONCATENATE("R4C",'Mapa final'!#REF!),"")</f>
        <v>#REF!</v>
      </c>
      <c r="P19" s="38" t="str">
        <f ca="1">IF(AND('Mapa final'!$AA$19="Alta",'Mapa final'!$AC$19="Menor"),CONCATENATE("R4C",'Mapa final'!$Q$19),"")</f>
        <v/>
      </c>
      <c r="Q19" s="39" t="str">
        <f ca="1">IF(AND('Mapa final'!$AA$20="Alta",'Mapa final'!$AC$20="Menor"),CONCATENATE("R4C",'Mapa final'!$Q$20),"")</f>
        <v/>
      </c>
      <c r="R19" s="39" t="str">
        <f ca="1">IF(AND('Mapa final'!$AA$21="Alta",'Mapa final'!$AC$21="Menor"),CONCATENATE("R4C",'Mapa final'!$Q$21),"")</f>
        <v/>
      </c>
      <c r="S19" s="39" t="str">
        <f ca="1">IF(AND('Mapa final'!$AA$22="Alta",'Mapa final'!$AC$22="Menor"),CONCATENATE("R4C",'Mapa final'!$Q$22),"")</f>
        <v/>
      </c>
      <c r="T19" s="39" t="e">
        <f>IF(AND('Mapa final'!#REF!="Alta",'Mapa final'!#REF!="Menor"),CONCATENATE("R4C",'Mapa final'!#REF!),"")</f>
        <v>#REF!</v>
      </c>
      <c r="U19" s="40" t="e">
        <f>IF(AND('Mapa final'!#REF!="Alta",'Mapa final'!#REF!="Menor"),CONCATENATE("R4C",'Mapa final'!#REF!),"")</f>
        <v>#REF!</v>
      </c>
      <c r="V19" s="22" t="str">
        <f ca="1">IF(AND('Mapa final'!$AA$19="Alta",'Mapa final'!$AC$19="Moderado"),CONCATENATE("R4C",'Mapa final'!$Q$19),"")</f>
        <v/>
      </c>
      <c r="W19" s="23" t="str">
        <f ca="1">IF(AND('Mapa final'!$AA$20="Alta",'Mapa final'!$AC$20="Moderado"),CONCATENATE("R4C",'Mapa final'!$Q$20),"")</f>
        <v/>
      </c>
      <c r="X19" s="28" t="str">
        <f ca="1">IF(AND('Mapa final'!$AA$21="Alta",'Mapa final'!$AC$21="Moderado"),CONCATENATE("R4C",'Mapa final'!$Q$21),"")</f>
        <v/>
      </c>
      <c r="Y19" s="28" t="str">
        <f ca="1">IF(AND('Mapa final'!$AA$22="Alta",'Mapa final'!$AC$22="Moderado"),CONCATENATE("R4C",'Mapa final'!$Q$22),"")</f>
        <v/>
      </c>
      <c r="Z19" s="28" t="e">
        <f>IF(AND('Mapa final'!#REF!="Alta",'Mapa final'!#REF!="Moderado"),CONCATENATE("R4C",'Mapa final'!#REF!),"")</f>
        <v>#REF!</v>
      </c>
      <c r="AA19" s="24" t="e">
        <f>IF(AND('Mapa final'!#REF!="Alta",'Mapa final'!#REF!="Moderado"),CONCATENATE("R4C",'Mapa final'!#REF!),"")</f>
        <v>#REF!</v>
      </c>
      <c r="AB19" s="22" t="str">
        <f ca="1">IF(AND('Mapa final'!$AA$19="Alta",'Mapa final'!$AC$19="Mayor"),CONCATENATE("R4C",'Mapa final'!$Q$19),"")</f>
        <v/>
      </c>
      <c r="AC19" s="23" t="str">
        <f ca="1">IF(AND('Mapa final'!$AA$20="Alta",'Mapa final'!$AC$20="Mayor"),CONCATENATE("R4C",'Mapa final'!$Q$20),"")</f>
        <v/>
      </c>
      <c r="AD19" s="28" t="str">
        <f ca="1">IF(AND('Mapa final'!$AA$21="Alta",'Mapa final'!$AC$21="Mayor"),CONCATENATE("R4C",'Mapa final'!$Q$21),"")</f>
        <v/>
      </c>
      <c r="AE19" s="28" t="str">
        <f ca="1">IF(AND('Mapa final'!$AA$22="Alta",'Mapa final'!$AC$22="Mayor"),CONCATENATE("R4C",'Mapa final'!$Q$22),"")</f>
        <v/>
      </c>
      <c r="AF19" s="28" t="e">
        <f>IF(AND('Mapa final'!#REF!="Alta",'Mapa final'!#REF!="Mayor"),CONCATENATE("R4C",'Mapa final'!#REF!),"")</f>
        <v>#REF!</v>
      </c>
      <c r="AG19" s="24" t="e">
        <f>IF(AND('Mapa final'!#REF!="Alta",'Mapa final'!#REF!="Mayor"),CONCATENATE("R4C",'Mapa final'!#REF!),"")</f>
        <v>#REF!</v>
      </c>
      <c r="AH19" s="25" t="str">
        <f ca="1">IF(AND('Mapa final'!$AA$19="Alta",'Mapa final'!$AC$19="Catastrófico"),CONCATENATE("R4C",'Mapa final'!$Q$19),"")</f>
        <v/>
      </c>
      <c r="AI19" s="26" t="str">
        <f ca="1">IF(AND('Mapa final'!$AA$20="Alta",'Mapa final'!$AC$20="Catastrófico"),CONCATENATE("R4C",'Mapa final'!$Q$20),"")</f>
        <v/>
      </c>
      <c r="AJ19" s="26" t="str">
        <f ca="1">IF(AND('Mapa final'!$AA$21="Alta",'Mapa final'!$AC$21="Catastrófico"),CONCATENATE("R4C",'Mapa final'!$Q$21),"")</f>
        <v/>
      </c>
      <c r="AK19" s="26" t="str">
        <f ca="1">IF(AND('Mapa final'!$AA$22="Alta",'Mapa final'!$AC$22="Catastrófico"),CONCATENATE("R4C",'Mapa final'!$Q$22),"")</f>
        <v/>
      </c>
      <c r="AL19" s="26" t="e">
        <f>IF(AND('Mapa final'!#REF!="Alta",'Mapa final'!#REF!="Catastrófico"),CONCATENATE("R4C",'Mapa final'!#REF!),"")</f>
        <v>#REF!</v>
      </c>
      <c r="AM19" s="27" t="e">
        <f>IF(AND('Mapa final'!#REF!="Alta",'Mapa final'!#REF!="Catastrófico"),CONCATENATE("R4C",'Mapa final'!#REF!),"")</f>
        <v>#REF!</v>
      </c>
      <c r="AN19" s="54"/>
      <c r="AO19" s="383"/>
      <c r="AP19" s="384"/>
      <c r="AQ19" s="384"/>
      <c r="AR19" s="384"/>
      <c r="AS19" s="384"/>
      <c r="AT19" s="385"/>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row>
    <row r="20" spans="1:76" ht="15" customHeight="1" x14ac:dyDescent="0.3">
      <c r="A20" s="54"/>
      <c r="B20" s="292"/>
      <c r="C20" s="292"/>
      <c r="D20" s="293"/>
      <c r="E20" s="393"/>
      <c r="F20" s="394"/>
      <c r="G20" s="394"/>
      <c r="H20" s="394"/>
      <c r="I20" s="392"/>
      <c r="J20" s="38" t="str">
        <f>IF(AND('Mapa final'!$AA$23="Alta",'Mapa final'!$AC$23="Leve"),CONCATENATE("R5C",'Mapa final'!$Q$23),"")</f>
        <v/>
      </c>
      <c r="K20" s="39" t="str">
        <f>IF(AND('Mapa final'!$AA$24="Alta",'Mapa final'!$AC$24="Leve"),CONCATENATE("R5C",'Mapa final'!$Q$24),"")</f>
        <v/>
      </c>
      <c r="L20" s="39" t="str">
        <f>IF(AND('Mapa final'!$AA$25="Alta",'Mapa final'!$AC$25="Leve"),CONCATENATE("R5C",'Mapa final'!$Q$25),"")</f>
        <v/>
      </c>
      <c r="M20" s="39" t="str">
        <f>IF(AND('Mapa final'!$AA$26="Alta",'Mapa final'!$AC$26="Leve"),CONCATENATE("R5C",'Mapa final'!$Q$26),"")</f>
        <v/>
      </c>
      <c r="N20" s="39" t="str">
        <f>IF(AND('Mapa final'!$AA$27="Alta",'Mapa final'!$AC$27="Leve"),CONCATENATE("R5C",'Mapa final'!$Q$27),"")</f>
        <v/>
      </c>
      <c r="O20" s="40" t="str">
        <f>IF(AND('Mapa final'!$AA$28="Alta",'Mapa final'!$AC$28="Leve"),CONCATENATE("R5C",'Mapa final'!$Q$28),"")</f>
        <v/>
      </c>
      <c r="P20" s="38" t="str">
        <f>IF(AND('Mapa final'!$AA$23="Alta",'Mapa final'!$AC$23="Menor"),CONCATENATE("R5C",'Mapa final'!$Q$23),"")</f>
        <v/>
      </c>
      <c r="Q20" s="39" t="str">
        <f>IF(AND('Mapa final'!$AA$24="Alta",'Mapa final'!$AC$24="Menor"),CONCATENATE("R5C",'Mapa final'!$Q$24),"")</f>
        <v/>
      </c>
      <c r="R20" s="39" t="str">
        <f>IF(AND('Mapa final'!$AA$25="Alta",'Mapa final'!$AC$25="Menor"),CONCATENATE("R5C",'Mapa final'!$Q$25),"")</f>
        <v/>
      </c>
      <c r="S20" s="39" t="str">
        <f>IF(AND('Mapa final'!$AA$26="Alta",'Mapa final'!$AC$26="Menor"),CONCATENATE("R5C",'Mapa final'!$Q$26),"")</f>
        <v/>
      </c>
      <c r="T20" s="39" t="str">
        <f>IF(AND('Mapa final'!$AA$27="Alta",'Mapa final'!$AC$27="Menor"),CONCATENATE("R5C",'Mapa final'!$Q$27),"")</f>
        <v/>
      </c>
      <c r="U20" s="40" t="str">
        <f>IF(AND('Mapa final'!$AA$28="Alta",'Mapa final'!$AC$28="Menor"),CONCATENATE("R5C",'Mapa final'!$Q$28),"")</f>
        <v/>
      </c>
      <c r="V20" s="22" t="str">
        <f>IF(AND('Mapa final'!$AA$23="Alta",'Mapa final'!$AC$23="Moderado"),CONCATENATE("R5C",'Mapa final'!$Q$23),"")</f>
        <v/>
      </c>
      <c r="W20" s="23" t="str">
        <f>IF(AND('Mapa final'!$AA$24="Alta",'Mapa final'!$AC$24="Moderado"),CONCATENATE("R5C",'Mapa final'!$Q$24),"")</f>
        <v/>
      </c>
      <c r="X20" s="28" t="str">
        <f>IF(AND('Mapa final'!$AA$25="Alta",'Mapa final'!$AC$25="Moderado"),CONCATENATE("R5C",'Mapa final'!$Q$25),"")</f>
        <v/>
      </c>
      <c r="Y20" s="28" t="str">
        <f>IF(AND('Mapa final'!$AA$26="Alta",'Mapa final'!$AC$26="Moderado"),CONCATENATE("R5C",'Mapa final'!$Q$26),"")</f>
        <v/>
      </c>
      <c r="Z20" s="28" t="str">
        <f>IF(AND('Mapa final'!$AA$27="Alta",'Mapa final'!$AC$27="Moderado"),CONCATENATE("R5C",'Mapa final'!$Q$27),"")</f>
        <v/>
      </c>
      <c r="AA20" s="24" t="str">
        <f>IF(AND('Mapa final'!$AA$28="Alta",'Mapa final'!$AC$28="Moderado"),CONCATENATE("R5C",'Mapa final'!$Q$28),"")</f>
        <v/>
      </c>
      <c r="AB20" s="22" t="str">
        <f>IF(AND('Mapa final'!$AA$23="Alta",'Mapa final'!$AC$23="Mayor"),CONCATENATE("R5C",'Mapa final'!$Q$23),"")</f>
        <v/>
      </c>
      <c r="AC20" s="23" t="str">
        <f>IF(AND('Mapa final'!$AA$24="Alta",'Mapa final'!$AC$24="Mayor"),CONCATENATE("R5C",'Mapa final'!$Q$24),"")</f>
        <v/>
      </c>
      <c r="AD20" s="28" t="str">
        <f>IF(AND('Mapa final'!$AA$25="Alta",'Mapa final'!$AC$25="Mayor"),CONCATENATE("R5C",'Mapa final'!$Q$25),"")</f>
        <v/>
      </c>
      <c r="AE20" s="28" t="str">
        <f>IF(AND('Mapa final'!$AA$26="Alta",'Mapa final'!$AC$26="Mayor"),CONCATENATE("R5C",'Mapa final'!$Q$26),"")</f>
        <v/>
      </c>
      <c r="AF20" s="28" t="str">
        <f>IF(AND('Mapa final'!$AA$27="Alta",'Mapa final'!$AC$27="Mayor"),CONCATENATE("R5C",'Mapa final'!$Q$27),"")</f>
        <v/>
      </c>
      <c r="AG20" s="24" t="str">
        <f>IF(AND('Mapa final'!$AA$28="Alta",'Mapa final'!$AC$28="Mayor"),CONCATENATE("R5C",'Mapa final'!$Q$28),"")</f>
        <v/>
      </c>
      <c r="AH20" s="25" t="str">
        <f>IF(AND('Mapa final'!$AA$23="Alta",'Mapa final'!$AC$23="Catastrófico"),CONCATENATE("R5C",'Mapa final'!$Q$23),"")</f>
        <v/>
      </c>
      <c r="AI20" s="26" t="str">
        <f>IF(AND('Mapa final'!$AA$24="Alta",'Mapa final'!$AC$24="Catastrófico"),CONCATENATE("R5C",'Mapa final'!$Q$24),"")</f>
        <v/>
      </c>
      <c r="AJ20" s="26" t="str">
        <f>IF(AND('Mapa final'!$AA$25="Alta",'Mapa final'!$AC$25="Catastrófico"),CONCATENATE("R5C",'Mapa final'!$Q$25),"")</f>
        <v/>
      </c>
      <c r="AK20" s="26" t="str">
        <f>IF(AND('Mapa final'!$AA$26="Alta",'Mapa final'!$AC$26="Catastrófico"),CONCATENATE("R5C",'Mapa final'!$Q$26),"")</f>
        <v/>
      </c>
      <c r="AL20" s="26" t="str">
        <f>IF(AND('Mapa final'!$AA$27="Alta",'Mapa final'!$AC$27="Catastrófico"),CONCATENATE("R5C",'Mapa final'!$Q$27),"")</f>
        <v/>
      </c>
      <c r="AM20" s="27" t="str">
        <f>IF(AND('Mapa final'!$AA$28="Alta",'Mapa final'!$AC$28="Catastrófico"),CONCATENATE("R5C",'Mapa final'!$Q$28),"")</f>
        <v/>
      </c>
      <c r="AN20" s="54"/>
      <c r="AO20" s="383"/>
      <c r="AP20" s="384"/>
      <c r="AQ20" s="384"/>
      <c r="AR20" s="384"/>
      <c r="AS20" s="384"/>
      <c r="AT20" s="385"/>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row>
    <row r="21" spans="1:76" ht="15" customHeight="1" x14ac:dyDescent="0.3">
      <c r="A21" s="54"/>
      <c r="B21" s="292"/>
      <c r="C21" s="292"/>
      <c r="D21" s="293"/>
      <c r="E21" s="393"/>
      <c r="F21" s="394"/>
      <c r="G21" s="394"/>
      <c r="H21" s="394"/>
      <c r="I21" s="392"/>
      <c r="J21" s="38" t="str">
        <f>IF(AND('Mapa final'!$AA$29="Alta",'Mapa final'!$AC$29="Leve"),CONCATENATE("R6C",'Mapa final'!$Q$29),"")</f>
        <v/>
      </c>
      <c r="K21" s="39" t="str">
        <f>IF(AND('Mapa final'!$AA$30="Alta",'Mapa final'!$AC$30="Leve"),CONCATENATE("R6C",'Mapa final'!$Q$30),"")</f>
        <v/>
      </c>
      <c r="L21" s="39" t="str">
        <f>IF(AND('Mapa final'!$AA$31="Alta",'Mapa final'!$AC$31="Leve"),CONCATENATE("R6C",'Mapa final'!$Q$31),"")</f>
        <v/>
      </c>
      <c r="M21" s="39" t="str">
        <f>IF(AND('Mapa final'!$AA$32="Alta",'Mapa final'!$AC$32="Leve"),CONCATENATE("R6C",'Mapa final'!$Q$32),"")</f>
        <v/>
      </c>
      <c r="N21" s="39" t="str">
        <f>IF(AND('Mapa final'!$AA$33="Alta",'Mapa final'!$AC$33="Leve"),CONCATENATE("R6C",'Mapa final'!$Q$33),"")</f>
        <v/>
      </c>
      <c r="O21" s="40" t="str">
        <f>IF(AND('Mapa final'!$AA$34="Alta",'Mapa final'!$AC$34="Leve"),CONCATENATE("R6C",'Mapa final'!$Q$34),"")</f>
        <v/>
      </c>
      <c r="P21" s="38" t="str">
        <f>IF(AND('Mapa final'!$AA$29="Alta",'Mapa final'!$AC$29="Menor"),CONCATENATE("R6C",'Mapa final'!$Q$29),"")</f>
        <v/>
      </c>
      <c r="Q21" s="39" t="str">
        <f>IF(AND('Mapa final'!$AA$30="Alta",'Mapa final'!$AC$30="Menor"),CONCATENATE("R6C",'Mapa final'!$Q$30),"")</f>
        <v/>
      </c>
      <c r="R21" s="39" t="str">
        <f>IF(AND('Mapa final'!$AA$31="Alta",'Mapa final'!$AC$31="Menor"),CONCATENATE("R6C",'Mapa final'!$Q$31),"")</f>
        <v/>
      </c>
      <c r="S21" s="39" t="str">
        <f>IF(AND('Mapa final'!$AA$32="Alta",'Mapa final'!$AC$32="Menor"),CONCATENATE("R6C",'Mapa final'!$Q$32),"")</f>
        <v/>
      </c>
      <c r="T21" s="39" t="str">
        <f>IF(AND('Mapa final'!$AA$33="Alta",'Mapa final'!$AC$33="Menor"),CONCATENATE("R6C",'Mapa final'!$Q$33),"")</f>
        <v/>
      </c>
      <c r="U21" s="40" t="str">
        <f>IF(AND('Mapa final'!$AA$34="Alta",'Mapa final'!$AC$34="Menor"),CONCATENATE("R6C",'Mapa final'!$Q$34),"")</f>
        <v/>
      </c>
      <c r="V21" s="22" t="str">
        <f>IF(AND('Mapa final'!$AA$29="Alta",'Mapa final'!$AC$29="Moderado"),CONCATENATE("R6C",'Mapa final'!$Q$29),"")</f>
        <v/>
      </c>
      <c r="W21" s="23" t="str">
        <f>IF(AND('Mapa final'!$AA$30="Alta",'Mapa final'!$AC$30="Moderado"),CONCATENATE("R6C",'Mapa final'!$Q$30),"")</f>
        <v/>
      </c>
      <c r="X21" s="28" t="str">
        <f>IF(AND('Mapa final'!$AA$31="Alta",'Mapa final'!$AC$31="Moderado"),CONCATENATE("R6C",'Mapa final'!$Q$31),"")</f>
        <v/>
      </c>
      <c r="Y21" s="28" t="str">
        <f>IF(AND('Mapa final'!$AA$32="Alta",'Mapa final'!$AC$32="Moderado"),CONCATENATE("R6C",'Mapa final'!$Q$32),"")</f>
        <v/>
      </c>
      <c r="Z21" s="28" t="str">
        <f>IF(AND('Mapa final'!$AA$33="Alta",'Mapa final'!$AC$33="Moderado"),CONCATENATE("R6C",'Mapa final'!$Q$33),"")</f>
        <v/>
      </c>
      <c r="AA21" s="24" t="str">
        <f>IF(AND('Mapa final'!$AA$34="Alta",'Mapa final'!$AC$34="Moderado"),CONCATENATE("R6C",'Mapa final'!$Q$34),"")</f>
        <v/>
      </c>
      <c r="AB21" s="22" t="str">
        <f>IF(AND('Mapa final'!$AA$29="Alta",'Mapa final'!$AC$29="Mayor"),CONCATENATE("R6C",'Mapa final'!$Q$29),"")</f>
        <v/>
      </c>
      <c r="AC21" s="23" t="str">
        <f>IF(AND('Mapa final'!$AA$30="Alta",'Mapa final'!$AC$30="Mayor"),CONCATENATE("R6C",'Mapa final'!$Q$30),"")</f>
        <v/>
      </c>
      <c r="AD21" s="28" t="str">
        <f>IF(AND('Mapa final'!$AA$31="Alta",'Mapa final'!$AC$31="Mayor"),CONCATENATE("R6C",'Mapa final'!$Q$31),"")</f>
        <v/>
      </c>
      <c r="AE21" s="28" t="str">
        <f>IF(AND('Mapa final'!$AA$32="Alta",'Mapa final'!$AC$32="Mayor"),CONCATENATE("R6C",'Mapa final'!$Q$32),"")</f>
        <v/>
      </c>
      <c r="AF21" s="28" t="str">
        <f>IF(AND('Mapa final'!$AA$33="Alta",'Mapa final'!$AC$33="Mayor"),CONCATENATE("R6C",'Mapa final'!$Q$33),"")</f>
        <v/>
      </c>
      <c r="AG21" s="24" t="str">
        <f>IF(AND('Mapa final'!$AA$34="Alta",'Mapa final'!$AC$34="Mayor"),CONCATENATE("R6C",'Mapa final'!$Q$34),"")</f>
        <v/>
      </c>
      <c r="AH21" s="25" t="str">
        <f>IF(AND('Mapa final'!$AA$29="Alta",'Mapa final'!$AC$29="Catastrófico"),CONCATENATE("R6C",'Mapa final'!$Q$29),"")</f>
        <v/>
      </c>
      <c r="AI21" s="26" t="str">
        <f>IF(AND('Mapa final'!$AA$30="Alta",'Mapa final'!$AC$30="Catastrófico"),CONCATENATE("R6C",'Mapa final'!$Q$30),"")</f>
        <v/>
      </c>
      <c r="AJ21" s="26" t="str">
        <f>IF(AND('Mapa final'!$AA$31="Alta",'Mapa final'!$AC$31="Catastrófico"),CONCATENATE("R6C",'Mapa final'!$Q$31),"")</f>
        <v/>
      </c>
      <c r="AK21" s="26" t="str">
        <f>IF(AND('Mapa final'!$AA$32="Alta",'Mapa final'!$AC$32="Catastrófico"),CONCATENATE("R6C",'Mapa final'!$Q$32),"")</f>
        <v/>
      </c>
      <c r="AL21" s="26" t="str">
        <f>IF(AND('Mapa final'!$AA$33="Alta",'Mapa final'!$AC$33="Catastrófico"),CONCATENATE("R6C",'Mapa final'!$Q$33),"")</f>
        <v/>
      </c>
      <c r="AM21" s="27" t="str">
        <f>IF(AND('Mapa final'!$AA$34="Alta",'Mapa final'!$AC$34="Catastrófico"),CONCATENATE("R6C",'Mapa final'!$Q$34),"")</f>
        <v/>
      </c>
      <c r="AN21" s="54"/>
      <c r="AO21" s="383"/>
      <c r="AP21" s="384"/>
      <c r="AQ21" s="384"/>
      <c r="AR21" s="384"/>
      <c r="AS21" s="384"/>
      <c r="AT21" s="385"/>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row>
    <row r="22" spans="1:76" ht="15" customHeight="1" x14ac:dyDescent="0.3">
      <c r="A22" s="54"/>
      <c r="B22" s="292"/>
      <c r="C22" s="292"/>
      <c r="D22" s="293"/>
      <c r="E22" s="393"/>
      <c r="F22" s="394"/>
      <c r="G22" s="394"/>
      <c r="H22" s="394"/>
      <c r="I22" s="392"/>
      <c r="J22" s="38" t="str">
        <f>IF(AND('Mapa final'!$AA$35="Alta",'Mapa final'!$AC$35="Leve"),CONCATENATE("R7C",'Mapa final'!$Q$35),"")</f>
        <v/>
      </c>
      <c r="K22" s="39" t="str">
        <f>IF(AND('Mapa final'!$AA$36="Alta",'Mapa final'!$AC$36="Leve"),CONCATENATE("R7C",'Mapa final'!$Q$36),"")</f>
        <v/>
      </c>
      <c r="L22" s="39" t="str">
        <f>IF(AND('Mapa final'!$AA$37="Alta",'Mapa final'!$AC$37="Leve"),CONCATENATE("R7C",'Mapa final'!$Q$37),"")</f>
        <v/>
      </c>
      <c r="M22" s="39" t="str">
        <f>IF(AND('Mapa final'!$AA$38="Alta",'Mapa final'!$AC$38="Leve"),CONCATENATE("R7C",'Mapa final'!$Q$38),"")</f>
        <v/>
      </c>
      <c r="N22" s="39" t="str">
        <f>IF(AND('Mapa final'!$AA$39="Alta",'Mapa final'!$AC$39="Leve"),CONCATENATE("R7C",'Mapa final'!$Q$39),"")</f>
        <v/>
      </c>
      <c r="O22" s="40" t="str">
        <f>IF(AND('Mapa final'!$AA$40="Alta",'Mapa final'!$AC$40="Leve"),CONCATENATE("R7C",'Mapa final'!$Q$40),"")</f>
        <v/>
      </c>
      <c r="P22" s="38" t="str">
        <f>IF(AND('Mapa final'!$AA$35="Alta",'Mapa final'!$AC$35="Menor"),CONCATENATE("R7C",'Mapa final'!$Q$35),"")</f>
        <v/>
      </c>
      <c r="Q22" s="39" t="str">
        <f>IF(AND('Mapa final'!$AA$36="Alta",'Mapa final'!$AC$36="Menor"),CONCATENATE("R7C",'Mapa final'!$Q$36),"")</f>
        <v/>
      </c>
      <c r="R22" s="39" t="str">
        <f>IF(AND('Mapa final'!$AA$37="Alta",'Mapa final'!$AC$37="Menor"),CONCATENATE("R7C",'Mapa final'!$Q$37),"")</f>
        <v/>
      </c>
      <c r="S22" s="39" t="str">
        <f>IF(AND('Mapa final'!$AA$38="Alta",'Mapa final'!$AC$38="Menor"),CONCATENATE("R7C",'Mapa final'!$Q$38),"")</f>
        <v/>
      </c>
      <c r="T22" s="39" t="str">
        <f>IF(AND('Mapa final'!$AA$39="Alta",'Mapa final'!$AC$39="Menor"),CONCATENATE("R7C",'Mapa final'!$Q$39),"")</f>
        <v/>
      </c>
      <c r="U22" s="40" t="str">
        <f>IF(AND('Mapa final'!$AA$40="Alta",'Mapa final'!$AC$40="Menor"),CONCATENATE("R7C",'Mapa final'!$Q$40),"")</f>
        <v/>
      </c>
      <c r="V22" s="22" t="str">
        <f>IF(AND('Mapa final'!$AA$35="Alta",'Mapa final'!$AC$35="Moderado"),CONCATENATE("R7C",'Mapa final'!$Q$35),"")</f>
        <v/>
      </c>
      <c r="W22" s="23" t="str">
        <f>IF(AND('Mapa final'!$AA$36="Alta",'Mapa final'!$AC$36="Moderado"),CONCATENATE("R7C",'Mapa final'!$Q$36),"")</f>
        <v/>
      </c>
      <c r="X22" s="28" t="str">
        <f>IF(AND('Mapa final'!$AA$37="Alta",'Mapa final'!$AC$37="Moderado"),CONCATENATE("R7C",'Mapa final'!$Q$37),"")</f>
        <v/>
      </c>
      <c r="Y22" s="28" t="str">
        <f>IF(AND('Mapa final'!$AA$38="Alta",'Mapa final'!$AC$38="Moderado"),CONCATENATE("R7C",'Mapa final'!$Q$38),"")</f>
        <v/>
      </c>
      <c r="Z22" s="28" t="str">
        <f>IF(AND('Mapa final'!$AA$39="Alta",'Mapa final'!$AC$39="Moderado"),CONCATENATE("R7C",'Mapa final'!$Q$39),"")</f>
        <v/>
      </c>
      <c r="AA22" s="24" t="str">
        <f>IF(AND('Mapa final'!$AA$40="Alta",'Mapa final'!$AC$40="Moderado"),CONCATENATE("R7C",'Mapa final'!$Q$40),"")</f>
        <v/>
      </c>
      <c r="AB22" s="22" t="str">
        <f>IF(AND('Mapa final'!$AA$35="Alta",'Mapa final'!$AC$35="Mayor"),CONCATENATE("R7C",'Mapa final'!$Q$35),"")</f>
        <v/>
      </c>
      <c r="AC22" s="23" t="str">
        <f>IF(AND('Mapa final'!$AA$36="Alta",'Mapa final'!$AC$36="Mayor"),CONCATENATE("R7C",'Mapa final'!$Q$36),"")</f>
        <v/>
      </c>
      <c r="AD22" s="28" t="str">
        <f>IF(AND('Mapa final'!$AA$37="Alta",'Mapa final'!$AC$37="Mayor"),CONCATENATE("R7C",'Mapa final'!$Q$37),"")</f>
        <v/>
      </c>
      <c r="AE22" s="28" t="str">
        <f>IF(AND('Mapa final'!$AA$38="Alta",'Mapa final'!$AC$38="Mayor"),CONCATENATE("R7C",'Mapa final'!$Q$38),"")</f>
        <v/>
      </c>
      <c r="AF22" s="28" t="str">
        <f>IF(AND('Mapa final'!$AA$39="Alta",'Mapa final'!$AC$39="Mayor"),CONCATENATE("R7C",'Mapa final'!$Q$39),"")</f>
        <v/>
      </c>
      <c r="AG22" s="24" t="str">
        <f>IF(AND('Mapa final'!$AA$40="Alta",'Mapa final'!$AC$40="Mayor"),CONCATENATE("R7C",'Mapa final'!$Q$40),"")</f>
        <v/>
      </c>
      <c r="AH22" s="25" t="str">
        <f>IF(AND('Mapa final'!$AA$35="Alta",'Mapa final'!$AC$35="Catastrófico"),CONCATENATE("R7C",'Mapa final'!$Q$35),"")</f>
        <v/>
      </c>
      <c r="AI22" s="26" t="str">
        <f>IF(AND('Mapa final'!$AA$36="Alta",'Mapa final'!$AC$36="Catastrófico"),CONCATENATE("R7C",'Mapa final'!$Q$36),"")</f>
        <v/>
      </c>
      <c r="AJ22" s="26" t="str">
        <f>IF(AND('Mapa final'!$AA$37="Alta",'Mapa final'!$AC$37="Catastrófico"),CONCATENATE("R7C",'Mapa final'!$Q$37),"")</f>
        <v/>
      </c>
      <c r="AK22" s="26" t="str">
        <f>IF(AND('Mapa final'!$AA$38="Alta",'Mapa final'!$AC$38="Catastrófico"),CONCATENATE("R7C",'Mapa final'!$Q$38),"")</f>
        <v/>
      </c>
      <c r="AL22" s="26" t="str">
        <f>IF(AND('Mapa final'!$AA$39="Alta",'Mapa final'!$AC$39="Catastrófico"),CONCATENATE("R7C",'Mapa final'!$Q$39),"")</f>
        <v/>
      </c>
      <c r="AM22" s="27" t="str">
        <f>IF(AND('Mapa final'!$AA$40="Alta",'Mapa final'!$AC$40="Catastrófico"),CONCATENATE("R7C",'Mapa final'!$Q$40),"")</f>
        <v/>
      </c>
      <c r="AN22" s="54"/>
      <c r="AO22" s="383"/>
      <c r="AP22" s="384"/>
      <c r="AQ22" s="384"/>
      <c r="AR22" s="384"/>
      <c r="AS22" s="384"/>
      <c r="AT22" s="385"/>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row>
    <row r="23" spans="1:76" ht="15" customHeight="1" x14ac:dyDescent="0.3">
      <c r="A23" s="54"/>
      <c r="B23" s="292"/>
      <c r="C23" s="292"/>
      <c r="D23" s="293"/>
      <c r="E23" s="393"/>
      <c r="F23" s="394"/>
      <c r="G23" s="394"/>
      <c r="H23" s="394"/>
      <c r="I23" s="392"/>
      <c r="J23" s="38" t="str">
        <f>IF(AND('Mapa final'!$AA$41="Alta",'Mapa final'!$AC$41="Leve"),CONCATENATE("R8C",'Mapa final'!$Q$41),"")</f>
        <v/>
      </c>
      <c r="K23" s="39" t="str">
        <f>IF(AND('Mapa final'!$AA$42="Alta",'Mapa final'!$AC$42="Leve"),CONCATENATE("R8C",'Mapa final'!$Q$42),"")</f>
        <v/>
      </c>
      <c r="L23" s="39" t="str">
        <f>IF(AND('Mapa final'!$AA$43="Alta",'Mapa final'!$AC$43="Leve"),CONCATENATE("R8C",'Mapa final'!$Q$43),"")</f>
        <v/>
      </c>
      <c r="M23" s="39" t="str">
        <f>IF(AND('Mapa final'!$AA$44="Alta",'Mapa final'!$AC$44="Leve"),CONCATENATE("R8C",'Mapa final'!$Q$44),"")</f>
        <v/>
      </c>
      <c r="N23" s="39" t="str">
        <f>IF(AND('Mapa final'!$AA$45="Alta",'Mapa final'!$AC$45="Leve"),CONCATENATE("R8C",'Mapa final'!$Q$45),"")</f>
        <v/>
      </c>
      <c r="O23" s="40" t="str">
        <f>IF(AND('Mapa final'!$AA$46="Alta",'Mapa final'!$AC$46="Leve"),CONCATENATE("R8C",'Mapa final'!$Q$46),"")</f>
        <v/>
      </c>
      <c r="P23" s="38" t="str">
        <f>IF(AND('Mapa final'!$AA$41="Alta",'Mapa final'!$AC$41="Menor"),CONCATENATE("R8C",'Mapa final'!$Q$41),"")</f>
        <v/>
      </c>
      <c r="Q23" s="39" t="str">
        <f>IF(AND('Mapa final'!$AA$42="Alta",'Mapa final'!$AC$42="Menor"),CONCATENATE("R8C",'Mapa final'!$Q$42),"")</f>
        <v/>
      </c>
      <c r="R23" s="39" t="str">
        <f>IF(AND('Mapa final'!$AA$43="Alta",'Mapa final'!$AC$43="Menor"),CONCATENATE("R8C",'Mapa final'!$Q$43),"")</f>
        <v/>
      </c>
      <c r="S23" s="39" t="str">
        <f>IF(AND('Mapa final'!$AA$44="Alta",'Mapa final'!$AC$44="Menor"),CONCATENATE("R8C",'Mapa final'!$Q$44),"")</f>
        <v/>
      </c>
      <c r="T23" s="39" t="str">
        <f>IF(AND('Mapa final'!$AA$45="Alta",'Mapa final'!$AC$45="Menor"),CONCATENATE("R8C",'Mapa final'!$Q$45),"")</f>
        <v/>
      </c>
      <c r="U23" s="40" t="str">
        <f>IF(AND('Mapa final'!$AA$46="Alta",'Mapa final'!$AC$46="Menor"),CONCATENATE("R8C",'Mapa final'!$Q$46),"")</f>
        <v/>
      </c>
      <c r="V23" s="22" t="str">
        <f>IF(AND('Mapa final'!$AA$41="Alta",'Mapa final'!$AC$41="Moderado"),CONCATENATE("R8C",'Mapa final'!$Q$41),"")</f>
        <v/>
      </c>
      <c r="W23" s="23" t="str">
        <f>IF(AND('Mapa final'!$AA$42="Alta",'Mapa final'!$AC$42="Moderado"),CONCATENATE("R8C",'Mapa final'!$Q$42),"")</f>
        <v/>
      </c>
      <c r="X23" s="28" t="str">
        <f>IF(AND('Mapa final'!$AA$43="Alta",'Mapa final'!$AC$43="Moderado"),CONCATENATE("R8C",'Mapa final'!$Q$43),"")</f>
        <v/>
      </c>
      <c r="Y23" s="28" t="str">
        <f>IF(AND('Mapa final'!$AA$44="Alta",'Mapa final'!$AC$44="Moderado"),CONCATENATE("R8C",'Mapa final'!$Q$44),"")</f>
        <v/>
      </c>
      <c r="Z23" s="28" t="str">
        <f>IF(AND('Mapa final'!$AA$45="Alta",'Mapa final'!$AC$45="Moderado"),CONCATENATE("R8C",'Mapa final'!$Q$45),"")</f>
        <v/>
      </c>
      <c r="AA23" s="24" t="str">
        <f>IF(AND('Mapa final'!$AA$46="Alta",'Mapa final'!$AC$46="Moderado"),CONCATENATE("R8C",'Mapa final'!$Q$46),"")</f>
        <v/>
      </c>
      <c r="AB23" s="22" t="str">
        <f>IF(AND('Mapa final'!$AA$41="Alta",'Mapa final'!$AC$41="Mayor"),CONCATENATE("R8C",'Mapa final'!$Q$41),"")</f>
        <v/>
      </c>
      <c r="AC23" s="23" t="str">
        <f>IF(AND('Mapa final'!$AA$42="Alta",'Mapa final'!$AC$42="Mayor"),CONCATENATE("R8C",'Mapa final'!$Q$42),"")</f>
        <v/>
      </c>
      <c r="AD23" s="28" t="str">
        <f>IF(AND('Mapa final'!$AA$43="Alta",'Mapa final'!$AC$43="Mayor"),CONCATENATE("R8C",'Mapa final'!$Q$43),"")</f>
        <v/>
      </c>
      <c r="AE23" s="28" t="str">
        <f>IF(AND('Mapa final'!$AA$44="Alta",'Mapa final'!$AC$44="Mayor"),CONCATENATE("R8C",'Mapa final'!$Q$44),"")</f>
        <v/>
      </c>
      <c r="AF23" s="28" t="str">
        <f>IF(AND('Mapa final'!$AA$45="Alta",'Mapa final'!$AC$45="Mayor"),CONCATENATE("R8C",'Mapa final'!$Q$45),"")</f>
        <v/>
      </c>
      <c r="AG23" s="24" t="str">
        <f>IF(AND('Mapa final'!$AA$46="Alta",'Mapa final'!$AC$46="Mayor"),CONCATENATE("R8C",'Mapa final'!$Q$46),"")</f>
        <v/>
      </c>
      <c r="AH23" s="25" t="str">
        <f>IF(AND('Mapa final'!$AA$41="Alta",'Mapa final'!$AC$41="Catastrófico"),CONCATENATE("R8C",'Mapa final'!$Q$41),"")</f>
        <v/>
      </c>
      <c r="AI23" s="26" t="str">
        <f>IF(AND('Mapa final'!$AA$42="Alta",'Mapa final'!$AC$42="Catastrófico"),CONCATENATE("R8C",'Mapa final'!$Q$42),"")</f>
        <v/>
      </c>
      <c r="AJ23" s="26" t="str">
        <f>IF(AND('Mapa final'!$AA$43="Alta",'Mapa final'!$AC$43="Catastrófico"),CONCATENATE("R8C",'Mapa final'!$Q$43),"")</f>
        <v/>
      </c>
      <c r="AK23" s="26" t="str">
        <f>IF(AND('Mapa final'!$AA$44="Alta",'Mapa final'!$AC$44="Catastrófico"),CONCATENATE("R8C",'Mapa final'!$Q$44),"")</f>
        <v/>
      </c>
      <c r="AL23" s="26" t="str">
        <f>IF(AND('Mapa final'!$AA$45="Alta",'Mapa final'!$AC$45="Catastrófico"),CONCATENATE("R8C",'Mapa final'!$Q$45),"")</f>
        <v/>
      </c>
      <c r="AM23" s="27" t="str">
        <f>IF(AND('Mapa final'!$AA$46="Alta",'Mapa final'!$AC$46="Catastrófico"),CONCATENATE("R8C",'Mapa final'!$Q$46),"")</f>
        <v/>
      </c>
      <c r="AN23" s="54"/>
      <c r="AO23" s="383"/>
      <c r="AP23" s="384"/>
      <c r="AQ23" s="384"/>
      <c r="AR23" s="384"/>
      <c r="AS23" s="384"/>
      <c r="AT23" s="385"/>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row>
    <row r="24" spans="1:76" ht="15" customHeight="1" x14ac:dyDescent="0.3">
      <c r="A24" s="54"/>
      <c r="B24" s="292"/>
      <c r="C24" s="292"/>
      <c r="D24" s="293"/>
      <c r="E24" s="393"/>
      <c r="F24" s="394"/>
      <c r="G24" s="394"/>
      <c r="H24" s="394"/>
      <c r="I24" s="392"/>
      <c r="J24" s="38" t="str">
        <f>IF(AND('Mapa final'!$AA$47="Alta",'Mapa final'!$AC$47="Leve"),CONCATENATE("R9C",'Mapa final'!$Q$47),"")</f>
        <v/>
      </c>
      <c r="K24" s="39" t="str">
        <f>IF(AND('Mapa final'!$AA$48="Alta",'Mapa final'!$AC$48="Leve"),CONCATENATE("R9C",'Mapa final'!$Q$48),"")</f>
        <v/>
      </c>
      <c r="L24" s="39" t="str">
        <f>IF(AND('Mapa final'!$AA$49="Alta",'Mapa final'!$AC$49="Leve"),CONCATENATE("R9C",'Mapa final'!$Q$49),"")</f>
        <v/>
      </c>
      <c r="M24" s="39" t="str">
        <f>IF(AND('Mapa final'!$AA$50="Alta",'Mapa final'!$AC$50="Leve"),CONCATENATE("R9C",'Mapa final'!$Q$50),"")</f>
        <v/>
      </c>
      <c r="N24" s="39" t="str">
        <f>IF(AND('Mapa final'!$AA$51="Alta",'Mapa final'!$AC$51="Leve"),CONCATENATE("R9C",'Mapa final'!$Q$51),"")</f>
        <v/>
      </c>
      <c r="O24" s="40" t="str">
        <f>IF(AND('Mapa final'!$AA$52="Alta",'Mapa final'!$AC$52="Leve"),CONCATENATE("R9C",'Mapa final'!$Q$52),"")</f>
        <v/>
      </c>
      <c r="P24" s="38" t="str">
        <f>IF(AND('Mapa final'!$AA$47="Alta",'Mapa final'!$AC$47="Menor"),CONCATENATE("R9C",'Mapa final'!$Q$47),"")</f>
        <v/>
      </c>
      <c r="Q24" s="39" t="str">
        <f>IF(AND('Mapa final'!$AA$48="Alta",'Mapa final'!$AC$48="Menor"),CONCATENATE("R9C",'Mapa final'!$Q$48),"")</f>
        <v/>
      </c>
      <c r="R24" s="39" t="str">
        <f>IF(AND('Mapa final'!$AA$49="Alta",'Mapa final'!$AC$49="Menor"),CONCATENATE("R9C",'Mapa final'!$Q$49),"")</f>
        <v/>
      </c>
      <c r="S24" s="39" t="str">
        <f>IF(AND('Mapa final'!$AA$50="Alta",'Mapa final'!$AC$50="Menor"),CONCATENATE("R9C",'Mapa final'!$Q$50),"")</f>
        <v/>
      </c>
      <c r="T24" s="39" t="str">
        <f>IF(AND('Mapa final'!$AA$51="Alta",'Mapa final'!$AC$51="Menor"),CONCATENATE("R9C",'Mapa final'!$Q$51),"")</f>
        <v/>
      </c>
      <c r="U24" s="40" t="str">
        <f>IF(AND('Mapa final'!$AA$52="Alta",'Mapa final'!$AC$52="Menor"),CONCATENATE("R9C",'Mapa final'!$Q$52),"")</f>
        <v/>
      </c>
      <c r="V24" s="22" t="str">
        <f>IF(AND('Mapa final'!$AA$47="Alta",'Mapa final'!$AC$47="Moderado"),CONCATENATE("R9C",'Mapa final'!$Q$47),"")</f>
        <v/>
      </c>
      <c r="W24" s="23" t="str">
        <f>IF(AND('Mapa final'!$AA$48="Alta",'Mapa final'!$AC$48="Moderado"),CONCATENATE("R9C",'Mapa final'!$Q$48),"")</f>
        <v/>
      </c>
      <c r="X24" s="28" t="str">
        <f>IF(AND('Mapa final'!$AA$49="Alta",'Mapa final'!$AC$49="Moderado"),CONCATENATE("R9C",'Mapa final'!$Q$49),"")</f>
        <v/>
      </c>
      <c r="Y24" s="28" t="str">
        <f>IF(AND('Mapa final'!$AA$50="Alta",'Mapa final'!$AC$50="Moderado"),CONCATENATE("R9C",'Mapa final'!$Q$50),"")</f>
        <v/>
      </c>
      <c r="Z24" s="28" t="str">
        <f>IF(AND('Mapa final'!$AA$51="Alta",'Mapa final'!$AC$51="Moderado"),CONCATENATE("R9C",'Mapa final'!$Q$51),"")</f>
        <v/>
      </c>
      <c r="AA24" s="24" t="str">
        <f>IF(AND('Mapa final'!$AA$52="Alta",'Mapa final'!$AC$52="Moderado"),CONCATENATE("R9C",'Mapa final'!$Q$52),"")</f>
        <v/>
      </c>
      <c r="AB24" s="22" t="str">
        <f>IF(AND('Mapa final'!$AA$47="Alta",'Mapa final'!$AC$47="Mayor"),CONCATENATE("R9C",'Mapa final'!$Q$47),"")</f>
        <v/>
      </c>
      <c r="AC24" s="23" t="str">
        <f>IF(AND('Mapa final'!$AA$48="Alta",'Mapa final'!$AC$48="Mayor"),CONCATENATE("R9C",'Mapa final'!$Q$48),"")</f>
        <v/>
      </c>
      <c r="AD24" s="28" t="str">
        <f>IF(AND('Mapa final'!$AA$49="Alta",'Mapa final'!$AC$49="Mayor"),CONCATENATE("R9C",'Mapa final'!$Q$49),"")</f>
        <v/>
      </c>
      <c r="AE24" s="28" t="str">
        <f>IF(AND('Mapa final'!$AA$50="Alta",'Mapa final'!$AC$50="Mayor"),CONCATENATE("R9C",'Mapa final'!$Q$50),"")</f>
        <v/>
      </c>
      <c r="AF24" s="28" t="str">
        <f>IF(AND('Mapa final'!$AA$51="Alta",'Mapa final'!$AC$51="Mayor"),CONCATENATE("R9C",'Mapa final'!$Q$51),"")</f>
        <v/>
      </c>
      <c r="AG24" s="24" t="str">
        <f>IF(AND('Mapa final'!$AA$52="Alta",'Mapa final'!$AC$52="Mayor"),CONCATENATE("R9C",'Mapa final'!$Q$52),"")</f>
        <v/>
      </c>
      <c r="AH24" s="25" t="str">
        <f>IF(AND('Mapa final'!$AA$47="Alta",'Mapa final'!$AC$47="Catastrófico"),CONCATENATE("R9C",'Mapa final'!$Q$47),"")</f>
        <v/>
      </c>
      <c r="AI24" s="26" t="str">
        <f>IF(AND('Mapa final'!$AA$48="Alta",'Mapa final'!$AC$48="Catastrófico"),CONCATENATE("R9C",'Mapa final'!$Q$48),"")</f>
        <v/>
      </c>
      <c r="AJ24" s="26" t="str">
        <f>IF(AND('Mapa final'!$AA$49="Alta",'Mapa final'!$AC$49="Catastrófico"),CONCATENATE("R9C",'Mapa final'!$Q$49),"")</f>
        <v/>
      </c>
      <c r="AK24" s="26" t="str">
        <f>IF(AND('Mapa final'!$AA$50="Alta",'Mapa final'!$AC$50="Catastrófico"),CONCATENATE("R9C",'Mapa final'!$Q$50),"")</f>
        <v/>
      </c>
      <c r="AL24" s="26" t="str">
        <f>IF(AND('Mapa final'!$AA$51="Alta",'Mapa final'!$AC$51="Catastrófico"),CONCATENATE("R9C",'Mapa final'!$Q$51),"")</f>
        <v/>
      </c>
      <c r="AM24" s="27" t="str">
        <f>IF(AND('Mapa final'!$AA$52="Alta",'Mapa final'!$AC$52="Catastrófico"),CONCATENATE("R9C",'Mapa final'!$Q$52),"")</f>
        <v/>
      </c>
      <c r="AN24" s="54"/>
      <c r="AO24" s="383"/>
      <c r="AP24" s="384"/>
      <c r="AQ24" s="384"/>
      <c r="AR24" s="384"/>
      <c r="AS24" s="384"/>
      <c r="AT24" s="385"/>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row>
    <row r="25" spans="1:76" ht="15.75" customHeight="1" thickBot="1" x14ac:dyDescent="0.35">
      <c r="A25" s="54"/>
      <c r="B25" s="292"/>
      <c r="C25" s="292"/>
      <c r="D25" s="293"/>
      <c r="E25" s="395"/>
      <c r="F25" s="396"/>
      <c r="G25" s="396"/>
      <c r="H25" s="396"/>
      <c r="I25" s="396"/>
      <c r="J25" s="41" t="str">
        <f>IF(AND('Mapa final'!$AA$53="Alta",'Mapa final'!$AC$53="Leve"),CONCATENATE("R10C",'Mapa final'!$Q$53),"")</f>
        <v/>
      </c>
      <c r="K25" s="42" t="str">
        <f>IF(AND('Mapa final'!$AA$54="Alta",'Mapa final'!$AC$54="Leve"),CONCATENATE("R10C",'Mapa final'!$Q$54),"")</f>
        <v/>
      </c>
      <c r="L25" s="42" t="str">
        <f>IF(AND('Mapa final'!$AA$55="Alta",'Mapa final'!$AC$55="Leve"),CONCATENATE("R10C",'Mapa final'!$Q$55),"")</f>
        <v/>
      </c>
      <c r="M25" s="42" t="str">
        <f>IF(AND('Mapa final'!$AA$56="Alta",'Mapa final'!$AC$56="Leve"),CONCATENATE("R10C",'Mapa final'!$Q$56),"")</f>
        <v/>
      </c>
      <c r="N25" s="42" t="str">
        <f>IF(AND('Mapa final'!$AA$57="Alta",'Mapa final'!$AC$57="Leve"),CONCATENATE("R10C",'Mapa final'!$Q$57),"")</f>
        <v/>
      </c>
      <c r="O25" s="43" t="str">
        <f>IF(AND('Mapa final'!$AA$58="Alta",'Mapa final'!$AC$58="Leve"),CONCATENATE("R10C",'Mapa final'!$Q$58),"")</f>
        <v/>
      </c>
      <c r="P25" s="41" t="str">
        <f>IF(AND('Mapa final'!$AA$53="Alta",'Mapa final'!$AC$53="Menor"),CONCATENATE("R10C",'Mapa final'!$Q$53),"")</f>
        <v/>
      </c>
      <c r="Q25" s="42" t="str">
        <f>IF(AND('Mapa final'!$AA$54="Alta",'Mapa final'!$AC$54="Menor"),CONCATENATE("R10C",'Mapa final'!$Q$54),"")</f>
        <v/>
      </c>
      <c r="R25" s="42" t="str">
        <f>IF(AND('Mapa final'!$AA$55="Alta",'Mapa final'!$AC$55="Menor"),CONCATENATE("R10C",'Mapa final'!$Q$55),"")</f>
        <v/>
      </c>
      <c r="S25" s="42" t="str">
        <f>IF(AND('Mapa final'!$AA$56="Alta",'Mapa final'!$AC$56="Menor"),CONCATENATE("R10C",'Mapa final'!$Q$56),"")</f>
        <v/>
      </c>
      <c r="T25" s="42" t="str">
        <f>IF(AND('Mapa final'!$AA$57="Alta",'Mapa final'!$AC$57="Menor"),CONCATENATE("R10C",'Mapa final'!$Q$57),"")</f>
        <v/>
      </c>
      <c r="U25" s="43" t="str">
        <f>IF(AND('Mapa final'!$AA$58="Alta",'Mapa final'!$AC$58="Menor"),CONCATENATE("R10C",'Mapa final'!$Q$58),"")</f>
        <v/>
      </c>
      <c r="V25" s="29" t="str">
        <f>IF(AND('Mapa final'!$AA$53="Alta",'Mapa final'!$AC$53="Moderado"),CONCATENATE("R10C",'Mapa final'!$Q$53),"")</f>
        <v/>
      </c>
      <c r="W25" s="30" t="str">
        <f>IF(AND('Mapa final'!$AA$54="Alta",'Mapa final'!$AC$54="Moderado"),CONCATENATE("R10C",'Mapa final'!$Q$54),"")</f>
        <v/>
      </c>
      <c r="X25" s="30" t="str">
        <f>IF(AND('Mapa final'!$AA$55="Alta",'Mapa final'!$AC$55="Moderado"),CONCATENATE("R10C",'Mapa final'!$Q$55),"")</f>
        <v/>
      </c>
      <c r="Y25" s="30" t="str">
        <f>IF(AND('Mapa final'!$AA$56="Alta",'Mapa final'!$AC$56="Moderado"),CONCATENATE("R10C",'Mapa final'!$Q$56),"")</f>
        <v/>
      </c>
      <c r="Z25" s="30" t="str">
        <f>IF(AND('Mapa final'!$AA$57="Alta",'Mapa final'!$AC$57="Moderado"),CONCATENATE("R10C",'Mapa final'!$Q$57),"")</f>
        <v/>
      </c>
      <c r="AA25" s="31" t="str">
        <f>IF(AND('Mapa final'!$AA$58="Alta",'Mapa final'!$AC$58="Moderado"),CONCATENATE("R10C",'Mapa final'!$Q$58),"")</f>
        <v/>
      </c>
      <c r="AB25" s="29" t="str">
        <f>IF(AND('Mapa final'!$AA$53="Alta",'Mapa final'!$AC$53="Mayor"),CONCATENATE("R10C",'Mapa final'!$Q$53),"")</f>
        <v/>
      </c>
      <c r="AC25" s="30" t="str">
        <f>IF(AND('Mapa final'!$AA$54="Alta",'Mapa final'!$AC$54="Mayor"),CONCATENATE("R10C",'Mapa final'!$Q$54),"")</f>
        <v/>
      </c>
      <c r="AD25" s="30" t="str">
        <f>IF(AND('Mapa final'!$AA$55="Alta",'Mapa final'!$AC$55="Mayor"),CONCATENATE("R10C",'Mapa final'!$Q$55),"")</f>
        <v/>
      </c>
      <c r="AE25" s="30" t="str">
        <f>IF(AND('Mapa final'!$AA$56="Alta",'Mapa final'!$AC$56="Mayor"),CONCATENATE("R10C",'Mapa final'!$Q$56),"")</f>
        <v/>
      </c>
      <c r="AF25" s="30" t="str">
        <f>IF(AND('Mapa final'!$AA$57="Alta",'Mapa final'!$AC$57="Mayor"),CONCATENATE("R10C",'Mapa final'!$Q$57),"")</f>
        <v/>
      </c>
      <c r="AG25" s="31" t="str">
        <f>IF(AND('Mapa final'!$AA$58="Alta",'Mapa final'!$AC$58="Mayor"),CONCATENATE("R10C",'Mapa final'!$Q$58),"")</f>
        <v/>
      </c>
      <c r="AH25" s="32" t="str">
        <f>IF(AND('Mapa final'!$AA$53="Alta",'Mapa final'!$AC$53="Catastrófico"),CONCATENATE("R10C",'Mapa final'!$Q$53),"")</f>
        <v/>
      </c>
      <c r="AI25" s="33" t="str">
        <f>IF(AND('Mapa final'!$AA$54="Alta",'Mapa final'!$AC$54="Catastrófico"),CONCATENATE("R10C",'Mapa final'!$Q$54),"")</f>
        <v/>
      </c>
      <c r="AJ25" s="33" t="str">
        <f>IF(AND('Mapa final'!$AA$55="Alta",'Mapa final'!$AC$55="Catastrófico"),CONCATENATE("R10C",'Mapa final'!$Q$55),"")</f>
        <v/>
      </c>
      <c r="AK25" s="33" t="str">
        <f>IF(AND('Mapa final'!$AA$56="Alta",'Mapa final'!$AC$56="Catastrófico"),CONCATENATE("R10C",'Mapa final'!$Q$56),"")</f>
        <v/>
      </c>
      <c r="AL25" s="33" t="str">
        <f>IF(AND('Mapa final'!$AA$57="Alta",'Mapa final'!$AC$57="Catastrófico"),CONCATENATE("R10C",'Mapa final'!$Q$57),"")</f>
        <v/>
      </c>
      <c r="AM25" s="34" t="str">
        <f>IF(AND('Mapa final'!$AA$58="Alta",'Mapa final'!$AC$58="Catastrófico"),CONCATENATE("R10C",'Mapa final'!$Q$58),"")</f>
        <v/>
      </c>
      <c r="AN25" s="54"/>
      <c r="AO25" s="386"/>
      <c r="AP25" s="387"/>
      <c r="AQ25" s="387"/>
      <c r="AR25" s="387"/>
      <c r="AS25" s="387"/>
      <c r="AT25" s="388"/>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row>
    <row r="26" spans="1:76" ht="15" customHeight="1" x14ac:dyDescent="0.3">
      <c r="A26" s="54"/>
      <c r="B26" s="292"/>
      <c r="C26" s="292"/>
      <c r="D26" s="293"/>
      <c r="E26" s="389" t="s">
        <v>112</v>
      </c>
      <c r="F26" s="390"/>
      <c r="G26" s="390"/>
      <c r="H26" s="390"/>
      <c r="I26" s="408"/>
      <c r="J26" s="35" t="str">
        <f ca="1">IF(AND('Mapa final'!$AA$10="Media",'Mapa final'!$AC$10="Leve"),CONCATENATE("R1C",'Mapa final'!$Q$10),"")</f>
        <v/>
      </c>
      <c r="K26" s="36" t="str">
        <f ca="1">IF(AND('Mapa final'!$AA$11="Media",'Mapa final'!$AC$11="Leve"),CONCATENATE("R1C",'Mapa final'!$Q$11),"")</f>
        <v/>
      </c>
      <c r="L26" s="36" t="str">
        <f ca="1">IF(AND('Mapa final'!$AA$12="Media",'Mapa final'!$AC$12="Leve"),CONCATENATE("R1C",'Mapa final'!$Q$12),"")</f>
        <v/>
      </c>
      <c r="M26" s="36" t="str">
        <f ca="1">IF(AND('Mapa final'!$AA$13="Media",'Mapa final'!$AC$13="Leve"),CONCATENATE("R1C",'Mapa final'!$Q$13),"")</f>
        <v/>
      </c>
      <c r="N26" s="36" t="str">
        <f ca="1">IF(AND('Mapa final'!$AA$14="Media",'Mapa final'!$AC$14="Leve"),CONCATENATE("R1C",'Mapa final'!$Q$14),"")</f>
        <v/>
      </c>
      <c r="O26" s="37" t="e">
        <f>IF(AND('Mapa final'!#REF!="Media",'Mapa final'!#REF!="Leve"),CONCATENATE("R1C",'Mapa final'!#REF!),"")</f>
        <v>#REF!</v>
      </c>
      <c r="P26" s="35" t="str">
        <f ca="1">IF(AND('Mapa final'!$AA$10="Media",'Mapa final'!$AC$10="Menor"),CONCATENATE("R1C",'Mapa final'!$Q$10),"")</f>
        <v/>
      </c>
      <c r="Q26" s="36" t="str">
        <f ca="1">IF(AND('Mapa final'!$AA$11="Media",'Mapa final'!$AC$11="Menor"),CONCATENATE("R1C",'Mapa final'!$Q$11),"")</f>
        <v/>
      </c>
      <c r="R26" s="36" t="str">
        <f ca="1">IF(AND('Mapa final'!$AA$12="Media",'Mapa final'!$AC$12="Menor"),CONCATENATE("R1C",'Mapa final'!$Q$12),"")</f>
        <v/>
      </c>
      <c r="S26" s="36" t="str">
        <f ca="1">IF(AND('Mapa final'!$AA$13="Media",'Mapa final'!$AC$13="Menor"),CONCATENATE("R1C",'Mapa final'!$Q$13),"")</f>
        <v/>
      </c>
      <c r="T26" s="36" t="str">
        <f ca="1">IF(AND('Mapa final'!$AA$14="Media",'Mapa final'!$AC$14="Menor"),CONCATENATE("R1C",'Mapa final'!$Q$14),"")</f>
        <v/>
      </c>
      <c r="U26" s="37" t="e">
        <f>IF(AND('Mapa final'!#REF!="Media",'Mapa final'!#REF!="Menor"),CONCATENATE("R1C",'Mapa final'!#REF!),"")</f>
        <v>#REF!</v>
      </c>
      <c r="V26" s="35" t="str">
        <f ca="1">IF(AND('Mapa final'!$AA$10="Media",'Mapa final'!$AC$10="Moderado"),CONCATENATE("R1C",'Mapa final'!$Q$10),"")</f>
        <v/>
      </c>
      <c r="W26" s="36" t="str">
        <f ca="1">IF(AND('Mapa final'!$AA$11="Media",'Mapa final'!$AC$11="Moderado"),CONCATENATE("R1C",'Mapa final'!$Q$11),"")</f>
        <v/>
      </c>
      <c r="X26" s="36" t="str">
        <f ca="1">IF(AND('Mapa final'!$AA$12="Media",'Mapa final'!$AC$12="Moderado"),CONCATENATE("R1C",'Mapa final'!$Q$12),"")</f>
        <v/>
      </c>
      <c r="Y26" s="36" t="str">
        <f ca="1">IF(AND('Mapa final'!$AA$13="Media",'Mapa final'!$AC$13="Moderado"),CONCATENATE("R1C",'Mapa final'!$Q$13),"")</f>
        <v/>
      </c>
      <c r="Z26" s="36" t="str">
        <f ca="1">IF(AND('Mapa final'!$AA$14="Media",'Mapa final'!$AC$14="Moderado"),CONCATENATE("R1C",'Mapa final'!$Q$14),"")</f>
        <v/>
      </c>
      <c r="AA26" s="37" t="e">
        <f>IF(AND('Mapa final'!#REF!="Media",'Mapa final'!#REF!="Moderado"),CONCATENATE("R1C",'Mapa final'!#REF!),"")</f>
        <v>#REF!</v>
      </c>
      <c r="AB26" s="16" t="str">
        <f ca="1">IF(AND('Mapa final'!$AA$10="Media",'Mapa final'!$AC$10="Mayor"),CONCATENATE("R1C",'Mapa final'!$Q$10),"")</f>
        <v>R1C1</v>
      </c>
      <c r="AC26" s="17" t="str">
        <f ca="1">IF(AND('Mapa final'!$AA$11="Media",'Mapa final'!$AC$11="Mayor"),CONCATENATE("R1C",'Mapa final'!$Q$11),"")</f>
        <v/>
      </c>
      <c r="AD26" s="17" t="str">
        <f ca="1">IF(AND('Mapa final'!$AA$12="Media",'Mapa final'!$AC$12="Mayor"),CONCATENATE("R1C",'Mapa final'!$Q$12),"")</f>
        <v/>
      </c>
      <c r="AE26" s="17" t="str">
        <f ca="1">IF(AND('Mapa final'!$AA$13="Media",'Mapa final'!$AC$13="Mayor"),CONCATENATE("R1C",'Mapa final'!$Q$13),"")</f>
        <v/>
      </c>
      <c r="AF26" s="17" t="str">
        <f ca="1">IF(AND('Mapa final'!$AA$14="Media",'Mapa final'!$AC$14="Mayor"),CONCATENATE("R1C",'Mapa final'!$Q$14),"")</f>
        <v/>
      </c>
      <c r="AG26" s="18" t="e">
        <f>IF(AND('Mapa final'!#REF!="Media",'Mapa final'!#REF!="Mayor"),CONCATENATE("R1C",'Mapa final'!#REF!),"")</f>
        <v>#REF!</v>
      </c>
      <c r="AH26" s="19" t="str">
        <f ca="1">IF(AND('Mapa final'!$AA$10="Media",'Mapa final'!$AC$10="Catastrófico"),CONCATENATE("R1C",'Mapa final'!$Q$10),"")</f>
        <v/>
      </c>
      <c r="AI26" s="20" t="str">
        <f ca="1">IF(AND('Mapa final'!$AA$11="Media",'Mapa final'!$AC$11="Catastrófico"),CONCATENATE("R1C",'Mapa final'!$Q$11),"")</f>
        <v/>
      </c>
      <c r="AJ26" s="20" t="str">
        <f ca="1">IF(AND('Mapa final'!$AA$12="Media",'Mapa final'!$AC$12="Catastrófico"),CONCATENATE("R1C",'Mapa final'!$Q$12),"")</f>
        <v/>
      </c>
      <c r="AK26" s="20" t="str">
        <f ca="1">IF(AND('Mapa final'!$AA$13="Media",'Mapa final'!$AC$13="Catastrófico"),CONCATENATE("R1C",'Mapa final'!$Q$13),"")</f>
        <v/>
      </c>
      <c r="AL26" s="20" t="str">
        <f ca="1">IF(AND('Mapa final'!$AA$14="Media",'Mapa final'!$AC$14="Catastrófico"),CONCATENATE("R1C",'Mapa final'!$Q$14),"")</f>
        <v/>
      </c>
      <c r="AM26" s="21" t="e">
        <f>IF(AND('Mapa final'!#REF!="Media",'Mapa final'!#REF!="Catastrófico"),CONCATENATE("R1C",'Mapa final'!#REF!),"")</f>
        <v>#REF!</v>
      </c>
      <c r="AN26" s="54"/>
      <c r="AO26" s="420" t="s">
        <v>80</v>
      </c>
      <c r="AP26" s="421"/>
      <c r="AQ26" s="421"/>
      <c r="AR26" s="421"/>
      <c r="AS26" s="421"/>
      <c r="AT26" s="422"/>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row>
    <row r="27" spans="1:76" ht="15" customHeight="1" x14ac:dyDescent="0.3">
      <c r="A27" s="54"/>
      <c r="B27" s="292"/>
      <c r="C27" s="292"/>
      <c r="D27" s="293"/>
      <c r="E27" s="391"/>
      <c r="F27" s="392"/>
      <c r="G27" s="392"/>
      <c r="H27" s="392"/>
      <c r="I27" s="409"/>
      <c r="J27" s="38" t="str">
        <f ca="1">IF(AND('Mapa final'!$AA$15="Media",'Mapa final'!$AC$15="Leve"),CONCATENATE("R2C",'Mapa final'!$Q$15),"")</f>
        <v/>
      </c>
      <c r="K27" s="39" t="str">
        <f ca="1">IF(AND('Mapa final'!$AA$16="Media",'Mapa final'!$AC$16="Leve"),CONCATENATE("R2C",'Mapa final'!$Q$16),"")</f>
        <v/>
      </c>
      <c r="L27" s="39" t="e">
        <f>IF(AND('Mapa final'!#REF!="Media",'Mapa final'!#REF!="Leve"),CONCATENATE("R2C",'Mapa final'!$Q$17),"")</f>
        <v>#REF!</v>
      </c>
      <c r="M27" s="39" t="e">
        <f>IF(AND('Mapa final'!#REF!="Media",'Mapa final'!#REF!="Leve"),CONCATENATE("R2C",'Mapa final'!#REF!),"")</f>
        <v>#REF!</v>
      </c>
      <c r="N27" s="39" t="e">
        <f>IF(AND('Mapa final'!#REF!="Media",'Mapa final'!#REF!="Leve"),CONCATENATE("R2C",'Mapa final'!#REF!),"")</f>
        <v>#REF!</v>
      </c>
      <c r="O27" s="40" t="e">
        <f>IF(AND('Mapa final'!#REF!="Media",'Mapa final'!#REF!="Leve"),CONCATENATE("R2C",'Mapa final'!#REF!),"")</f>
        <v>#REF!</v>
      </c>
      <c r="P27" s="38" t="str">
        <f ca="1">IF(AND('Mapa final'!$AA$15="Media",'Mapa final'!$AC$15="Menor"),CONCATENATE("R2C",'Mapa final'!$Q$15),"")</f>
        <v/>
      </c>
      <c r="Q27" s="39" t="str">
        <f ca="1">IF(AND('Mapa final'!$AA$16="Media",'Mapa final'!$AC$16="Menor"),CONCATENATE("R2C",'Mapa final'!$Q$16),"")</f>
        <v/>
      </c>
      <c r="R27" s="39" t="e">
        <f>IF(AND('Mapa final'!#REF!="Media",'Mapa final'!#REF!="Menor"),CONCATENATE("R2C",'Mapa final'!$Q$17),"")</f>
        <v>#REF!</v>
      </c>
      <c r="S27" s="39" t="e">
        <f>IF(AND('Mapa final'!#REF!="Media",'Mapa final'!#REF!="Menor"),CONCATENATE("R2C",'Mapa final'!#REF!),"")</f>
        <v>#REF!</v>
      </c>
      <c r="T27" s="39" t="e">
        <f>IF(AND('Mapa final'!#REF!="Media",'Mapa final'!#REF!="Menor"),CONCATENATE("R2C",'Mapa final'!#REF!),"")</f>
        <v>#REF!</v>
      </c>
      <c r="U27" s="40" t="e">
        <f>IF(AND('Mapa final'!#REF!="Media",'Mapa final'!#REF!="Menor"),CONCATENATE("R2C",'Mapa final'!#REF!),"")</f>
        <v>#REF!</v>
      </c>
      <c r="V27" s="38" t="str">
        <f ca="1">IF(AND('Mapa final'!$AA$15="Media",'Mapa final'!$AC$15="Moderado"),CONCATENATE("R2C",'Mapa final'!$Q$15),"")</f>
        <v/>
      </c>
      <c r="W27" s="39" t="str">
        <f ca="1">IF(AND('Mapa final'!$AA$16="Media",'Mapa final'!$AC$16="Moderado"),CONCATENATE("R2C",'Mapa final'!$Q$16),"")</f>
        <v/>
      </c>
      <c r="X27" s="39" t="e">
        <f>IF(AND('Mapa final'!#REF!="Media",'Mapa final'!#REF!="Moderado"),CONCATENATE("R2C",'Mapa final'!$Q$17),"")</f>
        <v>#REF!</v>
      </c>
      <c r="Y27" s="39" t="e">
        <f>IF(AND('Mapa final'!#REF!="Media",'Mapa final'!#REF!="Moderado"),CONCATENATE("R2C",'Mapa final'!#REF!),"")</f>
        <v>#REF!</v>
      </c>
      <c r="Z27" s="39" t="e">
        <f>IF(AND('Mapa final'!#REF!="Media",'Mapa final'!#REF!="Moderado"),CONCATENATE("R2C",'Mapa final'!#REF!),"")</f>
        <v>#REF!</v>
      </c>
      <c r="AA27" s="40" t="e">
        <f>IF(AND('Mapa final'!#REF!="Media",'Mapa final'!#REF!="Moderado"),CONCATENATE("R2C",'Mapa final'!#REF!),"")</f>
        <v>#REF!</v>
      </c>
      <c r="AB27" s="22" t="str">
        <f ca="1">IF(AND('Mapa final'!$AA$15="Media",'Mapa final'!$AC$15="Mayor"),CONCATENATE("R2C",'Mapa final'!$Q$15),"")</f>
        <v>R2C1</v>
      </c>
      <c r="AC27" s="23" t="str">
        <f ca="1">IF(AND('Mapa final'!$AA$16="Media",'Mapa final'!$AC$16="Mayor"),CONCATENATE("R2C",'Mapa final'!$Q$16),"")</f>
        <v/>
      </c>
      <c r="AD27" s="23" t="e">
        <f>IF(AND('Mapa final'!#REF!="Media",'Mapa final'!#REF!="Mayor"),CONCATENATE("R2C",'Mapa final'!$Q$17),"")</f>
        <v>#REF!</v>
      </c>
      <c r="AE27" s="23" t="e">
        <f>IF(AND('Mapa final'!#REF!="Media",'Mapa final'!#REF!="Mayor"),CONCATENATE("R2C",'Mapa final'!#REF!),"")</f>
        <v>#REF!</v>
      </c>
      <c r="AF27" s="23" t="e">
        <f>IF(AND('Mapa final'!#REF!="Media",'Mapa final'!#REF!="Mayor"),CONCATENATE("R2C",'Mapa final'!#REF!),"")</f>
        <v>#REF!</v>
      </c>
      <c r="AG27" s="24" t="e">
        <f>IF(AND('Mapa final'!#REF!="Media",'Mapa final'!#REF!="Mayor"),CONCATENATE("R2C",'Mapa final'!#REF!),"")</f>
        <v>#REF!</v>
      </c>
      <c r="AH27" s="25" t="str">
        <f ca="1">IF(AND('Mapa final'!$AA$15="Media",'Mapa final'!$AC$15="Catastrófico"),CONCATENATE("R2C",'Mapa final'!$Q$15),"")</f>
        <v/>
      </c>
      <c r="AI27" s="26" t="str">
        <f ca="1">IF(AND('Mapa final'!$AA$16="Media",'Mapa final'!$AC$16="Catastrófico"),CONCATENATE("R2C",'Mapa final'!$Q$16),"")</f>
        <v/>
      </c>
      <c r="AJ27" s="26" t="e">
        <f>IF(AND('Mapa final'!#REF!="Media",'Mapa final'!#REF!="Catastrófico"),CONCATENATE("R2C",'Mapa final'!$Q$17),"")</f>
        <v>#REF!</v>
      </c>
      <c r="AK27" s="26" t="e">
        <f>IF(AND('Mapa final'!#REF!="Media",'Mapa final'!#REF!="Catastrófico"),CONCATENATE("R2C",'Mapa final'!#REF!),"")</f>
        <v>#REF!</v>
      </c>
      <c r="AL27" s="26" t="e">
        <f>IF(AND('Mapa final'!#REF!="Media",'Mapa final'!#REF!="Catastrófico"),CONCATENATE("R2C",'Mapa final'!#REF!),"")</f>
        <v>#REF!</v>
      </c>
      <c r="AM27" s="27" t="e">
        <f>IF(AND('Mapa final'!#REF!="Media",'Mapa final'!#REF!="Catastrófico"),CONCATENATE("R2C",'Mapa final'!#REF!),"")</f>
        <v>#REF!</v>
      </c>
      <c r="AN27" s="54"/>
      <c r="AO27" s="423"/>
      <c r="AP27" s="424"/>
      <c r="AQ27" s="424"/>
      <c r="AR27" s="424"/>
      <c r="AS27" s="424"/>
      <c r="AT27" s="425"/>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row>
    <row r="28" spans="1:76" ht="15" customHeight="1" x14ac:dyDescent="0.3">
      <c r="A28" s="54"/>
      <c r="B28" s="292"/>
      <c r="C28" s="292"/>
      <c r="D28" s="293"/>
      <c r="E28" s="393"/>
      <c r="F28" s="394"/>
      <c r="G28" s="394"/>
      <c r="H28" s="394"/>
      <c r="I28" s="409"/>
      <c r="J28" s="38" t="e">
        <f>IF(AND('Mapa final'!#REF!="Media",'Mapa final'!#REF!="Leve"),CONCATENATE("R3C",'Mapa final'!#REF!),"")</f>
        <v>#REF!</v>
      </c>
      <c r="K28" s="39" t="e">
        <f>IF(AND('Mapa final'!#REF!="Media",'Mapa final'!#REF!="Leve"),CONCATENATE("R3C",'Mapa final'!#REF!),"")</f>
        <v>#REF!</v>
      </c>
      <c r="L28" s="39" t="e">
        <f>IF(AND('Mapa final'!#REF!="Media",'Mapa final'!#REF!="Leve"),CONCATENATE("R3C",'Mapa final'!#REF!),"")</f>
        <v>#REF!</v>
      </c>
      <c r="M28" s="39" t="e">
        <f>IF(AND('Mapa final'!#REF!="Media",'Mapa final'!#REF!="Leve"),CONCATENATE("R3C",'Mapa final'!#REF!),"")</f>
        <v>#REF!</v>
      </c>
      <c r="N28" s="39" t="e">
        <f>IF(AND('Mapa final'!#REF!="Media",'Mapa final'!#REF!="Leve"),CONCATENATE("R3C",'Mapa final'!#REF!),"")</f>
        <v>#REF!</v>
      </c>
      <c r="O28" s="40" t="e">
        <f>IF(AND('Mapa final'!#REF!="Media",'Mapa final'!#REF!="Leve"),CONCATENATE("R3C",'Mapa final'!#REF!),"")</f>
        <v>#REF!</v>
      </c>
      <c r="P28" s="38" t="e">
        <f>IF(AND('Mapa final'!#REF!="Media",'Mapa final'!#REF!="Menor"),CONCATENATE("R3C",'Mapa final'!#REF!),"")</f>
        <v>#REF!</v>
      </c>
      <c r="Q28" s="39" t="e">
        <f>IF(AND('Mapa final'!#REF!="Media",'Mapa final'!#REF!="Menor"),CONCATENATE("R3C",'Mapa final'!#REF!),"")</f>
        <v>#REF!</v>
      </c>
      <c r="R28" s="39" t="e">
        <f>IF(AND('Mapa final'!#REF!="Media",'Mapa final'!#REF!="Menor"),CONCATENATE("R3C",'Mapa final'!#REF!),"")</f>
        <v>#REF!</v>
      </c>
      <c r="S28" s="39" t="e">
        <f>IF(AND('Mapa final'!#REF!="Media",'Mapa final'!#REF!="Menor"),CONCATENATE("R3C",'Mapa final'!#REF!),"")</f>
        <v>#REF!</v>
      </c>
      <c r="T28" s="39" t="e">
        <f>IF(AND('Mapa final'!#REF!="Media",'Mapa final'!#REF!="Menor"),CONCATENATE("R3C",'Mapa final'!#REF!),"")</f>
        <v>#REF!</v>
      </c>
      <c r="U28" s="40" t="e">
        <f>IF(AND('Mapa final'!#REF!="Media",'Mapa final'!#REF!="Menor"),CONCATENATE("R3C",'Mapa final'!#REF!),"")</f>
        <v>#REF!</v>
      </c>
      <c r="V28" s="38" t="e">
        <f>IF(AND('Mapa final'!#REF!="Media",'Mapa final'!#REF!="Moderado"),CONCATENATE("R3C",'Mapa final'!#REF!),"")</f>
        <v>#REF!</v>
      </c>
      <c r="W28" s="39" t="e">
        <f>IF(AND('Mapa final'!#REF!="Media",'Mapa final'!#REF!="Moderado"),CONCATENATE("R3C",'Mapa final'!#REF!),"")</f>
        <v>#REF!</v>
      </c>
      <c r="X28" s="39" t="e">
        <f>IF(AND('Mapa final'!#REF!="Media",'Mapa final'!#REF!="Moderado"),CONCATENATE("R3C",'Mapa final'!#REF!),"")</f>
        <v>#REF!</v>
      </c>
      <c r="Y28" s="39" t="e">
        <f>IF(AND('Mapa final'!#REF!="Media",'Mapa final'!#REF!="Moderado"),CONCATENATE("R3C",'Mapa final'!#REF!),"")</f>
        <v>#REF!</v>
      </c>
      <c r="Z28" s="39" t="e">
        <f>IF(AND('Mapa final'!#REF!="Media",'Mapa final'!#REF!="Moderado"),CONCATENATE("R3C",'Mapa final'!#REF!),"")</f>
        <v>#REF!</v>
      </c>
      <c r="AA28" s="40" t="e">
        <f>IF(AND('Mapa final'!#REF!="Media",'Mapa final'!#REF!="Moderado"),CONCATENATE("R3C",'Mapa final'!#REF!),"")</f>
        <v>#REF!</v>
      </c>
      <c r="AB28" s="22" t="e">
        <f>IF(AND('Mapa final'!#REF!="Media",'Mapa final'!#REF!="Mayor"),CONCATENATE("R3C",'Mapa final'!#REF!),"")</f>
        <v>#REF!</v>
      </c>
      <c r="AC28" s="23" t="e">
        <f>IF(AND('Mapa final'!#REF!="Media",'Mapa final'!#REF!="Mayor"),CONCATENATE("R3C",'Mapa final'!#REF!),"")</f>
        <v>#REF!</v>
      </c>
      <c r="AD28" s="23" t="e">
        <f>IF(AND('Mapa final'!#REF!="Media",'Mapa final'!#REF!="Mayor"),CONCATENATE("R3C",'Mapa final'!#REF!),"")</f>
        <v>#REF!</v>
      </c>
      <c r="AE28" s="23" t="e">
        <f>IF(AND('Mapa final'!#REF!="Media",'Mapa final'!#REF!="Mayor"),CONCATENATE("R3C",'Mapa final'!#REF!),"")</f>
        <v>#REF!</v>
      </c>
      <c r="AF28" s="23" t="e">
        <f>IF(AND('Mapa final'!#REF!="Media",'Mapa final'!#REF!="Mayor"),CONCATENATE("R3C",'Mapa final'!#REF!),"")</f>
        <v>#REF!</v>
      </c>
      <c r="AG28" s="24" t="e">
        <f>IF(AND('Mapa final'!#REF!="Media",'Mapa final'!#REF!="Mayor"),CONCATENATE("R3C",'Mapa final'!#REF!),"")</f>
        <v>#REF!</v>
      </c>
      <c r="AH28" s="25" t="e">
        <f>IF(AND('Mapa final'!#REF!="Media",'Mapa final'!#REF!="Catastrófico"),CONCATENATE("R3C",'Mapa final'!#REF!),"")</f>
        <v>#REF!</v>
      </c>
      <c r="AI28" s="26" t="e">
        <f>IF(AND('Mapa final'!#REF!="Media",'Mapa final'!#REF!="Catastrófico"),CONCATENATE("R3C",'Mapa final'!#REF!),"")</f>
        <v>#REF!</v>
      </c>
      <c r="AJ28" s="26" t="e">
        <f>IF(AND('Mapa final'!#REF!="Media",'Mapa final'!#REF!="Catastrófico"),CONCATENATE("R3C",'Mapa final'!#REF!),"")</f>
        <v>#REF!</v>
      </c>
      <c r="AK28" s="26" t="e">
        <f>IF(AND('Mapa final'!#REF!="Media",'Mapa final'!#REF!="Catastrófico"),CONCATENATE("R3C",'Mapa final'!#REF!),"")</f>
        <v>#REF!</v>
      </c>
      <c r="AL28" s="26" t="e">
        <f>IF(AND('Mapa final'!#REF!="Media",'Mapa final'!#REF!="Catastrófico"),CONCATENATE("R3C",'Mapa final'!#REF!),"")</f>
        <v>#REF!</v>
      </c>
      <c r="AM28" s="27" t="e">
        <f>IF(AND('Mapa final'!#REF!="Media",'Mapa final'!#REF!="Catastrófico"),CONCATENATE("R3C",'Mapa final'!#REF!),"")</f>
        <v>#REF!</v>
      </c>
      <c r="AN28" s="54"/>
      <c r="AO28" s="423"/>
      <c r="AP28" s="424"/>
      <c r="AQ28" s="424"/>
      <c r="AR28" s="424"/>
      <c r="AS28" s="424"/>
      <c r="AT28" s="425"/>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row>
    <row r="29" spans="1:76" ht="15" customHeight="1" x14ac:dyDescent="0.3">
      <c r="A29" s="54"/>
      <c r="B29" s="292"/>
      <c r="C29" s="292"/>
      <c r="D29" s="293"/>
      <c r="E29" s="393"/>
      <c r="F29" s="394"/>
      <c r="G29" s="394"/>
      <c r="H29" s="394"/>
      <c r="I29" s="409"/>
      <c r="J29" s="38" t="str">
        <f ca="1">IF(AND('Mapa final'!$AA$19="Media",'Mapa final'!$AC$19="Leve"),CONCATENATE("R4C",'Mapa final'!$Q$19),"")</f>
        <v/>
      </c>
      <c r="K29" s="39" t="str">
        <f ca="1">IF(AND('Mapa final'!$AA$20="Media",'Mapa final'!$AC$20="Leve"),CONCATENATE("R4C",'Mapa final'!$Q$20),"")</f>
        <v/>
      </c>
      <c r="L29" s="39" t="str">
        <f ca="1">IF(AND('Mapa final'!$AA$21="Media",'Mapa final'!$AC$21="Leve"),CONCATENATE("R4C",'Mapa final'!$Q$21),"")</f>
        <v/>
      </c>
      <c r="M29" s="39" t="str">
        <f ca="1">IF(AND('Mapa final'!$AA$22="Media",'Mapa final'!$AC$22="Leve"),CONCATENATE("R4C",'Mapa final'!$Q$22),"")</f>
        <v/>
      </c>
      <c r="N29" s="39" t="e">
        <f>IF(AND('Mapa final'!#REF!="Media",'Mapa final'!#REF!="Leve"),CONCATENATE("R4C",'Mapa final'!#REF!),"")</f>
        <v>#REF!</v>
      </c>
      <c r="O29" s="40" t="e">
        <f>IF(AND('Mapa final'!#REF!="Media",'Mapa final'!#REF!="Leve"),CONCATENATE("R4C",'Mapa final'!#REF!),"")</f>
        <v>#REF!</v>
      </c>
      <c r="P29" s="38" t="str">
        <f ca="1">IF(AND('Mapa final'!$AA$19="Media",'Mapa final'!$AC$19="Menor"),CONCATENATE("R4C",'Mapa final'!$Q$19),"")</f>
        <v/>
      </c>
      <c r="Q29" s="39" t="str">
        <f ca="1">IF(AND('Mapa final'!$AA$20="Media",'Mapa final'!$AC$20="Menor"),CONCATENATE("R4C",'Mapa final'!$Q$20),"")</f>
        <v/>
      </c>
      <c r="R29" s="39" t="str">
        <f ca="1">IF(AND('Mapa final'!$AA$21="Media",'Mapa final'!$AC$21="Menor"),CONCATENATE("R4C",'Mapa final'!$Q$21),"")</f>
        <v/>
      </c>
      <c r="S29" s="39" t="str">
        <f ca="1">IF(AND('Mapa final'!$AA$22="Media",'Mapa final'!$AC$22="Menor"),CONCATENATE("R4C",'Mapa final'!$Q$22),"")</f>
        <v/>
      </c>
      <c r="T29" s="39" t="e">
        <f>IF(AND('Mapa final'!#REF!="Media",'Mapa final'!#REF!="Menor"),CONCATENATE("R4C",'Mapa final'!#REF!),"")</f>
        <v>#REF!</v>
      </c>
      <c r="U29" s="40" t="e">
        <f>IF(AND('Mapa final'!#REF!="Media",'Mapa final'!#REF!="Menor"),CONCATENATE("R4C",'Mapa final'!#REF!),"")</f>
        <v>#REF!</v>
      </c>
      <c r="V29" s="38" t="str">
        <f ca="1">IF(AND('Mapa final'!$AA$19="Media",'Mapa final'!$AC$19="Moderado"),CONCATENATE("R4C",'Mapa final'!$Q$19),"")</f>
        <v/>
      </c>
      <c r="W29" s="39" t="str">
        <f ca="1">IF(AND('Mapa final'!$AA$20="Media",'Mapa final'!$AC$20="Moderado"),CONCATENATE("R4C",'Mapa final'!$Q$20),"")</f>
        <v/>
      </c>
      <c r="X29" s="39" t="str">
        <f ca="1">IF(AND('Mapa final'!$AA$21="Media",'Mapa final'!$AC$21="Moderado"),CONCATENATE("R4C",'Mapa final'!$Q$21),"")</f>
        <v/>
      </c>
      <c r="Y29" s="39" t="str">
        <f ca="1">IF(AND('Mapa final'!$AA$22="Media",'Mapa final'!$AC$22="Moderado"),CONCATENATE("R4C",'Mapa final'!$Q$22),"")</f>
        <v/>
      </c>
      <c r="Z29" s="39" t="e">
        <f>IF(AND('Mapa final'!#REF!="Media",'Mapa final'!#REF!="Moderado"),CONCATENATE("R4C",'Mapa final'!#REF!),"")</f>
        <v>#REF!</v>
      </c>
      <c r="AA29" s="40" t="e">
        <f>IF(AND('Mapa final'!#REF!="Media",'Mapa final'!#REF!="Moderado"),CONCATENATE("R4C",'Mapa final'!#REF!),"")</f>
        <v>#REF!</v>
      </c>
      <c r="AB29" s="22" t="str">
        <f ca="1">IF(AND('Mapa final'!$AA$19="Media",'Mapa final'!$AC$19="Mayor"),CONCATENATE("R4C",'Mapa final'!$Q$19),"")</f>
        <v/>
      </c>
      <c r="AC29" s="23" t="str">
        <f ca="1">IF(AND('Mapa final'!$AA$20="Media",'Mapa final'!$AC$20="Mayor"),CONCATENATE("R4C",'Mapa final'!$Q$20),"")</f>
        <v/>
      </c>
      <c r="AD29" s="28" t="str">
        <f ca="1">IF(AND('Mapa final'!$AA$21="Media",'Mapa final'!$AC$21="Mayor"),CONCATENATE("R4C",'Mapa final'!$Q$21),"")</f>
        <v/>
      </c>
      <c r="AE29" s="28" t="str">
        <f ca="1">IF(AND('Mapa final'!$AA$22="Media",'Mapa final'!$AC$22="Mayor"),CONCATENATE("R4C",'Mapa final'!$Q$22),"")</f>
        <v/>
      </c>
      <c r="AF29" s="28" t="e">
        <f>IF(AND('Mapa final'!#REF!="Media",'Mapa final'!#REF!="Mayor"),CONCATENATE("R4C",'Mapa final'!#REF!),"")</f>
        <v>#REF!</v>
      </c>
      <c r="AG29" s="24" t="e">
        <f>IF(AND('Mapa final'!#REF!="Media",'Mapa final'!#REF!="Mayor"),CONCATENATE("R4C",'Mapa final'!#REF!),"")</f>
        <v>#REF!</v>
      </c>
      <c r="AH29" s="25" t="str">
        <f ca="1">IF(AND('Mapa final'!$AA$19="Media",'Mapa final'!$AC$19="Catastrófico"),CONCATENATE("R4C",'Mapa final'!$Q$19),"")</f>
        <v>R4C1</v>
      </c>
      <c r="AI29" s="26" t="str">
        <f ca="1">IF(AND('Mapa final'!$AA$20="Media",'Mapa final'!$AC$20="Catastrófico"),CONCATENATE("R4C",'Mapa final'!$Q$20),"")</f>
        <v/>
      </c>
      <c r="AJ29" s="26" t="str">
        <f ca="1">IF(AND('Mapa final'!$AA$21="Media",'Mapa final'!$AC$21="Catastrófico"),CONCATENATE("R4C",'Mapa final'!$Q$21),"")</f>
        <v/>
      </c>
      <c r="AK29" s="26" t="str">
        <f ca="1">IF(AND('Mapa final'!$AA$22="Media",'Mapa final'!$AC$22="Catastrófico"),CONCATENATE("R4C",'Mapa final'!$Q$22),"")</f>
        <v/>
      </c>
      <c r="AL29" s="26" t="e">
        <f>IF(AND('Mapa final'!#REF!="Media",'Mapa final'!#REF!="Catastrófico"),CONCATENATE("R4C",'Mapa final'!#REF!),"")</f>
        <v>#REF!</v>
      </c>
      <c r="AM29" s="27" t="e">
        <f>IF(AND('Mapa final'!#REF!="Media",'Mapa final'!#REF!="Catastrófico"),CONCATENATE("R4C",'Mapa final'!#REF!),"")</f>
        <v>#REF!</v>
      </c>
      <c r="AN29" s="54"/>
      <c r="AO29" s="423"/>
      <c r="AP29" s="424"/>
      <c r="AQ29" s="424"/>
      <c r="AR29" s="424"/>
      <c r="AS29" s="424"/>
      <c r="AT29" s="425"/>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row>
    <row r="30" spans="1:76" ht="15" customHeight="1" x14ac:dyDescent="0.3">
      <c r="A30" s="54"/>
      <c r="B30" s="292"/>
      <c r="C30" s="292"/>
      <c r="D30" s="293"/>
      <c r="E30" s="393"/>
      <c r="F30" s="394"/>
      <c r="G30" s="394"/>
      <c r="H30" s="394"/>
      <c r="I30" s="409"/>
      <c r="J30" s="38" t="str">
        <f>IF(AND('Mapa final'!$AA$23="Media",'Mapa final'!$AC$23="Leve"),CONCATENATE("R5C",'Mapa final'!$Q$23),"")</f>
        <v/>
      </c>
      <c r="K30" s="39" t="str">
        <f>IF(AND('Mapa final'!$AA$24="Media",'Mapa final'!$AC$24="Leve"),CONCATENATE("R5C",'Mapa final'!$Q$24),"")</f>
        <v/>
      </c>
      <c r="L30" s="39" t="str">
        <f>IF(AND('Mapa final'!$AA$25="Media",'Mapa final'!$AC$25="Leve"),CONCATENATE("R5C",'Mapa final'!$Q$25),"")</f>
        <v/>
      </c>
      <c r="M30" s="39" t="str">
        <f>IF(AND('Mapa final'!$AA$26="Media",'Mapa final'!$AC$26="Leve"),CONCATENATE("R5C",'Mapa final'!$Q$26),"")</f>
        <v/>
      </c>
      <c r="N30" s="39" t="str">
        <f>IF(AND('Mapa final'!$AA$27="Media",'Mapa final'!$AC$27="Leve"),CONCATENATE("R5C",'Mapa final'!$Q$27),"")</f>
        <v/>
      </c>
      <c r="O30" s="40" t="str">
        <f>IF(AND('Mapa final'!$AA$28="Media",'Mapa final'!$AC$28="Leve"),CONCATENATE("R5C",'Mapa final'!$Q$28),"")</f>
        <v/>
      </c>
      <c r="P30" s="38" t="str">
        <f>IF(AND('Mapa final'!$AA$23="Media",'Mapa final'!$AC$23="Menor"),CONCATENATE("R5C",'Mapa final'!$Q$23),"")</f>
        <v/>
      </c>
      <c r="Q30" s="39" t="str">
        <f>IF(AND('Mapa final'!$AA$24="Media",'Mapa final'!$AC$24="Menor"),CONCATENATE("R5C",'Mapa final'!$Q$24),"")</f>
        <v/>
      </c>
      <c r="R30" s="39" t="str">
        <f>IF(AND('Mapa final'!$AA$25="Media",'Mapa final'!$AC$25="Menor"),CONCATENATE("R5C",'Mapa final'!$Q$25),"")</f>
        <v/>
      </c>
      <c r="S30" s="39" t="str">
        <f>IF(AND('Mapa final'!$AA$26="Media",'Mapa final'!$AC$26="Menor"),CONCATENATE("R5C",'Mapa final'!$Q$26),"")</f>
        <v/>
      </c>
      <c r="T30" s="39" t="str">
        <f>IF(AND('Mapa final'!$AA$27="Media",'Mapa final'!$AC$27="Menor"),CONCATENATE("R5C",'Mapa final'!$Q$27),"")</f>
        <v/>
      </c>
      <c r="U30" s="40" t="str">
        <f>IF(AND('Mapa final'!$AA$28="Media",'Mapa final'!$AC$28="Menor"),CONCATENATE("R5C",'Mapa final'!$Q$28),"")</f>
        <v/>
      </c>
      <c r="V30" s="38" t="str">
        <f>IF(AND('Mapa final'!$AA$23="Media",'Mapa final'!$AC$23="Moderado"),CONCATENATE("R5C",'Mapa final'!$Q$23),"")</f>
        <v/>
      </c>
      <c r="W30" s="39" t="str">
        <f>IF(AND('Mapa final'!$AA$24="Media",'Mapa final'!$AC$24="Moderado"),CONCATENATE("R5C",'Mapa final'!$Q$24),"")</f>
        <v/>
      </c>
      <c r="X30" s="39" t="str">
        <f>IF(AND('Mapa final'!$AA$25="Media",'Mapa final'!$AC$25="Moderado"),CONCATENATE("R5C",'Mapa final'!$Q$25),"")</f>
        <v/>
      </c>
      <c r="Y30" s="39" t="str">
        <f>IF(AND('Mapa final'!$AA$26="Media",'Mapa final'!$AC$26="Moderado"),CONCATENATE("R5C",'Mapa final'!$Q$26),"")</f>
        <v/>
      </c>
      <c r="Z30" s="39" t="str">
        <f>IF(AND('Mapa final'!$AA$27="Media",'Mapa final'!$AC$27="Moderado"),CONCATENATE("R5C",'Mapa final'!$Q$27),"")</f>
        <v/>
      </c>
      <c r="AA30" s="40" t="str">
        <f>IF(AND('Mapa final'!$AA$28="Media",'Mapa final'!$AC$28="Moderado"),CONCATENATE("R5C",'Mapa final'!$Q$28),"")</f>
        <v/>
      </c>
      <c r="AB30" s="22" t="str">
        <f>IF(AND('Mapa final'!$AA$23="Media",'Mapa final'!$AC$23="Mayor"),CONCATENATE("R5C",'Mapa final'!$Q$23),"")</f>
        <v/>
      </c>
      <c r="AC30" s="23" t="str">
        <f>IF(AND('Mapa final'!$AA$24="Media",'Mapa final'!$AC$24="Mayor"),CONCATENATE("R5C",'Mapa final'!$Q$24),"")</f>
        <v/>
      </c>
      <c r="AD30" s="28" t="str">
        <f>IF(AND('Mapa final'!$AA$25="Media",'Mapa final'!$AC$25="Mayor"),CONCATENATE("R5C",'Mapa final'!$Q$25),"")</f>
        <v/>
      </c>
      <c r="AE30" s="28" t="str">
        <f>IF(AND('Mapa final'!$AA$26="Media",'Mapa final'!$AC$26="Mayor"),CONCATENATE("R5C",'Mapa final'!$Q$26),"")</f>
        <v/>
      </c>
      <c r="AF30" s="28" t="str">
        <f>IF(AND('Mapa final'!$AA$27="Media",'Mapa final'!$AC$27="Mayor"),CONCATENATE("R5C",'Mapa final'!$Q$27),"")</f>
        <v/>
      </c>
      <c r="AG30" s="24" t="str">
        <f>IF(AND('Mapa final'!$AA$28="Media",'Mapa final'!$AC$28="Mayor"),CONCATENATE("R5C",'Mapa final'!$Q$28),"")</f>
        <v/>
      </c>
      <c r="AH30" s="25" t="str">
        <f>IF(AND('Mapa final'!$AA$23="Media",'Mapa final'!$AC$23="Catastrófico"),CONCATENATE("R5C",'Mapa final'!$Q$23),"")</f>
        <v/>
      </c>
      <c r="AI30" s="26" t="str">
        <f>IF(AND('Mapa final'!$AA$24="Media",'Mapa final'!$AC$24="Catastrófico"),CONCATENATE("R5C",'Mapa final'!$Q$24),"")</f>
        <v/>
      </c>
      <c r="AJ30" s="26" t="str">
        <f>IF(AND('Mapa final'!$AA$25="Media",'Mapa final'!$AC$25="Catastrófico"),CONCATENATE("R5C",'Mapa final'!$Q$25),"")</f>
        <v/>
      </c>
      <c r="AK30" s="26" t="str">
        <f>IF(AND('Mapa final'!$AA$26="Media",'Mapa final'!$AC$26="Catastrófico"),CONCATENATE("R5C",'Mapa final'!$Q$26),"")</f>
        <v/>
      </c>
      <c r="AL30" s="26" t="str">
        <f>IF(AND('Mapa final'!$AA$27="Media",'Mapa final'!$AC$27="Catastrófico"),CONCATENATE("R5C",'Mapa final'!$Q$27),"")</f>
        <v/>
      </c>
      <c r="AM30" s="27" t="str">
        <f>IF(AND('Mapa final'!$AA$28="Media",'Mapa final'!$AC$28="Catastrófico"),CONCATENATE("R5C",'Mapa final'!$Q$28),"")</f>
        <v/>
      </c>
      <c r="AN30" s="54"/>
      <c r="AO30" s="423"/>
      <c r="AP30" s="424"/>
      <c r="AQ30" s="424"/>
      <c r="AR30" s="424"/>
      <c r="AS30" s="424"/>
      <c r="AT30" s="425"/>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row>
    <row r="31" spans="1:76" ht="15" customHeight="1" x14ac:dyDescent="0.3">
      <c r="A31" s="54"/>
      <c r="B31" s="292"/>
      <c r="C31" s="292"/>
      <c r="D31" s="293"/>
      <c r="E31" s="393"/>
      <c r="F31" s="394"/>
      <c r="G31" s="394"/>
      <c r="H31" s="394"/>
      <c r="I31" s="409"/>
      <c r="J31" s="38" t="str">
        <f>IF(AND('Mapa final'!$AA$29="Media",'Mapa final'!$AC$29="Leve"),CONCATENATE("R6C",'Mapa final'!$Q$29),"")</f>
        <v/>
      </c>
      <c r="K31" s="39" t="str">
        <f>IF(AND('Mapa final'!$AA$30="Media",'Mapa final'!$AC$30="Leve"),CONCATENATE("R6C",'Mapa final'!$Q$30),"")</f>
        <v/>
      </c>
      <c r="L31" s="39" t="str">
        <f>IF(AND('Mapa final'!$AA$31="Media",'Mapa final'!$AC$31="Leve"),CONCATENATE("R6C",'Mapa final'!$Q$31),"")</f>
        <v/>
      </c>
      <c r="M31" s="39" t="str">
        <f>IF(AND('Mapa final'!$AA$32="Media",'Mapa final'!$AC$32="Leve"),CONCATENATE("R6C",'Mapa final'!$Q$32),"")</f>
        <v/>
      </c>
      <c r="N31" s="39" t="str">
        <f>IF(AND('Mapa final'!$AA$33="Media",'Mapa final'!$AC$33="Leve"),CONCATENATE("R6C",'Mapa final'!$Q$33),"")</f>
        <v/>
      </c>
      <c r="O31" s="40" t="str">
        <f>IF(AND('Mapa final'!$AA$34="Media",'Mapa final'!$AC$34="Leve"),CONCATENATE("R6C",'Mapa final'!$Q$34),"")</f>
        <v/>
      </c>
      <c r="P31" s="38" t="str">
        <f>IF(AND('Mapa final'!$AA$29="Media",'Mapa final'!$AC$29="Menor"),CONCATENATE("R6C",'Mapa final'!$Q$29),"")</f>
        <v/>
      </c>
      <c r="Q31" s="39" t="str">
        <f>IF(AND('Mapa final'!$AA$30="Media",'Mapa final'!$AC$30="Menor"),CONCATENATE("R6C",'Mapa final'!$Q$30),"")</f>
        <v/>
      </c>
      <c r="R31" s="39" t="str">
        <f>IF(AND('Mapa final'!$AA$31="Media",'Mapa final'!$AC$31="Menor"),CONCATENATE("R6C",'Mapa final'!$Q$31),"")</f>
        <v/>
      </c>
      <c r="S31" s="39" t="str">
        <f>IF(AND('Mapa final'!$AA$32="Media",'Mapa final'!$AC$32="Menor"),CONCATENATE("R6C",'Mapa final'!$Q$32),"")</f>
        <v/>
      </c>
      <c r="T31" s="39" t="str">
        <f>IF(AND('Mapa final'!$AA$33="Media",'Mapa final'!$AC$33="Menor"),CONCATENATE("R6C",'Mapa final'!$Q$33),"")</f>
        <v/>
      </c>
      <c r="U31" s="40" t="str">
        <f>IF(AND('Mapa final'!$AA$34="Media",'Mapa final'!$AC$34="Menor"),CONCATENATE("R6C",'Mapa final'!$Q$34),"")</f>
        <v/>
      </c>
      <c r="V31" s="38" t="str">
        <f>IF(AND('Mapa final'!$AA$29="Media",'Mapa final'!$AC$29="Moderado"),CONCATENATE("R6C",'Mapa final'!$Q$29),"")</f>
        <v/>
      </c>
      <c r="W31" s="39" t="str">
        <f>IF(AND('Mapa final'!$AA$30="Media",'Mapa final'!$AC$30="Moderado"),CONCATENATE("R6C",'Mapa final'!$Q$30),"")</f>
        <v/>
      </c>
      <c r="X31" s="39" t="str">
        <f>IF(AND('Mapa final'!$AA$31="Media",'Mapa final'!$AC$31="Moderado"),CONCATENATE("R6C",'Mapa final'!$Q$31),"")</f>
        <v/>
      </c>
      <c r="Y31" s="39" t="str">
        <f>IF(AND('Mapa final'!$AA$32="Media",'Mapa final'!$AC$32="Moderado"),CONCATENATE("R6C",'Mapa final'!$Q$32),"")</f>
        <v/>
      </c>
      <c r="Z31" s="39" t="str">
        <f>IF(AND('Mapa final'!$AA$33="Media",'Mapa final'!$AC$33="Moderado"),CONCATENATE("R6C",'Mapa final'!$Q$33),"")</f>
        <v/>
      </c>
      <c r="AA31" s="40" t="str">
        <f>IF(AND('Mapa final'!$AA$34="Media",'Mapa final'!$AC$34="Moderado"),CONCATENATE("R6C",'Mapa final'!$Q$34),"")</f>
        <v/>
      </c>
      <c r="AB31" s="22" t="str">
        <f>IF(AND('Mapa final'!$AA$29="Media",'Mapa final'!$AC$29="Mayor"),CONCATENATE("R6C",'Mapa final'!$Q$29),"")</f>
        <v/>
      </c>
      <c r="AC31" s="23" t="str">
        <f>IF(AND('Mapa final'!$AA$30="Media",'Mapa final'!$AC$30="Mayor"),CONCATENATE("R6C",'Mapa final'!$Q$30),"")</f>
        <v/>
      </c>
      <c r="AD31" s="28" t="str">
        <f>IF(AND('Mapa final'!$AA$31="Media",'Mapa final'!$AC$31="Mayor"),CONCATENATE("R6C",'Mapa final'!$Q$31),"")</f>
        <v/>
      </c>
      <c r="AE31" s="28" t="str">
        <f>IF(AND('Mapa final'!$AA$32="Media",'Mapa final'!$AC$32="Mayor"),CONCATENATE("R6C",'Mapa final'!$Q$32),"")</f>
        <v/>
      </c>
      <c r="AF31" s="28" t="str">
        <f>IF(AND('Mapa final'!$AA$33="Media",'Mapa final'!$AC$33="Mayor"),CONCATENATE("R6C",'Mapa final'!$Q$33),"")</f>
        <v/>
      </c>
      <c r="AG31" s="24" t="str">
        <f>IF(AND('Mapa final'!$AA$34="Media",'Mapa final'!$AC$34="Mayor"),CONCATENATE("R6C",'Mapa final'!$Q$34),"")</f>
        <v/>
      </c>
      <c r="AH31" s="25" t="str">
        <f>IF(AND('Mapa final'!$AA$29="Media",'Mapa final'!$AC$29="Catastrófico"),CONCATENATE("R6C",'Mapa final'!$Q$29),"")</f>
        <v/>
      </c>
      <c r="AI31" s="26" t="str">
        <f>IF(AND('Mapa final'!$AA$30="Media",'Mapa final'!$AC$30="Catastrófico"),CONCATENATE("R6C",'Mapa final'!$Q$30),"")</f>
        <v/>
      </c>
      <c r="AJ31" s="26" t="str">
        <f>IF(AND('Mapa final'!$AA$31="Media",'Mapa final'!$AC$31="Catastrófico"),CONCATENATE("R6C",'Mapa final'!$Q$31),"")</f>
        <v/>
      </c>
      <c r="AK31" s="26" t="str">
        <f>IF(AND('Mapa final'!$AA$32="Media",'Mapa final'!$AC$32="Catastrófico"),CONCATENATE("R6C",'Mapa final'!$Q$32),"")</f>
        <v/>
      </c>
      <c r="AL31" s="26" t="str">
        <f>IF(AND('Mapa final'!$AA$33="Media",'Mapa final'!$AC$33="Catastrófico"),CONCATENATE("R6C",'Mapa final'!$Q$33),"")</f>
        <v/>
      </c>
      <c r="AM31" s="27" t="str">
        <f>IF(AND('Mapa final'!$AA$34="Media",'Mapa final'!$AC$34="Catastrófico"),CONCATENATE("R6C",'Mapa final'!$Q$34),"")</f>
        <v/>
      </c>
      <c r="AN31" s="54"/>
      <c r="AO31" s="423"/>
      <c r="AP31" s="424"/>
      <c r="AQ31" s="424"/>
      <c r="AR31" s="424"/>
      <c r="AS31" s="424"/>
      <c r="AT31" s="425"/>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ht="15" customHeight="1" x14ac:dyDescent="0.3">
      <c r="A32" s="54"/>
      <c r="B32" s="292"/>
      <c r="C32" s="292"/>
      <c r="D32" s="293"/>
      <c r="E32" s="393"/>
      <c r="F32" s="394"/>
      <c r="G32" s="394"/>
      <c r="H32" s="394"/>
      <c r="I32" s="409"/>
      <c r="J32" s="38" t="str">
        <f>IF(AND('Mapa final'!$AA$35="Media",'Mapa final'!$AC$35="Leve"),CONCATENATE("R7C",'Mapa final'!$Q$35),"")</f>
        <v/>
      </c>
      <c r="K32" s="39" t="str">
        <f>IF(AND('Mapa final'!$AA$36="Media",'Mapa final'!$AC$36="Leve"),CONCATENATE("R7C",'Mapa final'!$Q$36),"")</f>
        <v/>
      </c>
      <c r="L32" s="39" t="str">
        <f>IF(AND('Mapa final'!$AA$37="Media",'Mapa final'!$AC$37="Leve"),CONCATENATE("R7C",'Mapa final'!$Q$37),"")</f>
        <v/>
      </c>
      <c r="M32" s="39" t="str">
        <f>IF(AND('Mapa final'!$AA$38="Media",'Mapa final'!$AC$38="Leve"),CONCATENATE("R7C",'Mapa final'!$Q$38),"")</f>
        <v/>
      </c>
      <c r="N32" s="39" t="str">
        <f>IF(AND('Mapa final'!$AA$39="Media",'Mapa final'!$AC$39="Leve"),CONCATENATE("R7C",'Mapa final'!$Q$39),"")</f>
        <v/>
      </c>
      <c r="O32" s="40" t="str">
        <f>IF(AND('Mapa final'!$AA$40="Media",'Mapa final'!$AC$40="Leve"),CONCATENATE("R7C",'Mapa final'!$Q$40),"")</f>
        <v/>
      </c>
      <c r="P32" s="38" t="str">
        <f>IF(AND('Mapa final'!$AA$35="Media",'Mapa final'!$AC$35="Menor"),CONCATENATE("R7C",'Mapa final'!$Q$35),"")</f>
        <v/>
      </c>
      <c r="Q32" s="39" t="str">
        <f>IF(AND('Mapa final'!$AA$36="Media",'Mapa final'!$AC$36="Menor"),CONCATENATE("R7C",'Mapa final'!$Q$36),"")</f>
        <v/>
      </c>
      <c r="R32" s="39" t="str">
        <f>IF(AND('Mapa final'!$AA$37="Media",'Mapa final'!$AC$37="Menor"),CONCATENATE("R7C",'Mapa final'!$Q$37),"")</f>
        <v/>
      </c>
      <c r="S32" s="39" t="str">
        <f>IF(AND('Mapa final'!$AA$38="Media",'Mapa final'!$AC$38="Menor"),CONCATENATE("R7C",'Mapa final'!$Q$38),"")</f>
        <v/>
      </c>
      <c r="T32" s="39" t="str">
        <f>IF(AND('Mapa final'!$AA$39="Media",'Mapa final'!$AC$39="Menor"),CONCATENATE("R7C",'Mapa final'!$Q$39),"")</f>
        <v/>
      </c>
      <c r="U32" s="40" t="str">
        <f>IF(AND('Mapa final'!$AA$40="Media",'Mapa final'!$AC$40="Menor"),CONCATENATE("R7C",'Mapa final'!$Q$40),"")</f>
        <v/>
      </c>
      <c r="V32" s="38" t="str">
        <f>IF(AND('Mapa final'!$AA$35="Media",'Mapa final'!$AC$35="Moderado"),CONCATENATE("R7C",'Mapa final'!$Q$35),"")</f>
        <v/>
      </c>
      <c r="W32" s="39" t="str">
        <f>IF(AND('Mapa final'!$AA$36="Media",'Mapa final'!$AC$36="Moderado"),CONCATENATE("R7C",'Mapa final'!$Q$36),"")</f>
        <v/>
      </c>
      <c r="X32" s="39" t="str">
        <f>IF(AND('Mapa final'!$AA$37="Media",'Mapa final'!$AC$37="Moderado"),CONCATENATE("R7C",'Mapa final'!$Q$37),"")</f>
        <v/>
      </c>
      <c r="Y32" s="39" t="str">
        <f>IF(AND('Mapa final'!$AA$38="Media",'Mapa final'!$AC$38="Moderado"),CONCATENATE("R7C",'Mapa final'!$Q$38),"")</f>
        <v/>
      </c>
      <c r="Z32" s="39" t="str">
        <f>IF(AND('Mapa final'!$AA$39="Media",'Mapa final'!$AC$39="Moderado"),CONCATENATE("R7C",'Mapa final'!$Q$39),"")</f>
        <v/>
      </c>
      <c r="AA32" s="40" t="str">
        <f>IF(AND('Mapa final'!$AA$40="Media",'Mapa final'!$AC$40="Moderado"),CONCATENATE("R7C",'Mapa final'!$Q$40),"")</f>
        <v/>
      </c>
      <c r="AB32" s="22" t="str">
        <f>IF(AND('Mapa final'!$AA$35="Media",'Mapa final'!$AC$35="Mayor"),CONCATENATE("R7C",'Mapa final'!$Q$35),"")</f>
        <v/>
      </c>
      <c r="AC32" s="23" t="str">
        <f>IF(AND('Mapa final'!$AA$36="Media",'Mapa final'!$AC$36="Mayor"),CONCATENATE("R7C",'Mapa final'!$Q$36),"")</f>
        <v/>
      </c>
      <c r="AD32" s="28" t="str">
        <f>IF(AND('Mapa final'!$AA$37="Media",'Mapa final'!$AC$37="Mayor"),CONCATENATE("R7C",'Mapa final'!$Q$37),"")</f>
        <v/>
      </c>
      <c r="AE32" s="28" t="str">
        <f>IF(AND('Mapa final'!$AA$38="Media",'Mapa final'!$AC$38="Mayor"),CONCATENATE("R7C",'Mapa final'!$Q$38),"")</f>
        <v/>
      </c>
      <c r="AF32" s="28" t="str">
        <f>IF(AND('Mapa final'!$AA$39="Media",'Mapa final'!$AC$39="Mayor"),CONCATENATE("R7C",'Mapa final'!$Q$39),"")</f>
        <v/>
      </c>
      <c r="AG32" s="24" t="str">
        <f>IF(AND('Mapa final'!$AA$40="Media",'Mapa final'!$AC$40="Mayor"),CONCATENATE("R7C",'Mapa final'!$Q$40),"")</f>
        <v/>
      </c>
      <c r="AH32" s="25" t="str">
        <f>IF(AND('Mapa final'!$AA$35="Media",'Mapa final'!$AC$35="Catastrófico"),CONCATENATE("R7C",'Mapa final'!$Q$35),"")</f>
        <v/>
      </c>
      <c r="AI32" s="26" t="str">
        <f>IF(AND('Mapa final'!$AA$36="Media",'Mapa final'!$AC$36="Catastrófico"),CONCATENATE("R7C",'Mapa final'!$Q$36),"")</f>
        <v/>
      </c>
      <c r="AJ32" s="26" t="str">
        <f>IF(AND('Mapa final'!$AA$37="Media",'Mapa final'!$AC$37="Catastrófico"),CONCATENATE("R7C",'Mapa final'!$Q$37),"")</f>
        <v/>
      </c>
      <c r="AK32" s="26" t="str">
        <f>IF(AND('Mapa final'!$AA$38="Media",'Mapa final'!$AC$38="Catastrófico"),CONCATENATE("R7C",'Mapa final'!$Q$38),"")</f>
        <v/>
      </c>
      <c r="AL32" s="26" t="str">
        <f>IF(AND('Mapa final'!$AA$39="Media",'Mapa final'!$AC$39="Catastrófico"),CONCATENATE("R7C",'Mapa final'!$Q$39),"")</f>
        <v/>
      </c>
      <c r="AM32" s="27" t="str">
        <f>IF(AND('Mapa final'!$AA$40="Media",'Mapa final'!$AC$40="Catastrófico"),CONCATENATE("R7C",'Mapa final'!$Q$40),"")</f>
        <v/>
      </c>
      <c r="AN32" s="54"/>
      <c r="AO32" s="423"/>
      <c r="AP32" s="424"/>
      <c r="AQ32" s="424"/>
      <c r="AR32" s="424"/>
      <c r="AS32" s="424"/>
      <c r="AT32" s="425"/>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row>
    <row r="33" spans="1:80" ht="15" customHeight="1" x14ac:dyDescent="0.3">
      <c r="A33" s="54"/>
      <c r="B33" s="292"/>
      <c r="C33" s="292"/>
      <c r="D33" s="293"/>
      <c r="E33" s="393"/>
      <c r="F33" s="394"/>
      <c r="G33" s="394"/>
      <c r="H33" s="394"/>
      <c r="I33" s="409"/>
      <c r="J33" s="38" t="str">
        <f>IF(AND('Mapa final'!$AA$41="Media",'Mapa final'!$AC$41="Leve"),CONCATENATE("R8C",'Mapa final'!$Q$41),"")</f>
        <v/>
      </c>
      <c r="K33" s="39" t="str">
        <f>IF(AND('Mapa final'!$AA$42="Media",'Mapa final'!$AC$42="Leve"),CONCATENATE("R8C",'Mapa final'!$Q$42),"")</f>
        <v/>
      </c>
      <c r="L33" s="39" t="str">
        <f>IF(AND('Mapa final'!$AA$43="Media",'Mapa final'!$AC$43="Leve"),CONCATENATE("R8C",'Mapa final'!$Q$43),"")</f>
        <v/>
      </c>
      <c r="M33" s="39" t="str">
        <f>IF(AND('Mapa final'!$AA$44="Media",'Mapa final'!$AC$44="Leve"),CONCATENATE("R8C",'Mapa final'!$Q$44),"")</f>
        <v/>
      </c>
      <c r="N33" s="39" t="str">
        <f>IF(AND('Mapa final'!$AA$45="Media",'Mapa final'!$AC$45="Leve"),CONCATENATE("R8C",'Mapa final'!$Q$45),"")</f>
        <v/>
      </c>
      <c r="O33" s="40" t="str">
        <f>IF(AND('Mapa final'!$AA$46="Media",'Mapa final'!$AC$46="Leve"),CONCATENATE("R8C",'Mapa final'!$Q$46),"")</f>
        <v/>
      </c>
      <c r="P33" s="38" t="str">
        <f>IF(AND('Mapa final'!$AA$41="Media",'Mapa final'!$AC$41="Menor"),CONCATENATE("R8C",'Mapa final'!$Q$41),"")</f>
        <v/>
      </c>
      <c r="Q33" s="39" t="str">
        <f>IF(AND('Mapa final'!$AA$42="Media",'Mapa final'!$AC$42="Menor"),CONCATENATE("R8C",'Mapa final'!$Q$42),"")</f>
        <v/>
      </c>
      <c r="R33" s="39" t="str">
        <f>IF(AND('Mapa final'!$AA$43="Media",'Mapa final'!$AC$43="Menor"),CONCATENATE("R8C",'Mapa final'!$Q$43),"")</f>
        <v/>
      </c>
      <c r="S33" s="39" t="str">
        <f>IF(AND('Mapa final'!$AA$44="Media",'Mapa final'!$AC$44="Menor"),CONCATENATE("R8C",'Mapa final'!$Q$44),"")</f>
        <v/>
      </c>
      <c r="T33" s="39" t="str">
        <f>IF(AND('Mapa final'!$AA$45="Media",'Mapa final'!$AC$45="Menor"),CONCATENATE("R8C",'Mapa final'!$Q$45),"")</f>
        <v/>
      </c>
      <c r="U33" s="40" t="str">
        <f>IF(AND('Mapa final'!$AA$46="Media",'Mapa final'!$AC$46="Menor"),CONCATENATE("R8C",'Mapa final'!$Q$46),"")</f>
        <v/>
      </c>
      <c r="V33" s="38" t="str">
        <f>IF(AND('Mapa final'!$AA$41="Media",'Mapa final'!$AC$41="Moderado"),CONCATENATE("R8C",'Mapa final'!$Q$41),"")</f>
        <v/>
      </c>
      <c r="W33" s="39" t="str">
        <f>IF(AND('Mapa final'!$AA$42="Media",'Mapa final'!$AC$42="Moderado"),CONCATENATE("R8C",'Mapa final'!$Q$42),"")</f>
        <v/>
      </c>
      <c r="X33" s="39" t="str">
        <f>IF(AND('Mapa final'!$AA$43="Media",'Mapa final'!$AC$43="Moderado"),CONCATENATE("R8C",'Mapa final'!$Q$43),"")</f>
        <v/>
      </c>
      <c r="Y33" s="39" t="str">
        <f>IF(AND('Mapa final'!$AA$44="Media",'Mapa final'!$AC$44="Moderado"),CONCATENATE("R8C",'Mapa final'!$Q$44),"")</f>
        <v/>
      </c>
      <c r="Z33" s="39" t="str">
        <f>IF(AND('Mapa final'!$AA$45="Media",'Mapa final'!$AC$45="Moderado"),CONCATENATE("R8C",'Mapa final'!$Q$45),"")</f>
        <v/>
      </c>
      <c r="AA33" s="40" t="str">
        <f>IF(AND('Mapa final'!$AA$46="Media",'Mapa final'!$AC$46="Moderado"),CONCATENATE("R8C",'Mapa final'!$Q$46),"")</f>
        <v/>
      </c>
      <c r="AB33" s="22" t="str">
        <f>IF(AND('Mapa final'!$AA$41="Media",'Mapa final'!$AC$41="Mayor"),CONCATENATE("R8C",'Mapa final'!$Q$41),"")</f>
        <v/>
      </c>
      <c r="AC33" s="23" t="str">
        <f>IF(AND('Mapa final'!$AA$42="Media",'Mapa final'!$AC$42="Mayor"),CONCATENATE("R8C",'Mapa final'!$Q$42),"")</f>
        <v/>
      </c>
      <c r="AD33" s="28" t="str">
        <f>IF(AND('Mapa final'!$AA$43="Media",'Mapa final'!$AC$43="Mayor"),CONCATENATE("R8C",'Mapa final'!$Q$43),"")</f>
        <v/>
      </c>
      <c r="AE33" s="28" t="str">
        <f>IF(AND('Mapa final'!$AA$44="Media",'Mapa final'!$AC$44="Mayor"),CONCATENATE("R8C",'Mapa final'!$Q$44),"")</f>
        <v/>
      </c>
      <c r="AF33" s="28" t="str">
        <f>IF(AND('Mapa final'!$AA$45="Media",'Mapa final'!$AC$45="Mayor"),CONCATENATE("R8C",'Mapa final'!$Q$45),"")</f>
        <v/>
      </c>
      <c r="AG33" s="24" t="str">
        <f>IF(AND('Mapa final'!$AA$46="Media",'Mapa final'!$AC$46="Mayor"),CONCATENATE("R8C",'Mapa final'!$Q$46),"")</f>
        <v/>
      </c>
      <c r="AH33" s="25" t="str">
        <f>IF(AND('Mapa final'!$AA$41="Media",'Mapa final'!$AC$41="Catastrófico"),CONCATENATE("R8C",'Mapa final'!$Q$41),"")</f>
        <v/>
      </c>
      <c r="AI33" s="26" t="str">
        <f>IF(AND('Mapa final'!$AA$42="Media",'Mapa final'!$AC$42="Catastrófico"),CONCATENATE("R8C",'Mapa final'!$Q$42),"")</f>
        <v/>
      </c>
      <c r="AJ33" s="26" t="str">
        <f>IF(AND('Mapa final'!$AA$43="Media",'Mapa final'!$AC$43="Catastrófico"),CONCATENATE("R8C",'Mapa final'!$Q$43),"")</f>
        <v/>
      </c>
      <c r="AK33" s="26" t="str">
        <f>IF(AND('Mapa final'!$AA$44="Media",'Mapa final'!$AC$44="Catastrófico"),CONCATENATE("R8C",'Mapa final'!$Q$44),"")</f>
        <v/>
      </c>
      <c r="AL33" s="26" t="str">
        <f>IF(AND('Mapa final'!$AA$45="Media",'Mapa final'!$AC$45="Catastrófico"),CONCATENATE("R8C",'Mapa final'!$Q$45),"")</f>
        <v/>
      </c>
      <c r="AM33" s="27" t="str">
        <f>IF(AND('Mapa final'!$AA$46="Media",'Mapa final'!$AC$46="Catastrófico"),CONCATENATE("R8C",'Mapa final'!$Q$46),"")</f>
        <v/>
      </c>
      <c r="AN33" s="54"/>
      <c r="AO33" s="423"/>
      <c r="AP33" s="424"/>
      <c r="AQ33" s="424"/>
      <c r="AR33" s="424"/>
      <c r="AS33" s="424"/>
      <c r="AT33" s="425"/>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row>
    <row r="34" spans="1:80" ht="15" customHeight="1" x14ac:dyDescent="0.3">
      <c r="A34" s="54"/>
      <c r="B34" s="292"/>
      <c r="C34" s="292"/>
      <c r="D34" s="293"/>
      <c r="E34" s="393"/>
      <c r="F34" s="394"/>
      <c r="G34" s="394"/>
      <c r="H34" s="394"/>
      <c r="I34" s="409"/>
      <c r="J34" s="38" t="str">
        <f>IF(AND('Mapa final'!$AA$47="Media",'Mapa final'!$AC$47="Leve"),CONCATENATE("R9C",'Mapa final'!$Q$47),"")</f>
        <v/>
      </c>
      <c r="K34" s="39" t="str">
        <f>IF(AND('Mapa final'!$AA$48="Media",'Mapa final'!$AC$48="Leve"),CONCATENATE("R9C",'Mapa final'!$Q$48),"")</f>
        <v/>
      </c>
      <c r="L34" s="39" t="str">
        <f>IF(AND('Mapa final'!$AA$49="Media",'Mapa final'!$AC$49="Leve"),CONCATENATE("R9C",'Mapa final'!$Q$49),"")</f>
        <v/>
      </c>
      <c r="M34" s="39" t="str">
        <f>IF(AND('Mapa final'!$AA$50="Media",'Mapa final'!$AC$50="Leve"),CONCATENATE("R9C",'Mapa final'!$Q$50),"")</f>
        <v/>
      </c>
      <c r="N34" s="39" t="str">
        <f>IF(AND('Mapa final'!$AA$51="Media",'Mapa final'!$AC$51="Leve"),CONCATENATE("R9C",'Mapa final'!$Q$51),"")</f>
        <v/>
      </c>
      <c r="O34" s="40" t="str">
        <f>IF(AND('Mapa final'!$AA$52="Media",'Mapa final'!$AC$52="Leve"),CONCATENATE("R9C",'Mapa final'!$Q$52),"")</f>
        <v/>
      </c>
      <c r="P34" s="38" t="str">
        <f>IF(AND('Mapa final'!$AA$47="Media",'Mapa final'!$AC$47="Menor"),CONCATENATE("R9C",'Mapa final'!$Q$47),"")</f>
        <v/>
      </c>
      <c r="Q34" s="39" t="str">
        <f>IF(AND('Mapa final'!$AA$48="Media",'Mapa final'!$AC$48="Menor"),CONCATENATE("R9C",'Mapa final'!$Q$48),"")</f>
        <v/>
      </c>
      <c r="R34" s="39" t="str">
        <f>IF(AND('Mapa final'!$AA$49="Media",'Mapa final'!$AC$49="Menor"),CONCATENATE("R9C",'Mapa final'!$Q$49),"")</f>
        <v/>
      </c>
      <c r="S34" s="39" t="str">
        <f>IF(AND('Mapa final'!$AA$50="Media",'Mapa final'!$AC$50="Menor"),CONCATENATE("R9C",'Mapa final'!$Q$50),"")</f>
        <v/>
      </c>
      <c r="T34" s="39" t="str">
        <f>IF(AND('Mapa final'!$AA$51="Media",'Mapa final'!$AC$51="Menor"),CONCATENATE("R9C",'Mapa final'!$Q$51),"")</f>
        <v/>
      </c>
      <c r="U34" s="40" t="str">
        <f>IF(AND('Mapa final'!$AA$52="Media",'Mapa final'!$AC$52="Menor"),CONCATENATE("R9C",'Mapa final'!$Q$52),"")</f>
        <v/>
      </c>
      <c r="V34" s="38" t="str">
        <f>IF(AND('Mapa final'!$AA$47="Media",'Mapa final'!$AC$47="Moderado"),CONCATENATE("R9C",'Mapa final'!$Q$47),"")</f>
        <v/>
      </c>
      <c r="W34" s="39" t="str">
        <f>IF(AND('Mapa final'!$AA$48="Media",'Mapa final'!$AC$48="Moderado"),CONCATENATE("R9C",'Mapa final'!$Q$48),"")</f>
        <v/>
      </c>
      <c r="X34" s="39" t="str">
        <f>IF(AND('Mapa final'!$AA$49="Media",'Mapa final'!$AC$49="Moderado"),CONCATENATE("R9C",'Mapa final'!$Q$49),"")</f>
        <v/>
      </c>
      <c r="Y34" s="39" t="str">
        <f>IF(AND('Mapa final'!$AA$50="Media",'Mapa final'!$AC$50="Moderado"),CONCATENATE("R9C",'Mapa final'!$Q$50),"")</f>
        <v/>
      </c>
      <c r="Z34" s="39" t="str">
        <f>IF(AND('Mapa final'!$AA$51="Media",'Mapa final'!$AC$51="Moderado"),CONCATENATE("R9C",'Mapa final'!$Q$51),"")</f>
        <v/>
      </c>
      <c r="AA34" s="40" t="str">
        <f>IF(AND('Mapa final'!$AA$52="Media",'Mapa final'!$AC$52="Moderado"),CONCATENATE("R9C",'Mapa final'!$Q$52),"")</f>
        <v/>
      </c>
      <c r="AB34" s="22" t="str">
        <f>IF(AND('Mapa final'!$AA$47="Media",'Mapa final'!$AC$47="Mayor"),CONCATENATE("R9C",'Mapa final'!$Q$47),"")</f>
        <v/>
      </c>
      <c r="AC34" s="23" t="str">
        <f>IF(AND('Mapa final'!$AA$48="Media",'Mapa final'!$AC$48="Mayor"),CONCATENATE("R9C",'Mapa final'!$Q$48),"")</f>
        <v/>
      </c>
      <c r="AD34" s="28" t="str">
        <f>IF(AND('Mapa final'!$AA$49="Media",'Mapa final'!$AC$49="Mayor"),CONCATENATE("R9C",'Mapa final'!$Q$49),"")</f>
        <v/>
      </c>
      <c r="AE34" s="28" t="str">
        <f>IF(AND('Mapa final'!$AA$50="Media",'Mapa final'!$AC$50="Mayor"),CONCATENATE("R9C",'Mapa final'!$Q$50),"")</f>
        <v/>
      </c>
      <c r="AF34" s="28" t="str">
        <f>IF(AND('Mapa final'!$AA$51="Media",'Mapa final'!$AC$51="Mayor"),CONCATENATE("R9C",'Mapa final'!$Q$51),"")</f>
        <v/>
      </c>
      <c r="AG34" s="24" t="str">
        <f>IF(AND('Mapa final'!$AA$52="Media",'Mapa final'!$AC$52="Mayor"),CONCATENATE("R9C",'Mapa final'!$Q$52),"")</f>
        <v/>
      </c>
      <c r="AH34" s="25" t="str">
        <f>IF(AND('Mapa final'!$AA$47="Media",'Mapa final'!$AC$47="Catastrófico"),CONCATENATE("R9C",'Mapa final'!$Q$47),"")</f>
        <v/>
      </c>
      <c r="AI34" s="26" t="str">
        <f>IF(AND('Mapa final'!$AA$48="Media",'Mapa final'!$AC$48="Catastrófico"),CONCATENATE("R9C",'Mapa final'!$Q$48),"")</f>
        <v/>
      </c>
      <c r="AJ34" s="26" t="str">
        <f>IF(AND('Mapa final'!$AA$49="Media",'Mapa final'!$AC$49="Catastrófico"),CONCATENATE("R9C",'Mapa final'!$Q$49),"")</f>
        <v/>
      </c>
      <c r="AK34" s="26" t="str">
        <f>IF(AND('Mapa final'!$AA$50="Media",'Mapa final'!$AC$50="Catastrófico"),CONCATENATE("R9C",'Mapa final'!$Q$50),"")</f>
        <v/>
      </c>
      <c r="AL34" s="26" t="str">
        <f>IF(AND('Mapa final'!$AA$51="Media",'Mapa final'!$AC$51="Catastrófico"),CONCATENATE("R9C",'Mapa final'!$Q$51),"")</f>
        <v/>
      </c>
      <c r="AM34" s="27" t="str">
        <f>IF(AND('Mapa final'!$AA$52="Media",'Mapa final'!$AC$52="Catastrófico"),CONCATENATE("R9C",'Mapa final'!$Q$52),"")</f>
        <v/>
      </c>
      <c r="AN34" s="54"/>
      <c r="AO34" s="423"/>
      <c r="AP34" s="424"/>
      <c r="AQ34" s="424"/>
      <c r="AR34" s="424"/>
      <c r="AS34" s="424"/>
      <c r="AT34" s="425"/>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row>
    <row r="35" spans="1:80" ht="15.75" customHeight="1" thickBot="1" x14ac:dyDescent="0.35">
      <c r="A35" s="54"/>
      <c r="B35" s="292"/>
      <c r="C35" s="292"/>
      <c r="D35" s="293"/>
      <c r="E35" s="395"/>
      <c r="F35" s="396"/>
      <c r="G35" s="396"/>
      <c r="H35" s="396"/>
      <c r="I35" s="410"/>
      <c r="J35" s="38" t="str">
        <f>IF(AND('Mapa final'!$AA$53="Media",'Mapa final'!$AC$53="Leve"),CONCATENATE("R10C",'Mapa final'!$Q$53),"")</f>
        <v/>
      </c>
      <c r="K35" s="39" t="str">
        <f>IF(AND('Mapa final'!$AA$54="Media",'Mapa final'!$AC$54="Leve"),CONCATENATE("R10C",'Mapa final'!$Q$54),"")</f>
        <v/>
      </c>
      <c r="L35" s="39" t="str">
        <f>IF(AND('Mapa final'!$AA$55="Media",'Mapa final'!$AC$55="Leve"),CONCATENATE("R10C",'Mapa final'!$Q$55),"")</f>
        <v/>
      </c>
      <c r="M35" s="39" t="str">
        <f>IF(AND('Mapa final'!$AA$56="Media",'Mapa final'!$AC$56="Leve"),CONCATENATE("R10C",'Mapa final'!$Q$56),"")</f>
        <v/>
      </c>
      <c r="N35" s="39" t="str">
        <f>IF(AND('Mapa final'!$AA$57="Media",'Mapa final'!$AC$57="Leve"),CONCATENATE("R10C",'Mapa final'!$Q$57),"")</f>
        <v/>
      </c>
      <c r="O35" s="40" t="str">
        <f>IF(AND('Mapa final'!$AA$58="Media",'Mapa final'!$AC$58="Leve"),CONCATENATE("R10C",'Mapa final'!$Q$58),"")</f>
        <v/>
      </c>
      <c r="P35" s="38" t="str">
        <f>IF(AND('Mapa final'!$AA$53="Media",'Mapa final'!$AC$53="Menor"),CONCATENATE("R10C",'Mapa final'!$Q$53),"")</f>
        <v/>
      </c>
      <c r="Q35" s="39" t="str">
        <f>IF(AND('Mapa final'!$AA$54="Media",'Mapa final'!$AC$54="Menor"),CONCATENATE("R10C",'Mapa final'!$Q$54),"")</f>
        <v/>
      </c>
      <c r="R35" s="39" t="str">
        <f>IF(AND('Mapa final'!$AA$55="Media",'Mapa final'!$AC$55="Menor"),CONCATENATE("R10C",'Mapa final'!$Q$55),"")</f>
        <v/>
      </c>
      <c r="S35" s="39" t="str">
        <f>IF(AND('Mapa final'!$AA$56="Media",'Mapa final'!$AC$56="Menor"),CONCATENATE("R10C",'Mapa final'!$Q$56),"")</f>
        <v/>
      </c>
      <c r="T35" s="39" t="str">
        <f>IF(AND('Mapa final'!$AA$57="Media",'Mapa final'!$AC$57="Menor"),CONCATENATE("R10C",'Mapa final'!$Q$57),"")</f>
        <v/>
      </c>
      <c r="U35" s="40" t="str">
        <f>IF(AND('Mapa final'!$AA$58="Media",'Mapa final'!$AC$58="Menor"),CONCATENATE("R10C",'Mapa final'!$Q$58),"")</f>
        <v/>
      </c>
      <c r="V35" s="38" t="str">
        <f>IF(AND('Mapa final'!$AA$53="Media",'Mapa final'!$AC$53="Moderado"),CONCATENATE("R10C",'Mapa final'!$Q$53),"")</f>
        <v/>
      </c>
      <c r="W35" s="39" t="str">
        <f>IF(AND('Mapa final'!$AA$54="Media",'Mapa final'!$AC$54="Moderado"),CONCATENATE("R10C",'Mapa final'!$Q$54),"")</f>
        <v/>
      </c>
      <c r="X35" s="39" t="str">
        <f>IF(AND('Mapa final'!$AA$55="Media",'Mapa final'!$AC$55="Moderado"),CONCATENATE("R10C",'Mapa final'!$Q$55),"")</f>
        <v/>
      </c>
      <c r="Y35" s="39" t="str">
        <f>IF(AND('Mapa final'!$AA$56="Media",'Mapa final'!$AC$56="Moderado"),CONCATENATE("R10C",'Mapa final'!$Q$56),"")</f>
        <v/>
      </c>
      <c r="Z35" s="39" t="str">
        <f>IF(AND('Mapa final'!$AA$57="Media",'Mapa final'!$AC$57="Moderado"),CONCATENATE("R10C",'Mapa final'!$Q$57),"")</f>
        <v/>
      </c>
      <c r="AA35" s="40" t="str">
        <f>IF(AND('Mapa final'!$AA$58="Media",'Mapa final'!$AC$58="Moderado"),CONCATENATE("R10C",'Mapa final'!$Q$58),"")</f>
        <v/>
      </c>
      <c r="AB35" s="29" t="str">
        <f>IF(AND('Mapa final'!$AA$53="Media",'Mapa final'!$AC$53="Mayor"),CONCATENATE("R10C",'Mapa final'!$Q$53),"")</f>
        <v/>
      </c>
      <c r="AC35" s="30" t="str">
        <f>IF(AND('Mapa final'!$AA$54="Media",'Mapa final'!$AC$54="Mayor"),CONCATENATE("R10C",'Mapa final'!$Q$54),"")</f>
        <v/>
      </c>
      <c r="AD35" s="30" t="str">
        <f>IF(AND('Mapa final'!$AA$55="Media",'Mapa final'!$AC$55="Mayor"),CONCATENATE("R10C",'Mapa final'!$Q$55),"")</f>
        <v/>
      </c>
      <c r="AE35" s="30" t="str">
        <f>IF(AND('Mapa final'!$AA$56="Media",'Mapa final'!$AC$56="Mayor"),CONCATENATE("R10C",'Mapa final'!$Q$56),"")</f>
        <v/>
      </c>
      <c r="AF35" s="30" t="str">
        <f>IF(AND('Mapa final'!$AA$57="Media",'Mapa final'!$AC$57="Mayor"),CONCATENATE("R10C",'Mapa final'!$Q$57),"")</f>
        <v/>
      </c>
      <c r="AG35" s="31" t="str">
        <f>IF(AND('Mapa final'!$AA$58="Media",'Mapa final'!$AC$58="Mayor"),CONCATENATE("R10C",'Mapa final'!$Q$58),"")</f>
        <v/>
      </c>
      <c r="AH35" s="32" t="str">
        <f>IF(AND('Mapa final'!$AA$53="Media",'Mapa final'!$AC$53="Catastrófico"),CONCATENATE("R10C",'Mapa final'!$Q$53),"")</f>
        <v/>
      </c>
      <c r="AI35" s="33" t="str">
        <f>IF(AND('Mapa final'!$AA$54="Media",'Mapa final'!$AC$54="Catastrófico"),CONCATENATE("R10C",'Mapa final'!$Q$54),"")</f>
        <v/>
      </c>
      <c r="AJ35" s="33" t="str">
        <f>IF(AND('Mapa final'!$AA$55="Media",'Mapa final'!$AC$55="Catastrófico"),CONCATENATE("R10C",'Mapa final'!$Q$55),"")</f>
        <v/>
      </c>
      <c r="AK35" s="33" t="str">
        <f>IF(AND('Mapa final'!$AA$56="Media",'Mapa final'!$AC$56="Catastrófico"),CONCATENATE("R10C",'Mapa final'!$Q$56),"")</f>
        <v/>
      </c>
      <c r="AL35" s="33" t="str">
        <f>IF(AND('Mapa final'!$AA$57="Media",'Mapa final'!$AC$57="Catastrófico"),CONCATENATE("R10C",'Mapa final'!$Q$57),"")</f>
        <v/>
      </c>
      <c r="AM35" s="34" t="str">
        <f>IF(AND('Mapa final'!$AA$58="Media",'Mapa final'!$AC$58="Catastrófico"),CONCATENATE("R10C",'Mapa final'!$Q$58),"")</f>
        <v/>
      </c>
      <c r="AN35" s="54"/>
      <c r="AO35" s="426"/>
      <c r="AP35" s="427"/>
      <c r="AQ35" s="427"/>
      <c r="AR35" s="427"/>
      <c r="AS35" s="427"/>
      <c r="AT35" s="428"/>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row>
    <row r="36" spans="1:80" ht="15" customHeight="1" x14ac:dyDescent="0.3">
      <c r="A36" s="54"/>
      <c r="B36" s="292"/>
      <c r="C36" s="292"/>
      <c r="D36" s="293"/>
      <c r="E36" s="389" t="s">
        <v>109</v>
      </c>
      <c r="F36" s="390"/>
      <c r="G36" s="390"/>
      <c r="H36" s="390"/>
      <c r="I36" s="390"/>
      <c r="J36" s="44" t="str">
        <f ca="1">IF(AND('Mapa final'!$AA$10="Baja",'Mapa final'!$AC$10="Leve"),CONCATENATE("R1C",'Mapa final'!$Q$10),"")</f>
        <v/>
      </c>
      <c r="K36" s="45" t="str">
        <f ca="1">IF(AND('Mapa final'!$AA$11="Baja",'Mapa final'!$AC$11="Leve"),CONCATENATE("R1C",'Mapa final'!$Q$11),"")</f>
        <v/>
      </c>
      <c r="L36" s="45" t="str">
        <f ca="1">IF(AND('Mapa final'!$AA$12="Baja",'Mapa final'!$AC$12="Leve"),CONCATENATE("R1C",'Mapa final'!$Q$12),"")</f>
        <v/>
      </c>
      <c r="M36" s="45" t="str">
        <f ca="1">IF(AND('Mapa final'!$AA$13="Baja",'Mapa final'!$AC$13="Leve"),CONCATENATE("R1C",'Mapa final'!$Q$13),"")</f>
        <v/>
      </c>
      <c r="N36" s="45" t="str">
        <f ca="1">IF(AND('Mapa final'!$AA$14="Baja",'Mapa final'!$AC$14="Leve"),CONCATENATE("R1C",'Mapa final'!$Q$14),"")</f>
        <v/>
      </c>
      <c r="O36" s="46" t="e">
        <f>IF(AND('Mapa final'!#REF!="Baja",'Mapa final'!#REF!="Leve"),CONCATENATE("R1C",'Mapa final'!#REF!),"")</f>
        <v>#REF!</v>
      </c>
      <c r="P36" s="35" t="str">
        <f ca="1">IF(AND('Mapa final'!$AA$10="Baja",'Mapa final'!$AC$10="Menor"),CONCATENATE("R1C",'Mapa final'!$Q$10),"")</f>
        <v/>
      </c>
      <c r="Q36" s="36" t="str">
        <f ca="1">IF(AND('Mapa final'!$AA$11="Baja",'Mapa final'!$AC$11="Menor"),CONCATENATE("R1C",'Mapa final'!$Q$11),"")</f>
        <v/>
      </c>
      <c r="R36" s="36" t="str">
        <f ca="1">IF(AND('Mapa final'!$AA$12="Baja",'Mapa final'!$AC$12="Menor"),CONCATENATE("R1C",'Mapa final'!$Q$12),"")</f>
        <v/>
      </c>
      <c r="S36" s="36" t="str">
        <f ca="1">IF(AND('Mapa final'!$AA$13="Baja",'Mapa final'!$AC$13="Menor"),CONCATENATE("R1C",'Mapa final'!$Q$13),"")</f>
        <v/>
      </c>
      <c r="T36" s="36" t="str">
        <f ca="1">IF(AND('Mapa final'!$AA$14="Baja",'Mapa final'!$AC$14="Menor"),CONCATENATE("R1C",'Mapa final'!$Q$14),"")</f>
        <v/>
      </c>
      <c r="U36" s="37" t="e">
        <f>IF(AND('Mapa final'!#REF!="Baja",'Mapa final'!#REF!="Menor"),CONCATENATE("R1C",'Mapa final'!#REF!),"")</f>
        <v>#REF!</v>
      </c>
      <c r="V36" s="35" t="str">
        <f ca="1">IF(AND('Mapa final'!$AA$10="Baja",'Mapa final'!$AC$10="Moderado"),CONCATENATE("R1C",'Mapa final'!$Q$10),"")</f>
        <v/>
      </c>
      <c r="W36" s="36" t="str">
        <f ca="1">IF(AND('Mapa final'!$AA$11="Baja",'Mapa final'!$AC$11="Moderado"),CONCATENATE("R1C",'Mapa final'!$Q$11),"")</f>
        <v/>
      </c>
      <c r="X36" s="36" t="str">
        <f ca="1">IF(AND('Mapa final'!$AA$12="Baja",'Mapa final'!$AC$12="Moderado"),CONCATENATE("R1C",'Mapa final'!$Q$12),"")</f>
        <v/>
      </c>
      <c r="Y36" s="36" t="str">
        <f ca="1">IF(AND('Mapa final'!$AA$13="Baja",'Mapa final'!$AC$13="Moderado"),CONCATENATE("R1C",'Mapa final'!$Q$13),"")</f>
        <v/>
      </c>
      <c r="Z36" s="36" t="str">
        <f ca="1">IF(AND('Mapa final'!$AA$14="Baja",'Mapa final'!$AC$14="Moderado"),CONCATENATE("R1C",'Mapa final'!$Q$14),"")</f>
        <v/>
      </c>
      <c r="AA36" s="37" t="e">
        <f>IF(AND('Mapa final'!#REF!="Baja",'Mapa final'!#REF!="Moderado"),CONCATENATE("R1C",'Mapa final'!#REF!),"")</f>
        <v>#REF!</v>
      </c>
      <c r="AB36" s="16" t="str">
        <f ca="1">IF(AND('Mapa final'!$AA$10="Baja",'Mapa final'!$AC$10="Mayor"),CONCATENATE("R1C",'Mapa final'!$Q$10),"")</f>
        <v/>
      </c>
      <c r="AC36" s="17" t="str">
        <f ca="1">IF(AND('Mapa final'!$AA$11="Baja",'Mapa final'!$AC$11="Mayor"),CONCATENATE("R1C",'Mapa final'!$Q$11),"")</f>
        <v>R1C2</v>
      </c>
      <c r="AD36" s="17" t="str">
        <f ca="1">IF(AND('Mapa final'!$AA$12="Baja",'Mapa final'!$AC$12="Mayor"),CONCATENATE("R1C",'Mapa final'!$Q$12),"")</f>
        <v/>
      </c>
      <c r="AE36" s="17" t="str">
        <f ca="1">IF(AND('Mapa final'!$AA$13="Baja",'Mapa final'!$AC$13="Mayor"),CONCATENATE("R1C",'Mapa final'!$Q$13),"")</f>
        <v/>
      </c>
      <c r="AF36" s="17" t="str">
        <f ca="1">IF(AND('Mapa final'!$AA$14="Baja",'Mapa final'!$AC$14="Mayor"),CONCATENATE("R1C",'Mapa final'!$Q$14),"")</f>
        <v/>
      </c>
      <c r="AG36" s="18" t="e">
        <f>IF(AND('Mapa final'!#REF!="Baja",'Mapa final'!#REF!="Mayor"),CONCATENATE("R1C",'Mapa final'!#REF!),"")</f>
        <v>#REF!</v>
      </c>
      <c r="AH36" s="19" t="str">
        <f ca="1">IF(AND('Mapa final'!$AA$10="Baja",'Mapa final'!$AC$10="Catastrófico"),CONCATENATE("R1C",'Mapa final'!$Q$10),"")</f>
        <v/>
      </c>
      <c r="AI36" s="20" t="str">
        <f ca="1">IF(AND('Mapa final'!$AA$11="Baja",'Mapa final'!$AC$11="Catastrófico"),CONCATENATE("R1C",'Mapa final'!$Q$11),"")</f>
        <v/>
      </c>
      <c r="AJ36" s="20" t="str">
        <f ca="1">IF(AND('Mapa final'!$AA$12="Baja",'Mapa final'!$AC$12="Catastrófico"),CONCATENATE("R1C",'Mapa final'!$Q$12),"")</f>
        <v/>
      </c>
      <c r="AK36" s="20" t="str">
        <f ca="1">IF(AND('Mapa final'!$AA$13="Baja",'Mapa final'!$AC$13="Catastrófico"),CONCATENATE("R1C",'Mapa final'!$Q$13),"")</f>
        <v/>
      </c>
      <c r="AL36" s="20" t="str">
        <f ca="1">IF(AND('Mapa final'!$AA$14="Baja",'Mapa final'!$AC$14="Catastrófico"),CONCATENATE("R1C",'Mapa final'!$Q$14),"")</f>
        <v/>
      </c>
      <c r="AM36" s="21" t="e">
        <f>IF(AND('Mapa final'!#REF!="Baja",'Mapa final'!#REF!="Catastrófico"),CONCATENATE("R1C",'Mapa final'!#REF!),"")</f>
        <v>#REF!</v>
      </c>
      <c r="AN36" s="54"/>
      <c r="AO36" s="411" t="s">
        <v>81</v>
      </c>
      <c r="AP36" s="412"/>
      <c r="AQ36" s="412"/>
      <c r="AR36" s="412"/>
      <c r="AS36" s="412"/>
      <c r="AT36" s="413"/>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row>
    <row r="37" spans="1:80" ht="15" customHeight="1" x14ac:dyDescent="0.3">
      <c r="A37" s="54"/>
      <c r="B37" s="292"/>
      <c r="C37" s="292"/>
      <c r="D37" s="293"/>
      <c r="E37" s="391"/>
      <c r="F37" s="392"/>
      <c r="G37" s="392"/>
      <c r="H37" s="392"/>
      <c r="I37" s="392"/>
      <c r="J37" s="47" t="str">
        <f ca="1">IF(AND('Mapa final'!$AA$15="Baja",'Mapa final'!$AC$15="Leve"),CONCATENATE("R2C",'Mapa final'!$Q$15),"")</f>
        <v/>
      </c>
      <c r="K37" s="48" t="str">
        <f ca="1">IF(AND('Mapa final'!$AA$16="Baja",'Mapa final'!$AC$16="Leve"),CONCATENATE("R2C",'Mapa final'!$Q$16),"")</f>
        <v/>
      </c>
      <c r="L37" s="48" t="e">
        <f>IF(AND('Mapa final'!#REF!="Baja",'Mapa final'!#REF!="Leve"),CONCATENATE("R2C",'Mapa final'!$Q$17),"")</f>
        <v>#REF!</v>
      </c>
      <c r="M37" s="48" t="e">
        <f>IF(AND('Mapa final'!#REF!="Baja",'Mapa final'!#REF!="Leve"),CONCATENATE("R2C",'Mapa final'!#REF!),"")</f>
        <v>#REF!</v>
      </c>
      <c r="N37" s="48" t="e">
        <f>IF(AND('Mapa final'!#REF!="Baja",'Mapa final'!#REF!="Leve"),CONCATENATE("R2C",'Mapa final'!#REF!),"")</f>
        <v>#REF!</v>
      </c>
      <c r="O37" s="49" t="e">
        <f>IF(AND('Mapa final'!#REF!="Baja",'Mapa final'!#REF!="Leve"),CONCATENATE("R2C",'Mapa final'!#REF!),"")</f>
        <v>#REF!</v>
      </c>
      <c r="P37" s="38" t="str">
        <f ca="1">IF(AND('Mapa final'!$AA$15="Baja",'Mapa final'!$AC$15="Menor"),CONCATENATE("R2C",'Mapa final'!$Q$15),"")</f>
        <v/>
      </c>
      <c r="Q37" s="39" t="str">
        <f ca="1">IF(AND('Mapa final'!$AA$16="Baja",'Mapa final'!$AC$16="Menor"),CONCATENATE("R2C",'Mapa final'!$Q$16),"")</f>
        <v/>
      </c>
      <c r="R37" s="39" t="e">
        <f>IF(AND('Mapa final'!#REF!="Baja",'Mapa final'!#REF!="Menor"),CONCATENATE("R2C",'Mapa final'!$Q$17),"")</f>
        <v>#REF!</v>
      </c>
      <c r="S37" s="39" t="e">
        <f>IF(AND('Mapa final'!#REF!="Baja",'Mapa final'!#REF!="Menor"),CONCATENATE("R2C",'Mapa final'!#REF!),"")</f>
        <v>#REF!</v>
      </c>
      <c r="T37" s="39" t="e">
        <f>IF(AND('Mapa final'!#REF!="Baja",'Mapa final'!#REF!="Menor"),CONCATENATE("R2C",'Mapa final'!#REF!),"")</f>
        <v>#REF!</v>
      </c>
      <c r="U37" s="40" t="e">
        <f>IF(AND('Mapa final'!#REF!="Baja",'Mapa final'!#REF!="Menor"),CONCATENATE("R2C",'Mapa final'!#REF!),"")</f>
        <v>#REF!</v>
      </c>
      <c r="V37" s="38" t="str">
        <f ca="1">IF(AND('Mapa final'!$AA$15="Baja",'Mapa final'!$AC$15="Moderado"),CONCATENATE("R2C",'Mapa final'!$Q$15),"")</f>
        <v/>
      </c>
      <c r="W37" s="39" t="str">
        <f ca="1">IF(AND('Mapa final'!$AA$16="Baja",'Mapa final'!$AC$16="Moderado"),CONCATENATE("R2C",'Mapa final'!$Q$16),"")</f>
        <v/>
      </c>
      <c r="X37" s="39" t="e">
        <f>IF(AND('Mapa final'!#REF!="Baja",'Mapa final'!#REF!="Moderado"),CONCATENATE("R2C",'Mapa final'!$Q$17),"")</f>
        <v>#REF!</v>
      </c>
      <c r="Y37" s="39" t="e">
        <f>IF(AND('Mapa final'!#REF!="Baja",'Mapa final'!#REF!="Moderado"),CONCATENATE("R2C",'Mapa final'!#REF!),"")</f>
        <v>#REF!</v>
      </c>
      <c r="Z37" s="39" t="e">
        <f>IF(AND('Mapa final'!#REF!="Baja",'Mapa final'!#REF!="Moderado"),CONCATENATE("R2C",'Mapa final'!#REF!),"")</f>
        <v>#REF!</v>
      </c>
      <c r="AA37" s="40" t="e">
        <f>IF(AND('Mapa final'!#REF!="Baja",'Mapa final'!#REF!="Moderado"),CONCATENATE("R2C",'Mapa final'!#REF!),"")</f>
        <v>#REF!</v>
      </c>
      <c r="AB37" s="22" t="str">
        <f ca="1">IF(AND('Mapa final'!$AA$15="Baja",'Mapa final'!$AC$15="Mayor"),CONCATENATE("R2C",'Mapa final'!$Q$15),"")</f>
        <v/>
      </c>
      <c r="AC37" s="23" t="str">
        <f ca="1">IF(AND('Mapa final'!$AA$16="Baja",'Mapa final'!$AC$16="Mayor"),CONCATENATE("R2C",'Mapa final'!$Q$16),"")</f>
        <v>R2C2</v>
      </c>
      <c r="AD37" s="23" t="e">
        <f>IF(AND('Mapa final'!#REF!="Baja",'Mapa final'!#REF!="Mayor"),CONCATENATE("R2C",'Mapa final'!$Q$17),"")</f>
        <v>#REF!</v>
      </c>
      <c r="AE37" s="23" t="e">
        <f>IF(AND('Mapa final'!#REF!="Baja",'Mapa final'!#REF!="Mayor"),CONCATENATE("R2C",'Mapa final'!#REF!),"")</f>
        <v>#REF!</v>
      </c>
      <c r="AF37" s="23" t="e">
        <f>IF(AND('Mapa final'!#REF!="Baja",'Mapa final'!#REF!="Mayor"),CONCATENATE("R2C",'Mapa final'!#REF!),"")</f>
        <v>#REF!</v>
      </c>
      <c r="AG37" s="24" t="e">
        <f>IF(AND('Mapa final'!#REF!="Baja",'Mapa final'!#REF!="Mayor"),CONCATENATE("R2C",'Mapa final'!#REF!),"")</f>
        <v>#REF!</v>
      </c>
      <c r="AH37" s="25" t="str">
        <f ca="1">IF(AND('Mapa final'!$AA$15="Baja",'Mapa final'!$AC$15="Catastrófico"),CONCATENATE("R2C",'Mapa final'!$Q$15),"")</f>
        <v/>
      </c>
      <c r="AI37" s="26" t="str">
        <f ca="1">IF(AND('Mapa final'!$AA$16="Baja",'Mapa final'!$AC$16="Catastrófico"),CONCATENATE("R2C",'Mapa final'!$Q$16),"")</f>
        <v/>
      </c>
      <c r="AJ37" s="26" t="e">
        <f>IF(AND('Mapa final'!#REF!="Baja",'Mapa final'!#REF!="Catastrófico"),CONCATENATE("R2C",'Mapa final'!$Q$17),"")</f>
        <v>#REF!</v>
      </c>
      <c r="AK37" s="26" t="e">
        <f>IF(AND('Mapa final'!#REF!="Baja",'Mapa final'!#REF!="Catastrófico"),CONCATENATE("R2C",'Mapa final'!#REF!),"")</f>
        <v>#REF!</v>
      </c>
      <c r="AL37" s="26" t="e">
        <f>IF(AND('Mapa final'!#REF!="Baja",'Mapa final'!#REF!="Catastrófico"),CONCATENATE("R2C",'Mapa final'!#REF!),"")</f>
        <v>#REF!</v>
      </c>
      <c r="AM37" s="27" t="e">
        <f>IF(AND('Mapa final'!#REF!="Baja",'Mapa final'!#REF!="Catastrófico"),CONCATENATE("R2C",'Mapa final'!#REF!),"")</f>
        <v>#REF!</v>
      </c>
      <c r="AN37" s="54"/>
      <c r="AO37" s="414"/>
      <c r="AP37" s="415"/>
      <c r="AQ37" s="415"/>
      <c r="AR37" s="415"/>
      <c r="AS37" s="415"/>
      <c r="AT37" s="416"/>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row>
    <row r="38" spans="1:80" ht="15" customHeight="1" x14ac:dyDescent="0.3">
      <c r="A38" s="54"/>
      <c r="B38" s="292"/>
      <c r="C38" s="292"/>
      <c r="D38" s="293"/>
      <c r="E38" s="393"/>
      <c r="F38" s="394"/>
      <c r="G38" s="394"/>
      <c r="H38" s="394"/>
      <c r="I38" s="392"/>
      <c r="J38" s="47" t="e">
        <f>IF(AND('Mapa final'!#REF!="Baja",'Mapa final'!#REF!="Leve"),CONCATENATE("R3C",'Mapa final'!#REF!),"")</f>
        <v>#REF!</v>
      </c>
      <c r="K38" s="48" t="e">
        <f>IF(AND('Mapa final'!#REF!="Baja",'Mapa final'!#REF!="Leve"),CONCATENATE("R3C",'Mapa final'!#REF!),"")</f>
        <v>#REF!</v>
      </c>
      <c r="L38" s="48" t="e">
        <f>IF(AND('Mapa final'!#REF!="Baja",'Mapa final'!#REF!="Leve"),CONCATENATE("R3C",'Mapa final'!#REF!),"")</f>
        <v>#REF!</v>
      </c>
      <c r="M38" s="48" t="e">
        <f>IF(AND('Mapa final'!#REF!="Baja",'Mapa final'!#REF!="Leve"),CONCATENATE("R3C",'Mapa final'!#REF!),"")</f>
        <v>#REF!</v>
      </c>
      <c r="N38" s="48" t="e">
        <f>IF(AND('Mapa final'!#REF!="Baja",'Mapa final'!#REF!="Leve"),CONCATENATE("R3C",'Mapa final'!#REF!),"")</f>
        <v>#REF!</v>
      </c>
      <c r="O38" s="49" t="e">
        <f>IF(AND('Mapa final'!#REF!="Baja",'Mapa final'!#REF!="Leve"),CONCATENATE("R3C",'Mapa final'!#REF!),"")</f>
        <v>#REF!</v>
      </c>
      <c r="P38" s="38" t="e">
        <f>IF(AND('Mapa final'!#REF!="Baja",'Mapa final'!#REF!="Menor"),CONCATENATE("R3C",'Mapa final'!#REF!),"")</f>
        <v>#REF!</v>
      </c>
      <c r="Q38" s="39" t="e">
        <f>IF(AND('Mapa final'!#REF!="Baja",'Mapa final'!#REF!="Menor"),CONCATENATE("R3C",'Mapa final'!#REF!),"")</f>
        <v>#REF!</v>
      </c>
      <c r="R38" s="39" t="e">
        <f>IF(AND('Mapa final'!#REF!="Baja",'Mapa final'!#REF!="Menor"),CONCATENATE("R3C",'Mapa final'!#REF!),"")</f>
        <v>#REF!</v>
      </c>
      <c r="S38" s="39" t="e">
        <f>IF(AND('Mapa final'!#REF!="Baja",'Mapa final'!#REF!="Menor"),CONCATENATE("R3C",'Mapa final'!#REF!),"")</f>
        <v>#REF!</v>
      </c>
      <c r="T38" s="39" t="e">
        <f>IF(AND('Mapa final'!#REF!="Baja",'Mapa final'!#REF!="Menor"),CONCATENATE("R3C",'Mapa final'!#REF!),"")</f>
        <v>#REF!</v>
      </c>
      <c r="U38" s="40" t="e">
        <f>IF(AND('Mapa final'!#REF!="Baja",'Mapa final'!#REF!="Menor"),CONCATENATE("R3C",'Mapa final'!#REF!),"")</f>
        <v>#REF!</v>
      </c>
      <c r="V38" s="38" t="e">
        <f>IF(AND('Mapa final'!#REF!="Baja",'Mapa final'!#REF!="Moderado"),CONCATENATE("R3C",'Mapa final'!#REF!),"")</f>
        <v>#REF!</v>
      </c>
      <c r="W38" s="39" t="e">
        <f>IF(AND('Mapa final'!#REF!="Baja",'Mapa final'!#REF!="Moderado"),CONCATENATE("R3C",'Mapa final'!#REF!),"")</f>
        <v>#REF!</v>
      </c>
      <c r="X38" s="39" t="e">
        <f>IF(AND('Mapa final'!#REF!="Baja",'Mapa final'!#REF!="Moderado"),CONCATENATE("R3C",'Mapa final'!#REF!),"")</f>
        <v>#REF!</v>
      </c>
      <c r="Y38" s="39" t="e">
        <f>IF(AND('Mapa final'!#REF!="Baja",'Mapa final'!#REF!="Moderado"),CONCATENATE("R3C",'Mapa final'!#REF!),"")</f>
        <v>#REF!</v>
      </c>
      <c r="Z38" s="39" t="e">
        <f>IF(AND('Mapa final'!#REF!="Baja",'Mapa final'!#REF!="Moderado"),CONCATENATE("R3C",'Mapa final'!#REF!),"")</f>
        <v>#REF!</v>
      </c>
      <c r="AA38" s="40" t="e">
        <f>IF(AND('Mapa final'!#REF!="Baja",'Mapa final'!#REF!="Moderado"),CONCATENATE("R3C",'Mapa final'!#REF!),"")</f>
        <v>#REF!</v>
      </c>
      <c r="AB38" s="22" t="e">
        <f>IF(AND('Mapa final'!#REF!="Baja",'Mapa final'!#REF!="Mayor"),CONCATENATE("R3C",'Mapa final'!#REF!),"")</f>
        <v>#REF!</v>
      </c>
      <c r="AC38" s="23" t="e">
        <f>IF(AND('Mapa final'!#REF!="Baja",'Mapa final'!#REF!="Mayor"),CONCATENATE("R3C",'Mapa final'!#REF!),"")</f>
        <v>#REF!</v>
      </c>
      <c r="AD38" s="23" t="e">
        <f>IF(AND('Mapa final'!#REF!="Baja",'Mapa final'!#REF!="Mayor"),CONCATENATE("R3C",'Mapa final'!#REF!),"")</f>
        <v>#REF!</v>
      </c>
      <c r="AE38" s="23" t="e">
        <f>IF(AND('Mapa final'!#REF!="Baja",'Mapa final'!#REF!="Mayor"),CONCATENATE("R3C",'Mapa final'!#REF!),"")</f>
        <v>#REF!</v>
      </c>
      <c r="AF38" s="23" t="e">
        <f>IF(AND('Mapa final'!#REF!="Baja",'Mapa final'!#REF!="Mayor"),CONCATENATE("R3C",'Mapa final'!#REF!),"")</f>
        <v>#REF!</v>
      </c>
      <c r="AG38" s="24" t="e">
        <f>IF(AND('Mapa final'!#REF!="Baja",'Mapa final'!#REF!="Mayor"),CONCATENATE("R3C",'Mapa final'!#REF!),"")</f>
        <v>#REF!</v>
      </c>
      <c r="AH38" s="25" t="e">
        <f>IF(AND('Mapa final'!#REF!="Baja",'Mapa final'!#REF!="Catastrófico"),CONCATENATE("R3C",'Mapa final'!#REF!),"")</f>
        <v>#REF!</v>
      </c>
      <c r="AI38" s="26" t="e">
        <f>IF(AND('Mapa final'!#REF!="Baja",'Mapa final'!#REF!="Catastrófico"),CONCATENATE("R3C",'Mapa final'!#REF!),"")</f>
        <v>#REF!</v>
      </c>
      <c r="AJ38" s="26" t="e">
        <f>IF(AND('Mapa final'!#REF!="Baja",'Mapa final'!#REF!="Catastrófico"),CONCATENATE("R3C",'Mapa final'!#REF!),"")</f>
        <v>#REF!</v>
      </c>
      <c r="AK38" s="26" t="e">
        <f>IF(AND('Mapa final'!#REF!="Baja",'Mapa final'!#REF!="Catastrófico"),CONCATENATE("R3C",'Mapa final'!#REF!),"")</f>
        <v>#REF!</v>
      </c>
      <c r="AL38" s="26" t="e">
        <f>IF(AND('Mapa final'!#REF!="Baja",'Mapa final'!#REF!="Catastrófico"),CONCATENATE("R3C",'Mapa final'!#REF!),"")</f>
        <v>#REF!</v>
      </c>
      <c r="AM38" s="27" t="e">
        <f>IF(AND('Mapa final'!#REF!="Baja",'Mapa final'!#REF!="Catastrófico"),CONCATENATE("R3C",'Mapa final'!#REF!),"")</f>
        <v>#REF!</v>
      </c>
      <c r="AN38" s="54"/>
      <c r="AO38" s="414"/>
      <c r="AP38" s="415"/>
      <c r="AQ38" s="415"/>
      <c r="AR38" s="415"/>
      <c r="AS38" s="415"/>
      <c r="AT38" s="416"/>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row>
    <row r="39" spans="1:80" ht="15" customHeight="1" x14ac:dyDescent="0.3">
      <c r="A39" s="54"/>
      <c r="B39" s="292"/>
      <c r="C39" s="292"/>
      <c r="D39" s="293"/>
      <c r="E39" s="393"/>
      <c r="F39" s="394"/>
      <c r="G39" s="394"/>
      <c r="H39" s="394"/>
      <c r="I39" s="392"/>
      <c r="J39" s="47" t="str">
        <f ca="1">IF(AND('Mapa final'!$AA$19="Baja",'Mapa final'!$AC$19="Leve"),CONCATENATE("R4C",'Mapa final'!$Q$19),"")</f>
        <v/>
      </c>
      <c r="K39" s="48" t="str">
        <f ca="1">IF(AND('Mapa final'!$AA$20="Baja",'Mapa final'!$AC$20="Leve"),CONCATENATE("R4C",'Mapa final'!$Q$20),"")</f>
        <v/>
      </c>
      <c r="L39" s="48" t="str">
        <f ca="1">IF(AND('Mapa final'!$AA$21="Baja",'Mapa final'!$AC$21="Leve"),CONCATENATE("R4C",'Mapa final'!$Q$21),"")</f>
        <v/>
      </c>
      <c r="M39" s="48" t="str">
        <f ca="1">IF(AND('Mapa final'!$AA$22="Baja",'Mapa final'!$AC$22="Leve"),CONCATENATE("R4C",'Mapa final'!$Q$22),"")</f>
        <v/>
      </c>
      <c r="N39" s="48" t="e">
        <f>IF(AND('Mapa final'!#REF!="Baja",'Mapa final'!#REF!="Leve"),CONCATENATE("R4C",'Mapa final'!#REF!),"")</f>
        <v>#REF!</v>
      </c>
      <c r="O39" s="49" t="e">
        <f>IF(AND('Mapa final'!#REF!="Baja",'Mapa final'!#REF!="Leve"),CONCATENATE("R4C",'Mapa final'!#REF!),"")</f>
        <v>#REF!</v>
      </c>
      <c r="P39" s="38" t="str">
        <f ca="1">IF(AND('Mapa final'!$AA$19="Baja",'Mapa final'!$AC$19="Menor"),CONCATENATE("R4C",'Mapa final'!$Q$19),"")</f>
        <v/>
      </c>
      <c r="Q39" s="39" t="str">
        <f ca="1">IF(AND('Mapa final'!$AA$20="Baja",'Mapa final'!$AC$20="Menor"),CONCATENATE("R4C",'Mapa final'!$Q$20),"")</f>
        <v/>
      </c>
      <c r="R39" s="39" t="str">
        <f ca="1">IF(AND('Mapa final'!$AA$21="Baja",'Mapa final'!$AC$21="Menor"),CONCATENATE("R4C",'Mapa final'!$Q$21),"")</f>
        <v/>
      </c>
      <c r="S39" s="39" t="str">
        <f ca="1">IF(AND('Mapa final'!$AA$22="Baja",'Mapa final'!$AC$22="Menor"),CONCATENATE("R4C",'Mapa final'!$Q$22),"")</f>
        <v/>
      </c>
      <c r="T39" s="39" t="e">
        <f>IF(AND('Mapa final'!#REF!="Baja",'Mapa final'!#REF!="Menor"),CONCATENATE("R4C",'Mapa final'!#REF!),"")</f>
        <v>#REF!</v>
      </c>
      <c r="U39" s="40" t="e">
        <f>IF(AND('Mapa final'!#REF!="Baja",'Mapa final'!#REF!="Menor"),CONCATENATE("R4C",'Mapa final'!#REF!),"")</f>
        <v>#REF!</v>
      </c>
      <c r="V39" s="38" t="str">
        <f ca="1">IF(AND('Mapa final'!$AA$19="Baja",'Mapa final'!$AC$19="Moderado"),CONCATENATE("R4C",'Mapa final'!$Q$19),"")</f>
        <v/>
      </c>
      <c r="W39" s="39" t="str">
        <f ca="1">IF(AND('Mapa final'!$AA$20="Baja",'Mapa final'!$AC$20="Moderado"),CONCATENATE("R4C",'Mapa final'!$Q$20),"")</f>
        <v/>
      </c>
      <c r="X39" s="39" t="str">
        <f ca="1">IF(AND('Mapa final'!$AA$21="Baja",'Mapa final'!$AC$21="Moderado"),CONCATENATE("R4C",'Mapa final'!$Q$21),"")</f>
        <v/>
      </c>
      <c r="Y39" s="39" t="str">
        <f ca="1">IF(AND('Mapa final'!$AA$22="Baja",'Mapa final'!$AC$22="Moderado"),CONCATENATE("R4C",'Mapa final'!$Q$22),"")</f>
        <v/>
      </c>
      <c r="Z39" s="39" t="e">
        <f>IF(AND('Mapa final'!#REF!="Baja",'Mapa final'!#REF!="Moderado"),CONCATENATE("R4C",'Mapa final'!#REF!),"")</f>
        <v>#REF!</v>
      </c>
      <c r="AA39" s="40" t="e">
        <f>IF(AND('Mapa final'!#REF!="Baja",'Mapa final'!#REF!="Moderado"),CONCATENATE("R4C",'Mapa final'!#REF!),"")</f>
        <v>#REF!</v>
      </c>
      <c r="AB39" s="22" t="str">
        <f ca="1">IF(AND('Mapa final'!$AA$19="Baja",'Mapa final'!$AC$19="Mayor"),CONCATENATE("R4C",'Mapa final'!$Q$19),"")</f>
        <v/>
      </c>
      <c r="AC39" s="23" t="str">
        <f ca="1">IF(AND('Mapa final'!$AA$20="Baja",'Mapa final'!$AC$20="Mayor"),CONCATENATE("R4C",'Mapa final'!$Q$20),"")</f>
        <v/>
      </c>
      <c r="AD39" s="23" t="str">
        <f ca="1">IF(AND('Mapa final'!$AA$21="Baja",'Mapa final'!$AC$21="Mayor"),CONCATENATE("R4C",'Mapa final'!$Q$21),"")</f>
        <v/>
      </c>
      <c r="AE39" s="23" t="str">
        <f ca="1">IF(AND('Mapa final'!$AA$22="Baja",'Mapa final'!$AC$22="Mayor"),CONCATENATE("R4C",'Mapa final'!$Q$22),"")</f>
        <v/>
      </c>
      <c r="AF39" s="23" t="e">
        <f>IF(AND('Mapa final'!#REF!="Baja",'Mapa final'!#REF!="Mayor"),CONCATENATE("R4C",'Mapa final'!#REF!),"")</f>
        <v>#REF!</v>
      </c>
      <c r="AG39" s="24" t="e">
        <f>IF(AND('Mapa final'!#REF!="Baja",'Mapa final'!#REF!="Mayor"),CONCATENATE("R4C",'Mapa final'!#REF!),"")</f>
        <v>#REF!</v>
      </c>
      <c r="AH39" s="25" t="str">
        <f ca="1">IF(AND('Mapa final'!$AA$19="Baja",'Mapa final'!$AC$19="Catastrófico"),CONCATENATE("R4C",'Mapa final'!$Q$19),"")</f>
        <v/>
      </c>
      <c r="AI39" s="26" t="str">
        <f ca="1">IF(AND('Mapa final'!$AA$20="Baja",'Mapa final'!$AC$20="Catastrófico"),CONCATENATE("R4C",'Mapa final'!$Q$20),"")</f>
        <v>R4C2</v>
      </c>
      <c r="AJ39" s="26" t="str">
        <f ca="1">IF(AND('Mapa final'!$AA$21="Baja",'Mapa final'!$AC$21="Catastrófico"),CONCATENATE("R4C",'Mapa final'!$Q$21),"")</f>
        <v>R4C3</v>
      </c>
      <c r="AK39" s="26" t="str">
        <f ca="1">IF(AND('Mapa final'!$AA$22="Baja",'Mapa final'!$AC$22="Catastrófico"),CONCATENATE("R4C",'Mapa final'!$Q$22),"")</f>
        <v/>
      </c>
      <c r="AL39" s="26" t="e">
        <f>IF(AND('Mapa final'!#REF!="Baja",'Mapa final'!#REF!="Catastrófico"),CONCATENATE("R4C",'Mapa final'!#REF!),"")</f>
        <v>#REF!</v>
      </c>
      <c r="AM39" s="27" t="e">
        <f>IF(AND('Mapa final'!#REF!="Baja",'Mapa final'!#REF!="Catastrófico"),CONCATENATE("R4C",'Mapa final'!#REF!),"")</f>
        <v>#REF!</v>
      </c>
      <c r="AN39" s="54"/>
      <c r="AO39" s="414"/>
      <c r="AP39" s="415"/>
      <c r="AQ39" s="415"/>
      <c r="AR39" s="415"/>
      <c r="AS39" s="415"/>
      <c r="AT39" s="416"/>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row>
    <row r="40" spans="1:80" ht="15" customHeight="1" x14ac:dyDescent="0.3">
      <c r="A40" s="54"/>
      <c r="B40" s="292"/>
      <c r="C40" s="292"/>
      <c r="D40" s="293"/>
      <c r="E40" s="393"/>
      <c r="F40" s="394"/>
      <c r="G40" s="394"/>
      <c r="H40" s="394"/>
      <c r="I40" s="392"/>
      <c r="J40" s="47" t="str">
        <f>IF(AND('Mapa final'!$AA$23="Baja",'Mapa final'!$AC$23="Leve"),CONCATENATE("R5C",'Mapa final'!$Q$23),"")</f>
        <v/>
      </c>
      <c r="K40" s="48" t="str">
        <f>IF(AND('Mapa final'!$AA$24="Baja",'Mapa final'!$AC$24="Leve"),CONCATENATE("R5C",'Mapa final'!$Q$24),"")</f>
        <v/>
      </c>
      <c r="L40" s="48" t="str">
        <f>IF(AND('Mapa final'!$AA$25="Baja",'Mapa final'!$AC$25="Leve"),CONCATENATE("R5C",'Mapa final'!$Q$25),"")</f>
        <v/>
      </c>
      <c r="M40" s="48" t="str">
        <f>IF(AND('Mapa final'!$AA$26="Baja",'Mapa final'!$AC$26="Leve"),CONCATENATE("R5C",'Mapa final'!$Q$26),"")</f>
        <v/>
      </c>
      <c r="N40" s="48" t="str">
        <f>IF(AND('Mapa final'!$AA$27="Baja",'Mapa final'!$AC$27="Leve"),CONCATENATE("R5C",'Mapa final'!$Q$27),"")</f>
        <v/>
      </c>
      <c r="O40" s="49" t="str">
        <f>IF(AND('Mapa final'!$AA$28="Baja",'Mapa final'!$AC$28="Leve"),CONCATENATE("R5C",'Mapa final'!$Q$28),"")</f>
        <v/>
      </c>
      <c r="P40" s="38" t="str">
        <f>IF(AND('Mapa final'!$AA$23="Baja",'Mapa final'!$AC$23="Menor"),CONCATENATE("R5C",'Mapa final'!$Q$23),"")</f>
        <v/>
      </c>
      <c r="Q40" s="39" t="str">
        <f>IF(AND('Mapa final'!$AA$24="Baja",'Mapa final'!$AC$24="Menor"),CONCATENATE("R5C",'Mapa final'!$Q$24),"")</f>
        <v/>
      </c>
      <c r="R40" s="39" t="str">
        <f>IF(AND('Mapa final'!$AA$25="Baja",'Mapa final'!$AC$25="Menor"),CONCATENATE("R5C",'Mapa final'!$Q$25),"")</f>
        <v/>
      </c>
      <c r="S40" s="39" t="str">
        <f>IF(AND('Mapa final'!$AA$26="Baja",'Mapa final'!$AC$26="Menor"),CONCATENATE("R5C",'Mapa final'!$Q$26),"")</f>
        <v/>
      </c>
      <c r="T40" s="39" t="str">
        <f>IF(AND('Mapa final'!$AA$27="Baja",'Mapa final'!$AC$27="Menor"),CONCATENATE("R5C",'Mapa final'!$Q$27),"")</f>
        <v/>
      </c>
      <c r="U40" s="40" t="str">
        <f>IF(AND('Mapa final'!$AA$28="Baja",'Mapa final'!$AC$28="Menor"),CONCATENATE("R5C",'Mapa final'!$Q$28),"")</f>
        <v/>
      </c>
      <c r="V40" s="38" t="str">
        <f>IF(AND('Mapa final'!$AA$23="Baja",'Mapa final'!$AC$23="Moderado"),CONCATENATE("R5C",'Mapa final'!$Q$23),"")</f>
        <v/>
      </c>
      <c r="W40" s="39" t="str">
        <f>IF(AND('Mapa final'!$AA$24="Baja",'Mapa final'!$AC$24="Moderado"),CONCATENATE("R5C",'Mapa final'!$Q$24),"")</f>
        <v/>
      </c>
      <c r="X40" s="39" t="str">
        <f>IF(AND('Mapa final'!$AA$25="Baja",'Mapa final'!$AC$25="Moderado"),CONCATENATE("R5C",'Mapa final'!$Q$25),"")</f>
        <v/>
      </c>
      <c r="Y40" s="39" t="str">
        <f>IF(AND('Mapa final'!$AA$26="Baja",'Mapa final'!$AC$26="Moderado"),CONCATENATE("R5C",'Mapa final'!$Q$26),"")</f>
        <v/>
      </c>
      <c r="Z40" s="39" t="str">
        <f>IF(AND('Mapa final'!$AA$27="Baja",'Mapa final'!$AC$27="Moderado"),CONCATENATE("R5C",'Mapa final'!$Q$27),"")</f>
        <v/>
      </c>
      <c r="AA40" s="40" t="str">
        <f>IF(AND('Mapa final'!$AA$28="Baja",'Mapa final'!$AC$28="Moderado"),CONCATENATE("R5C",'Mapa final'!$Q$28),"")</f>
        <v/>
      </c>
      <c r="AB40" s="22" t="str">
        <f>IF(AND('Mapa final'!$AA$23="Baja",'Mapa final'!$AC$23="Mayor"),CONCATENATE("R5C",'Mapa final'!$Q$23),"")</f>
        <v/>
      </c>
      <c r="AC40" s="23" t="str">
        <f>IF(AND('Mapa final'!$AA$24="Baja",'Mapa final'!$AC$24="Mayor"),CONCATENATE("R5C",'Mapa final'!$Q$24),"")</f>
        <v/>
      </c>
      <c r="AD40" s="28" t="str">
        <f>IF(AND('Mapa final'!$AA$25="Baja",'Mapa final'!$AC$25="Mayor"),CONCATENATE("R5C",'Mapa final'!$Q$25),"")</f>
        <v/>
      </c>
      <c r="AE40" s="28" t="str">
        <f>IF(AND('Mapa final'!$AA$26="Baja",'Mapa final'!$AC$26="Mayor"),CONCATENATE("R5C",'Mapa final'!$Q$26),"")</f>
        <v/>
      </c>
      <c r="AF40" s="28" t="str">
        <f>IF(AND('Mapa final'!$AA$27="Baja",'Mapa final'!$AC$27="Mayor"),CONCATENATE("R5C",'Mapa final'!$Q$27),"")</f>
        <v/>
      </c>
      <c r="AG40" s="24" t="str">
        <f>IF(AND('Mapa final'!$AA$28="Baja",'Mapa final'!$AC$28="Mayor"),CONCATENATE("R5C",'Mapa final'!$Q$28),"")</f>
        <v/>
      </c>
      <c r="AH40" s="25" t="str">
        <f>IF(AND('Mapa final'!$AA$23="Baja",'Mapa final'!$AC$23="Catastrófico"),CONCATENATE("R5C",'Mapa final'!$Q$23),"")</f>
        <v/>
      </c>
      <c r="AI40" s="26" t="str">
        <f>IF(AND('Mapa final'!$AA$24="Baja",'Mapa final'!$AC$24="Catastrófico"),CONCATENATE("R5C",'Mapa final'!$Q$24),"")</f>
        <v/>
      </c>
      <c r="AJ40" s="26" t="str">
        <f>IF(AND('Mapa final'!$AA$25="Baja",'Mapa final'!$AC$25="Catastrófico"),CONCATENATE("R5C",'Mapa final'!$Q$25),"")</f>
        <v/>
      </c>
      <c r="AK40" s="26" t="str">
        <f>IF(AND('Mapa final'!$AA$26="Baja",'Mapa final'!$AC$26="Catastrófico"),CONCATENATE("R5C",'Mapa final'!$Q$26),"")</f>
        <v/>
      </c>
      <c r="AL40" s="26" t="str">
        <f>IF(AND('Mapa final'!$AA$27="Baja",'Mapa final'!$AC$27="Catastrófico"),CONCATENATE("R5C",'Mapa final'!$Q$27),"")</f>
        <v/>
      </c>
      <c r="AM40" s="27" t="str">
        <f>IF(AND('Mapa final'!$AA$28="Baja",'Mapa final'!$AC$28="Catastrófico"),CONCATENATE("R5C",'Mapa final'!$Q$28),"")</f>
        <v/>
      </c>
      <c r="AN40" s="54"/>
      <c r="AO40" s="414"/>
      <c r="AP40" s="415"/>
      <c r="AQ40" s="415"/>
      <c r="AR40" s="415"/>
      <c r="AS40" s="415"/>
      <c r="AT40" s="416"/>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row>
    <row r="41" spans="1:80" ht="15" customHeight="1" x14ac:dyDescent="0.3">
      <c r="A41" s="54"/>
      <c r="B41" s="292"/>
      <c r="C41" s="292"/>
      <c r="D41" s="293"/>
      <c r="E41" s="393"/>
      <c r="F41" s="394"/>
      <c r="G41" s="394"/>
      <c r="H41" s="394"/>
      <c r="I41" s="392"/>
      <c r="J41" s="47" t="str">
        <f>IF(AND('Mapa final'!$AA$29="Baja",'Mapa final'!$AC$29="Leve"),CONCATENATE("R6C",'Mapa final'!$Q$29),"")</f>
        <v/>
      </c>
      <c r="K41" s="48" t="str">
        <f>IF(AND('Mapa final'!$AA$30="Baja",'Mapa final'!$AC$30="Leve"),CONCATENATE("R6C",'Mapa final'!$Q$30),"")</f>
        <v/>
      </c>
      <c r="L41" s="48" t="str">
        <f>IF(AND('Mapa final'!$AA$31="Baja",'Mapa final'!$AC$31="Leve"),CONCATENATE("R6C",'Mapa final'!$Q$31),"")</f>
        <v/>
      </c>
      <c r="M41" s="48" t="str">
        <f>IF(AND('Mapa final'!$AA$32="Baja",'Mapa final'!$AC$32="Leve"),CONCATENATE("R6C",'Mapa final'!$Q$32),"")</f>
        <v/>
      </c>
      <c r="N41" s="48" t="str">
        <f>IF(AND('Mapa final'!$AA$33="Baja",'Mapa final'!$AC$33="Leve"),CONCATENATE("R6C",'Mapa final'!$Q$33),"")</f>
        <v/>
      </c>
      <c r="O41" s="49" t="str">
        <f>IF(AND('Mapa final'!$AA$34="Baja",'Mapa final'!$AC$34="Leve"),CONCATENATE("R6C",'Mapa final'!$Q$34),"")</f>
        <v/>
      </c>
      <c r="P41" s="38" t="str">
        <f>IF(AND('Mapa final'!$AA$29="Baja",'Mapa final'!$AC$29="Menor"),CONCATENATE("R6C",'Mapa final'!$Q$29),"")</f>
        <v/>
      </c>
      <c r="Q41" s="39" t="str">
        <f>IF(AND('Mapa final'!$AA$30="Baja",'Mapa final'!$AC$30="Menor"),CONCATENATE("R6C",'Mapa final'!$Q$30),"")</f>
        <v/>
      </c>
      <c r="R41" s="39" t="str">
        <f>IF(AND('Mapa final'!$AA$31="Baja",'Mapa final'!$AC$31="Menor"),CONCATENATE("R6C",'Mapa final'!$Q$31),"")</f>
        <v/>
      </c>
      <c r="S41" s="39" t="str">
        <f>IF(AND('Mapa final'!$AA$32="Baja",'Mapa final'!$AC$32="Menor"),CONCATENATE("R6C",'Mapa final'!$Q$32),"")</f>
        <v/>
      </c>
      <c r="T41" s="39" t="str">
        <f>IF(AND('Mapa final'!$AA$33="Baja",'Mapa final'!$AC$33="Menor"),CONCATENATE("R6C",'Mapa final'!$Q$33),"")</f>
        <v/>
      </c>
      <c r="U41" s="40" t="str">
        <f>IF(AND('Mapa final'!$AA$34="Baja",'Mapa final'!$AC$34="Menor"),CONCATENATE("R6C",'Mapa final'!$Q$34),"")</f>
        <v/>
      </c>
      <c r="V41" s="38" t="str">
        <f>IF(AND('Mapa final'!$AA$29="Baja",'Mapa final'!$AC$29="Moderado"),CONCATENATE("R6C",'Mapa final'!$Q$29),"")</f>
        <v/>
      </c>
      <c r="W41" s="39" t="str">
        <f>IF(AND('Mapa final'!$AA$30="Baja",'Mapa final'!$AC$30="Moderado"),CONCATENATE("R6C",'Mapa final'!$Q$30),"")</f>
        <v/>
      </c>
      <c r="X41" s="39" t="str">
        <f>IF(AND('Mapa final'!$AA$31="Baja",'Mapa final'!$AC$31="Moderado"),CONCATENATE("R6C",'Mapa final'!$Q$31),"")</f>
        <v/>
      </c>
      <c r="Y41" s="39" t="str">
        <f>IF(AND('Mapa final'!$AA$32="Baja",'Mapa final'!$AC$32="Moderado"),CONCATENATE("R6C",'Mapa final'!$Q$32),"")</f>
        <v/>
      </c>
      <c r="Z41" s="39" t="str">
        <f>IF(AND('Mapa final'!$AA$33="Baja",'Mapa final'!$AC$33="Moderado"),CONCATENATE("R6C",'Mapa final'!$Q$33),"")</f>
        <v/>
      </c>
      <c r="AA41" s="40" t="str">
        <f>IF(AND('Mapa final'!$AA$34="Baja",'Mapa final'!$AC$34="Moderado"),CONCATENATE("R6C",'Mapa final'!$Q$34),"")</f>
        <v/>
      </c>
      <c r="AB41" s="22" t="str">
        <f>IF(AND('Mapa final'!$AA$29="Baja",'Mapa final'!$AC$29="Mayor"),CONCATENATE("R6C",'Mapa final'!$Q$29),"")</f>
        <v/>
      </c>
      <c r="AC41" s="23" t="str">
        <f>IF(AND('Mapa final'!$AA$30="Baja",'Mapa final'!$AC$30="Mayor"),CONCATENATE("R6C",'Mapa final'!$Q$30),"")</f>
        <v/>
      </c>
      <c r="AD41" s="28" t="str">
        <f>IF(AND('Mapa final'!$AA$31="Baja",'Mapa final'!$AC$31="Mayor"),CONCATENATE("R6C",'Mapa final'!$Q$31),"")</f>
        <v/>
      </c>
      <c r="AE41" s="28" t="str">
        <f>IF(AND('Mapa final'!$AA$32="Baja",'Mapa final'!$AC$32="Mayor"),CONCATENATE("R6C",'Mapa final'!$Q$32),"")</f>
        <v/>
      </c>
      <c r="AF41" s="28" t="str">
        <f>IF(AND('Mapa final'!$AA$33="Baja",'Mapa final'!$AC$33="Mayor"),CONCATENATE("R6C",'Mapa final'!$Q$33),"")</f>
        <v/>
      </c>
      <c r="AG41" s="24" t="str">
        <f>IF(AND('Mapa final'!$AA$34="Baja",'Mapa final'!$AC$34="Mayor"),CONCATENATE("R6C",'Mapa final'!$Q$34),"")</f>
        <v/>
      </c>
      <c r="AH41" s="25" t="str">
        <f>IF(AND('Mapa final'!$AA$29="Baja",'Mapa final'!$AC$29="Catastrófico"),CONCATENATE("R6C",'Mapa final'!$Q$29),"")</f>
        <v/>
      </c>
      <c r="AI41" s="26" t="str">
        <f>IF(AND('Mapa final'!$AA$30="Baja",'Mapa final'!$AC$30="Catastrófico"),CONCATENATE("R6C",'Mapa final'!$Q$30),"")</f>
        <v/>
      </c>
      <c r="AJ41" s="26" t="str">
        <f>IF(AND('Mapa final'!$AA$31="Baja",'Mapa final'!$AC$31="Catastrófico"),CONCATENATE("R6C",'Mapa final'!$Q$31),"")</f>
        <v/>
      </c>
      <c r="AK41" s="26" t="str">
        <f>IF(AND('Mapa final'!$AA$32="Baja",'Mapa final'!$AC$32="Catastrófico"),CONCATENATE("R6C",'Mapa final'!$Q$32),"")</f>
        <v/>
      </c>
      <c r="AL41" s="26" t="str">
        <f>IF(AND('Mapa final'!$AA$33="Baja",'Mapa final'!$AC$33="Catastrófico"),CONCATENATE("R6C",'Mapa final'!$Q$33),"")</f>
        <v/>
      </c>
      <c r="AM41" s="27" t="str">
        <f>IF(AND('Mapa final'!$AA$34="Baja",'Mapa final'!$AC$34="Catastrófico"),CONCATENATE("R6C",'Mapa final'!$Q$34),"")</f>
        <v/>
      </c>
      <c r="AN41" s="54"/>
      <c r="AO41" s="414"/>
      <c r="AP41" s="415"/>
      <c r="AQ41" s="415"/>
      <c r="AR41" s="415"/>
      <c r="AS41" s="415"/>
      <c r="AT41" s="416"/>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row>
    <row r="42" spans="1:80" ht="15" customHeight="1" x14ac:dyDescent="0.3">
      <c r="A42" s="54"/>
      <c r="B42" s="292"/>
      <c r="C42" s="292"/>
      <c r="D42" s="293"/>
      <c r="E42" s="393"/>
      <c r="F42" s="394"/>
      <c r="G42" s="394"/>
      <c r="H42" s="394"/>
      <c r="I42" s="392"/>
      <c r="J42" s="47" t="str">
        <f>IF(AND('Mapa final'!$AA$35="Baja",'Mapa final'!$AC$35="Leve"),CONCATENATE("R7C",'Mapa final'!$Q$35),"")</f>
        <v/>
      </c>
      <c r="K42" s="48" t="str">
        <f>IF(AND('Mapa final'!$AA$36="Baja",'Mapa final'!$AC$36="Leve"),CONCATENATE("R7C",'Mapa final'!$Q$36),"")</f>
        <v/>
      </c>
      <c r="L42" s="48" t="str">
        <f>IF(AND('Mapa final'!$AA$37="Baja",'Mapa final'!$AC$37="Leve"),CONCATENATE("R7C",'Mapa final'!$Q$37),"")</f>
        <v/>
      </c>
      <c r="M42" s="48" t="str">
        <f>IF(AND('Mapa final'!$AA$38="Baja",'Mapa final'!$AC$38="Leve"),CONCATENATE("R7C",'Mapa final'!$Q$38),"")</f>
        <v/>
      </c>
      <c r="N42" s="48" t="str">
        <f>IF(AND('Mapa final'!$AA$39="Baja",'Mapa final'!$AC$39="Leve"),CONCATENATE("R7C",'Mapa final'!$Q$39),"")</f>
        <v/>
      </c>
      <c r="O42" s="49" t="str">
        <f>IF(AND('Mapa final'!$AA$40="Baja",'Mapa final'!$AC$40="Leve"),CONCATENATE("R7C",'Mapa final'!$Q$40),"")</f>
        <v/>
      </c>
      <c r="P42" s="38" t="str">
        <f>IF(AND('Mapa final'!$AA$35="Baja",'Mapa final'!$AC$35="Menor"),CONCATENATE("R7C",'Mapa final'!$Q$35),"")</f>
        <v/>
      </c>
      <c r="Q42" s="39" t="str">
        <f>IF(AND('Mapa final'!$AA$36="Baja",'Mapa final'!$AC$36="Menor"),CONCATENATE("R7C",'Mapa final'!$Q$36),"")</f>
        <v/>
      </c>
      <c r="R42" s="39" t="str">
        <f>IF(AND('Mapa final'!$AA$37="Baja",'Mapa final'!$AC$37="Menor"),CONCATENATE("R7C",'Mapa final'!$Q$37),"")</f>
        <v/>
      </c>
      <c r="S42" s="39" t="str">
        <f>IF(AND('Mapa final'!$AA$38="Baja",'Mapa final'!$AC$38="Menor"),CONCATENATE("R7C",'Mapa final'!$Q$38),"")</f>
        <v/>
      </c>
      <c r="T42" s="39" t="str">
        <f>IF(AND('Mapa final'!$AA$39="Baja",'Mapa final'!$AC$39="Menor"),CONCATENATE("R7C",'Mapa final'!$Q$39),"")</f>
        <v/>
      </c>
      <c r="U42" s="40" t="str">
        <f>IF(AND('Mapa final'!$AA$40="Baja",'Mapa final'!$AC$40="Menor"),CONCATENATE("R7C",'Mapa final'!$Q$40),"")</f>
        <v/>
      </c>
      <c r="V42" s="38" t="str">
        <f>IF(AND('Mapa final'!$AA$35="Baja",'Mapa final'!$AC$35="Moderado"),CONCATENATE("R7C",'Mapa final'!$Q$35),"")</f>
        <v/>
      </c>
      <c r="W42" s="39" t="str">
        <f>IF(AND('Mapa final'!$AA$36="Baja",'Mapa final'!$AC$36="Moderado"),CONCATENATE("R7C",'Mapa final'!$Q$36),"")</f>
        <v/>
      </c>
      <c r="X42" s="39" t="str">
        <f>IF(AND('Mapa final'!$AA$37="Baja",'Mapa final'!$AC$37="Moderado"),CONCATENATE("R7C",'Mapa final'!$Q$37),"")</f>
        <v/>
      </c>
      <c r="Y42" s="39" t="str">
        <f>IF(AND('Mapa final'!$AA$38="Baja",'Mapa final'!$AC$38="Moderado"),CONCATENATE("R7C",'Mapa final'!$Q$38),"")</f>
        <v/>
      </c>
      <c r="Z42" s="39" t="str">
        <f>IF(AND('Mapa final'!$AA$39="Baja",'Mapa final'!$AC$39="Moderado"),CONCATENATE("R7C",'Mapa final'!$Q$39),"")</f>
        <v/>
      </c>
      <c r="AA42" s="40" t="str">
        <f>IF(AND('Mapa final'!$AA$40="Baja",'Mapa final'!$AC$40="Moderado"),CONCATENATE("R7C",'Mapa final'!$Q$40),"")</f>
        <v/>
      </c>
      <c r="AB42" s="22" t="str">
        <f>IF(AND('Mapa final'!$AA$35="Baja",'Mapa final'!$AC$35="Mayor"),CONCATENATE("R7C",'Mapa final'!$Q$35),"")</f>
        <v/>
      </c>
      <c r="AC42" s="23" t="str">
        <f>IF(AND('Mapa final'!$AA$36="Baja",'Mapa final'!$AC$36="Mayor"),CONCATENATE("R7C",'Mapa final'!$Q$36),"")</f>
        <v/>
      </c>
      <c r="AD42" s="28" t="str">
        <f>IF(AND('Mapa final'!$AA$37="Baja",'Mapa final'!$AC$37="Mayor"),CONCATENATE("R7C",'Mapa final'!$Q$37),"")</f>
        <v/>
      </c>
      <c r="AE42" s="28" t="str">
        <f>IF(AND('Mapa final'!$AA$38="Baja",'Mapa final'!$AC$38="Mayor"),CONCATENATE("R7C",'Mapa final'!$Q$38),"")</f>
        <v/>
      </c>
      <c r="AF42" s="28" t="str">
        <f>IF(AND('Mapa final'!$AA$39="Baja",'Mapa final'!$AC$39="Mayor"),CONCATENATE("R7C",'Mapa final'!$Q$39),"")</f>
        <v/>
      </c>
      <c r="AG42" s="24" t="str">
        <f>IF(AND('Mapa final'!$AA$40="Baja",'Mapa final'!$AC$40="Mayor"),CONCATENATE("R7C",'Mapa final'!$Q$40),"")</f>
        <v/>
      </c>
      <c r="AH42" s="25" t="str">
        <f>IF(AND('Mapa final'!$AA$35="Baja",'Mapa final'!$AC$35="Catastrófico"),CONCATENATE("R7C",'Mapa final'!$Q$35),"")</f>
        <v/>
      </c>
      <c r="AI42" s="26" t="str">
        <f>IF(AND('Mapa final'!$AA$36="Baja",'Mapa final'!$AC$36="Catastrófico"),CONCATENATE("R7C",'Mapa final'!$Q$36),"")</f>
        <v/>
      </c>
      <c r="AJ42" s="26" t="str">
        <f>IF(AND('Mapa final'!$AA$37="Baja",'Mapa final'!$AC$37="Catastrófico"),CONCATENATE("R7C",'Mapa final'!$Q$37),"")</f>
        <v/>
      </c>
      <c r="AK42" s="26" t="str">
        <f>IF(AND('Mapa final'!$AA$38="Baja",'Mapa final'!$AC$38="Catastrófico"),CONCATENATE("R7C",'Mapa final'!$Q$38),"")</f>
        <v/>
      </c>
      <c r="AL42" s="26" t="str">
        <f>IF(AND('Mapa final'!$AA$39="Baja",'Mapa final'!$AC$39="Catastrófico"),CONCATENATE("R7C",'Mapa final'!$Q$39),"")</f>
        <v/>
      </c>
      <c r="AM42" s="27" t="str">
        <f>IF(AND('Mapa final'!$AA$40="Baja",'Mapa final'!$AC$40="Catastrófico"),CONCATENATE("R7C",'Mapa final'!$Q$40),"")</f>
        <v/>
      </c>
      <c r="AN42" s="54"/>
      <c r="AO42" s="414"/>
      <c r="AP42" s="415"/>
      <c r="AQ42" s="415"/>
      <c r="AR42" s="415"/>
      <c r="AS42" s="415"/>
      <c r="AT42" s="416"/>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row>
    <row r="43" spans="1:80" ht="15" customHeight="1" x14ac:dyDescent="0.3">
      <c r="A43" s="54"/>
      <c r="B43" s="292"/>
      <c r="C43" s="292"/>
      <c r="D43" s="293"/>
      <c r="E43" s="393"/>
      <c r="F43" s="394"/>
      <c r="G43" s="394"/>
      <c r="H43" s="394"/>
      <c r="I43" s="392"/>
      <c r="J43" s="47" t="str">
        <f>IF(AND('Mapa final'!$AA$41="Baja",'Mapa final'!$AC$41="Leve"),CONCATENATE("R8C",'Mapa final'!$Q$41),"")</f>
        <v/>
      </c>
      <c r="K43" s="48" t="str">
        <f>IF(AND('Mapa final'!$AA$42="Baja",'Mapa final'!$AC$42="Leve"),CONCATENATE("R8C",'Mapa final'!$Q$42),"")</f>
        <v/>
      </c>
      <c r="L43" s="48" t="str">
        <f>IF(AND('Mapa final'!$AA$43="Baja",'Mapa final'!$AC$43="Leve"),CONCATENATE("R8C",'Mapa final'!$Q$43),"")</f>
        <v/>
      </c>
      <c r="M43" s="48" t="str">
        <f>IF(AND('Mapa final'!$AA$44="Baja",'Mapa final'!$AC$44="Leve"),CONCATENATE("R8C",'Mapa final'!$Q$44),"")</f>
        <v/>
      </c>
      <c r="N43" s="48" t="str">
        <f>IF(AND('Mapa final'!$AA$45="Baja",'Mapa final'!$AC$45="Leve"),CONCATENATE("R8C",'Mapa final'!$Q$45),"")</f>
        <v/>
      </c>
      <c r="O43" s="49" t="str">
        <f>IF(AND('Mapa final'!$AA$46="Baja",'Mapa final'!$AC$46="Leve"),CONCATENATE("R8C",'Mapa final'!$Q$46),"")</f>
        <v/>
      </c>
      <c r="P43" s="38" t="str">
        <f>IF(AND('Mapa final'!$AA$41="Baja",'Mapa final'!$AC$41="Menor"),CONCATENATE("R8C",'Mapa final'!$Q$41),"")</f>
        <v/>
      </c>
      <c r="Q43" s="39" t="str">
        <f>IF(AND('Mapa final'!$AA$42="Baja",'Mapa final'!$AC$42="Menor"),CONCATENATE("R8C",'Mapa final'!$Q$42),"")</f>
        <v/>
      </c>
      <c r="R43" s="39" t="str">
        <f>IF(AND('Mapa final'!$AA$43="Baja",'Mapa final'!$AC$43="Menor"),CONCATENATE("R8C",'Mapa final'!$Q$43),"")</f>
        <v/>
      </c>
      <c r="S43" s="39" t="str">
        <f>IF(AND('Mapa final'!$AA$44="Baja",'Mapa final'!$AC$44="Menor"),CONCATENATE("R8C",'Mapa final'!$Q$44),"")</f>
        <v/>
      </c>
      <c r="T43" s="39" t="str">
        <f>IF(AND('Mapa final'!$AA$45="Baja",'Mapa final'!$AC$45="Menor"),CONCATENATE("R8C",'Mapa final'!$Q$45),"")</f>
        <v/>
      </c>
      <c r="U43" s="40" t="str">
        <f>IF(AND('Mapa final'!$AA$46="Baja",'Mapa final'!$AC$46="Menor"),CONCATENATE("R8C",'Mapa final'!$Q$46),"")</f>
        <v/>
      </c>
      <c r="V43" s="38" t="str">
        <f>IF(AND('Mapa final'!$AA$41="Baja",'Mapa final'!$AC$41="Moderado"),CONCATENATE("R8C",'Mapa final'!$Q$41),"")</f>
        <v/>
      </c>
      <c r="W43" s="39" t="str">
        <f>IF(AND('Mapa final'!$AA$42="Baja",'Mapa final'!$AC$42="Moderado"),CONCATENATE("R8C",'Mapa final'!$Q$42),"")</f>
        <v/>
      </c>
      <c r="X43" s="39" t="str">
        <f>IF(AND('Mapa final'!$AA$43="Baja",'Mapa final'!$AC$43="Moderado"),CONCATENATE("R8C",'Mapa final'!$Q$43),"")</f>
        <v/>
      </c>
      <c r="Y43" s="39" t="str">
        <f>IF(AND('Mapa final'!$AA$44="Baja",'Mapa final'!$AC$44="Moderado"),CONCATENATE("R8C",'Mapa final'!$Q$44),"")</f>
        <v/>
      </c>
      <c r="Z43" s="39" t="str">
        <f>IF(AND('Mapa final'!$AA$45="Baja",'Mapa final'!$AC$45="Moderado"),CONCATENATE("R8C",'Mapa final'!$Q$45),"")</f>
        <v/>
      </c>
      <c r="AA43" s="40" t="str">
        <f>IF(AND('Mapa final'!$AA$46="Baja",'Mapa final'!$AC$46="Moderado"),CONCATENATE("R8C",'Mapa final'!$Q$46),"")</f>
        <v/>
      </c>
      <c r="AB43" s="22" t="str">
        <f>IF(AND('Mapa final'!$AA$41="Baja",'Mapa final'!$AC$41="Mayor"),CONCATENATE("R8C",'Mapa final'!$Q$41),"")</f>
        <v/>
      </c>
      <c r="AC43" s="23" t="str">
        <f>IF(AND('Mapa final'!$AA$42="Baja",'Mapa final'!$AC$42="Mayor"),CONCATENATE("R8C",'Mapa final'!$Q$42),"")</f>
        <v/>
      </c>
      <c r="AD43" s="28" t="str">
        <f>IF(AND('Mapa final'!$AA$43="Baja",'Mapa final'!$AC$43="Mayor"),CONCATENATE("R8C",'Mapa final'!$Q$43),"")</f>
        <v/>
      </c>
      <c r="AE43" s="28" t="str">
        <f>IF(AND('Mapa final'!$AA$44="Baja",'Mapa final'!$AC$44="Mayor"),CONCATENATE("R8C",'Mapa final'!$Q$44),"")</f>
        <v/>
      </c>
      <c r="AF43" s="28" t="str">
        <f>IF(AND('Mapa final'!$AA$45="Baja",'Mapa final'!$AC$45="Mayor"),CONCATENATE("R8C",'Mapa final'!$Q$45),"")</f>
        <v/>
      </c>
      <c r="AG43" s="24" t="str">
        <f>IF(AND('Mapa final'!$AA$46="Baja",'Mapa final'!$AC$46="Mayor"),CONCATENATE("R8C",'Mapa final'!$Q$46),"")</f>
        <v/>
      </c>
      <c r="AH43" s="25" t="str">
        <f>IF(AND('Mapa final'!$AA$41="Baja",'Mapa final'!$AC$41="Catastrófico"),CONCATENATE("R8C",'Mapa final'!$Q$41),"")</f>
        <v/>
      </c>
      <c r="AI43" s="26" t="str">
        <f>IF(AND('Mapa final'!$AA$42="Baja",'Mapa final'!$AC$42="Catastrófico"),CONCATENATE("R8C",'Mapa final'!$Q$42),"")</f>
        <v/>
      </c>
      <c r="AJ43" s="26" t="str">
        <f>IF(AND('Mapa final'!$AA$43="Baja",'Mapa final'!$AC$43="Catastrófico"),CONCATENATE("R8C",'Mapa final'!$Q$43),"")</f>
        <v/>
      </c>
      <c r="AK43" s="26" t="str">
        <f>IF(AND('Mapa final'!$AA$44="Baja",'Mapa final'!$AC$44="Catastrófico"),CONCATENATE("R8C",'Mapa final'!$Q$44),"")</f>
        <v/>
      </c>
      <c r="AL43" s="26" t="str">
        <f>IF(AND('Mapa final'!$AA$45="Baja",'Mapa final'!$AC$45="Catastrófico"),CONCATENATE("R8C",'Mapa final'!$Q$45),"")</f>
        <v/>
      </c>
      <c r="AM43" s="27" t="str">
        <f>IF(AND('Mapa final'!$AA$46="Baja",'Mapa final'!$AC$46="Catastrófico"),CONCATENATE("R8C",'Mapa final'!$Q$46),"")</f>
        <v/>
      </c>
      <c r="AN43" s="54"/>
      <c r="AO43" s="414"/>
      <c r="AP43" s="415"/>
      <c r="AQ43" s="415"/>
      <c r="AR43" s="415"/>
      <c r="AS43" s="415"/>
      <c r="AT43" s="416"/>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row>
    <row r="44" spans="1:80" ht="15" customHeight="1" x14ac:dyDescent="0.3">
      <c r="A44" s="54"/>
      <c r="B44" s="292"/>
      <c r="C44" s="292"/>
      <c r="D44" s="293"/>
      <c r="E44" s="393"/>
      <c r="F44" s="394"/>
      <c r="G44" s="394"/>
      <c r="H44" s="394"/>
      <c r="I44" s="392"/>
      <c r="J44" s="47" t="str">
        <f>IF(AND('Mapa final'!$AA$47="Baja",'Mapa final'!$AC$47="Leve"),CONCATENATE("R9C",'Mapa final'!$Q$47),"")</f>
        <v/>
      </c>
      <c r="K44" s="48" t="str">
        <f>IF(AND('Mapa final'!$AA$48="Baja",'Mapa final'!$AC$48="Leve"),CONCATENATE("R9C",'Mapa final'!$Q$48),"")</f>
        <v/>
      </c>
      <c r="L44" s="48" t="str">
        <f>IF(AND('Mapa final'!$AA$49="Baja",'Mapa final'!$AC$49="Leve"),CONCATENATE("R9C",'Mapa final'!$Q$49),"")</f>
        <v/>
      </c>
      <c r="M44" s="48" t="str">
        <f>IF(AND('Mapa final'!$AA$50="Baja",'Mapa final'!$AC$50="Leve"),CONCATENATE("R9C",'Mapa final'!$Q$50),"")</f>
        <v/>
      </c>
      <c r="N44" s="48" t="str">
        <f>IF(AND('Mapa final'!$AA$51="Baja",'Mapa final'!$AC$51="Leve"),CONCATENATE("R9C",'Mapa final'!$Q$51),"")</f>
        <v/>
      </c>
      <c r="O44" s="49" t="str">
        <f>IF(AND('Mapa final'!$AA$52="Baja",'Mapa final'!$AC$52="Leve"),CONCATENATE("R9C",'Mapa final'!$Q$52),"")</f>
        <v/>
      </c>
      <c r="P44" s="38" t="str">
        <f>IF(AND('Mapa final'!$AA$47="Baja",'Mapa final'!$AC$47="Menor"),CONCATENATE("R9C",'Mapa final'!$Q$47),"")</f>
        <v/>
      </c>
      <c r="Q44" s="39" t="str">
        <f>IF(AND('Mapa final'!$AA$48="Baja",'Mapa final'!$AC$48="Menor"),CONCATENATE("R9C",'Mapa final'!$Q$48),"")</f>
        <v/>
      </c>
      <c r="R44" s="39" t="str">
        <f>IF(AND('Mapa final'!$AA$49="Baja",'Mapa final'!$AC$49="Menor"),CONCATENATE("R9C",'Mapa final'!$Q$49),"")</f>
        <v/>
      </c>
      <c r="S44" s="39" t="str">
        <f>IF(AND('Mapa final'!$AA$50="Baja",'Mapa final'!$AC$50="Menor"),CONCATENATE("R9C",'Mapa final'!$Q$50),"")</f>
        <v/>
      </c>
      <c r="T44" s="39" t="str">
        <f>IF(AND('Mapa final'!$AA$51="Baja",'Mapa final'!$AC$51="Menor"),CONCATENATE("R9C",'Mapa final'!$Q$51),"")</f>
        <v/>
      </c>
      <c r="U44" s="40" t="str">
        <f>IF(AND('Mapa final'!$AA$52="Baja",'Mapa final'!$AC$52="Menor"),CONCATENATE("R9C",'Mapa final'!$Q$52),"")</f>
        <v/>
      </c>
      <c r="V44" s="38" t="str">
        <f>IF(AND('Mapa final'!$AA$47="Baja",'Mapa final'!$AC$47="Moderado"),CONCATENATE("R9C",'Mapa final'!$Q$47),"")</f>
        <v/>
      </c>
      <c r="W44" s="39" t="str">
        <f>IF(AND('Mapa final'!$AA$48="Baja",'Mapa final'!$AC$48="Moderado"),CONCATENATE("R9C",'Mapa final'!$Q$48),"")</f>
        <v/>
      </c>
      <c r="X44" s="39" t="str">
        <f>IF(AND('Mapa final'!$AA$49="Baja",'Mapa final'!$AC$49="Moderado"),CONCATENATE("R9C",'Mapa final'!$Q$49),"")</f>
        <v/>
      </c>
      <c r="Y44" s="39" t="str">
        <f>IF(AND('Mapa final'!$AA$50="Baja",'Mapa final'!$AC$50="Moderado"),CONCATENATE("R9C",'Mapa final'!$Q$50),"")</f>
        <v/>
      </c>
      <c r="Z44" s="39" t="str">
        <f>IF(AND('Mapa final'!$AA$51="Baja",'Mapa final'!$AC$51="Moderado"),CONCATENATE("R9C",'Mapa final'!$Q$51),"")</f>
        <v/>
      </c>
      <c r="AA44" s="40" t="str">
        <f>IF(AND('Mapa final'!$AA$52="Baja",'Mapa final'!$AC$52="Moderado"),CONCATENATE("R9C",'Mapa final'!$Q$52),"")</f>
        <v/>
      </c>
      <c r="AB44" s="22" t="str">
        <f>IF(AND('Mapa final'!$AA$47="Baja",'Mapa final'!$AC$47="Mayor"),CONCATENATE("R9C",'Mapa final'!$Q$47),"")</f>
        <v/>
      </c>
      <c r="AC44" s="23" t="str">
        <f>IF(AND('Mapa final'!$AA$48="Baja",'Mapa final'!$AC$48="Mayor"),CONCATENATE("R9C",'Mapa final'!$Q$48),"")</f>
        <v/>
      </c>
      <c r="AD44" s="28" t="str">
        <f>IF(AND('Mapa final'!$AA$49="Baja",'Mapa final'!$AC$49="Mayor"),CONCATENATE("R9C",'Mapa final'!$Q$49),"")</f>
        <v/>
      </c>
      <c r="AE44" s="28" t="str">
        <f>IF(AND('Mapa final'!$AA$50="Baja",'Mapa final'!$AC$50="Mayor"),CONCATENATE("R9C",'Mapa final'!$Q$50),"")</f>
        <v/>
      </c>
      <c r="AF44" s="28" t="str">
        <f>IF(AND('Mapa final'!$AA$51="Baja",'Mapa final'!$AC$51="Mayor"),CONCATENATE("R9C",'Mapa final'!$Q$51),"")</f>
        <v/>
      </c>
      <c r="AG44" s="24" t="str">
        <f>IF(AND('Mapa final'!$AA$52="Baja",'Mapa final'!$AC$52="Mayor"),CONCATENATE("R9C",'Mapa final'!$Q$52),"")</f>
        <v/>
      </c>
      <c r="AH44" s="25" t="str">
        <f>IF(AND('Mapa final'!$AA$47="Baja",'Mapa final'!$AC$47="Catastrófico"),CONCATENATE("R9C",'Mapa final'!$Q$47),"")</f>
        <v/>
      </c>
      <c r="AI44" s="26" t="str">
        <f>IF(AND('Mapa final'!$AA$48="Baja",'Mapa final'!$AC$48="Catastrófico"),CONCATENATE("R9C",'Mapa final'!$Q$48),"")</f>
        <v/>
      </c>
      <c r="AJ44" s="26" t="str">
        <f>IF(AND('Mapa final'!$AA$49="Baja",'Mapa final'!$AC$49="Catastrófico"),CONCATENATE("R9C",'Mapa final'!$Q$49),"")</f>
        <v/>
      </c>
      <c r="AK44" s="26" t="str">
        <f>IF(AND('Mapa final'!$AA$50="Baja",'Mapa final'!$AC$50="Catastrófico"),CONCATENATE("R9C",'Mapa final'!$Q$50),"")</f>
        <v/>
      </c>
      <c r="AL44" s="26" t="str">
        <f>IF(AND('Mapa final'!$AA$51="Baja",'Mapa final'!$AC$51="Catastrófico"),CONCATENATE("R9C",'Mapa final'!$Q$51),"")</f>
        <v/>
      </c>
      <c r="AM44" s="27" t="str">
        <f>IF(AND('Mapa final'!$AA$52="Baja",'Mapa final'!$AC$52="Catastrófico"),CONCATENATE("R9C",'Mapa final'!$Q$52),"")</f>
        <v/>
      </c>
      <c r="AN44" s="54"/>
      <c r="AO44" s="414"/>
      <c r="AP44" s="415"/>
      <c r="AQ44" s="415"/>
      <c r="AR44" s="415"/>
      <c r="AS44" s="415"/>
      <c r="AT44" s="416"/>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row>
    <row r="45" spans="1:80" ht="15.75" customHeight="1" thickBot="1" x14ac:dyDescent="0.35">
      <c r="A45" s="54"/>
      <c r="B45" s="292"/>
      <c r="C45" s="292"/>
      <c r="D45" s="293"/>
      <c r="E45" s="395"/>
      <c r="F45" s="396"/>
      <c r="G45" s="396"/>
      <c r="H45" s="396"/>
      <c r="I45" s="396"/>
      <c r="J45" s="50" t="str">
        <f>IF(AND('Mapa final'!$AA$53="Baja",'Mapa final'!$AC$53="Leve"),CONCATENATE("R10C",'Mapa final'!$Q$53),"")</f>
        <v/>
      </c>
      <c r="K45" s="51" t="str">
        <f>IF(AND('Mapa final'!$AA$54="Baja",'Mapa final'!$AC$54="Leve"),CONCATENATE("R10C",'Mapa final'!$Q$54),"")</f>
        <v/>
      </c>
      <c r="L45" s="51" t="str">
        <f>IF(AND('Mapa final'!$AA$55="Baja",'Mapa final'!$AC$55="Leve"),CONCATENATE("R10C",'Mapa final'!$Q$55),"")</f>
        <v/>
      </c>
      <c r="M45" s="51" t="str">
        <f>IF(AND('Mapa final'!$AA$56="Baja",'Mapa final'!$AC$56="Leve"),CONCATENATE("R10C",'Mapa final'!$Q$56),"")</f>
        <v/>
      </c>
      <c r="N45" s="51" t="str">
        <f>IF(AND('Mapa final'!$AA$57="Baja",'Mapa final'!$AC$57="Leve"),CONCATENATE("R10C",'Mapa final'!$Q$57),"")</f>
        <v/>
      </c>
      <c r="O45" s="52" t="str">
        <f>IF(AND('Mapa final'!$AA$58="Baja",'Mapa final'!$AC$58="Leve"),CONCATENATE("R10C",'Mapa final'!$Q$58),"")</f>
        <v/>
      </c>
      <c r="P45" s="38" t="str">
        <f>IF(AND('Mapa final'!$AA$53="Baja",'Mapa final'!$AC$53="Menor"),CONCATENATE("R10C",'Mapa final'!$Q$53),"")</f>
        <v/>
      </c>
      <c r="Q45" s="39" t="str">
        <f>IF(AND('Mapa final'!$AA$54="Baja",'Mapa final'!$AC$54="Menor"),CONCATENATE("R10C",'Mapa final'!$Q$54),"")</f>
        <v/>
      </c>
      <c r="R45" s="39" t="str">
        <f>IF(AND('Mapa final'!$AA$55="Baja",'Mapa final'!$AC$55="Menor"),CONCATENATE("R10C",'Mapa final'!$Q$55),"")</f>
        <v/>
      </c>
      <c r="S45" s="39" t="str">
        <f>IF(AND('Mapa final'!$AA$56="Baja",'Mapa final'!$AC$56="Menor"),CONCATENATE("R10C",'Mapa final'!$Q$56),"")</f>
        <v/>
      </c>
      <c r="T45" s="39" t="str">
        <f>IF(AND('Mapa final'!$AA$57="Baja",'Mapa final'!$AC$57="Menor"),CONCATENATE("R10C",'Mapa final'!$Q$57),"")</f>
        <v/>
      </c>
      <c r="U45" s="40" t="str">
        <f>IF(AND('Mapa final'!$AA$58="Baja",'Mapa final'!$AC$58="Menor"),CONCATENATE("R10C",'Mapa final'!$Q$58),"")</f>
        <v/>
      </c>
      <c r="V45" s="41" t="str">
        <f>IF(AND('Mapa final'!$AA$53="Baja",'Mapa final'!$AC$53="Moderado"),CONCATENATE("R10C",'Mapa final'!$Q$53),"")</f>
        <v/>
      </c>
      <c r="W45" s="42" t="str">
        <f>IF(AND('Mapa final'!$AA$54="Baja",'Mapa final'!$AC$54="Moderado"),CONCATENATE("R10C",'Mapa final'!$Q$54),"")</f>
        <v/>
      </c>
      <c r="X45" s="42" t="str">
        <f>IF(AND('Mapa final'!$AA$55="Baja",'Mapa final'!$AC$55="Moderado"),CONCATENATE("R10C",'Mapa final'!$Q$55),"")</f>
        <v/>
      </c>
      <c r="Y45" s="42" t="str">
        <f>IF(AND('Mapa final'!$AA$56="Baja",'Mapa final'!$AC$56="Moderado"),CONCATENATE("R10C",'Mapa final'!$Q$56),"")</f>
        <v/>
      </c>
      <c r="Z45" s="42" t="str">
        <f>IF(AND('Mapa final'!$AA$57="Baja",'Mapa final'!$AC$57="Moderado"),CONCATENATE("R10C",'Mapa final'!$Q$57),"")</f>
        <v/>
      </c>
      <c r="AA45" s="43" t="str">
        <f>IF(AND('Mapa final'!$AA$58="Baja",'Mapa final'!$AC$58="Moderado"),CONCATENATE("R10C",'Mapa final'!$Q$58),"")</f>
        <v/>
      </c>
      <c r="AB45" s="29" t="str">
        <f>IF(AND('Mapa final'!$AA$53="Baja",'Mapa final'!$AC$53="Mayor"),CONCATENATE("R10C",'Mapa final'!$Q$53),"")</f>
        <v/>
      </c>
      <c r="AC45" s="30" t="str">
        <f>IF(AND('Mapa final'!$AA$54="Baja",'Mapa final'!$AC$54="Mayor"),CONCATENATE("R10C",'Mapa final'!$Q$54),"")</f>
        <v/>
      </c>
      <c r="AD45" s="30" t="str">
        <f>IF(AND('Mapa final'!$AA$55="Baja",'Mapa final'!$AC$55="Mayor"),CONCATENATE("R10C",'Mapa final'!$Q$55),"")</f>
        <v/>
      </c>
      <c r="AE45" s="30" t="str">
        <f>IF(AND('Mapa final'!$AA$56="Baja",'Mapa final'!$AC$56="Mayor"),CONCATENATE("R10C",'Mapa final'!$Q$56),"")</f>
        <v/>
      </c>
      <c r="AF45" s="30" t="str">
        <f>IF(AND('Mapa final'!$AA$57="Baja",'Mapa final'!$AC$57="Mayor"),CONCATENATE("R10C",'Mapa final'!$Q$57),"")</f>
        <v/>
      </c>
      <c r="AG45" s="31" t="str">
        <f>IF(AND('Mapa final'!$AA$58="Baja",'Mapa final'!$AC$58="Mayor"),CONCATENATE("R10C",'Mapa final'!$Q$58),"")</f>
        <v/>
      </c>
      <c r="AH45" s="32" t="str">
        <f>IF(AND('Mapa final'!$AA$53="Baja",'Mapa final'!$AC$53="Catastrófico"),CONCATENATE("R10C",'Mapa final'!$Q$53),"")</f>
        <v/>
      </c>
      <c r="AI45" s="33" t="str">
        <f>IF(AND('Mapa final'!$AA$54="Baja",'Mapa final'!$AC$54="Catastrófico"),CONCATENATE("R10C",'Mapa final'!$Q$54),"")</f>
        <v/>
      </c>
      <c r="AJ45" s="33" t="str">
        <f>IF(AND('Mapa final'!$AA$55="Baja",'Mapa final'!$AC$55="Catastrófico"),CONCATENATE("R10C",'Mapa final'!$Q$55),"")</f>
        <v/>
      </c>
      <c r="AK45" s="33" t="str">
        <f>IF(AND('Mapa final'!$AA$56="Baja",'Mapa final'!$AC$56="Catastrófico"),CONCATENATE("R10C",'Mapa final'!$Q$56),"")</f>
        <v/>
      </c>
      <c r="AL45" s="33" t="str">
        <f>IF(AND('Mapa final'!$AA$57="Baja",'Mapa final'!$AC$57="Catastrófico"),CONCATENATE("R10C",'Mapa final'!$Q$57),"")</f>
        <v/>
      </c>
      <c r="AM45" s="34" t="str">
        <f>IF(AND('Mapa final'!$AA$58="Baja",'Mapa final'!$AC$58="Catastrófico"),CONCATENATE("R10C",'Mapa final'!$Q$58),"")</f>
        <v/>
      </c>
      <c r="AN45" s="54"/>
      <c r="AO45" s="417"/>
      <c r="AP45" s="418"/>
      <c r="AQ45" s="418"/>
      <c r="AR45" s="418"/>
      <c r="AS45" s="418"/>
      <c r="AT45" s="419"/>
    </row>
    <row r="46" spans="1:80" ht="46.5" customHeight="1" x14ac:dyDescent="0.45">
      <c r="A46" s="54"/>
      <c r="B46" s="292"/>
      <c r="C46" s="292"/>
      <c r="D46" s="293"/>
      <c r="E46" s="389" t="s">
        <v>108</v>
      </c>
      <c r="F46" s="390"/>
      <c r="G46" s="390"/>
      <c r="H46" s="390"/>
      <c r="I46" s="408"/>
      <c r="J46" s="44" t="str">
        <f ca="1">IF(AND('Mapa final'!$AA$10="Muy Baja",'Mapa final'!$AC$10="Leve"),CONCATENATE("R1C",'Mapa final'!$Q$10),"")</f>
        <v/>
      </c>
      <c r="K46" s="45" t="str">
        <f ca="1">IF(AND('Mapa final'!$AA$11="Muy Baja",'Mapa final'!$AC$11="Leve"),CONCATENATE("R1C",'Mapa final'!$Q$11),"")</f>
        <v/>
      </c>
      <c r="L46" s="45" t="str">
        <f ca="1">IF(AND('Mapa final'!$AA$12="Muy Baja",'Mapa final'!$AC$12="Leve"),CONCATENATE("R1C",'Mapa final'!$Q$12),"")</f>
        <v/>
      </c>
      <c r="M46" s="45" t="str">
        <f ca="1">IF(AND('Mapa final'!$AA$13="Muy Baja",'Mapa final'!$AC$13="Leve"),CONCATENATE("R1C",'Mapa final'!$Q$13),"")</f>
        <v/>
      </c>
      <c r="N46" s="45" t="str">
        <f ca="1">IF(AND('Mapa final'!$AA$14="Muy Baja",'Mapa final'!$AC$14="Leve"),CONCATENATE("R1C",'Mapa final'!$Q$14),"")</f>
        <v/>
      </c>
      <c r="O46" s="46" t="e">
        <f>IF(AND('Mapa final'!#REF!="Muy Baja",'Mapa final'!#REF!="Leve"),CONCATENATE("R1C",'Mapa final'!#REF!),"")</f>
        <v>#REF!</v>
      </c>
      <c r="P46" s="44" t="str">
        <f ca="1">IF(AND('Mapa final'!$AA$10="Muy Baja",'Mapa final'!$AC$10="Menor"),CONCATENATE("R1C",'Mapa final'!$Q$10),"")</f>
        <v/>
      </c>
      <c r="Q46" s="45" t="str">
        <f ca="1">IF(AND('Mapa final'!$AA$11="Muy Baja",'Mapa final'!$AC$11="Menor"),CONCATENATE("R1C",'Mapa final'!$Q$11),"")</f>
        <v/>
      </c>
      <c r="R46" s="45" t="str">
        <f ca="1">IF(AND('Mapa final'!$AA$12="Muy Baja",'Mapa final'!$AC$12="Menor"),CONCATENATE("R1C",'Mapa final'!$Q$12),"")</f>
        <v/>
      </c>
      <c r="S46" s="45" t="str">
        <f ca="1">IF(AND('Mapa final'!$AA$13="Muy Baja",'Mapa final'!$AC$13="Menor"),CONCATENATE("R1C",'Mapa final'!$Q$13),"")</f>
        <v/>
      </c>
      <c r="T46" s="45" t="str">
        <f ca="1">IF(AND('Mapa final'!$AA$14="Muy Baja",'Mapa final'!$AC$14="Menor"),CONCATENATE("R1C",'Mapa final'!$Q$14),"")</f>
        <v/>
      </c>
      <c r="U46" s="46" t="e">
        <f>IF(AND('Mapa final'!#REF!="Muy Baja",'Mapa final'!#REF!="Menor"),CONCATENATE("R1C",'Mapa final'!#REF!),"")</f>
        <v>#REF!</v>
      </c>
      <c r="V46" s="35" t="str">
        <f ca="1">IF(AND('Mapa final'!$AA$10="Muy Baja",'Mapa final'!$AC$10="Moderado"),CONCATENATE("R1C",'Mapa final'!$Q$10),"")</f>
        <v/>
      </c>
      <c r="W46" s="53" t="str">
        <f ca="1">IF(AND('Mapa final'!$AA$11="Muy Baja",'Mapa final'!$AC$11="Moderado"),CONCATENATE("R1C",'Mapa final'!$Q$11),"")</f>
        <v/>
      </c>
      <c r="X46" s="36" t="str">
        <f ca="1">IF(AND('Mapa final'!$AA$12="Muy Baja",'Mapa final'!$AC$12="Moderado"),CONCATENATE("R1C",'Mapa final'!$Q$12),"")</f>
        <v/>
      </c>
      <c r="Y46" s="36" t="str">
        <f ca="1">IF(AND('Mapa final'!$AA$13="Muy Baja",'Mapa final'!$AC$13="Moderado"),CONCATENATE("R1C",'Mapa final'!$Q$13),"")</f>
        <v/>
      </c>
      <c r="Z46" s="36" t="str">
        <f ca="1">IF(AND('Mapa final'!$AA$14="Muy Baja",'Mapa final'!$AC$14="Moderado"),CONCATENATE("R1C",'Mapa final'!$Q$14),"")</f>
        <v/>
      </c>
      <c r="AA46" s="37" t="e">
        <f>IF(AND('Mapa final'!#REF!="Muy Baja",'Mapa final'!#REF!="Moderado"),CONCATENATE("R1C",'Mapa final'!#REF!),"")</f>
        <v>#REF!</v>
      </c>
      <c r="AB46" s="16" t="str">
        <f ca="1">IF(AND('Mapa final'!$AA$10="Muy Baja",'Mapa final'!$AC$10="Mayor"),CONCATENATE("R1C",'Mapa final'!$Q$10),"")</f>
        <v/>
      </c>
      <c r="AC46" s="17" t="str">
        <f ca="1">IF(AND('Mapa final'!$AA$11="Muy Baja",'Mapa final'!$AC$11="Mayor"),CONCATENATE("R1C",'Mapa final'!$Q$11),"")</f>
        <v/>
      </c>
      <c r="AD46" s="17" t="str">
        <f ca="1">IF(AND('Mapa final'!$AA$12="Muy Baja",'Mapa final'!$AC$12="Mayor"),CONCATENATE("R1C",'Mapa final'!$Q$12),"")</f>
        <v>R1C3</v>
      </c>
      <c r="AE46" s="17" t="str">
        <f ca="1">IF(AND('Mapa final'!$AA$13="Muy Baja",'Mapa final'!$AC$13="Mayor"),CONCATENATE("R1C",'Mapa final'!$Q$13),"")</f>
        <v>R1C4</v>
      </c>
      <c r="AF46" s="17" t="str">
        <f ca="1">IF(AND('Mapa final'!$AA$14="Muy Baja",'Mapa final'!$AC$14="Mayor"),CONCATENATE("R1C",'Mapa final'!$Q$14),"")</f>
        <v>R1C5</v>
      </c>
      <c r="AG46" s="18" t="e">
        <f>IF(AND('Mapa final'!#REF!="Muy Baja",'Mapa final'!#REF!="Mayor"),CONCATENATE("R1C",'Mapa final'!#REF!),"")</f>
        <v>#REF!</v>
      </c>
      <c r="AH46" s="19" t="str">
        <f ca="1">IF(AND('Mapa final'!$AA$10="Muy Baja",'Mapa final'!$AC$10="Catastrófico"),CONCATENATE("R1C",'Mapa final'!$Q$10),"")</f>
        <v/>
      </c>
      <c r="AI46" s="20" t="str">
        <f ca="1">IF(AND('Mapa final'!$AA$11="Muy Baja",'Mapa final'!$AC$11="Catastrófico"),CONCATENATE("R1C",'Mapa final'!$Q$11),"")</f>
        <v/>
      </c>
      <c r="AJ46" s="20" t="str">
        <f ca="1">IF(AND('Mapa final'!$AA$12="Muy Baja",'Mapa final'!$AC$12="Catastrófico"),CONCATENATE("R1C",'Mapa final'!$Q$12),"")</f>
        <v/>
      </c>
      <c r="AK46" s="20" t="str">
        <f ca="1">IF(AND('Mapa final'!$AA$13="Muy Baja",'Mapa final'!$AC$13="Catastrófico"),CONCATENATE("R1C",'Mapa final'!$Q$13),"")</f>
        <v/>
      </c>
      <c r="AL46" s="20" t="str">
        <f ca="1">IF(AND('Mapa final'!$AA$14="Muy Baja",'Mapa final'!$AC$14="Catastrófico"),CONCATENATE("R1C",'Mapa final'!$Q$14),"")</f>
        <v/>
      </c>
      <c r="AM46" s="21" t="e">
        <f>IF(AND('Mapa final'!#REF!="Muy Baja",'Mapa final'!#REF!="Catastrófico"),CONCATENATE("R1C",'Mapa final'!#REF!),"")</f>
        <v>#REF!</v>
      </c>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row>
    <row r="47" spans="1:80" ht="46.5" customHeight="1" x14ac:dyDescent="0.3">
      <c r="A47" s="54"/>
      <c r="B47" s="292"/>
      <c r="C47" s="292"/>
      <c r="D47" s="293"/>
      <c r="E47" s="391"/>
      <c r="F47" s="392"/>
      <c r="G47" s="392"/>
      <c r="H47" s="392"/>
      <c r="I47" s="409"/>
      <c r="J47" s="47" t="str">
        <f ca="1">IF(AND('Mapa final'!$AA$15="Muy Baja",'Mapa final'!$AC$15="Leve"),CONCATENATE("R2C",'Mapa final'!$Q$15),"")</f>
        <v/>
      </c>
      <c r="K47" s="48" t="str">
        <f ca="1">IF(AND('Mapa final'!$AA$16="Muy Baja",'Mapa final'!$AC$16="Leve"),CONCATENATE("R2C",'Mapa final'!$Q$16),"")</f>
        <v/>
      </c>
      <c r="L47" s="48" t="e">
        <f>IF(AND('Mapa final'!#REF!="Muy Baja",'Mapa final'!#REF!="Leve"),CONCATENATE("R2C",'Mapa final'!$Q$17),"")</f>
        <v>#REF!</v>
      </c>
      <c r="M47" s="48" t="e">
        <f>IF(AND('Mapa final'!#REF!="Muy Baja",'Mapa final'!#REF!="Leve"),CONCATENATE("R2C",'Mapa final'!#REF!),"")</f>
        <v>#REF!</v>
      </c>
      <c r="N47" s="48" t="e">
        <f>IF(AND('Mapa final'!#REF!="Muy Baja",'Mapa final'!#REF!="Leve"),CONCATENATE("R2C",'Mapa final'!#REF!),"")</f>
        <v>#REF!</v>
      </c>
      <c r="O47" s="49" t="e">
        <f>IF(AND('Mapa final'!#REF!="Muy Baja",'Mapa final'!#REF!="Leve"),CONCATENATE("R2C",'Mapa final'!#REF!),"")</f>
        <v>#REF!</v>
      </c>
      <c r="P47" s="47" t="str">
        <f ca="1">IF(AND('Mapa final'!$AA$15="Muy Baja",'Mapa final'!$AC$15="Menor"),CONCATENATE("R2C",'Mapa final'!$Q$15),"")</f>
        <v/>
      </c>
      <c r="Q47" s="48" t="str">
        <f ca="1">IF(AND('Mapa final'!$AA$16="Muy Baja",'Mapa final'!$AC$16="Menor"),CONCATENATE("R2C",'Mapa final'!$Q$16),"")</f>
        <v/>
      </c>
      <c r="R47" s="48" t="e">
        <f>IF(AND('Mapa final'!#REF!="Muy Baja",'Mapa final'!#REF!="Menor"),CONCATENATE("R2C",'Mapa final'!$Q$17),"")</f>
        <v>#REF!</v>
      </c>
      <c r="S47" s="48" t="e">
        <f>IF(AND('Mapa final'!#REF!="Muy Baja",'Mapa final'!#REF!="Menor"),CONCATENATE("R2C",'Mapa final'!#REF!),"")</f>
        <v>#REF!</v>
      </c>
      <c r="T47" s="48" t="e">
        <f>IF(AND('Mapa final'!#REF!="Muy Baja",'Mapa final'!#REF!="Menor"),CONCATENATE("R2C",'Mapa final'!#REF!),"")</f>
        <v>#REF!</v>
      </c>
      <c r="U47" s="49" t="e">
        <f>IF(AND('Mapa final'!#REF!="Muy Baja",'Mapa final'!#REF!="Menor"),CONCATENATE("R2C",'Mapa final'!#REF!),"")</f>
        <v>#REF!</v>
      </c>
      <c r="V47" s="38" t="str">
        <f ca="1">IF(AND('Mapa final'!$AA$15="Muy Baja",'Mapa final'!$AC$15="Moderado"),CONCATENATE("R2C",'Mapa final'!$Q$15),"")</f>
        <v/>
      </c>
      <c r="W47" s="39" t="str">
        <f ca="1">IF(AND('Mapa final'!$AA$16="Muy Baja",'Mapa final'!$AC$16="Moderado"),CONCATENATE("R2C",'Mapa final'!$Q$16),"")</f>
        <v/>
      </c>
      <c r="X47" s="39" t="e">
        <f>IF(AND('Mapa final'!#REF!="Muy Baja",'Mapa final'!#REF!="Moderado"),CONCATENATE("R2C",'Mapa final'!$Q$17),"")</f>
        <v>#REF!</v>
      </c>
      <c r="Y47" s="39" t="e">
        <f>IF(AND('Mapa final'!#REF!="Muy Baja",'Mapa final'!#REF!="Moderado"),CONCATENATE("R2C",'Mapa final'!#REF!),"")</f>
        <v>#REF!</v>
      </c>
      <c r="Z47" s="39" t="e">
        <f>IF(AND('Mapa final'!#REF!="Muy Baja",'Mapa final'!#REF!="Moderado"),CONCATENATE("R2C",'Mapa final'!#REF!),"")</f>
        <v>#REF!</v>
      </c>
      <c r="AA47" s="40" t="e">
        <f>IF(AND('Mapa final'!#REF!="Muy Baja",'Mapa final'!#REF!="Moderado"),CONCATENATE("R2C",'Mapa final'!#REF!),"")</f>
        <v>#REF!</v>
      </c>
      <c r="AB47" s="22" t="str">
        <f ca="1">IF(AND('Mapa final'!$AA$15="Muy Baja",'Mapa final'!$AC$15="Mayor"),CONCATENATE("R2C",'Mapa final'!$Q$15),"")</f>
        <v/>
      </c>
      <c r="AC47" s="23" t="str">
        <f ca="1">IF(AND('Mapa final'!$AA$16="Muy Baja",'Mapa final'!$AC$16="Mayor"),CONCATENATE("R2C",'Mapa final'!$Q$16),"")</f>
        <v/>
      </c>
      <c r="AD47" s="23" t="e">
        <f>IF(AND('Mapa final'!#REF!="Muy Baja",'Mapa final'!#REF!="Mayor"),CONCATENATE("R2C",'Mapa final'!$Q$17),"")</f>
        <v>#REF!</v>
      </c>
      <c r="AE47" s="23" t="e">
        <f>IF(AND('Mapa final'!#REF!="Muy Baja",'Mapa final'!#REF!="Mayor"),CONCATENATE("R2C",'Mapa final'!#REF!),"")</f>
        <v>#REF!</v>
      </c>
      <c r="AF47" s="23" t="e">
        <f>IF(AND('Mapa final'!#REF!="Muy Baja",'Mapa final'!#REF!="Mayor"),CONCATENATE("R2C",'Mapa final'!#REF!),"")</f>
        <v>#REF!</v>
      </c>
      <c r="AG47" s="24" t="e">
        <f>IF(AND('Mapa final'!#REF!="Muy Baja",'Mapa final'!#REF!="Mayor"),CONCATENATE("R2C",'Mapa final'!#REF!),"")</f>
        <v>#REF!</v>
      </c>
      <c r="AH47" s="25" t="str">
        <f ca="1">IF(AND('Mapa final'!$AA$15="Muy Baja",'Mapa final'!$AC$15="Catastrófico"),CONCATENATE("R2C",'Mapa final'!$Q$15),"")</f>
        <v/>
      </c>
      <c r="AI47" s="26" t="str">
        <f ca="1">IF(AND('Mapa final'!$AA$16="Muy Baja",'Mapa final'!$AC$16="Catastrófico"),CONCATENATE("R2C",'Mapa final'!$Q$16),"")</f>
        <v/>
      </c>
      <c r="AJ47" s="26" t="e">
        <f>IF(AND('Mapa final'!#REF!="Muy Baja",'Mapa final'!#REF!="Catastrófico"),CONCATENATE("R2C",'Mapa final'!$Q$17),"")</f>
        <v>#REF!</v>
      </c>
      <c r="AK47" s="26" t="e">
        <f>IF(AND('Mapa final'!#REF!="Muy Baja",'Mapa final'!#REF!="Catastrófico"),CONCATENATE("R2C",'Mapa final'!#REF!),"")</f>
        <v>#REF!</v>
      </c>
      <c r="AL47" s="26" t="e">
        <f>IF(AND('Mapa final'!#REF!="Muy Baja",'Mapa final'!#REF!="Catastrófico"),CONCATENATE("R2C",'Mapa final'!#REF!),"")</f>
        <v>#REF!</v>
      </c>
      <c r="AM47" s="27" t="e">
        <f>IF(AND('Mapa final'!#REF!="Muy Baja",'Mapa final'!#REF!="Catastrófico"),CONCATENATE("R2C",'Mapa final'!#REF!),"")</f>
        <v>#REF!</v>
      </c>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row>
    <row r="48" spans="1:80" ht="15" customHeight="1" x14ac:dyDescent="0.3">
      <c r="A48" s="54"/>
      <c r="B48" s="292"/>
      <c r="C48" s="292"/>
      <c r="D48" s="293"/>
      <c r="E48" s="391"/>
      <c r="F48" s="392"/>
      <c r="G48" s="392"/>
      <c r="H48" s="392"/>
      <c r="I48" s="409"/>
      <c r="J48" s="47" t="e">
        <f>IF(AND('Mapa final'!#REF!="Muy Baja",'Mapa final'!#REF!="Leve"),CONCATENATE("R3C",'Mapa final'!#REF!),"")</f>
        <v>#REF!</v>
      </c>
      <c r="K48" s="48" t="e">
        <f>IF(AND('Mapa final'!#REF!="Muy Baja",'Mapa final'!#REF!="Leve"),CONCATENATE("R3C",'Mapa final'!#REF!),"")</f>
        <v>#REF!</v>
      </c>
      <c r="L48" s="48" t="e">
        <f>IF(AND('Mapa final'!#REF!="Muy Baja",'Mapa final'!#REF!="Leve"),CONCATENATE("R3C",'Mapa final'!#REF!),"")</f>
        <v>#REF!</v>
      </c>
      <c r="M48" s="48" t="e">
        <f>IF(AND('Mapa final'!#REF!="Muy Baja",'Mapa final'!#REF!="Leve"),CONCATENATE("R3C",'Mapa final'!#REF!),"")</f>
        <v>#REF!</v>
      </c>
      <c r="N48" s="48" t="e">
        <f>IF(AND('Mapa final'!#REF!="Muy Baja",'Mapa final'!#REF!="Leve"),CONCATENATE("R3C",'Mapa final'!#REF!),"")</f>
        <v>#REF!</v>
      </c>
      <c r="O48" s="49" t="e">
        <f>IF(AND('Mapa final'!#REF!="Muy Baja",'Mapa final'!#REF!="Leve"),CONCATENATE("R3C",'Mapa final'!#REF!),"")</f>
        <v>#REF!</v>
      </c>
      <c r="P48" s="47" t="e">
        <f>IF(AND('Mapa final'!#REF!="Muy Baja",'Mapa final'!#REF!="Menor"),CONCATENATE("R3C",'Mapa final'!#REF!),"")</f>
        <v>#REF!</v>
      </c>
      <c r="Q48" s="48" t="e">
        <f>IF(AND('Mapa final'!#REF!="Muy Baja",'Mapa final'!#REF!="Menor"),CONCATENATE("R3C",'Mapa final'!#REF!),"")</f>
        <v>#REF!</v>
      </c>
      <c r="R48" s="48" t="e">
        <f>IF(AND('Mapa final'!#REF!="Muy Baja",'Mapa final'!#REF!="Menor"),CONCATENATE("R3C",'Mapa final'!#REF!),"")</f>
        <v>#REF!</v>
      </c>
      <c r="S48" s="48" t="e">
        <f>IF(AND('Mapa final'!#REF!="Muy Baja",'Mapa final'!#REF!="Menor"),CONCATENATE("R3C",'Mapa final'!#REF!),"")</f>
        <v>#REF!</v>
      </c>
      <c r="T48" s="48" t="e">
        <f>IF(AND('Mapa final'!#REF!="Muy Baja",'Mapa final'!#REF!="Menor"),CONCATENATE("R3C",'Mapa final'!#REF!),"")</f>
        <v>#REF!</v>
      </c>
      <c r="U48" s="49" t="e">
        <f>IF(AND('Mapa final'!#REF!="Muy Baja",'Mapa final'!#REF!="Menor"),CONCATENATE("R3C",'Mapa final'!#REF!),"")</f>
        <v>#REF!</v>
      </c>
      <c r="V48" s="38" t="e">
        <f>IF(AND('Mapa final'!#REF!="Muy Baja",'Mapa final'!#REF!="Moderado"),CONCATENATE("R3C",'Mapa final'!#REF!),"")</f>
        <v>#REF!</v>
      </c>
      <c r="W48" s="39" t="e">
        <f>IF(AND('Mapa final'!#REF!="Muy Baja",'Mapa final'!#REF!="Moderado"),CONCATENATE("R3C",'Mapa final'!#REF!),"")</f>
        <v>#REF!</v>
      </c>
      <c r="X48" s="39" t="e">
        <f>IF(AND('Mapa final'!#REF!="Muy Baja",'Mapa final'!#REF!="Moderado"),CONCATENATE("R3C",'Mapa final'!#REF!),"")</f>
        <v>#REF!</v>
      </c>
      <c r="Y48" s="39" t="e">
        <f>IF(AND('Mapa final'!#REF!="Muy Baja",'Mapa final'!#REF!="Moderado"),CONCATENATE("R3C",'Mapa final'!#REF!),"")</f>
        <v>#REF!</v>
      </c>
      <c r="Z48" s="39" t="e">
        <f>IF(AND('Mapa final'!#REF!="Muy Baja",'Mapa final'!#REF!="Moderado"),CONCATENATE("R3C",'Mapa final'!#REF!),"")</f>
        <v>#REF!</v>
      </c>
      <c r="AA48" s="40" t="e">
        <f>IF(AND('Mapa final'!#REF!="Muy Baja",'Mapa final'!#REF!="Moderado"),CONCATENATE("R3C",'Mapa final'!#REF!),"")</f>
        <v>#REF!</v>
      </c>
      <c r="AB48" s="22" t="e">
        <f>IF(AND('Mapa final'!#REF!="Muy Baja",'Mapa final'!#REF!="Mayor"),CONCATENATE("R3C",'Mapa final'!#REF!),"")</f>
        <v>#REF!</v>
      </c>
      <c r="AC48" s="23" t="e">
        <f>IF(AND('Mapa final'!#REF!="Muy Baja",'Mapa final'!#REF!="Mayor"),CONCATENATE("R3C",'Mapa final'!#REF!),"")</f>
        <v>#REF!</v>
      </c>
      <c r="AD48" s="23" t="e">
        <f>IF(AND('Mapa final'!#REF!="Muy Baja",'Mapa final'!#REF!="Mayor"),CONCATENATE("R3C",'Mapa final'!#REF!),"")</f>
        <v>#REF!</v>
      </c>
      <c r="AE48" s="23" t="e">
        <f>IF(AND('Mapa final'!#REF!="Muy Baja",'Mapa final'!#REF!="Mayor"),CONCATENATE("R3C",'Mapa final'!#REF!),"")</f>
        <v>#REF!</v>
      </c>
      <c r="AF48" s="23" t="e">
        <f>IF(AND('Mapa final'!#REF!="Muy Baja",'Mapa final'!#REF!="Mayor"),CONCATENATE("R3C",'Mapa final'!#REF!),"")</f>
        <v>#REF!</v>
      </c>
      <c r="AG48" s="24" t="e">
        <f>IF(AND('Mapa final'!#REF!="Muy Baja",'Mapa final'!#REF!="Mayor"),CONCATENATE("R3C",'Mapa final'!#REF!),"")</f>
        <v>#REF!</v>
      </c>
      <c r="AH48" s="25" t="e">
        <f>IF(AND('Mapa final'!#REF!="Muy Baja",'Mapa final'!#REF!="Catastrófico"),CONCATENATE("R3C",'Mapa final'!#REF!),"")</f>
        <v>#REF!</v>
      </c>
      <c r="AI48" s="26" t="e">
        <f>IF(AND('Mapa final'!#REF!="Muy Baja",'Mapa final'!#REF!="Catastrófico"),CONCATENATE("R3C",'Mapa final'!#REF!),"")</f>
        <v>#REF!</v>
      </c>
      <c r="AJ48" s="26" t="e">
        <f>IF(AND('Mapa final'!#REF!="Muy Baja",'Mapa final'!#REF!="Catastrófico"),CONCATENATE("R3C",'Mapa final'!#REF!),"")</f>
        <v>#REF!</v>
      </c>
      <c r="AK48" s="26" t="e">
        <f>IF(AND('Mapa final'!#REF!="Muy Baja",'Mapa final'!#REF!="Catastrófico"),CONCATENATE("R3C",'Mapa final'!#REF!),"")</f>
        <v>#REF!</v>
      </c>
      <c r="AL48" s="26" t="e">
        <f>IF(AND('Mapa final'!#REF!="Muy Baja",'Mapa final'!#REF!="Catastrófico"),CONCATENATE("R3C",'Mapa final'!#REF!),"")</f>
        <v>#REF!</v>
      </c>
      <c r="AM48" s="27" t="e">
        <f>IF(AND('Mapa final'!#REF!="Muy Baja",'Mapa final'!#REF!="Catastrófico"),CONCATENATE("R3C",'Mapa final'!#REF!),"")</f>
        <v>#REF!</v>
      </c>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row>
    <row r="49" spans="1:80" ht="15" customHeight="1" x14ac:dyDescent="0.3">
      <c r="A49" s="54"/>
      <c r="B49" s="292"/>
      <c r="C49" s="292"/>
      <c r="D49" s="293"/>
      <c r="E49" s="393"/>
      <c r="F49" s="394"/>
      <c r="G49" s="394"/>
      <c r="H49" s="394"/>
      <c r="I49" s="409"/>
      <c r="J49" s="47" t="str">
        <f ca="1">IF(AND('Mapa final'!$AA$19="Muy Baja",'Mapa final'!$AC$19="Leve"),CONCATENATE("R4C",'Mapa final'!$Q$19),"")</f>
        <v/>
      </c>
      <c r="K49" s="48" t="str">
        <f ca="1">IF(AND('Mapa final'!$AA$20="Muy Baja",'Mapa final'!$AC$20="Leve"),CONCATENATE("R4C",'Mapa final'!$Q$20),"")</f>
        <v/>
      </c>
      <c r="L49" s="48" t="str">
        <f ca="1">IF(AND('Mapa final'!$AA$21="Muy Baja",'Mapa final'!$AC$21="Leve"),CONCATENATE("R4C",'Mapa final'!$Q$21),"")</f>
        <v/>
      </c>
      <c r="M49" s="48" t="str">
        <f ca="1">IF(AND('Mapa final'!$AA$22="Muy Baja",'Mapa final'!$AC$22="Leve"),CONCATENATE("R4C",'Mapa final'!$Q$22),"")</f>
        <v/>
      </c>
      <c r="N49" s="48" t="e">
        <f>IF(AND('Mapa final'!#REF!="Muy Baja",'Mapa final'!#REF!="Leve"),CONCATENATE("R4C",'Mapa final'!#REF!),"")</f>
        <v>#REF!</v>
      </c>
      <c r="O49" s="49" t="e">
        <f>IF(AND('Mapa final'!#REF!="Muy Baja",'Mapa final'!#REF!="Leve"),CONCATENATE("R4C",'Mapa final'!#REF!),"")</f>
        <v>#REF!</v>
      </c>
      <c r="P49" s="47" t="str">
        <f ca="1">IF(AND('Mapa final'!$AA$19="Muy Baja",'Mapa final'!$AC$19="Menor"),CONCATENATE("R4C",'Mapa final'!$Q$19),"")</f>
        <v/>
      </c>
      <c r="Q49" s="48" t="str">
        <f ca="1">IF(AND('Mapa final'!$AA$20="Muy Baja",'Mapa final'!$AC$20="Menor"),CONCATENATE("R4C",'Mapa final'!$Q$20),"")</f>
        <v/>
      </c>
      <c r="R49" s="48" t="str">
        <f ca="1">IF(AND('Mapa final'!$AA$21="Muy Baja",'Mapa final'!$AC$21="Menor"),CONCATENATE("R4C",'Mapa final'!$Q$21),"")</f>
        <v/>
      </c>
      <c r="S49" s="48" t="str">
        <f ca="1">IF(AND('Mapa final'!$AA$22="Muy Baja",'Mapa final'!$AC$22="Menor"),CONCATENATE("R4C",'Mapa final'!$Q$22),"")</f>
        <v/>
      </c>
      <c r="T49" s="48" t="e">
        <f>IF(AND('Mapa final'!#REF!="Muy Baja",'Mapa final'!#REF!="Menor"),CONCATENATE("R4C",'Mapa final'!#REF!),"")</f>
        <v>#REF!</v>
      </c>
      <c r="U49" s="49" t="e">
        <f>IF(AND('Mapa final'!#REF!="Muy Baja",'Mapa final'!#REF!="Menor"),CONCATENATE("R4C",'Mapa final'!#REF!),"")</f>
        <v>#REF!</v>
      </c>
      <c r="V49" s="38" t="str">
        <f ca="1">IF(AND('Mapa final'!$AA$19="Muy Baja",'Mapa final'!$AC$19="Moderado"),CONCATENATE("R4C",'Mapa final'!$Q$19),"")</f>
        <v/>
      </c>
      <c r="W49" s="39" t="str">
        <f ca="1">IF(AND('Mapa final'!$AA$20="Muy Baja",'Mapa final'!$AC$20="Moderado"),CONCATENATE("R4C",'Mapa final'!$Q$20),"")</f>
        <v/>
      </c>
      <c r="X49" s="39" t="str">
        <f ca="1">IF(AND('Mapa final'!$AA$21="Muy Baja",'Mapa final'!$AC$21="Moderado"),CONCATENATE("R4C",'Mapa final'!$Q$21),"")</f>
        <v/>
      </c>
      <c r="Y49" s="39" t="str">
        <f ca="1">IF(AND('Mapa final'!$AA$22="Muy Baja",'Mapa final'!$AC$22="Moderado"),CONCATENATE("R4C",'Mapa final'!$Q$22),"")</f>
        <v/>
      </c>
      <c r="Z49" s="39" t="e">
        <f>IF(AND('Mapa final'!#REF!="Muy Baja",'Mapa final'!#REF!="Moderado"),CONCATENATE("R4C",'Mapa final'!#REF!),"")</f>
        <v>#REF!</v>
      </c>
      <c r="AA49" s="40" t="e">
        <f>IF(AND('Mapa final'!#REF!="Muy Baja",'Mapa final'!#REF!="Moderado"),CONCATENATE("R4C",'Mapa final'!#REF!),"")</f>
        <v>#REF!</v>
      </c>
      <c r="AB49" s="22" t="str">
        <f ca="1">IF(AND('Mapa final'!$AA$19="Muy Baja",'Mapa final'!$AC$19="Mayor"),CONCATENATE("R4C",'Mapa final'!$Q$19),"")</f>
        <v/>
      </c>
      <c r="AC49" s="23" t="str">
        <f ca="1">IF(AND('Mapa final'!$AA$20="Muy Baja",'Mapa final'!$AC$20="Mayor"),CONCATENATE("R4C",'Mapa final'!$Q$20),"")</f>
        <v/>
      </c>
      <c r="AD49" s="23" t="str">
        <f ca="1">IF(AND('Mapa final'!$AA$21="Muy Baja",'Mapa final'!$AC$21="Mayor"),CONCATENATE("R4C",'Mapa final'!$Q$21),"")</f>
        <v/>
      </c>
      <c r="AE49" s="23" t="str">
        <f ca="1">IF(AND('Mapa final'!$AA$22="Muy Baja",'Mapa final'!$AC$22="Mayor"),CONCATENATE("R4C",'Mapa final'!$Q$22),"")</f>
        <v/>
      </c>
      <c r="AF49" s="23" t="e">
        <f>IF(AND('Mapa final'!#REF!="Muy Baja",'Mapa final'!#REF!="Mayor"),CONCATENATE("R4C",'Mapa final'!#REF!),"")</f>
        <v>#REF!</v>
      </c>
      <c r="AG49" s="24" t="e">
        <f>IF(AND('Mapa final'!#REF!="Muy Baja",'Mapa final'!#REF!="Mayor"),CONCATENATE("R4C",'Mapa final'!#REF!),"")</f>
        <v>#REF!</v>
      </c>
      <c r="AH49" s="25" t="str">
        <f ca="1">IF(AND('Mapa final'!$AA$19="Muy Baja",'Mapa final'!$AC$19="Catastrófico"),CONCATENATE("R4C",'Mapa final'!$Q$19),"")</f>
        <v/>
      </c>
      <c r="AI49" s="26" t="str">
        <f ca="1">IF(AND('Mapa final'!$AA$20="Muy Baja",'Mapa final'!$AC$20="Catastrófico"),CONCATENATE("R4C",'Mapa final'!$Q$20),"")</f>
        <v/>
      </c>
      <c r="AJ49" s="26" t="str">
        <f ca="1">IF(AND('Mapa final'!$AA$21="Muy Baja",'Mapa final'!$AC$21="Catastrófico"),CONCATENATE("R4C",'Mapa final'!$Q$21),"")</f>
        <v/>
      </c>
      <c r="AK49" s="26" t="str">
        <f ca="1">IF(AND('Mapa final'!$AA$22="Muy Baja",'Mapa final'!$AC$22="Catastrófico"),CONCATENATE("R4C",'Mapa final'!$Q$22),"")</f>
        <v>R4C4</v>
      </c>
      <c r="AL49" s="26" t="e">
        <f>IF(AND('Mapa final'!#REF!="Muy Baja",'Mapa final'!#REF!="Catastrófico"),CONCATENATE("R4C",'Mapa final'!#REF!),"")</f>
        <v>#REF!</v>
      </c>
      <c r="AM49" s="27" t="e">
        <f>IF(AND('Mapa final'!#REF!="Muy Baja",'Mapa final'!#REF!="Catastrófico"),CONCATENATE("R4C",'Mapa final'!#REF!),"")</f>
        <v>#REF!</v>
      </c>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row>
    <row r="50" spans="1:80" ht="15" customHeight="1" x14ac:dyDescent="0.3">
      <c r="A50" s="54"/>
      <c r="B50" s="292"/>
      <c r="C50" s="292"/>
      <c r="D50" s="293"/>
      <c r="E50" s="393"/>
      <c r="F50" s="394"/>
      <c r="G50" s="394"/>
      <c r="H50" s="394"/>
      <c r="I50" s="409"/>
      <c r="J50" s="47" t="str">
        <f>IF(AND('Mapa final'!$AA$23="Muy Baja",'Mapa final'!$AC$23="Leve"),CONCATENATE("R5C",'Mapa final'!$Q$23),"")</f>
        <v/>
      </c>
      <c r="K50" s="48" t="str">
        <f>IF(AND('Mapa final'!$AA$24="Muy Baja",'Mapa final'!$AC$24="Leve"),CONCATENATE("R5C",'Mapa final'!$Q$24),"")</f>
        <v/>
      </c>
      <c r="L50" s="48" t="str">
        <f>IF(AND('Mapa final'!$AA$25="Muy Baja",'Mapa final'!$AC$25="Leve"),CONCATENATE("R5C",'Mapa final'!$Q$25),"")</f>
        <v/>
      </c>
      <c r="M50" s="48" t="str">
        <f>IF(AND('Mapa final'!$AA$26="Muy Baja",'Mapa final'!$AC$26="Leve"),CONCATENATE("R5C",'Mapa final'!$Q$26),"")</f>
        <v/>
      </c>
      <c r="N50" s="48" t="str">
        <f>IF(AND('Mapa final'!$AA$27="Muy Baja",'Mapa final'!$AC$27="Leve"),CONCATENATE("R5C",'Mapa final'!$Q$27),"")</f>
        <v/>
      </c>
      <c r="O50" s="49" t="str">
        <f>IF(AND('Mapa final'!$AA$28="Muy Baja",'Mapa final'!$AC$28="Leve"),CONCATENATE("R5C",'Mapa final'!$Q$28),"")</f>
        <v/>
      </c>
      <c r="P50" s="47" t="str">
        <f>IF(AND('Mapa final'!$AA$23="Muy Baja",'Mapa final'!$AC$23="Menor"),CONCATENATE("R5C",'Mapa final'!$Q$23),"")</f>
        <v/>
      </c>
      <c r="Q50" s="48" t="str">
        <f>IF(AND('Mapa final'!$AA$24="Muy Baja",'Mapa final'!$AC$24="Menor"),CONCATENATE("R5C",'Mapa final'!$Q$24),"")</f>
        <v/>
      </c>
      <c r="R50" s="48" t="str">
        <f>IF(AND('Mapa final'!$AA$25="Muy Baja",'Mapa final'!$AC$25="Menor"),CONCATENATE("R5C",'Mapa final'!$Q$25),"")</f>
        <v/>
      </c>
      <c r="S50" s="48" t="str">
        <f>IF(AND('Mapa final'!$AA$26="Muy Baja",'Mapa final'!$AC$26="Menor"),CONCATENATE("R5C",'Mapa final'!$Q$26),"")</f>
        <v/>
      </c>
      <c r="T50" s="48" t="str">
        <f>IF(AND('Mapa final'!$AA$27="Muy Baja",'Mapa final'!$AC$27="Menor"),CONCATENATE("R5C",'Mapa final'!$Q$27),"")</f>
        <v/>
      </c>
      <c r="U50" s="49" t="str">
        <f>IF(AND('Mapa final'!$AA$28="Muy Baja",'Mapa final'!$AC$28="Menor"),CONCATENATE("R5C",'Mapa final'!$Q$28),"")</f>
        <v/>
      </c>
      <c r="V50" s="38" t="str">
        <f>IF(AND('Mapa final'!$AA$23="Muy Baja",'Mapa final'!$AC$23="Moderado"),CONCATENATE("R5C",'Mapa final'!$Q$23),"")</f>
        <v/>
      </c>
      <c r="W50" s="39" t="str">
        <f>IF(AND('Mapa final'!$AA$24="Muy Baja",'Mapa final'!$AC$24="Moderado"),CONCATENATE("R5C",'Mapa final'!$Q$24),"")</f>
        <v/>
      </c>
      <c r="X50" s="39" t="str">
        <f>IF(AND('Mapa final'!$AA$25="Muy Baja",'Mapa final'!$AC$25="Moderado"),CONCATENATE("R5C",'Mapa final'!$Q$25),"")</f>
        <v/>
      </c>
      <c r="Y50" s="39" t="str">
        <f>IF(AND('Mapa final'!$AA$26="Muy Baja",'Mapa final'!$AC$26="Moderado"),CONCATENATE("R5C",'Mapa final'!$Q$26),"")</f>
        <v/>
      </c>
      <c r="Z50" s="39" t="str">
        <f>IF(AND('Mapa final'!$AA$27="Muy Baja",'Mapa final'!$AC$27="Moderado"),CONCATENATE("R5C",'Mapa final'!$Q$27),"")</f>
        <v/>
      </c>
      <c r="AA50" s="40" t="str">
        <f>IF(AND('Mapa final'!$AA$28="Muy Baja",'Mapa final'!$AC$28="Moderado"),CONCATENATE("R5C",'Mapa final'!$Q$28),"")</f>
        <v/>
      </c>
      <c r="AB50" s="22" t="str">
        <f>IF(AND('Mapa final'!$AA$23="Muy Baja",'Mapa final'!$AC$23="Mayor"),CONCATENATE("R5C",'Mapa final'!$Q$23),"")</f>
        <v/>
      </c>
      <c r="AC50" s="23" t="str">
        <f>IF(AND('Mapa final'!$AA$24="Muy Baja",'Mapa final'!$AC$24="Mayor"),CONCATENATE("R5C",'Mapa final'!$Q$24),"")</f>
        <v/>
      </c>
      <c r="AD50" s="28" t="str">
        <f>IF(AND('Mapa final'!$AA$25="Muy Baja",'Mapa final'!$AC$25="Mayor"),CONCATENATE("R5C",'Mapa final'!$Q$25),"")</f>
        <v/>
      </c>
      <c r="AE50" s="28" t="str">
        <f>IF(AND('Mapa final'!$AA$26="Muy Baja",'Mapa final'!$AC$26="Mayor"),CONCATENATE("R5C",'Mapa final'!$Q$26),"")</f>
        <v/>
      </c>
      <c r="AF50" s="28" t="str">
        <f>IF(AND('Mapa final'!$AA$27="Muy Baja",'Mapa final'!$AC$27="Mayor"),CONCATENATE("R5C",'Mapa final'!$Q$27),"")</f>
        <v/>
      </c>
      <c r="AG50" s="24" t="str">
        <f>IF(AND('Mapa final'!$AA$28="Muy Baja",'Mapa final'!$AC$28="Mayor"),CONCATENATE("R5C",'Mapa final'!$Q$28),"")</f>
        <v/>
      </c>
      <c r="AH50" s="25" t="str">
        <f>IF(AND('Mapa final'!$AA$23="Muy Baja",'Mapa final'!$AC$23="Catastrófico"),CONCATENATE("R5C",'Mapa final'!$Q$23),"")</f>
        <v/>
      </c>
      <c r="AI50" s="26" t="str">
        <f>IF(AND('Mapa final'!$AA$24="Muy Baja",'Mapa final'!$AC$24="Catastrófico"),CONCATENATE("R5C",'Mapa final'!$Q$24),"")</f>
        <v/>
      </c>
      <c r="AJ50" s="26" t="str">
        <f>IF(AND('Mapa final'!$AA$25="Muy Baja",'Mapa final'!$AC$25="Catastrófico"),CONCATENATE("R5C",'Mapa final'!$Q$25),"")</f>
        <v/>
      </c>
      <c r="AK50" s="26" t="str">
        <f>IF(AND('Mapa final'!$AA$26="Muy Baja",'Mapa final'!$AC$26="Catastrófico"),CONCATENATE("R5C",'Mapa final'!$Q$26),"")</f>
        <v/>
      </c>
      <c r="AL50" s="26" t="str">
        <f>IF(AND('Mapa final'!$AA$27="Muy Baja",'Mapa final'!$AC$27="Catastrófico"),CONCATENATE("R5C",'Mapa final'!$Q$27),"")</f>
        <v/>
      </c>
      <c r="AM50" s="27" t="str">
        <f>IF(AND('Mapa final'!$AA$28="Muy Baja",'Mapa final'!$AC$28="Catastrófico"),CONCATENATE("R5C",'Mapa final'!$Q$28),"")</f>
        <v/>
      </c>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row>
    <row r="51" spans="1:80" ht="15" customHeight="1" x14ac:dyDescent="0.3">
      <c r="A51" s="54"/>
      <c r="B51" s="292"/>
      <c r="C51" s="292"/>
      <c r="D51" s="293"/>
      <c r="E51" s="393"/>
      <c r="F51" s="394"/>
      <c r="G51" s="394"/>
      <c r="H51" s="394"/>
      <c r="I51" s="409"/>
      <c r="J51" s="47" t="str">
        <f>IF(AND('Mapa final'!$AA$29="Muy Baja",'Mapa final'!$AC$29="Leve"),CONCATENATE("R6C",'Mapa final'!$Q$29),"")</f>
        <v/>
      </c>
      <c r="K51" s="48" t="str">
        <f>IF(AND('Mapa final'!$AA$30="Muy Baja",'Mapa final'!$AC$30="Leve"),CONCATENATE("R6C",'Mapa final'!$Q$30),"")</f>
        <v/>
      </c>
      <c r="L51" s="48" t="str">
        <f>IF(AND('Mapa final'!$AA$31="Muy Baja",'Mapa final'!$AC$31="Leve"),CONCATENATE("R6C",'Mapa final'!$Q$31),"")</f>
        <v/>
      </c>
      <c r="M51" s="48" t="str">
        <f>IF(AND('Mapa final'!$AA$32="Muy Baja",'Mapa final'!$AC$32="Leve"),CONCATENATE("R6C",'Mapa final'!$Q$32),"")</f>
        <v/>
      </c>
      <c r="N51" s="48" t="str">
        <f>IF(AND('Mapa final'!$AA$33="Muy Baja",'Mapa final'!$AC$33="Leve"),CONCATENATE("R6C",'Mapa final'!$Q$33),"")</f>
        <v/>
      </c>
      <c r="O51" s="49" t="str">
        <f>IF(AND('Mapa final'!$AA$34="Muy Baja",'Mapa final'!$AC$34="Leve"),CONCATENATE("R6C",'Mapa final'!$Q$34),"")</f>
        <v/>
      </c>
      <c r="P51" s="47" t="str">
        <f>IF(AND('Mapa final'!$AA$29="Muy Baja",'Mapa final'!$AC$29="Menor"),CONCATENATE("R6C",'Mapa final'!$Q$29),"")</f>
        <v/>
      </c>
      <c r="Q51" s="48" t="str">
        <f>IF(AND('Mapa final'!$AA$30="Muy Baja",'Mapa final'!$AC$30="Menor"),CONCATENATE("R6C",'Mapa final'!$Q$30),"")</f>
        <v/>
      </c>
      <c r="R51" s="48" t="str">
        <f>IF(AND('Mapa final'!$AA$31="Muy Baja",'Mapa final'!$AC$31="Menor"),CONCATENATE("R6C",'Mapa final'!$Q$31),"")</f>
        <v/>
      </c>
      <c r="S51" s="48" t="str">
        <f>IF(AND('Mapa final'!$AA$32="Muy Baja",'Mapa final'!$AC$32="Menor"),CONCATENATE("R6C",'Mapa final'!$Q$32),"")</f>
        <v/>
      </c>
      <c r="T51" s="48" t="str">
        <f>IF(AND('Mapa final'!$AA$33="Muy Baja",'Mapa final'!$AC$33="Menor"),CONCATENATE("R6C",'Mapa final'!$Q$33),"")</f>
        <v/>
      </c>
      <c r="U51" s="49" t="str">
        <f>IF(AND('Mapa final'!$AA$34="Muy Baja",'Mapa final'!$AC$34="Menor"),CONCATENATE("R6C",'Mapa final'!$Q$34),"")</f>
        <v/>
      </c>
      <c r="V51" s="38" t="str">
        <f>IF(AND('Mapa final'!$AA$29="Muy Baja",'Mapa final'!$AC$29="Moderado"),CONCATENATE("R6C",'Mapa final'!$Q$29),"")</f>
        <v/>
      </c>
      <c r="W51" s="39" t="str">
        <f>IF(AND('Mapa final'!$AA$30="Muy Baja",'Mapa final'!$AC$30="Moderado"),CONCATENATE("R6C",'Mapa final'!$Q$30),"")</f>
        <v/>
      </c>
      <c r="X51" s="39" t="str">
        <f>IF(AND('Mapa final'!$AA$31="Muy Baja",'Mapa final'!$AC$31="Moderado"),CONCATENATE("R6C",'Mapa final'!$Q$31),"")</f>
        <v/>
      </c>
      <c r="Y51" s="39" t="str">
        <f>IF(AND('Mapa final'!$AA$32="Muy Baja",'Mapa final'!$AC$32="Moderado"),CONCATENATE("R6C",'Mapa final'!$Q$32),"")</f>
        <v/>
      </c>
      <c r="Z51" s="39" t="str">
        <f>IF(AND('Mapa final'!$AA$33="Muy Baja",'Mapa final'!$AC$33="Moderado"),CONCATENATE("R6C",'Mapa final'!$Q$33),"")</f>
        <v/>
      </c>
      <c r="AA51" s="40" t="str">
        <f>IF(AND('Mapa final'!$AA$34="Muy Baja",'Mapa final'!$AC$34="Moderado"),CONCATENATE("R6C",'Mapa final'!$Q$34),"")</f>
        <v/>
      </c>
      <c r="AB51" s="22" t="str">
        <f>IF(AND('Mapa final'!$AA$29="Muy Baja",'Mapa final'!$AC$29="Mayor"),CONCATENATE("R6C",'Mapa final'!$Q$29),"")</f>
        <v/>
      </c>
      <c r="AC51" s="23" t="str">
        <f>IF(AND('Mapa final'!$AA$30="Muy Baja",'Mapa final'!$AC$30="Mayor"),CONCATENATE("R6C",'Mapa final'!$Q$30),"")</f>
        <v/>
      </c>
      <c r="AD51" s="28" t="str">
        <f>IF(AND('Mapa final'!$AA$31="Muy Baja",'Mapa final'!$AC$31="Mayor"),CONCATENATE("R6C",'Mapa final'!$Q$31),"")</f>
        <v/>
      </c>
      <c r="AE51" s="28" t="str">
        <f>IF(AND('Mapa final'!$AA$32="Muy Baja",'Mapa final'!$AC$32="Mayor"),CONCATENATE("R6C",'Mapa final'!$Q$32),"")</f>
        <v/>
      </c>
      <c r="AF51" s="28" t="str">
        <f>IF(AND('Mapa final'!$AA$33="Muy Baja",'Mapa final'!$AC$33="Mayor"),CONCATENATE("R6C",'Mapa final'!$Q$33),"")</f>
        <v/>
      </c>
      <c r="AG51" s="24" t="str">
        <f>IF(AND('Mapa final'!$AA$34="Muy Baja",'Mapa final'!$AC$34="Mayor"),CONCATENATE("R6C",'Mapa final'!$Q$34),"")</f>
        <v/>
      </c>
      <c r="AH51" s="25" t="str">
        <f>IF(AND('Mapa final'!$AA$29="Muy Baja",'Mapa final'!$AC$29="Catastrófico"),CONCATENATE("R6C",'Mapa final'!$Q$29),"")</f>
        <v/>
      </c>
      <c r="AI51" s="26" t="str">
        <f>IF(AND('Mapa final'!$AA$30="Muy Baja",'Mapa final'!$AC$30="Catastrófico"),CONCATENATE("R6C",'Mapa final'!$Q$30),"")</f>
        <v/>
      </c>
      <c r="AJ51" s="26" t="str">
        <f>IF(AND('Mapa final'!$AA$31="Muy Baja",'Mapa final'!$AC$31="Catastrófico"),CONCATENATE("R6C",'Mapa final'!$Q$31),"")</f>
        <v/>
      </c>
      <c r="AK51" s="26" t="str">
        <f>IF(AND('Mapa final'!$AA$32="Muy Baja",'Mapa final'!$AC$32="Catastrófico"),CONCATENATE("R6C",'Mapa final'!$Q$32),"")</f>
        <v/>
      </c>
      <c r="AL51" s="26" t="str">
        <f>IF(AND('Mapa final'!$AA$33="Muy Baja",'Mapa final'!$AC$33="Catastrófico"),CONCATENATE("R6C",'Mapa final'!$Q$33),"")</f>
        <v/>
      </c>
      <c r="AM51" s="27" t="str">
        <f>IF(AND('Mapa final'!$AA$34="Muy Baja",'Mapa final'!$AC$34="Catastrófico"),CONCATENATE("R6C",'Mapa final'!$Q$34),"")</f>
        <v/>
      </c>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row>
    <row r="52" spans="1:80" ht="15" customHeight="1" x14ac:dyDescent="0.3">
      <c r="A52" s="54"/>
      <c r="B52" s="292"/>
      <c r="C52" s="292"/>
      <c r="D52" s="293"/>
      <c r="E52" s="393"/>
      <c r="F52" s="394"/>
      <c r="G52" s="394"/>
      <c r="H52" s="394"/>
      <c r="I52" s="409"/>
      <c r="J52" s="47" t="str">
        <f>IF(AND('Mapa final'!$AA$35="Muy Baja",'Mapa final'!$AC$35="Leve"),CONCATENATE("R7C",'Mapa final'!$Q$35),"")</f>
        <v/>
      </c>
      <c r="K52" s="48" t="str">
        <f>IF(AND('Mapa final'!$AA$36="Muy Baja",'Mapa final'!$AC$36="Leve"),CONCATENATE("R7C",'Mapa final'!$Q$36),"")</f>
        <v/>
      </c>
      <c r="L52" s="48" t="str">
        <f>IF(AND('Mapa final'!$AA$37="Muy Baja",'Mapa final'!$AC$37="Leve"),CONCATENATE("R7C",'Mapa final'!$Q$37),"")</f>
        <v/>
      </c>
      <c r="M52" s="48" t="str">
        <f>IF(AND('Mapa final'!$AA$38="Muy Baja",'Mapa final'!$AC$38="Leve"),CONCATENATE("R7C",'Mapa final'!$Q$38),"")</f>
        <v/>
      </c>
      <c r="N52" s="48" t="str">
        <f>IF(AND('Mapa final'!$AA$39="Muy Baja",'Mapa final'!$AC$39="Leve"),CONCATENATE("R7C",'Mapa final'!$Q$39),"")</f>
        <v/>
      </c>
      <c r="O52" s="49" t="str">
        <f>IF(AND('Mapa final'!$AA$40="Muy Baja",'Mapa final'!$AC$40="Leve"),CONCATENATE("R7C",'Mapa final'!$Q$40),"")</f>
        <v/>
      </c>
      <c r="P52" s="47" t="str">
        <f>IF(AND('Mapa final'!$AA$35="Muy Baja",'Mapa final'!$AC$35="Menor"),CONCATENATE("R7C",'Mapa final'!$Q$35),"")</f>
        <v/>
      </c>
      <c r="Q52" s="48" t="str">
        <f>IF(AND('Mapa final'!$AA$36="Muy Baja",'Mapa final'!$AC$36="Menor"),CONCATENATE("R7C",'Mapa final'!$Q$36),"")</f>
        <v/>
      </c>
      <c r="R52" s="48" t="str">
        <f>IF(AND('Mapa final'!$AA$37="Muy Baja",'Mapa final'!$AC$37="Menor"),CONCATENATE("R7C",'Mapa final'!$Q$37),"")</f>
        <v/>
      </c>
      <c r="S52" s="48" t="str">
        <f>IF(AND('Mapa final'!$AA$38="Muy Baja",'Mapa final'!$AC$38="Menor"),CONCATENATE("R7C",'Mapa final'!$Q$38),"")</f>
        <v/>
      </c>
      <c r="T52" s="48" t="str">
        <f>IF(AND('Mapa final'!$AA$39="Muy Baja",'Mapa final'!$AC$39="Menor"),CONCATENATE("R7C",'Mapa final'!$Q$39),"")</f>
        <v/>
      </c>
      <c r="U52" s="49" t="str">
        <f>IF(AND('Mapa final'!$AA$40="Muy Baja",'Mapa final'!$AC$40="Menor"),CONCATENATE("R7C",'Mapa final'!$Q$40),"")</f>
        <v/>
      </c>
      <c r="V52" s="38" t="str">
        <f>IF(AND('Mapa final'!$AA$35="Muy Baja",'Mapa final'!$AC$35="Moderado"),CONCATENATE("R7C",'Mapa final'!$Q$35),"")</f>
        <v/>
      </c>
      <c r="W52" s="39" t="str">
        <f>IF(AND('Mapa final'!$AA$36="Muy Baja",'Mapa final'!$AC$36="Moderado"),CONCATENATE("R7C",'Mapa final'!$Q$36),"")</f>
        <v/>
      </c>
      <c r="X52" s="39" t="str">
        <f>IF(AND('Mapa final'!$AA$37="Muy Baja",'Mapa final'!$AC$37="Moderado"),CONCATENATE("R7C",'Mapa final'!$Q$37),"")</f>
        <v/>
      </c>
      <c r="Y52" s="39" t="str">
        <f>IF(AND('Mapa final'!$AA$38="Muy Baja",'Mapa final'!$AC$38="Moderado"),CONCATENATE("R7C",'Mapa final'!$Q$38),"")</f>
        <v/>
      </c>
      <c r="Z52" s="39" t="str">
        <f>IF(AND('Mapa final'!$AA$39="Muy Baja",'Mapa final'!$AC$39="Moderado"),CONCATENATE("R7C",'Mapa final'!$Q$39),"")</f>
        <v/>
      </c>
      <c r="AA52" s="40" t="str">
        <f>IF(AND('Mapa final'!$AA$40="Muy Baja",'Mapa final'!$AC$40="Moderado"),CONCATENATE("R7C",'Mapa final'!$Q$40),"")</f>
        <v/>
      </c>
      <c r="AB52" s="22" t="str">
        <f>IF(AND('Mapa final'!$AA$35="Muy Baja",'Mapa final'!$AC$35="Mayor"),CONCATENATE("R7C",'Mapa final'!$Q$35),"")</f>
        <v/>
      </c>
      <c r="AC52" s="23" t="str">
        <f>IF(AND('Mapa final'!$AA$36="Muy Baja",'Mapa final'!$AC$36="Mayor"),CONCATENATE("R7C",'Mapa final'!$Q$36),"")</f>
        <v/>
      </c>
      <c r="AD52" s="28" t="str">
        <f>IF(AND('Mapa final'!$AA$37="Muy Baja",'Mapa final'!$AC$37="Mayor"),CONCATENATE("R7C",'Mapa final'!$Q$37),"")</f>
        <v/>
      </c>
      <c r="AE52" s="28" t="str">
        <f>IF(AND('Mapa final'!$AA$38="Muy Baja",'Mapa final'!$AC$38="Mayor"),CONCATENATE("R7C",'Mapa final'!$Q$38),"")</f>
        <v/>
      </c>
      <c r="AF52" s="28" t="str">
        <f>IF(AND('Mapa final'!$AA$39="Muy Baja",'Mapa final'!$AC$39="Mayor"),CONCATENATE("R7C",'Mapa final'!$Q$39),"")</f>
        <v/>
      </c>
      <c r="AG52" s="24" t="str">
        <f>IF(AND('Mapa final'!$AA$40="Muy Baja",'Mapa final'!$AC$40="Mayor"),CONCATENATE("R7C",'Mapa final'!$Q$40),"")</f>
        <v/>
      </c>
      <c r="AH52" s="25" t="str">
        <f>IF(AND('Mapa final'!$AA$35="Muy Baja",'Mapa final'!$AC$35="Catastrófico"),CONCATENATE("R7C",'Mapa final'!$Q$35),"")</f>
        <v/>
      </c>
      <c r="AI52" s="26" t="str">
        <f>IF(AND('Mapa final'!$AA$36="Muy Baja",'Mapa final'!$AC$36="Catastrófico"),CONCATENATE("R7C",'Mapa final'!$Q$36),"")</f>
        <v/>
      </c>
      <c r="AJ52" s="26" t="str">
        <f>IF(AND('Mapa final'!$AA$37="Muy Baja",'Mapa final'!$AC$37="Catastrófico"),CONCATENATE("R7C",'Mapa final'!$Q$37),"")</f>
        <v/>
      </c>
      <c r="AK52" s="26" t="str">
        <f>IF(AND('Mapa final'!$AA$38="Muy Baja",'Mapa final'!$AC$38="Catastrófico"),CONCATENATE("R7C",'Mapa final'!$Q$38),"")</f>
        <v/>
      </c>
      <c r="AL52" s="26" t="str">
        <f>IF(AND('Mapa final'!$AA$39="Muy Baja",'Mapa final'!$AC$39="Catastrófico"),CONCATENATE("R7C",'Mapa final'!$Q$39),"")</f>
        <v/>
      </c>
      <c r="AM52" s="27" t="str">
        <f>IF(AND('Mapa final'!$AA$40="Muy Baja",'Mapa final'!$AC$40="Catastrófico"),CONCATENATE("R7C",'Mapa final'!$Q$40),"")</f>
        <v/>
      </c>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row>
    <row r="53" spans="1:80" ht="15" customHeight="1" x14ac:dyDescent="0.3">
      <c r="A53" s="54"/>
      <c r="B53" s="292"/>
      <c r="C53" s="292"/>
      <c r="D53" s="293"/>
      <c r="E53" s="393"/>
      <c r="F53" s="394"/>
      <c r="G53" s="394"/>
      <c r="H53" s="394"/>
      <c r="I53" s="409"/>
      <c r="J53" s="47" t="str">
        <f>IF(AND('Mapa final'!$AA$41="Muy Baja",'Mapa final'!$AC$41="Leve"),CONCATENATE("R8C",'Mapa final'!$Q$41),"")</f>
        <v/>
      </c>
      <c r="K53" s="48" t="str">
        <f>IF(AND('Mapa final'!$AA$42="Muy Baja",'Mapa final'!$AC$42="Leve"),CONCATENATE("R8C",'Mapa final'!$Q$42),"")</f>
        <v/>
      </c>
      <c r="L53" s="48" t="str">
        <f>IF(AND('Mapa final'!$AA$43="Muy Baja",'Mapa final'!$AC$43="Leve"),CONCATENATE("R8C",'Mapa final'!$Q$43),"")</f>
        <v/>
      </c>
      <c r="M53" s="48" t="str">
        <f>IF(AND('Mapa final'!$AA$44="Muy Baja",'Mapa final'!$AC$44="Leve"),CONCATENATE("R8C",'Mapa final'!$Q$44),"")</f>
        <v/>
      </c>
      <c r="N53" s="48" t="str">
        <f>IF(AND('Mapa final'!$AA$45="Muy Baja",'Mapa final'!$AC$45="Leve"),CONCATENATE("R8C",'Mapa final'!$Q$45),"")</f>
        <v/>
      </c>
      <c r="O53" s="49" t="str">
        <f>IF(AND('Mapa final'!$AA$46="Muy Baja",'Mapa final'!$AC$46="Leve"),CONCATENATE("R8C",'Mapa final'!$Q$46),"")</f>
        <v/>
      </c>
      <c r="P53" s="47" t="str">
        <f>IF(AND('Mapa final'!$AA$41="Muy Baja",'Mapa final'!$AC$41="Menor"),CONCATENATE("R8C",'Mapa final'!$Q$41),"")</f>
        <v/>
      </c>
      <c r="Q53" s="48" t="str">
        <f>IF(AND('Mapa final'!$AA$42="Muy Baja",'Mapa final'!$AC$42="Menor"),CONCATENATE("R8C",'Mapa final'!$Q$42),"")</f>
        <v/>
      </c>
      <c r="R53" s="48" t="str">
        <f>IF(AND('Mapa final'!$AA$43="Muy Baja",'Mapa final'!$AC$43="Menor"),CONCATENATE("R8C",'Mapa final'!$Q$43),"")</f>
        <v/>
      </c>
      <c r="S53" s="48" t="str">
        <f>IF(AND('Mapa final'!$AA$44="Muy Baja",'Mapa final'!$AC$44="Menor"),CONCATENATE("R8C",'Mapa final'!$Q$44),"")</f>
        <v/>
      </c>
      <c r="T53" s="48" t="str">
        <f>IF(AND('Mapa final'!$AA$45="Muy Baja",'Mapa final'!$AC$45="Menor"),CONCATENATE("R8C",'Mapa final'!$Q$45),"")</f>
        <v/>
      </c>
      <c r="U53" s="49" t="str">
        <f>IF(AND('Mapa final'!$AA$46="Muy Baja",'Mapa final'!$AC$46="Menor"),CONCATENATE("R8C",'Mapa final'!$Q$46),"")</f>
        <v/>
      </c>
      <c r="V53" s="38" t="str">
        <f>IF(AND('Mapa final'!$AA$41="Muy Baja",'Mapa final'!$AC$41="Moderado"),CONCATENATE("R8C",'Mapa final'!$Q$41),"")</f>
        <v/>
      </c>
      <c r="W53" s="39" t="str">
        <f>IF(AND('Mapa final'!$AA$42="Muy Baja",'Mapa final'!$AC$42="Moderado"),CONCATENATE("R8C",'Mapa final'!$Q$42),"")</f>
        <v/>
      </c>
      <c r="X53" s="39" t="str">
        <f>IF(AND('Mapa final'!$AA$43="Muy Baja",'Mapa final'!$AC$43="Moderado"),CONCATENATE("R8C",'Mapa final'!$Q$43),"")</f>
        <v/>
      </c>
      <c r="Y53" s="39" t="str">
        <f>IF(AND('Mapa final'!$AA$44="Muy Baja",'Mapa final'!$AC$44="Moderado"),CONCATENATE("R8C",'Mapa final'!$Q$44),"")</f>
        <v/>
      </c>
      <c r="Z53" s="39" t="str">
        <f>IF(AND('Mapa final'!$AA$45="Muy Baja",'Mapa final'!$AC$45="Moderado"),CONCATENATE("R8C",'Mapa final'!$Q$45),"")</f>
        <v/>
      </c>
      <c r="AA53" s="40" t="str">
        <f>IF(AND('Mapa final'!$AA$46="Muy Baja",'Mapa final'!$AC$46="Moderado"),CONCATENATE("R8C",'Mapa final'!$Q$46),"")</f>
        <v/>
      </c>
      <c r="AB53" s="22" t="str">
        <f>IF(AND('Mapa final'!$AA$41="Muy Baja",'Mapa final'!$AC$41="Mayor"),CONCATENATE("R8C",'Mapa final'!$Q$41),"")</f>
        <v/>
      </c>
      <c r="AC53" s="23" t="str">
        <f>IF(AND('Mapa final'!$AA$42="Muy Baja",'Mapa final'!$AC$42="Mayor"),CONCATENATE("R8C",'Mapa final'!$Q$42),"")</f>
        <v/>
      </c>
      <c r="AD53" s="28" t="str">
        <f>IF(AND('Mapa final'!$AA$43="Muy Baja",'Mapa final'!$AC$43="Mayor"),CONCATENATE("R8C",'Mapa final'!$Q$43),"")</f>
        <v/>
      </c>
      <c r="AE53" s="28" t="str">
        <f>IF(AND('Mapa final'!$AA$44="Muy Baja",'Mapa final'!$AC$44="Mayor"),CONCATENATE("R8C",'Mapa final'!$Q$44),"")</f>
        <v/>
      </c>
      <c r="AF53" s="28" t="str">
        <f>IF(AND('Mapa final'!$AA$45="Muy Baja",'Mapa final'!$AC$45="Mayor"),CONCATENATE("R8C",'Mapa final'!$Q$45),"")</f>
        <v/>
      </c>
      <c r="AG53" s="24" t="str">
        <f>IF(AND('Mapa final'!$AA$46="Muy Baja",'Mapa final'!$AC$46="Mayor"),CONCATENATE("R8C",'Mapa final'!$Q$46),"")</f>
        <v/>
      </c>
      <c r="AH53" s="25" t="str">
        <f>IF(AND('Mapa final'!$AA$41="Muy Baja",'Mapa final'!$AC$41="Catastrófico"),CONCATENATE("R8C",'Mapa final'!$Q$41),"")</f>
        <v/>
      </c>
      <c r="AI53" s="26" t="str">
        <f>IF(AND('Mapa final'!$AA$42="Muy Baja",'Mapa final'!$AC$42="Catastrófico"),CONCATENATE("R8C",'Mapa final'!$Q$42),"")</f>
        <v/>
      </c>
      <c r="AJ53" s="26" t="str">
        <f>IF(AND('Mapa final'!$AA$43="Muy Baja",'Mapa final'!$AC$43="Catastrófico"),CONCATENATE("R8C",'Mapa final'!$Q$43),"")</f>
        <v/>
      </c>
      <c r="AK53" s="26" t="str">
        <f>IF(AND('Mapa final'!$AA$44="Muy Baja",'Mapa final'!$AC$44="Catastrófico"),CONCATENATE("R8C",'Mapa final'!$Q$44),"")</f>
        <v/>
      </c>
      <c r="AL53" s="26" t="str">
        <f>IF(AND('Mapa final'!$AA$45="Muy Baja",'Mapa final'!$AC$45="Catastrófico"),CONCATENATE("R8C",'Mapa final'!$Q$45),"")</f>
        <v/>
      </c>
      <c r="AM53" s="27" t="str">
        <f>IF(AND('Mapa final'!$AA$46="Muy Baja",'Mapa final'!$AC$46="Catastrófico"),CONCATENATE("R8C",'Mapa final'!$Q$46),"")</f>
        <v/>
      </c>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row>
    <row r="54" spans="1:80" ht="15" customHeight="1" x14ac:dyDescent="0.3">
      <c r="A54" s="54"/>
      <c r="B54" s="292"/>
      <c r="C54" s="292"/>
      <c r="D54" s="293"/>
      <c r="E54" s="393"/>
      <c r="F54" s="394"/>
      <c r="G54" s="394"/>
      <c r="H54" s="394"/>
      <c r="I54" s="409"/>
      <c r="J54" s="47" t="str">
        <f>IF(AND('Mapa final'!$AA$47="Muy Baja",'Mapa final'!$AC$47="Leve"),CONCATENATE("R9C",'Mapa final'!$Q$47),"")</f>
        <v/>
      </c>
      <c r="K54" s="48" t="str">
        <f>IF(AND('Mapa final'!$AA$48="Muy Baja",'Mapa final'!$AC$48="Leve"),CONCATENATE("R9C",'Mapa final'!$Q$48),"")</f>
        <v/>
      </c>
      <c r="L54" s="48" t="str">
        <f>IF(AND('Mapa final'!$AA$49="Muy Baja",'Mapa final'!$AC$49="Leve"),CONCATENATE("R9C",'Mapa final'!$Q$49),"")</f>
        <v/>
      </c>
      <c r="M54" s="48" t="str">
        <f>IF(AND('Mapa final'!$AA$50="Muy Baja",'Mapa final'!$AC$50="Leve"),CONCATENATE("R9C",'Mapa final'!$Q$50),"")</f>
        <v/>
      </c>
      <c r="N54" s="48" t="str">
        <f>IF(AND('Mapa final'!$AA$51="Muy Baja",'Mapa final'!$AC$51="Leve"),CONCATENATE("R9C",'Mapa final'!$Q$51),"")</f>
        <v/>
      </c>
      <c r="O54" s="49" t="str">
        <f>IF(AND('Mapa final'!$AA$52="Muy Baja",'Mapa final'!$AC$52="Leve"),CONCATENATE("R9C",'Mapa final'!$Q$52),"")</f>
        <v/>
      </c>
      <c r="P54" s="47" t="str">
        <f>IF(AND('Mapa final'!$AA$47="Muy Baja",'Mapa final'!$AC$47="Menor"),CONCATENATE("R9C",'Mapa final'!$Q$47),"")</f>
        <v/>
      </c>
      <c r="Q54" s="48" t="str">
        <f>IF(AND('Mapa final'!$AA$48="Muy Baja",'Mapa final'!$AC$48="Menor"),CONCATENATE("R9C",'Mapa final'!$Q$48),"")</f>
        <v/>
      </c>
      <c r="R54" s="48" t="str">
        <f>IF(AND('Mapa final'!$AA$49="Muy Baja",'Mapa final'!$AC$49="Menor"),CONCATENATE("R9C",'Mapa final'!$Q$49),"")</f>
        <v/>
      </c>
      <c r="S54" s="48" t="str">
        <f>IF(AND('Mapa final'!$AA$50="Muy Baja",'Mapa final'!$AC$50="Menor"),CONCATENATE("R9C",'Mapa final'!$Q$50),"")</f>
        <v/>
      </c>
      <c r="T54" s="48" t="str">
        <f>IF(AND('Mapa final'!$AA$51="Muy Baja",'Mapa final'!$AC$51="Menor"),CONCATENATE("R9C",'Mapa final'!$Q$51),"")</f>
        <v/>
      </c>
      <c r="U54" s="49" t="str">
        <f>IF(AND('Mapa final'!$AA$52="Muy Baja",'Mapa final'!$AC$52="Menor"),CONCATENATE("R9C",'Mapa final'!$Q$52),"")</f>
        <v/>
      </c>
      <c r="V54" s="38" t="str">
        <f>IF(AND('Mapa final'!$AA$47="Muy Baja",'Mapa final'!$AC$47="Moderado"),CONCATENATE("R9C",'Mapa final'!$Q$47),"")</f>
        <v/>
      </c>
      <c r="W54" s="39" t="str">
        <f>IF(AND('Mapa final'!$AA$48="Muy Baja",'Mapa final'!$AC$48="Moderado"),CONCATENATE("R9C",'Mapa final'!$Q$48),"")</f>
        <v/>
      </c>
      <c r="X54" s="39" t="str">
        <f>IF(AND('Mapa final'!$AA$49="Muy Baja",'Mapa final'!$AC$49="Moderado"),CONCATENATE("R9C",'Mapa final'!$Q$49),"")</f>
        <v/>
      </c>
      <c r="Y54" s="39" t="str">
        <f>IF(AND('Mapa final'!$AA$50="Muy Baja",'Mapa final'!$AC$50="Moderado"),CONCATENATE("R9C",'Mapa final'!$Q$50),"")</f>
        <v/>
      </c>
      <c r="Z54" s="39" t="str">
        <f>IF(AND('Mapa final'!$AA$51="Muy Baja",'Mapa final'!$AC$51="Moderado"),CONCATENATE("R9C",'Mapa final'!$Q$51),"")</f>
        <v/>
      </c>
      <c r="AA54" s="40" t="str">
        <f>IF(AND('Mapa final'!$AA$52="Muy Baja",'Mapa final'!$AC$52="Moderado"),CONCATENATE("R9C",'Mapa final'!$Q$52),"")</f>
        <v/>
      </c>
      <c r="AB54" s="22" t="str">
        <f>IF(AND('Mapa final'!$AA$47="Muy Baja",'Mapa final'!$AC$47="Mayor"),CONCATENATE("R9C",'Mapa final'!$Q$47),"")</f>
        <v/>
      </c>
      <c r="AC54" s="23" t="str">
        <f>IF(AND('Mapa final'!$AA$48="Muy Baja",'Mapa final'!$AC$48="Mayor"),CONCATENATE("R9C",'Mapa final'!$Q$48),"")</f>
        <v/>
      </c>
      <c r="AD54" s="28" t="str">
        <f>IF(AND('Mapa final'!$AA$49="Muy Baja",'Mapa final'!$AC$49="Mayor"),CONCATENATE("R9C",'Mapa final'!$Q$49),"")</f>
        <v/>
      </c>
      <c r="AE54" s="28" t="str">
        <f>IF(AND('Mapa final'!$AA$50="Muy Baja",'Mapa final'!$AC$50="Mayor"),CONCATENATE("R9C",'Mapa final'!$Q$50),"")</f>
        <v/>
      </c>
      <c r="AF54" s="28" t="str">
        <f>IF(AND('Mapa final'!$AA$51="Muy Baja",'Mapa final'!$AC$51="Mayor"),CONCATENATE("R9C",'Mapa final'!$Q$51),"")</f>
        <v/>
      </c>
      <c r="AG54" s="24" t="str">
        <f>IF(AND('Mapa final'!$AA$52="Muy Baja",'Mapa final'!$AC$52="Mayor"),CONCATENATE("R9C",'Mapa final'!$Q$52),"")</f>
        <v/>
      </c>
      <c r="AH54" s="25" t="str">
        <f>IF(AND('Mapa final'!$AA$47="Muy Baja",'Mapa final'!$AC$47="Catastrófico"),CONCATENATE("R9C",'Mapa final'!$Q$47),"")</f>
        <v/>
      </c>
      <c r="AI54" s="26" t="str">
        <f>IF(AND('Mapa final'!$AA$48="Muy Baja",'Mapa final'!$AC$48="Catastrófico"),CONCATENATE("R9C",'Mapa final'!$Q$48),"")</f>
        <v/>
      </c>
      <c r="AJ54" s="26" t="str">
        <f>IF(AND('Mapa final'!$AA$49="Muy Baja",'Mapa final'!$AC$49="Catastrófico"),CONCATENATE("R9C",'Mapa final'!$Q$49),"")</f>
        <v/>
      </c>
      <c r="AK54" s="26" t="str">
        <f>IF(AND('Mapa final'!$AA$50="Muy Baja",'Mapa final'!$AC$50="Catastrófico"),CONCATENATE("R9C",'Mapa final'!$Q$50),"")</f>
        <v/>
      </c>
      <c r="AL54" s="26" t="str">
        <f>IF(AND('Mapa final'!$AA$51="Muy Baja",'Mapa final'!$AC$51="Catastrófico"),CONCATENATE("R9C",'Mapa final'!$Q$51),"")</f>
        <v/>
      </c>
      <c r="AM54" s="27" t="str">
        <f>IF(AND('Mapa final'!$AA$52="Muy Baja",'Mapa final'!$AC$52="Catastrófico"),CONCATENATE("R9C",'Mapa final'!$Q$52),"")</f>
        <v/>
      </c>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row>
    <row r="55" spans="1:80" ht="15.75" customHeight="1" thickBot="1" x14ac:dyDescent="0.35">
      <c r="A55" s="54"/>
      <c r="B55" s="292"/>
      <c r="C55" s="292"/>
      <c r="D55" s="293"/>
      <c r="E55" s="395"/>
      <c r="F55" s="396"/>
      <c r="G55" s="396"/>
      <c r="H55" s="396"/>
      <c r="I55" s="410"/>
      <c r="J55" s="50" t="str">
        <f>IF(AND('Mapa final'!$AA$53="Muy Baja",'Mapa final'!$AC$53="Leve"),CONCATENATE("R10C",'Mapa final'!$Q$53),"")</f>
        <v/>
      </c>
      <c r="K55" s="51" t="str">
        <f>IF(AND('Mapa final'!$AA$54="Muy Baja",'Mapa final'!$AC$54="Leve"),CONCATENATE("R10C",'Mapa final'!$Q$54),"")</f>
        <v/>
      </c>
      <c r="L55" s="51" t="str">
        <f>IF(AND('Mapa final'!$AA$55="Muy Baja",'Mapa final'!$AC$55="Leve"),CONCATENATE("R10C",'Mapa final'!$Q$55),"")</f>
        <v/>
      </c>
      <c r="M55" s="51" t="str">
        <f>IF(AND('Mapa final'!$AA$56="Muy Baja",'Mapa final'!$AC$56="Leve"),CONCATENATE("R10C",'Mapa final'!$Q$56),"")</f>
        <v/>
      </c>
      <c r="N55" s="51" t="str">
        <f>IF(AND('Mapa final'!$AA$57="Muy Baja",'Mapa final'!$AC$57="Leve"),CONCATENATE("R10C",'Mapa final'!$Q$57),"")</f>
        <v/>
      </c>
      <c r="O55" s="52" t="str">
        <f>IF(AND('Mapa final'!$AA$58="Muy Baja",'Mapa final'!$AC$58="Leve"),CONCATENATE("R10C",'Mapa final'!$Q$58),"")</f>
        <v/>
      </c>
      <c r="P55" s="50" t="str">
        <f>IF(AND('Mapa final'!$AA$53="Muy Baja",'Mapa final'!$AC$53="Menor"),CONCATENATE("R10C",'Mapa final'!$Q$53),"")</f>
        <v/>
      </c>
      <c r="Q55" s="51" t="str">
        <f>IF(AND('Mapa final'!$AA$54="Muy Baja",'Mapa final'!$AC$54="Menor"),CONCATENATE("R10C",'Mapa final'!$Q$54),"")</f>
        <v/>
      </c>
      <c r="R55" s="51" t="str">
        <f>IF(AND('Mapa final'!$AA$55="Muy Baja",'Mapa final'!$AC$55="Menor"),CONCATENATE("R10C",'Mapa final'!$Q$55),"")</f>
        <v/>
      </c>
      <c r="S55" s="51" t="str">
        <f>IF(AND('Mapa final'!$AA$56="Muy Baja",'Mapa final'!$AC$56="Menor"),CONCATENATE("R10C",'Mapa final'!$Q$56),"")</f>
        <v/>
      </c>
      <c r="T55" s="51" t="str">
        <f>IF(AND('Mapa final'!$AA$57="Muy Baja",'Mapa final'!$AC$57="Menor"),CONCATENATE("R10C",'Mapa final'!$Q$57),"")</f>
        <v/>
      </c>
      <c r="U55" s="52" t="str">
        <f>IF(AND('Mapa final'!$AA$58="Muy Baja",'Mapa final'!$AC$58="Menor"),CONCATENATE("R10C",'Mapa final'!$Q$58),"")</f>
        <v/>
      </c>
      <c r="V55" s="41" t="str">
        <f>IF(AND('Mapa final'!$AA$53="Muy Baja",'Mapa final'!$AC$53="Moderado"),CONCATENATE("R10C",'Mapa final'!$Q$53),"")</f>
        <v/>
      </c>
      <c r="W55" s="42" t="str">
        <f>IF(AND('Mapa final'!$AA$54="Muy Baja",'Mapa final'!$AC$54="Moderado"),CONCATENATE("R10C",'Mapa final'!$Q$54),"")</f>
        <v/>
      </c>
      <c r="X55" s="42" t="str">
        <f>IF(AND('Mapa final'!$AA$55="Muy Baja",'Mapa final'!$AC$55="Moderado"),CONCATENATE("R10C",'Mapa final'!$Q$55),"")</f>
        <v/>
      </c>
      <c r="Y55" s="42" t="str">
        <f>IF(AND('Mapa final'!$AA$56="Muy Baja",'Mapa final'!$AC$56="Moderado"),CONCATENATE("R10C",'Mapa final'!$Q$56),"")</f>
        <v/>
      </c>
      <c r="Z55" s="42" t="str">
        <f>IF(AND('Mapa final'!$AA$57="Muy Baja",'Mapa final'!$AC$57="Moderado"),CONCATENATE("R10C",'Mapa final'!$Q$57),"")</f>
        <v/>
      </c>
      <c r="AA55" s="43" t="str">
        <f>IF(AND('Mapa final'!$AA$58="Muy Baja",'Mapa final'!$AC$58="Moderado"),CONCATENATE("R10C",'Mapa final'!$Q$58),"")</f>
        <v/>
      </c>
      <c r="AB55" s="29" t="str">
        <f>IF(AND('Mapa final'!$AA$53="Muy Baja",'Mapa final'!$AC$53="Mayor"),CONCATENATE("R10C",'Mapa final'!$Q$53),"")</f>
        <v/>
      </c>
      <c r="AC55" s="30" t="str">
        <f>IF(AND('Mapa final'!$AA$54="Muy Baja",'Mapa final'!$AC$54="Mayor"),CONCATENATE("R10C",'Mapa final'!$Q$54),"")</f>
        <v/>
      </c>
      <c r="AD55" s="30" t="str">
        <f>IF(AND('Mapa final'!$AA$55="Muy Baja",'Mapa final'!$AC$55="Mayor"),CONCATENATE("R10C",'Mapa final'!$Q$55),"")</f>
        <v/>
      </c>
      <c r="AE55" s="30" t="str">
        <f>IF(AND('Mapa final'!$AA$56="Muy Baja",'Mapa final'!$AC$56="Mayor"),CONCATENATE("R10C",'Mapa final'!$Q$56),"")</f>
        <v/>
      </c>
      <c r="AF55" s="30" t="str">
        <f>IF(AND('Mapa final'!$AA$57="Muy Baja",'Mapa final'!$AC$57="Mayor"),CONCATENATE("R10C",'Mapa final'!$Q$57),"")</f>
        <v/>
      </c>
      <c r="AG55" s="31" t="str">
        <f>IF(AND('Mapa final'!$AA$58="Muy Baja",'Mapa final'!$AC$58="Mayor"),CONCATENATE("R10C",'Mapa final'!$Q$58),"")</f>
        <v/>
      </c>
      <c r="AH55" s="32" t="str">
        <f>IF(AND('Mapa final'!$AA$53="Muy Baja",'Mapa final'!$AC$53="Catastrófico"),CONCATENATE("R10C",'Mapa final'!$Q$53),"")</f>
        <v/>
      </c>
      <c r="AI55" s="33" t="str">
        <f>IF(AND('Mapa final'!$AA$54="Muy Baja",'Mapa final'!$AC$54="Catastrófico"),CONCATENATE("R10C",'Mapa final'!$Q$54),"")</f>
        <v/>
      </c>
      <c r="AJ55" s="33" t="str">
        <f>IF(AND('Mapa final'!$AA$55="Muy Baja",'Mapa final'!$AC$55="Catastrófico"),CONCATENATE("R10C",'Mapa final'!$Q$55),"")</f>
        <v/>
      </c>
      <c r="AK55" s="33" t="str">
        <f>IF(AND('Mapa final'!$AA$56="Muy Baja",'Mapa final'!$AC$56="Catastrófico"),CONCATENATE("R10C",'Mapa final'!$Q$56),"")</f>
        <v/>
      </c>
      <c r="AL55" s="33" t="str">
        <f>IF(AND('Mapa final'!$AA$57="Muy Baja",'Mapa final'!$AC$57="Catastrófico"),CONCATENATE("R10C",'Mapa final'!$Q$57),"")</f>
        <v/>
      </c>
      <c r="AM55" s="34" t="str">
        <f>IF(AND('Mapa final'!$AA$58="Muy Baja",'Mapa final'!$AC$58="Catastrófico"),CONCATENATE("R10C",'Mapa final'!$Q$58),"")</f>
        <v/>
      </c>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row>
    <row r="56" spans="1:80" x14ac:dyDescent="0.3">
      <c r="A56" s="54"/>
      <c r="B56" s="54"/>
      <c r="C56" s="54"/>
      <c r="D56" s="54"/>
      <c r="E56" s="54"/>
      <c r="F56" s="54"/>
      <c r="G56" s="54"/>
      <c r="H56" s="54"/>
      <c r="I56" s="54"/>
      <c r="J56" s="389" t="s">
        <v>107</v>
      </c>
      <c r="K56" s="390"/>
      <c r="L56" s="390"/>
      <c r="M56" s="390"/>
      <c r="N56" s="390"/>
      <c r="O56" s="408"/>
      <c r="P56" s="389" t="s">
        <v>106</v>
      </c>
      <c r="Q56" s="390"/>
      <c r="R56" s="390"/>
      <c r="S56" s="390"/>
      <c r="T56" s="390"/>
      <c r="U56" s="408"/>
      <c r="V56" s="389" t="s">
        <v>105</v>
      </c>
      <c r="W56" s="390"/>
      <c r="X56" s="390"/>
      <c r="Y56" s="390"/>
      <c r="Z56" s="390"/>
      <c r="AA56" s="408"/>
      <c r="AB56" s="389" t="s">
        <v>104</v>
      </c>
      <c r="AC56" s="429"/>
      <c r="AD56" s="390"/>
      <c r="AE56" s="390"/>
      <c r="AF56" s="390"/>
      <c r="AG56" s="408"/>
      <c r="AH56" s="389" t="s">
        <v>103</v>
      </c>
      <c r="AI56" s="390"/>
      <c r="AJ56" s="390"/>
      <c r="AK56" s="390"/>
      <c r="AL56" s="390"/>
      <c r="AM56" s="408"/>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row>
    <row r="57" spans="1:80" x14ac:dyDescent="0.3">
      <c r="A57" s="54"/>
      <c r="B57" s="54"/>
      <c r="C57" s="54"/>
      <c r="D57" s="54"/>
      <c r="E57" s="54"/>
      <c r="F57" s="54"/>
      <c r="G57" s="54"/>
      <c r="H57" s="54"/>
      <c r="I57" s="54"/>
      <c r="J57" s="393"/>
      <c r="K57" s="394"/>
      <c r="L57" s="394"/>
      <c r="M57" s="394"/>
      <c r="N57" s="394"/>
      <c r="O57" s="409"/>
      <c r="P57" s="393"/>
      <c r="Q57" s="394"/>
      <c r="R57" s="394"/>
      <c r="S57" s="394"/>
      <c r="T57" s="394"/>
      <c r="U57" s="409"/>
      <c r="V57" s="393"/>
      <c r="W57" s="394"/>
      <c r="X57" s="394"/>
      <c r="Y57" s="394"/>
      <c r="Z57" s="394"/>
      <c r="AA57" s="409"/>
      <c r="AB57" s="393"/>
      <c r="AC57" s="394"/>
      <c r="AD57" s="394"/>
      <c r="AE57" s="394"/>
      <c r="AF57" s="394"/>
      <c r="AG57" s="409"/>
      <c r="AH57" s="393"/>
      <c r="AI57" s="394"/>
      <c r="AJ57" s="394"/>
      <c r="AK57" s="394"/>
      <c r="AL57" s="394"/>
      <c r="AM57" s="409"/>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row>
    <row r="58" spans="1:80" x14ac:dyDescent="0.3">
      <c r="A58" s="54"/>
      <c r="B58" s="54"/>
      <c r="C58" s="54"/>
      <c r="D58" s="54"/>
      <c r="E58" s="54"/>
      <c r="F58" s="54"/>
      <c r="G58" s="54"/>
      <c r="H58" s="54"/>
      <c r="I58" s="54"/>
      <c r="J58" s="393"/>
      <c r="K58" s="394"/>
      <c r="L58" s="394"/>
      <c r="M58" s="394"/>
      <c r="N58" s="394"/>
      <c r="O58" s="409"/>
      <c r="P58" s="393"/>
      <c r="Q58" s="394"/>
      <c r="R58" s="394"/>
      <c r="S58" s="394"/>
      <c r="T58" s="394"/>
      <c r="U58" s="409"/>
      <c r="V58" s="393"/>
      <c r="W58" s="394"/>
      <c r="X58" s="394"/>
      <c r="Y58" s="394"/>
      <c r="Z58" s="394"/>
      <c r="AA58" s="409"/>
      <c r="AB58" s="393"/>
      <c r="AC58" s="394"/>
      <c r="AD58" s="394"/>
      <c r="AE58" s="394"/>
      <c r="AF58" s="394"/>
      <c r="AG58" s="409"/>
      <c r="AH58" s="393"/>
      <c r="AI58" s="394"/>
      <c r="AJ58" s="394"/>
      <c r="AK58" s="394"/>
      <c r="AL58" s="394"/>
      <c r="AM58" s="409"/>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row>
    <row r="59" spans="1:80" x14ac:dyDescent="0.3">
      <c r="A59" s="54"/>
      <c r="B59" s="54"/>
      <c r="C59" s="54"/>
      <c r="D59" s="54"/>
      <c r="E59" s="54"/>
      <c r="F59" s="54"/>
      <c r="G59" s="54"/>
      <c r="H59" s="54"/>
      <c r="I59" s="54"/>
      <c r="J59" s="393"/>
      <c r="K59" s="394"/>
      <c r="L59" s="394"/>
      <c r="M59" s="394"/>
      <c r="N59" s="394"/>
      <c r="O59" s="409"/>
      <c r="P59" s="393"/>
      <c r="Q59" s="394"/>
      <c r="R59" s="394"/>
      <c r="S59" s="394"/>
      <c r="T59" s="394"/>
      <c r="U59" s="409"/>
      <c r="V59" s="393"/>
      <c r="W59" s="394"/>
      <c r="X59" s="394"/>
      <c r="Y59" s="394"/>
      <c r="Z59" s="394"/>
      <c r="AA59" s="409"/>
      <c r="AB59" s="393"/>
      <c r="AC59" s="394"/>
      <c r="AD59" s="394"/>
      <c r="AE59" s="394"/>
      <c r="AF59" s="394"/>
      <c r="AG59" s="409"/>
      <c r="AH59" s="393"/>
      <c r="AI59" s="394"/>
      <c r="AJ59" s="394"/>
      <c r="AK59" s="394"/>
      <c r="AL59" s="394"/>
      <c r="AM59" s="409"/>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row>
    <row r="60" spans="1:80" x14ac:dyDescent="0.3">
      <c r="A60" s="54"/>
      <c r="B60" s="54"/>
      <c r="C60" s="54"/>
      <c r="D60" s="54"/>
      <c r="E60" s="54"/>
      <c r="F60" s="54"/>
      <c r="G60" s="54"/>
      <c r="H60" s="54"/>
      <c r="I60" s="54"/>
      <c r="J60" s="393"/>
      <c r="K60" s="394"/>
      <c r="L60" s="394"/>
      <c r="M60" s="394"/>
      <c r="N60" s="394"/>
      <c r="O60" s="409"/>
      <c r="P60" s="393"/>
      <c r="Q60" s="394"/>
      <c r="R60" s="394"/>
      <c r="S60" s="394"/>
      <c r="T60" s="394"/>
      <c r="U60" s="409"/>
      <c r="V60" s="393"/>
      <c r="W60" s="394"/>
      <c r="X60" s="394"/>
      <c r="Y60" s="394"/>
      <c r="Z60" s="394"/>
      <c r="AA60" s="409"/>
      <c r="AB60" s="393"/>
      <c r="AC60" s="394"/>
      <c r="AD60" s="394"/>
      <c r="AE60" s="394"/>
      <c r="AF60" s="394"/>
      <c r="AG60" s="409"/>
      <c r="AH60" s="393"/>
      <c r="AI60" s="394"/>
      <c r="AJ60" s="394"/>
      <c r="AK60" s="394"/>
      <c r="AL60" s="394"/>
      <c r="AM60" s="409"/>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row>
    <row r="61" spans="1:80" ht="15" thickBot="1" x14ac:dyDescent="0.35">
      <c r="A61" s="54"/>
      <c r="B61" s="54"/>
      <c r="C61" s="54"/>
      <c r="D61" s="54"/>
      <c r="E61" s="54"/>
      <c r="F61" s="54"/>
      <c r="G61" s="54"/>
      <c r="H61" s="54"/>
      <c r="I61" s="54"/>
      <c r="J61" s="395"/>
      <c r="K61" s="396"/>
      <c r="L61" s="396"/>
      <c r="M61" s="396"/>
      <c r="N61" s="396"/>
      <c r="O61" s="410"/>
      <c r="P61" s="395"/>
      <c r="Q61" s="396"/>
      <c r="R61" s="396"/>
      <c r="S61" s="396"/>
      <c r="T61" s="396"/>
      <c r="U61" s="410"/>
      <c r="V61" s="395"/>
      <c r="W61" s="396"/>
      <c r="X61" s="396"/>
      <c r="Y61" s="396"/>
      <c r="Z61" s="396"/>
      <c r="AA61" s="410"/>
      <c r="AB61" s="395"/>
      <c r="AC61" s="396"/>
      <c r="AD61" s="396"/>
      <c r="AE61" s="396"/>
      <c r="AF61" s="396"/>
      <c r="AG61" s="410"/>
      <c r="AH61" s="395"/>
      <c r="AI61" s="396"/>
      <c r="AJ61" s="396"/>
      <c r="AK61" s="396"/>
      <c r="AL61" s="396"/>
      <c r="AM61" s="410"/>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row>
    <row r="62" spans="1:80" x14ac:dyDescent="0.3">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row>
    <row r="63" spans="1:80" ht="15" customHeight="1" x14ac:dyDescent="0.3">
      <c r="A63" s="54"/>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4"/>
      <c r="AV63" s="54"/>
      <c r="AW63" s="54"/>
      <c r="AX63" s="54"/>
      <c r="AY63" s="54"/>
      <c r="AZ63" s="54"/>
      <c r="BA63" s="54"/>
      <c r="BB63" s="54"/>
      <c r="BC63" s="54"/>
      <c r="BD63" s="54"/>
      <c r="BE63" s="54"/>
      <c r="BF63" s="54"/>
      <c r="BG63" s="54"/>
      <c r="BH63" s="54"/>
    </row>
    <row r="64" spans="1:80" ht="15" customHeight="1" x14ac:dyDescent="0.3">
      <c r="A64" s="54"/>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4"/>
      <c r="AV64" s="54"/>
      <c r="AW64" s="54"/>
      <c r="AX64" s="54"/>
      <c r="AY64" s="54"/>
      <c r="AZ64" s="54"/>
      <c r="BA64" s="54"/>
      <c r="BB64" s="54"/>
      <c r="BC64" s="54"/>
      <c r="BD64" s="54"/>
      <c r="BE64" s="54"/>
      <c r="BF64" s="54"/>
      <c r="BG64" s="54"/>
      <c r="BH64" s="54"/>
    </row>
    <row r="65" spans="1:60" x14ac:dyDescent="0.3">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row>
    <row r="66" spans="1:60" x14ac:dyDescent="0.3">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row>
    <row r="67" spans="1:60" x14ac:dyDescent="0.3">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row>
    <row r="68" spans="1:60" x14ac:dyDescent="0.3">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row>
    <row r="69" spans="1:60" x14ac:dyDescent="0.3">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row>
    <row r="70" spans="1:60" x14ac:dyDescent="0.3">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row>
    <row r="71" spans="1:60" x14ac:dyDescent="0.3">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row>
    <row r="72" spans="1:60" x14ac:dyDescent="0.3">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row>
    <row r="73" spans="1:60" x14ac:dyDescent="0.3">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row>
    <row r="74" spans="1:60" x14ac:dyDescent="0.3">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row>
    <row r="75" spans="1:60" x14ac:dyDescent="0.3">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row>
    <row r="76" spans="1:60" x14ac:dyDescent="0.3">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row>
    <row r="77" spans="1:60" x14ac:dyDescent="0.3">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row>
    <row r="78" spans="1:60" x14ac:dyDescent="0.3">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row>
    <row r="79" spans="1:60" x14ac:dyDescent="0.3">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row>
    <row r="80" spans="1:60" x14ac:dyDescent="0.3">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row>
    <row r="81" spans="1:60" x14ac:dyDescent="0.3">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row>
    <row r="82" spans="1:60" x14ac:dyDescent="0.3">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row>
    <row r="83" spans="1:60" x14ac:dyDescent="0.3">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row>
    <row r="84" spans="1:60" x14ac:dyDescent="0.3">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row>
    <row r="85" spans="1:60" x14ac:dyDescent="0.3">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row>
    <row r="86" spans="1:60" x14ac:dyDescent="0.3">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row>
    <row r="87" spans="1:60" x14ac:dyDescent="0.3">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row>
    <row r="88" spans="1:60" x14ac:dyDescent="0.3">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row>
    <row r="89" spans="1:60" x14ac:dyDescent="0.3">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row>
    <row r="90" spans="1:60" x14ac:dyDescent="0.3">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row>
    <row r="91" spans="1:60" x14ac:dyDescent="0.3">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row>
    <row r="92" spans="1:60" x14ac:dyDescent="0.3">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row>
    <row r="93" spans="1:60" x14ac:dyDescent="0.3">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row>
    <row r="94" spans="1:60" x14ac:dyDescent="0.3">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row>
    <row r="95" spans="1:60" x14ac:dyDescent="0.3">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row>
    <row r="96" spans="1:60" x14ac:dyDescent="0.3">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row>
    <row r="97" spans="1:60" x14ac:dyDescent="0.3">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row>
    <row r="98" spans="1:60" x14ac:dyDescent="0.3">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row>
    <row r="99" spans="1:60" x14ac:dyDescent="0.3">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row>
    <row r="100" spans="1:60" x14ac:dyDescent="0.3">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row>
    <row r="101" spans="1:60" x14ac:dyDescent="0.3">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row>
    <row r="102" spans="1:60" x14ac:dyDescent="0.3">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row>
    <row r="103" spans="1:60" x14ac:dyDescent="0.3">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row>
    <row r="104" spans="1:60" x14ac:dyDescent="0.3">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row>
    <row r="105" spans="1:60" x14ac:dyDescent="0.3">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row>
    <row r="106" spans="1:60" x14ac:dyDescent="0.3">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row>
    <row r="107" spans="1:60" x14ac:dyDescent="0.3">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row>
    <row r="108" spans="1:60" x14ac:dyDescent="0.3">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row>
    <row r="109" spans="1:60" x14ac:dyDescent="0.3">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row>
    <row r="110" spans="1:60" x14ac:dyDescent="0.3">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row>
    <row r="111" spans="1:60" x14ac:dyDescent="0.3">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row>
    <row r="112" spans="1:60" x14ac:dyDescent="0.3">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row>
    <row r="113" spans="1:60" x14ac:dyDescent="0.3">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row>
    <row r="114" spans="1:60" x14ac:dyDescent="0.3">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row>
    <row r="115" spans="1:60" x14ac:dyDescent="0.3">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row>
    <row r="116" spans="1:60" x14ac:dyDescent="0.3">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row>
    <row r="117" spans="1:60" x14ac:dyDescent="0.3">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row>
    <row r="118" spans="1:60" x14ac:dyDescent="0.3">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row>
    <row r="119" spans="1:60" x14ac:dyDescent="0.3">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row>
    <row r="120" spans="1:60" x14ac:dyDescent="0.3">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row>
    <row r="121" spans="1:60" x14ac:dyDescent="0.3">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row>
    <row r="122" spans="1:60" x14ac:dyDescent="0.3">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row>
    <row r="123" spans="1:60" x14ac:dyDescent="0.3">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row>
    <row r="124" spans="1:60" x14ac:dyDescent="0.3">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row>
    <row r="125" spans="1:60" x14ac:dyDescent="0.3">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row>
    <row r="126" spans="1:60" x14ac:dyDescent="0.3">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row>
    <row r="127" spans="1:60" x14ac:dyDescent="0.3">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row>
    <row r="128" spans="1:60" x14ac:dyDescent="0.3">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row>
    <row r="129" spans="1:60" x14ac:dyDescent="0.3">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row>
    <row r="130" spans="1:60" x14ac:dyDescent="0.3">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row>
    <row r="131" spans="1:60" x14ac:dyDescent="0.3">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row>
    <row r="132" spans="1:60" x14ac:dyDescent="0.3">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row>
    <row r="133" spans="1:60" x14ac:dyDescent="0.3">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row>
    <row r="134" spans="1:60" x14ac:dyDescent="0.3">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row>
    <row r="135" spans="1:60" x14ac:dyDescent="0.3">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row>
    <row r="136" spans="1:60" x14ac:dyDescent="0.3">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row>
    <row r="137" spans="1:60" x14ac:dyDescent="0.3">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row>
    <row r="138" spans="1:60" x14ac:dyDescent="0.3">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row>
    <row r="139" spans="1:60" x14ac:dyDescent="0.3">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row>
    <row r="140" spans="1:60" x14ac:dyDescent="0.3">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row>
    <row r="141" spans="1:60" x14ac:dyDescent="0.3">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row>
    <row r="142" spans="1:60" x14ac:dyDescent="0.3">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row>
    <row r="143" spans="1:60" x14ac:dyDescent="0.3">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row>
    <row r="144" spans="1:60" x14ac:dyDescent="0.3">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row>
    <row r="145" spans="1:60" x14ac:dyDescent="0.3">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row>
    <row r="146" spans="1:60" x14ac:dyDescent="0.3">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row>
    <row r="147" spans="1:60" x14ac:dyDescent="0.3">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row>
    <row r="148" spans="1:60" x14ac:dyDescent="0.3">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row>
    <row r="149" spans="1:60" x14ac:dyDescent="0.3">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row>
    <row r="150" spans="1:60" x14ac:dyDescent="0.3">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row>
    <row r="151" spans="1:60" x14ac:dyDescent="0.3">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row>
    <row r="152" spans="1:60" x14ac:dyDescent="0.3">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row>
    <row r="153" spans="1:60" x14ac:dyDescent="0.3">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row>
    <row r="154" spans="1:60" x14ac:dyDescent="0.3">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row>
    <row r="155" spans="1:60" x14ac:dyDescent="0.3">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row>
    <row r="156" spans="1:60" x14ac:dyDescent="0.3">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row>
    <row r="157" spans="1:60" x14ac:dyDescent="0.3">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row>
    <row r="158" spans="1:60" x14ac:dyDescent="0.3">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row>
    <row r="159" spans="1:60" x14ac:dyDescent="0.3">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row>
    <row r="160" spans="1:60" x14ac:dyDescent="0.3">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row>
    <row r="161" spans="1:60" x14ac:dyDescent="0.3">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row>
    <row r="162" spans="1:60" x14ac:dyDescent="0.3">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row>
    <row r="163" spans="1:60" x14ac:dyDescent="0.3">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row>
    <row r="164" spans="1:60" x14ac:dyDescent="0.3">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row>
    <row r="165" spans="1:60" x14ac:dyDescent="0.3">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row>
    <row r="166" spans="1:60" x14ac:dyDescent="0.3">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row>
    <row r="167" spans="1:60" x14ac:dyDescent="0.3">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row>
    <row r="168" spans="1:60" x14ac:dyDescent="0.3">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row>
    <row r="169" spans="1:60" x14ac:dyDescent="0.3">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c r="AW169" s="54"/>
      <c r="AX169" s="54"/>
      <c r="AY169" s="54"/>
      <c r="AZ169" s="54"/>
      <c r="BA169" s="54"/>
      <c r="BB169" s="54"/>
      <c r="BC169" s="54"/>
      <c r="BD169" s="54"/>
      <c r="BE169" s="54"/>
      <c r="BF169" s="54"/>
      <c r="BG169" s="54"/>
      <c r="BH169" s="54"/>
    </row>
    <row r="170" spans="1:60" x14ac:dyDescent="0.3">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row>
    <row r="171" spans="1:60" x14ac:dyDescent="0.3">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row>
    <row r="172" spans="1:60" x14ac:dyDescent="0.3">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row>
    <row r="173" spans="1:60" x14ac:dyDescent="0.3">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row>
    <row r="174" spans="1:60" x14ac:dyDescent="0.3">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row>
    <row r="175" spans="1:60" x14ac:dyDescent="0.3">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row>
    <row r="176" spans="1:60" x14ac:dyDescent="0.3">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row>
    <row r="177" spans="1:60" x14ac:dyDescent="0.3">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row>
    <row r="178" spans="1:60" x14ac:dyDescent="0.3">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4"/>
      <c r="AW178" s="54"/>
      <c r="AX178" s="54"/>
      <c r="AY178" s="54"/>
      <c r="AZ178" s="54"/>
      <c r="BA178" s="54"/>
      <c r="BB178" s="54"/>
      <c r="BC178" s="54"/>
      <c r="BD178" s="54"/>
      <c r="BE178" s="54"/>
      <c r="BF178" s="54"/>
      <c r="BG178" s="54"/>
      <c r="BH178" s="54"/>
    </row>
    <row r="179" spans="1:60" x14ac:dyDescent="0.3">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c r="BG179" s="54"/>
      <c r="BH179" s="54"/>
    </row>
    <row r="180" spans="1:60" x14ac:dyDescent="0.3">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54"/>
      <c r="BE180" s="54"/>
      <c r="BF180" s="54"/>
      <c r="BG180" s="54"/>
      <c r="BH180" s="54"/>
    </row>
    <row r="181" spans="1:60" x14ac:dyDescent="0.3">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c r="AR181" s="54"/>
      <c r="AS181" s="54"/>
      <c r="AT181" s="54"/>
      <c r="AU181" s="54"/>
      <c r="AV181" s="54"/>
      <c r="AW181" s="54"/>
      <c r="AX181" s="54"/>
      <c r="AY181" s="54"/>
      <c r="AZ181" s="54"/>
      <c r="BA181" s="54"/>
      <c r="BB181" s="54"/>
      <c r="BC181" s="54"/>
      <c r="BD181" s="54"/>
      <c r="BE181" s="54"/>
      <c r="BF181" s="54"/>
      <c r="BG181" s="54"/>
      <c r="BH181" s="54"/>
    </row>
    <row r="182" spans="1:60" x14ac:dyDescent="0.3">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54"/>
      <c r="BD182" s="54"/>
      <c r="BE182" s="54"/>
      <c r="BF182" s="54"/>
      <c r="BG182" s="54"/>
      <c r="BH182" s="54"/>
    </row>
    <row r="183" spans="1:60" x14ac:dyDescent="0.3">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row>
    <row r="184" spans="1:60" x14ac:dyDescent="0.3">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c r="BH184" s="54"/>
    </row>
    <row r="185" spans="1:60" x14ac:dyDescent="0.3">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54"/>
      <c r="AN185" s="54"/>
      <c r="AO185" s="54"/>
      <c r="AP185" s="54"/>
      <c r="AQ185" s="54"/>
      <c r="AR185" s="54"/>
      <c r="AS185" s="54"/>
      <c r="AT185" s="54"/>
      <c r="AU185" s="54"/>
      <c r="AV185" s="54"/>
      <c r="AW185" s="54"/>
      <c r="AX185" s="54"/>
      <c r="AY185" s="54"/>
      <c r="AZ185" s="54"/>
      <c r="BA185" s="54"/>
      <c r="BB185" s="54"/>
      <c r="BC185" s="54"/>
      <c r="BD185" s="54"/>
      <c r="BE185" s="54"/>
      <c r="BF185" s="54"/>
      <c r="BG185" s="54"/>
      <c r="BH185" s="54"/>
    </row>
    <row r="186" spans="1:60" x14ac:dyDescent="0.3">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c r="BG186" s="54"/>
      <c r="BH186" s="54"/>
    </row>
    <row r="187" spans="1:60" x14ac:dyDescent="0.3">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c r="BG187" s="54"/>
      <c r="BH187" s="54"/>
    </row>
    <row r="188" spans="1:60" x14ac:dyDescent="0.3">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54"/>
      <c r="BH188" s="54"/>
    </row>
    <row r="189" spans="1:60" x14ac:dyDescent="0.3">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row>
    <row r="190" spans="1:60" x14ac:dyDescent="0.3">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row>
    <row r="191" spans="1:60" x14ac:dyDescent="0.3">
      <c r="A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54"/>
      <c r="BD191" s="54"/>
      <c r="BE191" s="54"/>
      <c r="BF191" s="54"/>
      <c r="BG191" s="54"/>
      <c r="BH191" s="54"/>
    </row>
    <row r="192" spans="1:60" x14ac:dyDescent="0.3">
      <c r="A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row>
    <row r="193" spans="1:60" x14ac:dyDescent="0.3">
      <c r="A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54"/>
      <c r="BE193" s="54"/>
      <c r="BF193" s="54"/>
      <c r="BG193" s="54"/>
      <c r="BH193" s="54"/>
    </row>
    <row r="194" spans="1:60" x14ac:dyDescent="0.3">
      <c r="A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c r="BG194" s="54"/>
      <c r="BH194" s="54"/>
    </row>
    <row r="195" spans="1:60" x14ac:dyDescent="0.3">
      <c r="A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row>
    <row r="196" spans="1:60" x14ac:dyDescent="0.3">
      <c r="A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row>
    <row r="197" spans="1:60" x14ac:dyDescent="0.3">
      <c r="A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c r="AN197" s="54"/>
      <c r="AO197" s="54"/>
      <c r="AP197" s="54"/>
      <c r="AQ197" s="54"/>
      <c r="AR197" s="54"/>
      <c r="AS197" s="54"/>
      <c r="AT197" s="54"/>
      <c r="AU197" s="54"/>
      <c r="AV197" s="54"/>
      <c r="AW197" s="54"/>
      <c r="AX197" s="54"/>
      <c r="AY197" s="54"/>
      <c r="AZ197" s="54"/>
      <c r="BA197" s="54"/>
      <c r="BB197" s="54"/>
      <c r="BC197" s="54"/>
      <c r="BD197" s="54"/>
      <c r="BE197" s="54"/>
      <c r="BF197" s="54"/>
      <c r="BG197" s="54"/>
      <c r="BH197" s="54"/>
    </row>
    <row r="198" spans="1:60" x14ac:dyDescent="0.3">
      <c r="A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c r="AK198" s="54"/>
      <c r="AL198" s="54"/>
      <c r="AM198" s="54"/>
      <c r="AN198" s="54"/>
      <c r="AO198" s="54"/>
      <c r="AP198" s="54"/>
      <c r="AQ198" s="54"/>
      <c r="AR198" s="54"/>
      <c r="AS198" s="54"/>
      <c r="AT198" s="54"/>
      <c r="AU198" s="54"/>
      <c r="AV198" s="54"/>
      <c r="AW198" s="54"/>
      <c r="AX198" s="54"/>
      <c r="AY198" s="54"/>
      <c r="AZ198" s="54"/>
      <c r="BA198" s="54"/>
      <c r="BB198" s="54"/>
      <c r="BC198" s="54"/>
      <c r="BD198" s="54"/>
      <c r="BE198" s="54"/>
      <c r="BF198" s="54"/>
      <c r="BG198" s="54"/>
      <c r="BH198" s="54"/>
    </row>
    <row r="199" spans="1:60" x14ac:dyDescent="0.3">
      <c r="A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c r="BG199" s="54"/>
      <c r="BH199" s="54"/>
    </row>
    <row r="200" spans="1:60" x14ac:dyDescent="0.3">
      <c r="A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row>
    <row r="201" spans="1:60" x14ac:dyDescent="0.3">
      <c r="A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c r="AK201" s="54"/>
      <c r="AL201" s="54"/>
      <c r="AM201" s="54"/>
      <c r="AN201" s="54"/>
      <c r="AO201" s="54"/>
      <c r="AP201" s="54"/>
      <c r="AQ201" s="54"/>
      <c r="AR201" s="54"/>
      <c r="AS201" s="54"/>
      <c r="AT201" s="54"/>
      <c r="AU201" s="54"/>
      <c r="AV201" s="54"/>
      <c r="AW201" s="54"/>
      <c r="AX201" s="54"/>
      <c r="AY201" s="54"/>
      <c r="AZ201" s="54"/>
      <c r="BA201" s="54"/>
      <c r="BB201" s="54"/>
      <c r="BC201" s="54"/>
      <c r="BD201" s="54"/>
      <c r="BE201" s="54"/>
      <c r="BF201" s="54"/>
      <c r="BG201" s="54"/>
      <c r="BH201" s="54"/>
    </row>
    <row r="202" spans="1:60" x14ac:dyDescent="0.3">
      <c r="A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54"/>
      <c r="AU202" s="54"/>
      <c r="AV202" s="54"/>
      <c r="AW202" s="54"/>
      <c r="AX202" s="54"/>
      <c r="AY202" s="54"/>
      <c r="AZ202" s="54"/>
      <c r="BA202" s="54"/>
      <c r="BB202" s="54"/>
      <c r="BC202" s="54"/>
      <c r="BD202" s="54"/>
      <c r="BE202" s="54"/>
      <c r="BF202" s="54"/>
      <c r="BG202" s="54"/>
      <c r="BH202" s="54"/>
    </row>
    <row r="203" spans="1:60" x14ac:dyDescent="0.3">
      <c r="A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c r="AH203" s="54"/>
      <c r="AI203" s="54"/>
      <c r="AJ203" s="54"/>
      <c r="AK203" s="54"/>
      <c r="AL203" s="54"/>
      <c r="AM203" s="54"/>
      <c r="AN203" s="54"/>
      <c r="AO203" s="54"/>
      <c r="AP203" s="54"/>
      <c r="AQ203" s="54"/>
      <c r="AR203" s="54"/>
      <c r="AS203" s="54"/>
      <c r="AT203" s="54"/>
      <c r="AU203" s="54"/>
      <c r="AV203" s="54"/>
      <c r="AW203" s="54"/>
      <c r="AX203" s="54"/>
      <c r="AY203" s="54"/>
      <c r="AZ203" s="54"/>
      <c r="BA203" s="54"/>
      <c r="BB203" s="54"/>
      <c r="BC203" s="54"/>
      <c r="BD203" s="54"/>
      <c r="BE203" s="54"/>
      <c r="BF203" s="54"/>
      <c r="BG203" s="54"/>
      <c r="BH203" s="54"/>
    </row>
    <row r="204" spans="1:60" x14ac:dyDescent="0.3">
      <c r="A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row>
    <row r="205" spans="1:60" x14ac:dyDescent="0.3">
      <c r="A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c r="AI205" s="54"/>
      <c r="AJ205" s="54"/>
      <c r="AK205" s="54"/>
      <c r="AL205" s="54"/>
      <c r="AM205" s="54"/>
      <c r="AN205" s="54"/>
      <c r="AO205" s="54"/>
      <c r="AP205" s="54"/>
      <c r="AQ205" s="54"/>
      <c r="AR205" s="54"/>
      <c r="AS205" s="54"/>
      <c r="AT205" s="54"/>
      <c r="AU205" s="54"/>
      <c r="AV205" s="54"/>
      <c r="AW205" s="54"/>
      <c r="AX205" s="54"/>
      <c r="AY205" s="54"/>
      <c r="AZ205" s="54"/>
      <c r="BA205" s="54"/>
      <c r="BB205" s="54"/>
      <c r="BC205" s="54"/>
      <c r="BD205" s="54"/>
      <c r="BE205" s="54"/>
      <c r="BF205" s="54"/>
      <c r="BG205" s="54"/>
      <c r="BH205" s="54"/>
    </row>
    <row r="206" spans="1:60" x14ac:dyDescent="0.3">
      <c r="A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54"/>
      <c r="BC206" s="54"/>
      <c r="BD206" s="54"/>
      <c r="BE206" s="54"/>
      <c r="BF206" s="54"/>
      <c r="BG206" s="54"/>
      <c r="BH206" s="54"/>
    </row>
    <row r="207" spans="1:60" x14ac:dyDescent="0.3">
      <c r="A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54"/>
      <c r="AM207" s="54"/>
      <c r="AN207" s="54"/>
      <c r="AO207" s="54"/>
      <c r="AP207" s="54"/>
      <c r="AQ207" s="54"/>
      <c r="AR207" s="54"/>
      <c r="AS207" s="54"/>
      <c r="AT207" s="54"/>
      <c r="AU207" s="54"/>
      <c r="AV207" s="54"/>
      <c r="AW207" s="54"/>
      <c r="AX207" s="54"/>
      <c r="AY207" s="54"/>
      <c r="AZ207" s="54"/>
      <c r="BA207" s="54"/>
      <c r="BB207" s="54"/>
      <c r="BC207" s="54"/>
      <c r="BD207" s="54"/>
      <c r="BE207" s="54"/>
      <c r="BF207" s="54"/>
      <c r="BG207" s="54"/>
      <c r="BH207" s="54"/>
    </row>
    <row r="208" spans="1:60" x14ac:dyDescent="0.3">
      <c r="A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54"/>
      <c r="AU208" s="54"/>
      <c r="AV208" s="54"/>
      <c r="AW208" s="54"/>
      <c r="AX208" s="54"/>
      <c r="AY208" s="54"/>
      <c r="AZ208" s="54"/>
      <c r="BA208" s="54"/>
      <c r="BB208" s="54"/>
      <c r="BC208" s="54"/>
      <c r="BD208" s="54"/>
      <c r="BE208" s="54"/>
      <c r="BF208" s="54"/>
      <c r="BG208" s="54"/>
      <c r="BH208" s="54"/>
    </row>
    <row r="209" spans="1:60" x14ac:dyDescent="0.3">
      <c r="A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c r="AK209" s="54"/>
      <c r="AL209" s="54"/>
      <c r="AM209" s="54"/>
      <c r="AN209" s="54"/>
      <c r="AO209" s="54"/>
      <c r="AP209" s="54"/>
      <c r="AQ209" s="54"/>
      <c r="AR209" s="54"/>
      <c r="AS209" s="54"/>
      <c r="AT209" s="54"/>
      <c r="AU209" s="54"/>
      <c r="AV209" s="54"/>
      <c r="AW209" s="54"/>
      <c r="AX209" s="54"/>
      <c r="AY209" s="54"/>
      <c r="AZ209" s="54"/>
      <c r="BA209" s="54"/>
      <c r="BB209" s="54"/>
      <c r="BC209" s="54"/>
      <c r="BD209" s="54"/>
      <c r="BE209" s="54"/>
      <c r="BF209" s="54"/>
      <c r="BG209" s="54"/>
      <c r="BH209" s="54"/>
    </row>
    <row r="210" spans="1:60" x14ac:dyDescent="0.3">
      <c r="A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row>
    <row r="211" spans="1:60" x14ac:dyDescent="0.3">
      <c r="A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4"/>
      <c r="AR211" s="54"/>
      <c r="AS211" s="54"/>
      <c r="AT211" s="54"/>
      <c r="AU211" s="54"/>
      <c r="AV211" s="54"/>
      <c r="AW211" s="54"/>
      <c r="AX211" s="54"/>
      <c r="AY211" s="54"/>
      <c r="AZ211" s="54"/>
      <c r="BA211" s="54"/>
      <c r="BB211" s="54"/>
      <c r="BC211" s="54"/>
      <c r="BD211" s="54"/>
      <c r="BE211" s="54"/>
      <c r="BF211" s="54"/>
      <c r="BG211" s="54"/>
      <c r="BH211" s="54"/>
    </row>
    <row r="212" spans="1:60" x14ac:dyDescent="0.3">
      <c r="A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c r="AM212" s="54"/>
      <c r="AN212" s="54"/>
      <c r="AO212" s="54"/>
      <c r="AP212" s="54"/>
      <c r="AQ212" s="54"/>
      <c r="AR212" s="54"/>
      <c r="AS212" s="54"/>
      <c r="AT212" s="54"/>
      <c r="AU212" s="54"/>
      <c r="AV212" s="54"/>
      <c r="AW212" s="54"/>
      <c r="AX212" s="54"/>
      <c r="AY212" s="54"/>
      <c r="AZ212" s="54"/>
      <c r="BA212" s="54"/>
      <c r="BB212" s="54"/>
      <c r="BC212" s="54"/>
      <c r="BD212" s="54"/>
      <c r="BE212" s="54"/>
      <c r="BF212" s="54"/>
      <c r="BG212" s="54"/>
      <c r="BH212" s="54"/>
    </row>
    <row r="213" spans="1:60" x14ac:dyDescent="0.3">
      <c r="A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c r="BG213" s="54"/>
      <c r="BH213" s="54"/>
    </row>
    <row r="214" spans="1:60" x14ac:dyDescent="0.3">
      <c r="A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row>
    <row r="215" spans="1:60" x14ac:dyDescent="0.3">
      <c r="A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4"/>
      <c r="BE215" s="54"/>
      <c r="BF215" s="54"/>
      <c r="BG215" s="54"/>
      <c r="BH215" s="54"/>
    </row>
    <row r="216" spans="1:60" x14ac:dyDescent="0.3">
      <c r="A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4"/>
      <c r="AS216" s="54"/>
      <c r="AT216" s="54"/>
      <c r="AU216" s="54"/>
      <c r="AV216" s="54"/>
      <c r="AW216" s="54"/>
      <c r="AX216" s="54"/>
      <c r="AY216" s="54"/>
      <c r="AZ216" s="54"/>
      <c r="BA216" s="54"/>
      <c r="BB216" s="54"/>
      <c r="BC216" s="54"/>
      <c r="BD216" s="54"/>
      <c r="BE216" s="54"/>
      <c r="BF216" s="54"/>
      <c r="BG216" s="54"/>
      <c r="BH216" s="54"/>
    </row>
    <row r="217" spans="1:60" x14ac:dyDescent="0.3">
      <c r="A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54"/>
      <c r="AU217" s="54"/>
      <c r="AV217" s="54"/>
      <c r="AW217" s="54"/>
      <c r="AX217" s="54"/>
      <c r="AY217" s="54"/>
      <c r="AZ217" s="54"/>
      <c r="BA217" s="54"/>
      <c r="BB217" s="54"/>
      <c r="BC217" s="54"/>
      <c r="BD217" s="54"/>
      <c r="BE217" s="54"/>
      <c r="BF217" s="54"/>
      <c r="BG217" s="54"/>
      <c r="BH217" s="54"/>
    </row>
    <row r="218" spans="1:60" x14ac:dyDescent="0.3">
      <c r="A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c r="AK218" s="54"/>
      <c r="AL218" s="54"/>
      <c r="AM218" s="54"/>
      <c r="AN218" s="54"/>
      <c r="AO218" s="54"/>
      <c r="AP218" s="54"/>
      <c r="AQ218" s="54"/>
      <c r="AR218" s="54"/>
      <c r="AS218" s="54"/>
      <c r="AT218" s="54"/>
      <c r="AU218" s="54"/>
      <c r="AV218" s="54"/>
      <c r="AW218" s="54"/>
      <c r="AX218" s="54"/>
      <c r="AY218" s="54"/>
      <c r="AZ218" s="54"/>
      <c r="BA218" s="54"/>
      <c r="BB218" s="54"/>
      <c r="BC218" s="54"/>
      <c r="BD218" s="54"/>
      <c r="BE218" s="54"/>
      <c r="BF218" s="54"/>
      <c r="BG218" s="54"/>
      <c r="BH218" s="54"/>
    </row>
    <row r="219" spans="1:60" x14ac:dyDescent="0.3">
      <c r="A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54"/>
      <c r="AU219" s="54"/>
      <c r="AV219" s="54"/>
      <c r="AW219" s="54"/>
      <c r="AX219" s="54"/>
      <c r="AY219" s="54"/>
      <c r="AZ219" s="54"/>
      <c r="BA219" s="54"/>
      <c r="BB219" s="54"/>
      <c r="BC219" s="54"/>
      <c r="BD219" s="54"/>
      <c r="BE219" s="54"/>
      <c r="BF219" s="54"/>
      <c r="BG219" s="54"/>
      <c r="BH219" s="54"/>
    </row>
    <row r="220" spans="1:60" x14ac:dyDescent="0.3">
      <c r="A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54"/>
    </row>
    <row r="221" spans="1:60" x14ac:dyDescent="0.3">
      <c r="A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row>
    <row r="222" spans="1:60" x14ac:dyDescent="0.3">
      <c r="A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row>
    <row r="223" spans="1:60" x14ac:dyDescent="0.3">
      <c r="A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c r="AR223" s="54"/>
      <c r="AS223" s="54"/>
      <c r="AT223" s="54"/>
      <c r="AU223" s="54"/>
      <c r="AV223" s="54"/>
      <c r="AW223" s="54"/>
      <c r="AX223" s="54"/>
      <c r="AY223" s="54"/>
      <c r="AZ223" s="54"/>
      <c r="BA223" s="54"/>
      <c r="BB223" s="54"/>
      <c r="BC223" s="54"/>
      <c r="BD223" s="54"/>
      <c r="BE223" s="54"/>
      <c r="BF223" s="54"/>
      <c r="BG223" s="54"/>
      <c r="BH223" s="54"/>
    </row>
    <row r="224" spans="1:60" x14ac:dyDescent="0.3">
      <c r="A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row>
    <row r="225" spans="1:60" x14ac:dyDescent="0.3">
      <c r="A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c r="BG225" s="54"/>
      <c r="BH225" s="54"/>
    </row>
    <row r="226" spans="1:60" x14ac:dyDescent="0.3">
      <c r="A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row>
    <row r="227" spans="1:60" x14ac:dyDescent="0.3">
      <c r="A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c r="AS227" s="54"/>
      <c r="AT227" s="54"/>
      <c r="AU227" s="54"/>
      <c r="AV227" s="54"/>
      <c r="AW227" s="54"/>
      <c r="AX227" s="54"/>
      <c r="AY227" s="54"/>
      <c r="AZ227" s="54"/>
      <c r="BA227" s="54"/>
      <c r="BB227" s="54"/>
      <c r="BC227" s="54"/>
      <c r="BD227" s="54"/>
      <c r="BE227" s="54"/>
      <c r="BF227" s="54"/>
      <c r="BG227" s="54"/>
      <c r="BH227" s="54"/>
    </row>
    <row r="228" spans="1:60" x14ac:dyDescent="0.3">
      <c r="A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c r="AK228" s="54"/>
      <c r="AL228" s="54"/>
      <c r="AM228" s="54"/>
      <c r="AN228" s="54"/>
      <c r="AO228" s="54"/>
      <c r="AP228" s="54"/>
      <c r="AQ228" s="54"/>
      <c r="AR228" s="54"/>
      <c r="AS228" s="54"/>
      <c r="AT228" s="54"/>
      <c r="AU228" s="54"/>
      <c r="AV228" s="54"/>
      <c r="AW228" s="54"/>
      <c r="AX228" s="54"/>
      <c r="AY228" s="54"/>
      <c r="AZ228" s="54"/>
      <c r="BA228" s="54"/>
      <c r="BB228" s="54"/>
      <c r="BC228" s="54"/>
      <c r="BD228" s="54"/>
      <c r="BE228" s="54"/>
      <c r="BF228" s="54"/>
      <c r="BG228" s="54"/>
      <c r="BH228" s="54"/>
    </row>
    <row r="229" spans="1:60" x14ac:dyDescent="0.3">
      <c r="A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c r="AK229" s="54"/>
      <c r="AL229" s="54"/>
      <c r="AM229" s="54"/>
      <c r="AN229" s="54"/>
      <c r="AO229" s="54"/>
      <c r="AP229" s="54"/>
      <c r="AQ229" s="54"/>
      <c r="AR229" s="54"/>
      <c r="AS229" s="54"/>
      <c r="AT229" s="54"/>
      <c r="AU229" s="54"/>
      <c r="AV229" s="54"/>
      <c r="AW229" s="54"/>
      <c r="AX229" s="54"/>
      <c r="AY229" s="54"/>
      <c r="AZ229" s="54"/>
      <c r="BA229" s="54"/>
      <c r="BB229" s="54"/>
      <c r="BC229" s="54"/>
      <c r="BD229" s="54"/>
      <c r="BE229" s="54"/>
      <c r="BF229" s="54"/>
      <c r="BG229" s="54"/>
      <c r="BH229" s="54"/>
    </row>
    <row r="230" spans="1:60" x14ac:dyDescent="0.3">
      <c r="A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c r="AW230" s="54"/>
      <c r="AX230" s="54"/>
      <c r="AY230" s="54"/>
      <c r="AZ230" s="54"/>
      <c r="BA230" s="54"/>
      <c r="BB230" s="54"/>
      <c r="BC230" s="54"/>
      <c r="BD230" s="54"/>
      <c r="BE230" s="54"/>
      <c r="BF230" s="54"/>
      <c r="BG230" s="54"/>
      <c r="BH230" s="54"/>
    </row>
    <row r="231" spans="1:60" x14ac:dyDescent="0.3">
      <c r="A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row>
    <row r="232" spans="1:60" x14ac:dyDescent="0.3">
      <c r="A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row>
    <row r="233" spans="1:60" x14ac:dyDescent="0.3">
      <c r="A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row>
    <row r="234" spans="1:60" x14ac:dyDescent="0.3">
      <c r="A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row>
    <row r="235" spans="1:60" x14ac:dyDescent="0.3">
      <c r="A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row>
    <row r="236" spans="1:60" x14ac:dyDescent="0.3">
      <c r="A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row>
    <row r="237" spans="1:60" x14ac:dyDescent="0.3">
      <c r="A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54"/>
      <c r="AM237" s="54"/>
      <c r="AN237" s="54"/>
      <c r="AO237" s="54"/>
      <c r="AP237" s="54"/>
      <c r="AQ237" s="54"/>
      <c r="AR237" s="54"/>
      <c r="AS237" s="54"/>
      <c r="AT237" s="54"/>
      <c r="AU237" s="54"/>
      <c r="AV237" s="54"/>
      <c r="AW237" s="54"/>
      <c r="AX237" s="54"/>
      <c r="AY237" s="54"/>
      <c r="AZ237" s="54"/>
      <c r="BA237" s="54"/>
      <c r="BB237" s="54"/>
      <c r="BC237" s="54"/>
      <c r="BD237" s="54"/>
      <c r="BE237" s="54"/>
      <c r="BF237" s="54"/>
      <c r="BG237" s="54"/>
      <c r="BH237" s="54"/>
    </row>
    <row r="238" spans="1:60" x14ac:dyDescent="0.3">
      <c r="A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c r="AK238" s="54"/>
      <c r="AL238" s="54"/>
      <c r="AM238" s="54"/>
      <c r="AN238" s="54"/>
      <c r="AO238" s="54"/>
      <c r="AP238" s="54"/>
      <c r="AQ238" s="54"/>
      <c r="AR238" s="54"/>
      <c r="AS238" s="54"/>
      <c r="AT238" s="54"/>
      <c r="AU238" s="54"/>
      <c r="AV238" s="54"/>
      <c r="AW238" s="54"/>
      <c r="AX238" s="54"/>
      <c r="AY238" s="54"/>
      <c r="AZ238" s="54"/>
      <c r="BA238" s="54"/>
      <c r="BB238" s="54"/>
      <c r="BC238" s="54"/>
      <c r="BD238" s="54"/>
      <c r="BE238" s="54"/>
      <c r="BF238" s="54"/>
      <c r="BG238" s="54"/>
      <c r="BH238" s="54"/>
    </row>
    <row r="239" spans="1:60" x14ac:dyDescent="0.3">
      <c r="A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4"/>
      <c r="AI239" s="54"/>
      <c r="AJ239" s="54"/>
      <c r="AK239" s="54"/>
      <c r="AL239" s="54"/>
      <c r="AM239" s="54"/>
      <c r="AN239" s="54"/>
      <c r="AO239" s="54"/>
      <c r="AP239" s="54"/>
      <c r="AQ239" s="54"/>
      <c r="AR239" s="54"/>
      <c r="AS239" s="54"/>
      <c r="AT239" s="54"/>
      <c r="AU239" s="54"/>
      <c r="AV239" s="54"/>
      <c r="AW239" s="54"/>
      <c r="AX239" s="54"/>
      <c r="AY239" s="54"/>
      <c r="AZ239" s="54"/>
      <c r="BA239" s="54"/>
      <c r="BB239" s="54"/>
      <c r="BC239" s="54"/>
      <c r="BD239" s="54"/>
      <c r="BE239" s="54"/>
      <c r="BF239" s="54"/>
      <c r="BG239" s="54"/>
      <c r="BH239" s="54"/>
    </row>
    <row r="240" spans="1:60" x14ac:dyDescent="0.3">
      <c r="A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54"/>
      <c r="AL240" s="54"/>
      <c r="AM240" s="54"/>
      <c r="AN240" s="54"/>
      <c r="AO240" s="54"/>
      <c r="AP240" s="54"/>
      <c r="AQ240" s="54"/>
      <c r="AR240" s="54"/>
      <c r="AS240" s="54"/>
      <c r="AT240" s="54"/>
      <c r="AU240" s="54"/>
      <c r="AV240" s="54"/>
      <c r="AW240" s="54"/>
      <c r="AX240" s="54"/>
      <c r="AY240" s="54"/>
      <c r="AZ240" s="54"/>
      <c r="BA240" s="54"/>
      <c r="BB240" s="54"/>
      <c r="BC240" s="54"/>
      <c r="BD240" s="54"/>
      <c r="BE240" s="54"/>
      <c r="BF240" s="54"/>
      <c r="BG240" s="54"/>
      <c r="BH240" s="54"/>
    </row>
    <row r="241" spans="1:60" x14ac:dyDescent="0.3">
      <c r="A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s="54"/>
      <c r="AK241" s="54"/>
      <c r="AL241" s="54"/>
      <c r="AM241" s="54"/>
      <c r="AN241" s="54"/>
      <c r="AO241" s="54"/>
      <c r="AP241" s="54"/>
      <c r="AQ241" s="54"/>
      <c r="AR241" s="54"/>
      <c r="AS241" s="54"/>
      <c r="AT241" s="54"/>
      <c r="AU241" s="54"/>
      <c r="AV241" s="54"/>
      <c r="AW241" s="54"/>
      <c r="AX241" s="54"/>
      <c r="AY241" s="54"/>
      <c r="AZ241" s="54"/>
      <c r="BA241" s="54"/>
      <c r="BB241" s="54"/>
      <c r="BC241" s="54"/>
      <c r="BD241" s="54"/>
      <c r="BE241" s="54"/>
      <c r="BF241" s="54"/>
      <c r="BG241" s="54"/>
      <c r="BH241" s="54"/>
    </row>
    <row r="242" spans="1:60" x14ac:dyDescent="0.3">
      <c r="A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c r="AK242" s="54"/>
      <c r="AL242" s="54"/>
      <c r="AM242" s="54"/>
      <c r="AN242" s="54"/>
      <c r="AO242" s="54"/>
      <c r="AP242" s="54"/>
      <c r="AQ242" s="54"/>
      <c r="AR242" s="54"/>
      <c r="AS242" s="54"/>
      <c r="AT242" s="54"/>
      <c r="AU242" s="54"/>
      <c r="AV242" s="54"/>
      <c r="AW242" s="54"/>
      <c r="AX242" s="54"/>
      <c r="AY242" s="54"/>
      <c r="AZ242" s="54"/>
      <c r="BA242" s="54"/>
      <c r="BB242" s="54"/>
      <c r="BC242" s="54"/>
      <c r="BD242" s="54"/>
      <c r="BE242" s="54"/>
      <c r="BF242" s="54"/>
      <c r="BG242" s="54"/>
      <c r="BH242" s="54"/>
    </row>
    <row r="243" spans="1:60" x14ac:dyDescent="0.3">
      <c r="A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c r="AK243" s="54"/>
      <c r="AL243" s="54"/>
      <c r="AM243" s="54"/>
      <c r="AN243" s="54"/>
      <c r="AO243" s="54"/>
      <c r="AP243" s="54"/>
      <c r="AQ243" s="54"/>
      <c r="AR243" s="54"/>
      <c r="AS243" s="54"/>
      <c r="AT243" s="54"/>
      <c r="AU243" s="54"/>
      <c r="AV243" s="54"/>
      <c r="AW243" s="54"/>
      <c r="AX243" s="54"/>
      <c r="AY243" s="54"/>
      <c r="AZ243" s="54"/>
      <c r="BA243" s="54"/>
      <c r="BB243" s="54"/>
      <c r="BC243" s="54"/>
      <c r="BD243" s="54"/>
      <c r="BE243" s="54"/>
      <c r="BF243" s="54"/>
      <c r="BG243" s="54"/>
      <c r="BH243" s="54"/>
    </row>
    <row r="244" spans="1:60" x14ac:dyDescent="0.3">
      <c r="A244" s="54"/>
      <c r="J244" s="54"/>
      <c r="K244" s="54"/>
      <c r="L244" s="54"/>
      <c r="M244" s="54"/>
      <c r="N244" s="54"/>
      <c r="O244" s="54"/>
      <c r="P244" s="54"/>
      <c r="Q244" s="54"/>
      <c r="R244" s="54"/>
      <c r="S244" s="54"/>
      <c r="T244" s="54"/>
      <c r="U244" s="54"/>
      <c r="V244" s="54"/>
      <c r="W244" s="54"/>
      <c r="X244" s="54"/>
      <c r="Y244" s="54"/>
      <c r="Z244" s="54"/>
      <c r="AA244" s="54"/>
      <c r="AB244" s="54"/>
      <c r="AC244" s="54"/>
      <c r="AD244" s="54"/>
      <c r="AE244" s="54"/>
      <c r="AF244" s="54"/>
      <c r="AG244" s="54"/>
      <c r="AH244" s="54"/>
      <c r="AI244" s="54"/>
      <c r="AJ244" s="54"/>
      <c r="AK244" s="54"/>
      <c r="AL244" s="54"/>
      <c r="AM244" s="54"/>
      <c r="AN244" s="54"/>
      <c r="AO244" s="54"/>
      <c r="AP244" s="54"/>
      <c r="AQ244" s="54"/>
      <c r="AR244" s="54"/>
      <c r="AS244" s="54"/>
      <c r="AT244" s="54"/>
      <c r="AU244" s="54"/>
      <c r="AV244" s="54"/>
      <c r="AW244" s="54"/>
      <c r="AX244" s="54"/>
      <c r="AY244" s="54"/>
      <c r="AZ244" s="54"/>
      <c r="BA244" s="54"/>
      <c r="BB244" s="54"/>
      <c r="BC244" s="54"/>
      <c r="BD244" s="54"/>
      <c r="BE244" s="54"/>
      <c r="BF244" s="54"/>
      <c r="BG244" s="54"/>
      <c r="BH244" s="54"/>
    </row>
    <row r="245" spans="1:60" x14ac:dyDescent="0.3">
      <c r="A245" s="54"/>
    </row>
    <row r="246" spans="1:60" x14ac:dyDescent="0.3">
      <c r="A246" s="54"/>
    </row>
    <row r="247" spans="1:60" x14ac:dyDescent="0.3">
      <c r="A247" s="54"/>
    </row>
    <row r="248" spans="1:60" x14ac:dyDescent="0.3">
      <c r="A248" s="5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workbookViewId="0"/>
  </sheetViews>
  <sheetFormatPr baseColWidth="10" defaultColWidth="11.5546875" defaultRowHeight="14.4" x14ac:dyDescent="0.3"/>
  <cols>
    <col min="2" max="2" width="24.109375" customWidth="1"/>
    <col min="3" max="3" width="70.109375" customWidth="1"/>
    <col min="4" max="4" width="29.88671875" customWidth="1"/>
  </cols>
  <sheetData>
    <row r="1" spans="1:37" ht="23.4" x14ac:dyDescent="0.3">
      <c r="A1" s="54"/>
      <c r="B1" s="430" t="s">
        <v>55</v>
      </c>
      <c r="C1" s="430"/>
      <c r="D1" s="430"/>
      <c r="E1" s="54"/>
      <c r="F1" s="54"/>
      <c r="G1" s="54"/>
      <c r="H1" s="54"/>
      <c r="I1" s="54"/>
      <c r="J1" s="54"/>
      <c r="K1" s="54"/>
      <c r="L1" s="54"/>
      <c r="M1" s="54"/>
      <c r="N1" s="54"/>
      <c r="O1" s="54"/>
      <c r="P1" s="54"/>
      <c r="Q1" s="54"/>
      <c r="R1" s="54"/>
      <c r="S1" s="54"/>
      <c r="T1" s="54"/>
      <c r="U1" s="54"/>
      <c r="V1" s="54"/>
      <c r="W1" s="54"/>
      <c r="X1" s="54"/>
      <c r="Y1" s="54"/>
      <c r="Z1" s="54"/>
      <c r="AA1" s="54"/>
      <c r="AB1" s="54"/>
      <c r="AC1" s="54"/>
      <c r="AD1" s="54"/>
      <c r="AE1" s="54"/>
    </row>
    <row r="2" spans="1:37" x14ac:dyDescent="0.3">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row>
    <row r="3" spans="1:37" ht="25.2" x14ac:dyDescent="0.3">
      <c r="A3" s="54"/>
      <c r="B3" s="3"/>
      <c r="C3" s="4" t="s">
        <v>52</v>
      </c>
      <c r="D3" s="4" t="s">
        <v>4</v>
      </c>
      <c r="E3" s="54"/>
      <c r="F3" s="54"/>
      <c r="G3" s="54"/>
      <c r="H3" s="54"/>
      <c r="I3" s="54"/>
      <c r="J3" s="54"/>
      <c r="K3" s="54"/>
      <c r="L3" s="54"/>
      <c r="M3" s="54"/>
      <c r="N3" s="54"/>
      <c r="O3" s="54"/>
      <c r="P3" s="54"/>
      <c r="Q3" s="54"/>
      <c r="R3" s="54"/>
      <c r="S3" s="54"/>
      <c r="T3" s="54"/>
      <c r="U3" s="54"/>
      <c r="V3" s="54"/>
      <c r="W3" s="54"/>
      <c r="X3" s="54"/>
      <c r="Y3" s="54"/>
      <c r="Z3" s="54"/>
      <c r="AA3" s="54"/>
      <c r="AB3" s="54"/>
      <c r="AC3" s="54"/>
      <c r="AD3" s="54"/>
      <c r="AE3" s="54"/>
    </row>
    <row r="4" spans="1:37" ht="50.4" x14ac:dyDescent="0.3">
      <c r="A4" s="54"/>
      <c r="B4" s="5" t="s">
        <v>51</v>
      </c>
      <c r="C4" s="6" t="s">
        <v>97</v>
      </c>
      <c r="D4" s="7">
        <v>0.2</v>
      </c>
      <c r="E4" s="54"/>
      <c r="F4" s="54"/>
      <c r="G4" s="54"/>
      <c r="H4" s="54"/>
      <c r="I4" s="54"/>
      <c r="J4" s="54"/>
      <c r="K4" s="54"/>
      <c r="L4" s="54"/>
      <c r="M4" s="54"/>
      <c r="N4" s="54"/>
      <c r="O4" s="54"/>
      <c r="P4" s="54"/>
      <c r="Q4" s="54"/>
      <c r="R4" s="54"/>
      <c r="S4" s="54"/>
      <c r="T4" s="54"/>
      <c r="U4" s="54"/>
      <c r="V4" s="54"/>
      <c r="W4" s="54"/>
      <c r="X4" s="54"/>
      <c r="Y4" s="54"/>
      <c r="Z4" s="54"/>
      <c r="AA4" s="54"/>
      <c r="AB4" s="54"/>
      <c r="AC4" s="54"/>
      <c r="AD4" s="54"/>
      <c r="AE4" s="54"/>
    </row>
    <row r="5" spans="1:37" ht="50.4" x14ac:dyDescent="0.3">
      <c r="A5" s="54"/>
      <c r="B5" s="8" t="s">
        <v>53</v>
      </c>
      <c r="C5" s="9" t="s">
        <v>98</v>
      </c>
      <c r="D5" s="10">
        <v>0.4</v>
      </c>
      <c r="E5" s="54"/>
      <c r="F5" s="54"/>
      <c r="G5" s="54"/>
      <c r="H5" s="54"/>
      <c r="I5" s="54"/>
      <c r="J5" s="54"/>
      <c r="K5" s="54"/>
      <c r="L5" s="54"/>
      <c r="M5" s="54"/>
      <c r="N5" s="54"/>
      <c r="O5" s="54"/>
      <c r="P5" s="54"/>
      <c r="Q5" s="54"/>
      <c r="R5" s="54"/>
      <c r="S5" s="54"/>
      <c r="T5" s="54"/>
      <c r="U5" s="54"/>
      <c r="V5" s="54"/>
      <c r="W5" s="54"/>
      <c r="X5" s="54"/>
      <c r="Y5" s="54"/>
      <c r="Z5" s="54"/>
      <c r="AA5" s="54"/>
      <c r="AB5" s="54"/>
      <c r="AC5" s="54"/>
      <c r="AD5" s="54"/>
      <c r="AE5" s="54"/>
    </row>
    <row r="6" spans="1:37" ht="50.4" x14ac:dyDescent="0.3">
      <c r="A6" s="54"/>
      <c r="B6" s="11" t="s">
        <v>102</v>
      </c>
      <c r="C6" s="9" t="s">
        <v>99</v>
      </c>
      <c r="D6" s="10">
        <v>0.6</v>
      </c>
      <c r="E6" s="54"/>
      <c r="F6" s="54"/>
      <c r="G6" s="54"/>
      <c r="H6" s="54"/>
      <c r="I6" s="54"/>
      <c r="J6" s="54"/>
      <c r="K6" s="54"/>
      <c r="L6" s="54"/>
      <c r="M6" s="54"/>
      <c r="N6" s="54"/>
      <c r="O6" s="54"/>
      <c r="P6" s="54"/>
      <c r="Q6" s="54"/>
      <c r="R6" s="54"/>
      <c r="S6" s="54"/>
      <c r="T6" s="54"/>
      <c r="U6" s="54"/>
      <c r="V6" s="54"/>
      <c r="W6" s="54"/>
      <c r="X6" s="54"/>
      <c r="Y6" s="54"/>
      <c r="Z6" s="54"/>
      <c r="AA6" s="54"/>
      <c r="AB6" s="54"/>
      <c r="AC6" s="54"/>
      <c r="AD6" s="54"/>
      <c r="AE6" s="54"/>
    </row>
    <row r="7" spans="1:37" ht="75.599999999999994" x14ac:dyDescent="0.3">
      <c r="A7" s="54"/>
      <c r="B7" s="12" t="s">
        <v>6</v>
      </c>
      <c r="C7" s="9" t="s">
        <v>100</v>
      </c>
      <c r="D7" s="10">
        <v>0.8</v>
      </c>
      <c r="E7" s="54"/>
      <c r="F7" s="54"/>
      <c r="G7" s="54"/>
      <c r="H7" s="54"/>
      <c r="I7" s="54"/>
      <c r="J7" s="54"/>
      <c r="K7" s="54"/>
      <c r="L7" s="54"/>
      <c r="M7" s="54"/>
      <c r="N7" s="54"/>
      <c r="O7" s="54"/>
      <c r="P7" s="54"/>
      <c r="Q7" s="54"/>
      <c r="R7" s="54"/>
      <c r="S7" s="54"/>
      <c r="T7" s="54"/>
      <c r="U7" s="54"/>
      <c r="V7" s="54"/>
      <c r="W7" s="54"/>
      <c r="X7" s="54"/>
      <c r="Y7" s="54"/>
      <c r="Z7" s="54"/>
      <c r="AA7" s="54"/>
      <c r="AB7" s="54"/>
      <c r="AC7" s="54"/>
      <c r="AD7" s="54"/>
      <c r="AE7" s="54"/>
    </row>
    <row r="8" spans="1:37" ht="50.4" x14ac:dyDescent="0.3">
      <c r="A8" s="54"/>
      <c r="B8" s="13" t="s">
        <v>54</v>
      </c>
      <c r="C8" s="9" t="s">
        <v>101</v>
      </c>
      <c r="D8" s="10">
        <v>1</v>
      </c>
      <c r="E8" s="54"/>
      <c r="F8" s="54"/>
      <c r="G8" s="54"/>
      <c r="H8" s="54"/>
      <c r="I8" s="54"/>
      <c r="J8" s="54"/>
      <c r="K8" s="54"/>
      <c r="L8" s="54"/>
      <c r="M8" s="54"/>
      <c r="N8" s="54"/>
      <c r="O8" s="54"/>
      <c r="P8" s="54"/>
      <c r="Q8" s="54"/>
      <c r="R8" s="54"/>
      <c r="S8" s="54"/>
      <c r="T8" s="54"/>
      <c r="U8" s="54"/>
      <c r="V8" s="54"/>
      <c r="W8" s="54"/>
      <c r="X8" s="54"/>
      <c r="Y8" s="54"/>
      <c r="Z8" s="54"/>
      <c r="AA8" s="54"/>
      <c r="AB8" s="54"/>
      <c r="AC8" s="54"/>
      <c r="AD8" s="54"/>
      <c r="AE8" s="54"/>
    </row>
    <row r="9" spans="1:37" x14ac:dyDescent="0.3">
      <c r="A9" s="54"/>
      <c r="B9" s="76"/>
      <c r="C9" s="76"/>
      <c r="D9" s="76"/>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row>
    <row r="10" spans="1:37" x14ac:dyDescent="0.3">
      <c r="A10" s="54"/>
      <c r="B10" s="77"/>
      <c r="C10" s="76"/>
      <c r="D10" s="76"/>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row>
    <row r="11" spans="1:37" x14ac:dyDescent="0.3">
      <c r="A11" s="54"/>
      <c r="B11" s="76"/>
      <c r="C11" s="76"/>
      <c r="D11" s="76"/>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row>
    <row r="12" spans="1:37" x14ac:dyDescent="0.3">
      <c r="A12" s="54"/>
      <c r="B12" s="76"/>
      <c r="C12" s="76"/>
      <c r="D12" s="76"/>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row>
    <row r="13" spans="1:37" x14ac:dyDescent="0.3">
      <c r="A13" s="54"/>
      <c r="B13" s="76"/>
      <c r="C13" s="76"/>
      <c r="D13" s="76"/>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row>
    <row r="14" spans="1:37" x14ac:dyDescent="0.3">
      <c r="A14" s="54"/>
      <c r="B14" s="76"/>
      <c r="C14" s="76"/>
      <c r="D14" s="76"/>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row>
    <row r="15" spans="1:37" x14ac:dyDescent="0.3">
      <c r="A15" s="54"/>
      <c r="B15" s="76"/>
      <c r="C15" s="76"/>
      <c r="D15" s="76"/>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row>
    <row r="16" spans="1:37" x14ac:dyDescent="0.3">
      <c r="A16" s="54"/>
      <c r="B16" s="76"/>
      <c r="C16" s="76"/>
      <c r="D16" s="76"/>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row>
    <row r="17" spans="1:37" x14ac:dyDescent="0.3">
      <c r="A17" s="54"/>
      <c r="B17" s="76"/>
      <c r="C17" s="76"/>
      <c r="D17" s="76"/>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row>
    <row r="18" spans="1:37" x14ac:dyDescent="0.3">
      <c r="A18" s="54"/>
      <c r="B18" s="76"/>
      <c r="C18" s="76"/>
      <c r="D18" s="76"/>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row>
    <row r="19" spans="1:37" x14ac:dyDescent="0.3">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row>
    <row r="20" spans="1:37" x14ac:dyDescent="0.3">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row>
    <row r="21" spans="1:37" x14ac:dyDescent="0.3">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row>
    <row r="22" spans="1:37" x14ac:dyDescent="0.3">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row>
    <row r="23" spans="1:37" x14ac:dyDescent="0.3">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row>
    <row r="24" spans="1:37" x14ac:dyDescent="0.3">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row>
    <row r="25" spans="1:37" x14ac:dyDescent="0.3">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row>
    <row r="26" spans="1:37" x14ac:dyDescent="0.3">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row>
    <row r="27" spans="1:37" x14ac:dyDescent="0.3">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row>
    <row r="28" spans="1:37" x14ac:dyDescent="0.3">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row>
    <row r="29" spans="1:37" x14ac:dyDescent="0.3">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row>
    <row r="30" spans="1:37" x14ac:dyDescent="0.3">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row>
    <row r="31" spans="1:37" x14ac:dyDescent="0.3">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row>
    <row r="32" spans="1:37" x14ac:dyDescent="0.3">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row>
    <row r="33" spans="1:31" x14ac:dyDescent="0.3">
      <c r="A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row>
    <row r="34" spans="1:31" x14ac:dyDescent="0.3">
      <c r="A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row>
    <row r="35" spans="1:31" x14ac:dyDescent="0.3">
      <c r="A35" s="54"/>
    </row>
    <row r="36" spans="1:31" x14ac:dyDescent="0.3">
      <c r="A36" s="54"/>
    </row>
    <row r="37" spans="1:31" x14ac:dyDescent="0.3">
      <c r="A37" s="54"/>
    </row>
    <row r="38" spans="1:31" x14ac:dyDescent="0.3">
      <c r="A38" s="54"/>
    </row>
    <row r="39" spans="1:31" x14ac:dyDescent="0.3">
      <c r="A39" s="54"/>
    </row>
    <row r="40" spans="1:31" x14ac:dyDescent="0.3">
      <c r="A40" s="54"/>
    </row>
    <row r="41" spans="1:31" x14ac:dyDescent="0.3">
      <c r="A41" s="54"/>
    </row>
    <row r="42" spans="1:31" x14ac:dyDescent="0.3">
      <c r="A42" s="54"/>
    </row>
    <row r="43" spans="1:31" x14ac:dyDescent="0.3">
      <c r="A43" s="54"/>
    </row>
    <row r="44" spans="1:31" x14ac:dyDescent="0.3">
      <c r="A44" s="54"/>
    </row>
    <row r="45" spans="1:31" x14ac:dyDescent="0.3">
      <c r="A45" s="54"/>
    </row>
    <row r="46" spans="1:31" x14ac:dyDescent="0.3">
      <c r="A46" s="54"/>
    </row>
    <row r="47" spans="1:31" x14ac:dyDescent="0.3">
      <c r="A47" s="54"/>
    </row>
    <row r="48" spans="1:31" x14ac:dyDescent="0.3">
      <c r="A48" s="54"/>
    </row>
    <row r="49" spans="1:1" x14ac:dyDescent="0.3">
      <c r="A49" s="54"/>
    </row>
    <row r="50" spans="1:1" x14ac:dyDescent="0.3">
      <c r="A50" s="54"/>
    </row>
    <row r="51" spans="1:1" x14ac:dyDescent="0.3">
      <c r="A51" s="54"/>
    </row>
    <row r="52" spans="1:1" x14ac:dyDescent="0.3">
      <c r="A52" s="54"/>
    </row>
    <row r="53" spans="1:1" x14ac:dyDescent="0.3">
      <c r="A53" s="54"/>
    </row>
    <row r="54" spans="1:1" x14ac:dyDescent="0.3">
      <c r="A54" s="54"/>
    </row>
    <row r="55" spans="1:1" x14ac:dyDescent="0.3">
      <c r="A55" s="5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14"/>
    <col min="2" max="2" width="40.44140625" style="14" customWidth="1"/>
    <col min="3" max="3" width="74.88671875" style="14" customWidth="1"/>
    <col min="4" max="4" width="135" style="14" bestFit="1" customWidth="1"/>
    <col min="5" max="5" width="137.88671875" style="14" customWidth="1"/>
    <col min="6" max="16384" width="11.44140625" style="14"/>
  </cols>
  <sheetData>
    <row r="1" spans="1:21" ht="32.4" x14ac:dyDescent="0.3">
      <c r="A1" s="76"/>
      <c r="B1" s="431" t="s">
        <v>62</v>
      </c>
      <c r="C1" s="431"/>
      <c r="D1" s="431"/>
      <c r="E1" s="76"/>
      <c r="F1" s="76"/>
      <c r="G1" s="76"/>
      <c r="H1" s="76"/>
      <c r="I1" s="76"/>
      <c r="J1" s="76"/>
      <c r="K1" s="76"/>
      <c r="L1" s="76"/>
      <c r="M1" s="76"/>
      <c r="N1" s="76"/>
      <c r="O1" s="76"/>
      <c r="P1" s="76"/>
      <c r="Q1" s="76"/>
      <c r="R1" s="76"/>
      <c r="S1" s="76"/>
      <c r="T1" s="76"/>
      <c r="U1" s="76"/>
    </row>
    <row r="2" spans="1:21" x14ac:dyDescent="0.3">
      <c r="A2" s="76"/>
      <c r="B2" s="76"/>
      <c r="C2" s="76"/>
      <c r="D2" s="76"/>
      <c r="E2" s="76"/>
      <c r="F2" s="76"/>
      <c r="G2" s="76"/>
      <c r="H2" s="76"/>
      <c r="I2" s="76"/>
      <c r="J2" s="76"/>
      <c r="K2" s="76"/>
      <c r="L2" s="76"/>
      <c r="M2" s="76"/>
      <c r="N2" s="76"/>
      <c r="O2" s="76"/>
      <c r="P2" s="76"/>
      <c r="Q2" s="76"/>
      <c r="R2" s="76"/>
      <c r="S2" s="76"/>
      <c r="T2" s="76"/>
      <c r="U2" s="76"/>
    </row>
    <row r="3" spans="1:21" ht="30" x14ac:dyDescent="0.3">
      <c r="A3" s="76"/>
      <c r="B3" s="75"/>
      <c r="C3" s="94" t="s">
        <v>56</v>
      </c>
      <c r="D3" s="94" t="s">
        <v>57</v>
      </c>
      <c r="E3" s="76"/>
      <c r="F3" s="76"/>
      <c r="G3" s="76"/>
      <c r="H3" s="76"/>
      <c r="I3" s="76"/>
      <c r="J3" s="76"/>
      <c r="K3" s="76"/>
      <c r="L3" s="76"/>
      <c r="M3" s="76"/>
      <c r="N3" s="76"/>
      <c r="O3" s="76"/>
      <c r="P3" s="76"/>
      <c r="Q3" s="76"/>
      <c r="R3" s="76"/>
      <c r="S3" s="76"/>
      <c r="T3" s="76"/>
      <c r="U3" s="76"/>
    </row>
    <row r="4" spans="1:21" ht="32.4" x14ac:dyDescent="0.3">
      <c r="A4" s="76" t="s">
        <v>82</v>
      </c>
      <c r="B4" s="95" t="s">
        <v>96</v>
      </c>
      <c r="C4" s="96" t="s">
        <v>204</v>
      </c>
      <c r="D4" s="97" t="s">
        <v>92</v>
      </c>
      <c r="E4" s="76"/>
      <c r="F4" s="76"/>
      <c r="G4" s="76"/>
      <c r="H4" s="76"/>
      <c r="I4" s="76"/>
      <c r="J4" s="76"/>
      <c r="K4" s="76"/>
      <c r="L4" s="76"/>
      <c r="M4" s="76"/>
      <c r="N4" s="76"/>
      <c r="O4" s="76"/>
      <c r="P4" s="76"/>
      <c r="Q4" s="76"/>
      <c r="R4" s="76"/>
      <c r="S4" s="76"/>
      <c r="T4" s="76"/>
      <c r="U4" s="76"/>
    </row>
    <row r="5" spans="1:21" ht="64.8" x14ac:dyDescent="0.3">
      <c r="A5" s="76" t="s">
        <v>83</v>
      </c>
      <c r="B5" s="98" t="s">
        <v>58</v>
      </c>
      <c r="C5" s="99" t="s">
        <v>205</v>
      </c>
      <c r="D5" s="100" t="s">
        <v>93</v>
      </c>
      <c r="E5" s="76"/>
      <c r="F5" s="76"/>
      <c r="G5" s="76"/>
      <c r="H5" s="76"/>
      <c r="I5" s="76"/>
      <c r="J5" s="76"/>
      <c r="K5" s="76"/>
      <c r="L5" s="76"/>
      <c r="M5" s="76"/>
      <c r="N5" s="76"/>
      <c r="O5" s="76"/>
      <c r="P5" s="76"/>
      <c r="Q5" s="76"/>
      <c r="R5" s="76"/>
      <c r="S5" s="76"/>
      <c r="T5" s="76"/>
      <c r="U5" s="76"/>
    </row>
    <row r="6" spans="1:21" ht="64.8" x14ac:dyDescent="0.3">
      <c r="A6" s="76" t="s">
        <v>80</v>
      </c>
      <c r="B6" s="101" t="s">
        <v>59</v>
      </c>
      <c r="C6" s="99" t="s">
        <v>209</v>
      </c>
      <c r="D6" s="100" t="s">
        <v>95</v>
      </c>
      <c r="E6" s="76"/>
      <c r="F6" s="76"/>
      <c r="G6" s="76"/>
      <c r="H6" s="76"/>
      <c r="I6" s="76"/>
      <c r="J6" s="76"/>
      <c r="K6" s="76"/>
      <c r="L6" s="76"/>
      <c r="M6" s="76"/>
      <c r="N6" s="76"/>
      <c r="O6" s="76"/>
      <c r="P6" s="76"/>
      <c r="Q6" s="76"/>
      <c r="R6" s="76"/>
      <c r="S6" s="76"/>
      <c r="T6" s="76"/>
      <c r="U6" s="76"/>
    </row>
    <row r="7" spans="1:21" ht="97.2" x14ac:dyDescent="0.3">
      <c r="A7" s="76" t="s">
        <v>7</v>
      </c>
      <c r="B7" s="102" t="s">
        <v>60</v>
      </c>
      <c r="C7" s="99" t="s">
        <v>210</v>
      </c>
      <c r="D7" s="100" t="s">
        <v>94</v>
      </c>
      <c r="E7" s="76"/>
      <c r="F7" s="76"/>
      <c r="G7" s="76"/>
      <c r="H7" s="76"/>
      <c r="I7" s="76"/>
      <c r="J7" s="76"/>
      <c r="K7" s="76"/>
      <c r="L7" s="76"/>
      <c r="M7" s="76"/>
      <c r="N7" s="76"/>
      <c r="O7" s="76"/>
      <c r="P7" s="76"/>
      <c r="Q7" s="76"/>
      <c r="R7" s="76"/>
      <c r="S7" s="76"/>
      <c r="T7" s="76"/>
      <c r="U7" s="76"/>
    </row>
    <row r="8" spans="1:21" ht="64.8" x14ac:dyDescent="0.3">
      <c r="A8" s="76" t="s">
        <v>84</v>
      </c>
      <c r="B8" s="103" t="s">
        <v>61</v>
      </c>
      <c r="C8" s="99" t="s">
        <v>206</v>
      </c>
      <c r="D8" s="100" t="s">
        <v>113</v>
      </c>
      <c r="E8" s="76"/>
      <c r="F8" s="76"/>
      <c r="G8" s="76"/>
      <c r="H8" s="76"/>
      <c r="I8" s="76"/>
      <c r="J8" s="76"/>
      <c r="K8" s="76"/>
      <c r="L8" s="76"/>
      <c r="M8" s="76"/>
      <c r="N8" s="76"/>
      <c r="O8" s="76"/>
      <c r="P8" s="76"/>
      <c r="Q8" s="76"/>
      <c r="R8" s="76"/>
      <c r="S8" s="76"/>
      <c r="T8" s="76"/>
      <c r="U8" s="76"/>
    </row>
    <row r="9" spans="1:21" s="15" customFormat="1" ht="20.399999999999999" x14ac:dyDescent="0.3">
      <c r="A9" s="74"/>
      <c r="B9" s="74"/>
      <c r="C9" s="104"/>
      <c r="D9" s="104"/>
      <c r="E9" s="74"/>
      <c r="F9" s="74"/>
      <c r="G9" s="74"/>
      <c r="H9" s="74"/>
      <c r="I9" s="74"/>
      <c r="J9" s="74"/>
      <c r="K9" s="74"/>
      <c r="L9" s="74"/>
      <c r="M9" s="74"/>
      <c r="N9" s="74"/>
      <c r="O9" s="74"/>
      <c r="P9" s="74"/>
      <c r="Q9" s="74"/>
      <c r="R9" s="74"/>
      <c r="S9" s="74"/>
      <c r="T9" s="74"/>
      <c r="U9" s="74"/>
    </row>
    <row r="10" spans="1:21" s="15" customFormat="1" x14ac:dyDescent="0.3">
      <c r="A10" s="74"/>
      <c r="B10" s="105"/>
      <c r="C10" s="105"/>
      <c r="D10" s="105"/>
      <c r="E10" s="74"/>
      <c r="F10" s="74"/>
      <c r="G10" s="74"/>
      <c r="H10" s="74"/>
      <c r="I10" s="74"/>
      <c r="J10" s="74"/>
      <c r="K10" s="74"/>
      <c r="L10" s="74"/>
      <c r="M10" s="74"/>
      <c r="N10" s="74"/>
      <c r="O10" s="74"/>
      <c r="P10" s="74"/>
      <c r="Q10" s="74"/>
      <c r="R10" s="74"/>
      <c r="S10" s="74"/>
      <c r="T10" s="74"/>
      <c r="U10" s="74"/>
    </row>
    <row r="11" spans="1:21" s="15" customFormat="1" x14ac:dyDescent="0.3">
      <c r="A11" s="74"/>
      <c r="B11" s="74" t="s">
        <v>90</v>
      </c>
      <c r="C11" s="74" t="s">
        <v>208</v>
      </c>
      <c r="D11" s="74" t="s">
        <v>142</v>
      </c>
      <c r="E11" s="74"/>
      <c r="F11" s="74"/>
      <c r="G11" s="74"/>
      <c r="H11" s="74"/>
      <c r="I11" s="74"/>
      <c r="J11" s="74"/>
      <c r="K11" s="74"/>
      <c r="L11" s="74"/>
      <c r="M11" s="74"/>
      <c r="N11" s="74"/>
      <c r="O11" s="74"/>
      <c r="P11" s="74"/>
      <c r="Q11" s="74"/>
      <c r="R11" s="74"/>
      <c r="S11" s="74"/>
      <c r="T11" s="74"/>
      <c r="U11" s="74"/>
    </row>
    <row r="12" spans="1:21" s="15" customFormat="1" x14ac:dyDescent="0.3">
      <c r="A12" s="74"/>
      <c r="B12" s="74" t="s">
        <v>88</v>
      </c>
      <c r="C12" s="74" t="s">
        <v>207</v>
      </c>
      <c r="D12" s="74" t="s">
        <v>143</v>
      </c>
      <c r="E12" s="74"/>
      <c r="F12" s="74"/>
      <c r="G12" s="74"/>
      <c r="H12" s="74"/>
      <c r="I12" s="74"/>
      <c r="J12" s="74"/>
      <c r="K12" s="74"/>
      <c r="L12" s="74"/>
      <c r="M12" s="74"/>
      <c r="N12" s="74"/>
      <c r="O12" s="74"/>
      <c r="P12" s="74"/>
      <c r="Q12" s="74"/>
      <c r="R12" s="74"/>
      <c r="S12" s="74"/>
      <c r="T12" s="74"/>
      <c r="U12" s="74"/>
    </row>
    <row r="13" spans="1:21" s="15" customFormat="1" x14ac:dyDescent="0.3">
      <c r="A13" s="74"/>
      <c r="B13" s="74"/>
      <c r="C13" s="74" t="s">
        <v>211</v>
      </c>
      <c r="D13" s="74" t="s">
        <v>144</v>
      </c>
      <c r="E13" s="74"/>
      <c r="F13" s="74"/>
      <c r="G13" s="74"/>
      <c r="H13" s="74"/>
      <c r="I13" s="74"/>
      <c r="J13" s="74"/>
      <c r="K13" s="74"/>
      <c r="L13" s="74"/>
      <c r="M13" s="74"/>
      <c r="N13" s="74"/>
      <c r="O13" s="74"/>
      <c r="P13" s="74"/>
      <c r="Q13" s="74"/>
      <c r="R13" s="74"/>
      <c r="S13" s="74"/>
      <c r="T13" s="74"/>
      <c r="U13" s="74"/>
    </row>
    <row r="14" spans="1:21" s="15" customFormat="1" x14ac:dyDescent="0.3">
      <c r="A14" s="74"/>
      <c r="B14" s="74"/>
      <c r="C14" s="74" t="s">
        <v>213</v>
      </c>
      <c r="D14" s="74" t="s">
        <v>145</v>
      </c>
      <c r="E14" s="74"/>
      <c r="F14" s="74"/>
      <c r="G14" s="74"/>
      <c r="H14" s="74"/>
      <c r="I14" s="74"/>
      <c r="J14" s="74"/>
      <c r="K14" s="74"/>
      <c r="L14" s="74"/>
      <c r="M14" s="74"/>
      <c r="N14" s="74"/>
      <c r="O14" s="74"/>
      <c r="P14" s="74"/>
      <c r="Q14" s="74"/>
      <c r="R14" s="74"/>
      <c r="S14" s="74"/>
      <c r="T14" s="74"/>
      <c r="U14" s="74"/>
    </row>
    <row r="15" spans="1:21" s="15" customFormat="1" x14ac:dyDescent="0.3">
      <c r="A15" s="74"/>
      <c r="B15" s="74"/>
      <c r="C15" s="74" t="s">
        <v>212</v>
      </c>
      <c r="D15" s="74" t="s">
        <v>146</v>
      </c>
      <c r="E15" s="74"/>
      <c r="F15" s="74"/>
      <c r="G15" s="74"/>
      <c r="H15" s="74"/>
      <c r="I15" s="74"/>
      <c r="J15" s="74"/>
      <c r="K15" s="74"/>
      <c r="L15" s="74"/>
      <c r="M15" s="74"/>
      <c r="N15" s="74"/>
      <c r="O15" s="74"/>
      <c r="P15" s="74"/>
      <c r="Q15" s="74"/>
      <c r="R15" s="74"/>
      <c r="S15" s="74"/>
      <c r="T15" s="74"/>
      <c r="U15" s="74"/>
    </row>
    <row r="16" spans="1:21" s="15" customFormat="1" x14ac:dyDescent="0.3">
      <c r="A16" s="74"/>
      <c r="B16" s="74"/>
      <c r="C16" s="74"/>
      <c r="D16" s="74"/>
      <c r="E16" s="74"/>
      <c r="F16" s="74"/>
      <c r="G16" s="74"/>
      <c r="H16" s="74"/>
      <c r="I16" s="74"/>
      <c r="J16" s="74"/>
      <c r="K16" s="74"/>
      <c r="L16" s="74"/>
      <c r="M16" s="74"/>
      <c r="N16" s="74"/>
      <c r="O16" s="74"/>
    </row>
    <row r="17" spans="1:15" s="15" customFormat="1" x14ac:dyDescent="0.3">
      <c r="A17" s="74"/>
      <c r="B17" s="74"/>
      <c r="C17" s="74"/>
      <c r="D17" s="74"/>
      <c r="E17" s="74"/>
      <c r="F17" s="74"/>
      <c r="G17" s="74"/>
      <c r="H17" s="74"/>
      <c r="I17" s="74"/>
      <c r="J17" s="74"/>
      <c r="K17" s="74"/>
      <c r="L17" s="74"/>
      <c r="M17" s="74"/>
      <c r="N17" s="74"/>
      <c r="O17" s="74"/>
    </row>
    <row r="18" spans="1:15" s="15" customFormat="1" x14ac:dyDescent="0.3">
      <c r="A18" s="74"/>
      <c r="B18" s="74"/>
      <c r="C18" s="74"/>
      <c r="D18" s="74"/>
      <c r="E18" s="74"/>
      <c r="F18" s="74"/>
      <c r="G18" s="74"/>
      <c r="H18" s="74"/>
      <c r="I18" s="74"/>
      <c r="J18" s="74"/>
      <c r="K18" s="74"/>
      <c r="L18" s="74"/>
      <c r="M18" s="74"/>
      <c r="N18" s="74"/>
      <c r="O18" s="74"/>
    </row>
    <row r="19" spans="1:15" s="15" customFormat="1" x14ac:dyDescent="0.3">
      <c r="A19" s="74"/>
      <c r="B19" s="74"/>
      <c r="C19" s="74"/>
      <c r="D19" s="74"/>
      <c r="E19" s="74"/>
      <c r="F19" s="74"/>
      <c r="G19" s="74"/>
      <c r="H19" s="74"/>
      <c r="I19" s="74"/>
      <c r="J19" s="74"/>
      <c r="K19" s="74"/>
      <c r="L19" s="74"/>
      <c r="M19" s="74"/>
      <c r="N19" s="74"/>
      <c r="O19" s="74"/>
    </row>
    <row r="20" spans="1:15" s="15" customFormat="1" x14ac:dyDescent="0.3">
      <c r="A20" s="74"/>
      <c r="B20" s="74"/>
      <c r="C20" s="74"/>
      <c r="D20" s="74"/>
      <c r="E20" s="74"/>
      <c r="F20" s="74"/>
      <c r="G20" s="74"/>
      <c r="H20" s="74"/>
      <c r="I20" s="74"/>
      <c r="J20" s="74"/>
      <c r="K20" s="74"/>
      <c r="L20" s="74"/>
      <c r="M20" s="74"/>
      <c r="N20" s="74"/>
      <c r="O20" s="74"/>
    </row>
    <row r="21" spans="1:15" s="15" customFormat="1" x14ac:dyDescent="0.3">
      <c r="A21" s="74"/>
      <c r="B21" s="74"/>
      <c r="C21" s="74"/>
      <c r="D21" s="74"/>
      <c r="E21" s="74"/>
      <c r="F21" s="74"/>
      <c r="G21" s="74"/>
      <c r="H21" s="74"/>
      <c r="I21" s="74"/>
      <c r="J21" s="74"/>
      <c r="K21" s="74"/>
      <c r="L21" s="74"/>
      <c r="M21" s="74"/>
      <c r="N21" s="74"/>
      <c r="O21" s="74"/>
    </row>
    <row r="22" spans="1:15" s="15" customFormat="1" ht="20.399999999999999" x14ac:dyDescent="0.3">
      <c r="A22" s="74"/>
      <c r="B22" s="74"/>
      <c r="C22" s="104"/>
      <c r="D22" s="104"/>
      <c r="E22" s="74"/>
      <c r="F22" s="74"/>
      <c r="G22" s="74"/>
      <c r="H22" s="74"/>
      <c r="I22" s="74"/>
      <c r="J22" s="74"/>
      <c r="K22" s="74"/>
      <c r="L22" s="74"/>
      <c r="M22" s="74"/>
      <c r="N22" s="74"/>
      <c r="O22" s="74"/>
    </row>
    <row r="23" spans="1:15" s="15" customFormat="1" ht="20.399999999999999" x14ac:dyDescent="0.3">
      <c r="A23" s="74"/>
      <c r="B23" s="74"/>
      <c r="C23" s="104"/>
      <c r="D23" s="104"/>
      <c r="E23" s="74"/>
      <c r="F23" s="74"/>
      <c r="G23" s="74"/>
      <c r="H23" s="74"/>
      <c r="I23" s="74"/>
      <c r="J23" s="74"/>
      <c r="K23" s="74"/>
      <c r="L23" s="74"/>
      <c r="M23" s="74"/>
      <c r="N23" s="74"/>
      <c r="O23" s="74"/>
    </row>
    <row r="24" spans="1:15" s="15" customFormat="1" ht="20.399999999999999" x14ac:dyDescent="0.3">
      <c r="A24" s="74"/>
      <c r="B24" s="74"/>
      <c r="C24" s="104"/>
      <c r="D24" s="104"/>
      <c r="E24" s="74"/>
      <c r="F24" s="74"/>
      <c r="G24" s="74"/>
      <c r="H24" s="74"/>
      <c r="I24" s="74"/>
      <c r="J24" s="74"/>
      <c r="K24" s="74"/>
      <c r="L24" s="74"/>
      <c r="M24" s="74"/>
      <c r="N24" s="74"/>
      <c r="O24" s="74"/>
    </row>
    <row r="25" spans="1:15" s="15" customFormat="1" ht="20.399999999999999" x14ac:dyDescent="0.3">
      <c r="A25" s="74"/>
      <c r="B25" s="74"/>
      <c r="C25" s="104"/>
      <c r="D25" s="104"/>
      <c r="E25" s="74"/>
      <c r="F25" s="74"/>
      <c r="G25" s="74"/>
      <c r="H25" s="74"/>
      <c r="I25" s="74"/>
      <c r="J25" s="74"/>
      <c r="K25" s="74"/>
      <c r="L25" s="74"/>
      <c r="M25" s="74"/>
      <c r="N25" s="74"/>
      <c r="O25" s="74"/>
    </row>
    <row r="26" spans="1:15" s="15" customFormat="1" ht="20.399999999999999" x14ac:dyDescent="0.3">
      <c r="A26" s="74"/>
      <c r="B26" s="74"/>
      <c r="C26" s="104"/>
      <c r="D26" s="104"/>
      <c r="E26" s="74"/>
      <c r="F26" s="74"/>
      <c r="G26" s="74"/>
      <c r="H26" s="74"/>
      <c r="I26" s="74"/>
      <c r="J26" s="74"/>
      <c r="K26" s="74"/>
      <c r="L26" s="74"/>
      <c r="M26" s="74"/>
      <c r="N26" s="74"/>
      <c r="O26" s="74"/>
    </row>
    <row r="27" spans="1:15" s="15" customFormat="1" ht="20.399999999999999" x14ac:dyDescent="0.3">
      <c r="A27" s="74"/>
      <c r="B27" s="74"/>
      <c r="C27" s="104"/>
      <c r="D27" s="104"/>
      <c r="E27" s="74"/>
      <c r="F27" s="74"/>
      <c r="G27" s="74"/>
      <c r="H27" s="74"/>
      <c r="I27" s="74"/>
      <c r="J27" s="74"/>
      <c r="K27" s="74"/>
      <c r="L27" s="74"/>
      <c r="M27" s="74"/>
      <c r="N27" s="74"/>
      <c r="O27" s="74"/>
    </row>
    <row r="28" spans="1:15" s="15" customFormat="1" ht="20.399999999999999" x14ac:dyDescent="0.3">
      <c r="A28" s="74"/>
      <c r="B28" s="74"/>
      <c r="C28" s="104"/>
      <c r="D28" s="104"/>
      <c r="E28" s="74"/>
      <c r="F28" s="74"/>
      <c r="G28" s="74"/>
      <c r="H28" s="74"/>
      <c r="I28" s="74"/>
      <c r="J28" s="74"/>
      <c r="K28" s="74"/>
      <c r="L28" s="74"/>
      <c r="M28" s="74"/>
      <c r="N28" s="74"/>
      <c r="O28" s="74"/>
    </row>
    <row r="29" spans="1:15" s="15" customFormat="1" ht="20.399999999999999" x14ac:dyDescent="0.3">
      <c r="A29" s="74"/>
      <c r="B29" s="74"/>
      <c r="C29" s="104"/>
      <c r="D29" s="104"/>
      <c r="E29" s="74"/>
      <c r="F29" s="74"/>
      <c r="G29" s="74"/>
      <c r="H29" s="74"/>
      <c r="I29" s="74"/>
      <c r="J29" s="74"/>
      <c r="K29" s="74"/>
      <c r="L29" s="74"/>
      <c r="M29" s="74"/>
      <c r="N29" s="74"/>
      <c r="O29" s="74"/>
    </row>
    <row r="30" spans="1:15" s="15" customFormat="1" ht="20.399999999999999" x14ac:dyDescent="0.3">
      <c r="A30" s="74"/>
      <c r="B30" s="74"/>
      <c r="C30" s="104"/>
      <c r="D30" s="104"/>
      <c r="E30" s="74"/>
      <c r="F30" s="74"/>
      <c r="G30" s="74"/>
      <c r="H30" s="74"/>
      <c r="I30" s="74"/>
      <c r="J30" s="74"/>
      <c r="K30" s="74"/>
      <c r="L30" s="74"/>
      <c r="M30" s="74"/>
      <c r="N30" s="74"/>
      <c r="O30" s="74"/>
    </row>
    <row r="31" spans="1:15" s="15" customFormat="1" ht="20.399999999999999" x14ac:dyDescent="0.3">
      <c r="A31" s="74"/>
      <c r="B31" s="74"/>
      <c r="C31" s="104"/>
      <c r="D31" s="104"/>
      <c r="E31" s="74"/>
      <c r="F31" s="74"/>
      <c r="G31" s="74"/>
      <c r="H31" s="74"/>
      <c r="I31" s="74"/>
      <c r="J31" s="74"/>
      <c r="K31" s="74"/>
      <c r="L31" s="74"/>
      <c r="M31" s="74"/>
      <c r="N31" s="74"/>
      <c r="O31" s="74"/>
    </row>
    <row r="32" spans="1:15" s="15" customFormat="1" ht="20.399999999999999" x14ac:dyDescent="0.3">
      <c r="A32" s="74"/>
      <c r="B32" s="74"/>
      <c r="C32" s="104"/>
      <c r="D32" s="104"/>
      <c r="E32" s="74"/>
      <c r="F32" s="74"/>
      <c r="G32" s="74"/>
      <c r="H32" s="74"/>
      <c r="I32" s="74"/>
      <c r="J32" s="74"/>
      <c r="K32" s="74"/>
      <c r="L32" s="74"/>
      <c r="M32" s="74"/>
      <c r="N32" s="74"/>
      <c r="O32" s="74"/>
    </row>
    <row r="33" spans="1:15" s="15" customFormat="1" ht="20.399999999999999" x14ac:dyDescent="0.3">
      <c r="A33" s="74"/>
      <c r="B33" s="74"/>
      <c r="C33" s="104"/>
      <c r="D33" s="104"/>
      <c r="E33" s="74"/>
      <c r="F33" s="74"/>
      <c r="G33" s="74"/>
      <c r="H33" s="74"/>
      <c r="I33" s="74"/>
      <c r="J33" s="74"/>
      <c r="K33" s="74"/>
      <c r="L33" s="74"/>
      <c r="M33" s="74"/>
      <c r="N33" s="74"/>
      <c r="O33" s="74"/>
    </row>
    <row r="34" spans="1:15" s="15" customFormat="1" ht="20.399999999999999" x14ac:dyDescent="0.3">
      <c r="A34" s="74"/>
      <c r="B34" s="74"/>
      <c r="C34" s="104"/>
      <c r="D34" s="104"/>
      <c r="E34" s="74"/>
      <c r="F34" s="74"/>
      <c r="G34" s="74"/>
      <c r="H34" s="74"/>
      <c r="I34" s="74"/>
      <c r="J34" s="74"/>
      <c r="K34" s="74"/>
      <c r="L34" s="74"/>
      <c r="M34" s="74"/>
      <c r="N34" s="74"/>
      <c r="O34" s="74"/>
    </row>
    <row r="35" spans="1:15" s="15" customFormat="1" ht="20.399999999999999" x14ac:dyDescent="0.3">
      <c r="A35" s="74"/>
      <c r="B35" s="74"/>
      <c r="C35" s="104"/>
      <c r="D35" s="104"/>
      <c r="E35" s="74"/>
      <c r="F35" s="74"/>
      <c r="G35" s="74"/>
      <c r="H35" s="74"/>
      <c r="I35" s="74"/>
      <c r="J35" s="74"/>
      <c r="K35" s="74"/>
      <c r="L35" s="74"/>
      <c r="M35" s="74"/>
      <c r="N35" s="74"/>
      <c r="O35" s="74"/>
    </row>
    <row r="36" spans="1:15" s="15" customFormat="1" ht="20.399999999999999" x14ac:dyDescent="0.3">
      <c r="A36" s="74"/>
      <c r="B36" s="74"/>
      <c r="C36" s="104"/>
      <c r="D36" s="104"/>
      <c r="E36" s="74"/>
      <c r="F36" s="74"/>
      <c r="G36" s="74"/>
      <c r="H36" s="74"/>
      <c r="I36" s="74"/>
      <c r="J36" s="74"/>
      <c r="K36" s="74"/>
      <c r="L36" s="74"/>
      <c r="M36" s="74"/>
      <c r="N36" s="74"/>
      <c r="O36" s="74"/>
    </row>
    <row r="37" spans="1:15" s="15" customFormat="1" ht="20.399999999999999" x14ac:dyDescent="0.3">
      <c r="A37" s="74"/>
      <c r="B37" s="74"/>
      <c r="C37" s="104"/>
      <c r="D37" s="104"/>
      <c r="E37" s="74"/>
      <c r="F37" s="74"/>
      <c r="G37" s="74"/>
      <c r="H37" s="74"/>
      <c r="I37" s="74"/>
      <c r="J37" s="74"/>
      <c r="K37" s="74"/>
      <c r="L37" s="74"/>
      <c r="M37" s="74"/>
      <c r="N37" s="74"/>
      <c r="O37" s="74"/>
    </row>
    <row r="38" spans="1:15" s="15" customFormat="1" ht="20.399999999999999" x14ac:dyDescent="0.3">
      <c r="A38" s="74"/>
      <c r="B38" s="74"/>
      <c r="C38" s="104"/>
      <c r="D38" s="104"/>
      <c r="E38" s="74"/>
      <c r="F38" s="74"/>
      <c r="G38" s="74"/>
      <c r="H38" s="74"/>
      <c r="I38" s="74"/>
      <c r="J38" s="74"/>
      <c r="K38" s="74"/>
      <c r="L38" s="74"/>
      <c r="M38" s="74"/>
      <c r="N38" s="74"/>
      <c r="O38" s="74"/>
    </row>
    <row r="39" spans="1:15" s="15" customFormat="1" ht="20.399999999999999" x14ac:dyDescent="0.3">
      <c r="A39" s="74"/>
      <c r="B39" s="74"/>
      <c r="C39" s="104"/>
      <c r="D39" s="104"/>
      <c r="E39" s="74"/>
      <c r="F39" s="74"/>
      <c r="G39" s="74"/>
      <c r="H39" s="74"/>
      <c r="I39" s="74"/>
      <c r="J39" s="74"/>
      <c r="K39" s="74"/>
      <c r="L39" s="74"/>
      <c r="M39" s="74"/>
      <c r="N39" s="74"/>
      <c r="O39" s="74"/>
    </row>
    <row r="40" spans="1:15" s="15" customFormat="1" ht="20.399999999999999" x14ac:dyDescent="0.3">
      <c r="A40" s="74"/>
      <c r="B40" s="74"/>
      <c r="C40" s="104"/>
      <c r="D40" s="104"/>
      <c r="E40" s="74"/>
      <c r="F40" s="74"/>
      <c r="G40" s="74"/>
      <c r="H40" s="74"/>
      <c r="I40" s="74"/>
      <c r="J40" s="74"/>
      <c r="K40" s="74"/>
      <c r="L40" s="74"/>
      <c r="M40" s="74"/>
      <c r="N40" s="74"/>
      <c r="O40" s="74"/>
    </row>
    <row r="41" spans="1:15" s="15" customFormat="1" ht="20.399999999999999" x14ac:dyDescent="0.3">
      <c r="A41" s="74"/>
      <c r="B41" s="74"/>
      <c r="C41" s="104"/>
      <c r="D41" s="104"/>
      <c r="E41" s="74"/>
      <c r="F41" s="74"/>
      <c r="G41" s="74"/>
      <c r="H41" s="74"/>
      <c r="I41" s="74"/>
      <c r="J41" s="74"/>
      <c r="K41" s="74"/>
      <c r="L41" s="74"/>
      <c r="M41" s="74"/>
      <c r="N41" s="74"/>
      <c r="O41" s="74"/>
    </row>
    <row r="42" spans="1:15" s="15" customFormat="1" ht="20.399999999999999" x14ac:dyDescent="0.3">
      <c r="A42" s="74"/>
      <c r="B42" s="74"/>
      <c r="C42" s="104"/>
      <c r="D42" s="104"/>
      <c r="E42" s="74"/>
      <c r="F42" s="74"/>
      <c r="G42" s="74"/>
      <c r="H42" s="74"/>
      <c r="I42" s="74"/>
      <c r="J42" s="74"/>
      <c r="K42" s="74"/>
      <c r="L42" s="74"/>
      <c r="M42" s="74"/>
      <c r="N42" s="74"/>
      <c r="O42" s="74"/>
    </row>
    <row r="43" spans="1:15" s="15" customFormat="1" ht="20.399999999999999" x14ac:dyDescent="0.3">
      <c r="A43" s="74"/>
      <c r="B43" s="74"/>
      <c r="C43" s="104"/>
      <c r="D43" s="104"/>
      <c r="E43" s="74"/>
      <c r="F43" s="74"/>
      <c r="G43" s="74"/>
      <c r="H43" s="74"/>
      <c r="I43" s="74"/>
      <c r="J43" s="74"/>
      <c r="K43" s="74"/>
      <c r="L43" s="74"/>
      <c r="M43" s="74"/>
      <c r="N43" s="74"/>
      <c r="O43" s="74"/>
    </row>
    <row r="44" spans="1:15" s="15" customFormat="1" ht="20.399999999999999" x14ac:dyDescent="0.3">
      <c r="A44" s="74"/>
      <c r="B44" s="74"/>
      <c r="C44" s="104"/>
      <c r="D44" s="104"/>
      <c r="E44" s="74"/>
      <c r="F44" s="74"/>
      <c r="G44" s="74"/>
      <c r="H44" s="74"/>
      <c r="I44" s="74"/>
      <c r="J44" s="74"/>
      <c r="K44" s="74"/>
      <c r="L44" s="74"/>
      <c r="M44" s="74"/>
      <c r="N44" s="74"/>
      <c r="O44" s="74"/>
    </row>
    <row r="45" spans="1:15" s="15" customFormat="1" ht="20.399999999999999" x14ac:dyDescent="0.3">
      <c r="A45" s="74"/>
      <c r="B45" s="74"/>
      <c r="C45" s="104"/>
      <c r="D45" s="104"/>
      <c r="E45" s="74"/>
      <c r="F45" s="74"/>
      <c r="G45" s="74"/>
      <c r="H45" s="74"/>
      <c r="I45" s="74"/>
      <c r="J45" s="74"/>
      <c r="K45" s="74"/>
      <c r="L45" s="74"/>
      <c r="M45" s="74"/>
      <c r="N45" s="74"/>
      <c r="O45" s="74"/>
    </row>
    <row r="46" spans="1:15" s="15" customFormat="1" ht="20.399999999999999" x14ac:dyDescent="0.3">
      <c r="A46" s="74"/>
      <c r="B46" s="74"/>
      <c r="C46" s="104"/>
      <c r="D46" s="104"/>
      <c r="E46" s="74"/>
      <c r="F46" s="74"/>
      <c r="G46" s="74"/>
      <c r="H46" s="74"/>
      <c r="I46" s="74"/>
      <c r="J46" s="74"/>
      <c r="K46" s="74"/>
      <c r="L46" s="74"/>
      <c r="M46" s="74"/>
      <c r="N46" s="74"/>
      <c r="O46" s="74"/>
    </row>
    <row r="47" spans="1:15" s="15" customFormat="1" ht="20.399999999999999" x14ac:dyDescent="0.3">
      <c r="A47" s="74"/>
      <c r="B47" s="74"/>
      <c r="C47" s="104"/>
      <c r="D47" s="104"/>
      <c r="E47" s="74"/>
      <c r="F47" s="74"/>
      <c r="G47" s="74"/>
      <c r="H47" s="74"/>
      <c r="I47" s="74"/>
      <c r="J47" s="74"/>
      <c r="K47" s="74"/>
      <c r="L47" s="74"/>
      <c r="M47" s="74"/>
      <c r="N47" s="74"/>
      <c r="O47" s="74"/>
    </row>
    <row r="48" spans="1:15" s="15" customFormat="1" ht="20.399999999999999" x14ac:dyDescent="0.3">
      <c r="A48" s="74"/>
      <c r="B48" s="74"/>
      <c r="C48" s="104"/>
      <c r="D48" s="104"/>
      <c r="E48" s="74"/>
      <c r="F48" s="74"/>
      <c r="G48" s="74"/>
      <c r="H48" s="74"/>
      <c r="I48" s="74"/>
      <c r="J48" s="74"/>
      <c r="K48" s="74"/>
      <c r="L48" s="74"/>
      <c r="M48" s="74"/>
      <c r="N48" s="74"/>
      <c r="O48" s="74"/>
    </row>
    <row r="49" spans="1:15" s="15" customFormat="1" ht="20.399999999999999" x14ac:dyDescent="0.3">
      <c r="A49" s="74"/>
      <c r="B49" s="74"/>
      <c r="C49" s="104"/>
      <c r="D49" s="104"/>
      <c r="E49" s="74"/>
      <c r="F49" s="74"/>
      <c r="G49" s="74"/>
      <c r="H49" s="74"/>
      <c r="I49" s="74"/>
      <c r="J49" s="74"/>
      <c r="K49" s="74"/>
      <c r="L49" s="74"/>
      <c r="M49" s="74"/>
      <c r="N49" s="74"/>
      <c r="O49" s="74"/>
    </row>
    <row r="50" spans="1:15" s="15" customFormat="1" ht="20.399999999999999" x14ac:dyDescent="0.3">
      <c r="A50" s="74"/>
      <c r="B50" s="74"/>
      <c r="C50" s="104"/>
      <c r="D50" s="104"/>
      <c r="E50" s="74"/>
      <c r="F50" s="74"/>
      <c r="G50" s="74"/>
      <c r="H50" s="74"/>
      <c r="I50" s="74"/>
      <c r="J50" s="74"/>
      <c r="K50" s="74"/>
      <c r="L50" s="74"/>
      <c r="M50" s="74"/>
      <c r="N50" s="74"/>
      <c r="O50" s="74"/>
    </row>
    <row r="51" spans="1:15" s="15" customFormat="1" ht="20.399999999999999" x14ac:dyDescent="0.3">
      <c r="A51" s="74"/>
      <c r="B51" s="74"/>
      <c r="C51" s="104"/>
      <c r="D51" s="104"/>
      <c r="E51" s="74"/>
      <c r="F51" s="74"/>
      <c r="G51" s="74"/>
      <c r="H51" s="74"/>
      <c r="I51" s="74"/>
      <c r="J51" s="74"/>
      <c r="K51" s="74"/>
      <c r="L51" s="74"/>
      <c r="M51" s="74"/>
      <c r="N51" s="74"/>
      <c r="O51" s="74"/>
    </row>
    <row r="52" spans="1:15" s="15" customFormat="1" ht="20.399999999999999" x14ac:dyDescent="0.3">
      <c r="A52" s="74"/>
      <c r="C52" s="106"/>
      <c r="D52" s="106"/>
    </row>
    <row r="53" spans="1:15" s="15" customFormat="1" ht="20.399999999999999" x14ac:dyDescent="0.3">
      <c r="A53" s="74"/>
      <c r="C53" s="106"/>
      <c r="D53" s="106"/>
    </row>
    <row r="54" spans="1:15" s="15" customFormat="1" ht="20.399999999999999" x14ac:dyDescent="0.3">
      <c r="A54" s="74"/>
      <c r="C54" s="106"/>
      <c r="D54" s="106"/>
    </row>
    <row r="55" spans="1:15" s="15" customFormat="1" ht="20.399999999999999" x14ac:dyDescent="0.3">
      <c r="A55" s="74"/>
      <c r="C55" s="106"/>
      <c r="D55" s="106"/>
    </row>
    <row r="56" spans="1:15" s="15" customFormat="1" ht="20.399999999999999" x14ac:dyDescent="0.3">
      <c r="A56" s="74"/>
      <c r="C56" s="106"/>
      <c r="D56" s="106"/>
    </row>
    <row r="57" spans="1:15" s="15" customFormat="1" ht="20.399999999999999" x14ac:dyDescent="0.3">
      <c r="A57" s="74"/>
      <c r="C57" s="106"/>
      <c r="D57" s="106"/>
    </row>
    <row r="58" spans="1:15" s="15" customFormat="1" ht="20.399999999999999" x14ac:dyDescent="0.3">
      <c r="A58" s="74"/>
      <c r="C58" s="106"/>
      <c r="D58" s="106"/>
    </row>
    <row r="59" spans="1:15" s="15" customFormat="1" ht="20.399999999999999" x14ac:dyDescent="0.3">
      <c r="A59" s="74"/>
      <c r="C59" s="106"/>
      <c r="D59" s="106"/>
    </row>
    <row r="60" spans="1:15" s="15" customFormat="1" ht="20.399999999999999" x14ac:dyDescent="0.3">
      <c r="A60" s="74"/>
      <c r="C60" s="106"/>
      <c r="D60" s="106"/>
    </row>
    <row r="61" spans="1:15" s="15" customFormat="1" ht="20.399999999999999" x14ac:dyDescent="0.3">
      <c r="A61" s="74"/>
      <c r="C61" s="106"/>
      <c r="D61" s="106"/>
    </row>
    <row r="62" spans="1:15" s="15" customFormat="1" ht="20.399999999999999" x14ac:dyDescent="0.3">
      <c r="A62" s="74"/>
      <c r="C62" s="106"/>
      <c r="D62" s="106"/>
    </row>
    <row r="63" spans="1:15" s="15" customFormat="1" ht="20.399999999999999" x14ac:dyDescent="0.3">
      <c r="A63" s="74"/>
      <c r="C63" s="106"/>
      <c r="D63" s="106"/>
    </row>
    <row r="64" spans="1:15" s="15" customFormat="1" ht="20.399999999999999" x14ac:dyDescent="0.3">
      <c r="A64" s="74"/>
      <c r="C64" s="106"/>
      <c r="D64" s="106"/>
    </row>
    <row r="65" spans="1:4" s="15" customFormat="1" ht="20.399999999999999" x14ac:dyDescent="0.3">
      <c r="A65" s="74"/>
      <c r="C65" s="106"/>
      <c r="D65" s="106"/>
    </row>
    <row r="66" spans="1:4" s="15" customFormat="1" ht="20.399999999999999" x14ac:dyDescent="0.3">
      <c r="A66" s="74"/>
      <c r="C66" s="106"/>
      <c r="D66" s="106"/>
    </row>
    <row r="67" spans="1:4" s="15" customFormat="1" ht="20.399999999999999" x14ac:dyDescent="0.3">
      <c r="A67" s="74"/>
      <c r="C67" s="106"/>
      <c r="D67" s="106"/>
    </row>
    <row r="68" spans="1:4" s="15" customFormat="1" ht="20.399999999999999" x14ac:dyDescent="0.3">
      <c r="A68" s="74"/>
      <c r="C68" s="106"/>
      <c r="D68" s="106"/>
    </row>
    <row r="69" spans="1:4" s="15" customFormat="1" ht="20.399999999999999" x14ac:dyDescent="0.3">
      <c r="A69" s="74"/>
      <c r="C69" s="106"/>
      <c r="D69" s="106"/>
    </row>
    <row r="70" spans="1:4" s="15" customFormat="1" ht="20.399999999999999" x14ac:dyDescent="0.3">
      <c r="A70" s="74"/>
      <c r="C70" s="106"/>
      <c r="D70" s="106"/>
    </row>
    <row r="71" spans="1:4" s="15" customFormat="1" ht="20.399999999999999" x14ac:dyDescent="0.3">
      <c r="A71" s="74"/>
      <c r="C71" s="106"/>
      <c r="D71" s="106"/>
    </row>
    <row r="72" spans="1:4" s="15" customFormat="1" ht="20.399999999999999" x14ac:dyDescent="0.3">
      <c r="A72" s="74"/>
      <c r="C72" s="106"/>
      <c r="D72" s="106"/>
    </row>
    <row r="73" spans="1:4" s="15" customFormat="1" ht="20.399999999999999" x14ac:dyDescent="0.3">
      <c r="A73" s="74"/>
      <c r="C73" s="106"/>
      <c r="D73" s="106"/>
    </row>
    <row r="74" spans="1:4" s="15" customFormat="1" ht="20.399999999999999" x14ac:dyDescent="0.3">
      <c r="A74" s="74"/>
      <c r="C74" s="106"/>
      <c r="D74" s="106"/>
    </row>
    <row r="75" spans="1:4" s="15" customFormat="1" ht="20.399999999999999" x14ac:dyDescent="0.3">
      <c r="A75" s="74"/>
      <c r="C75" s="106"/>
      <c r="D75" s="106"/>
    </row>
    <row r="76" spans="1:4" s="15" customFormat="1" ht="20.399999999999999" x14ac:dyDescent="0.3">
      <c r="A76" s="74"/>
      <c r="C76" s="106"/>
      <c r="D76" s="106"/>
    </row>
    <row r="77" spans="1:4" s="15" customFormat="1" ht="20.399999999999999" x14ac:dyDescent="0.3">
      <c r="A77" s="74"/>
      <c r="C77" s="106"/>
      <c r="D77" s="106"/>
    </row>
    <row r="78" spans="1:4" s="15" customFormat="1" ht="20.399999999999999" x14ac:dyDescent="0.3">
      <c r="A78" s="74"/>
      <c r="C78" s="106"/>
      <c r="D78" s="106"/>
    </row>
    <row r="79" spans="1:4" s="15" customFormat="1" ht="20.399999999999999" x14ac:dyDescent="0.3">
      <c r="A79" s="74"/>
      <c r="C79" s="106"/>
      <c r="D79" s="106"/>
    </row>
    <row r="80" spans="1:4" s="15" customFormat="1" ht="20.399999999999999" x14ac:dyDescent="0.3">
      <c r="A80" s="74"/>
      <c r="C80" s="106"/>
      <c r="D80" s="106"/>
    </row>
    <row r="81" spans="1:4" s="15" customFormat="1" ht="20.399999999999999" x14ac:dyDescent="0.3">
      <c r="A81" s="74"/>
      <c r="C81" s="106"/>
      <c r="D81" s="106"/>
    </row>
    <row r="82" spans="1:4" s="15" customFormat="1" ht="20.399999999999999" x14ac:dyDescent="0.3">
      <c r="A82" s="74"/>
      <c r="C82" s="106"/>
      <c r="D82" s="106"/>
    </row>
    <row r="83" spans="1:4" s="15" customFormat="1" ht="20.399999999999999" x14ac:dyDescent="0.3">
      <c r="A83" s="74"/>
      <c r="C83" s="106"/>
      <c r="D83" s="106"/>
    </row>
    <row r="84" spans="1:4" s="15" customFormat="1" ht="20.399999999999999" x14ac:dyDescent="0.3">
      <c r="A84" s="74"/>
      <c r="C84" s="106"/>
      <c r="D84" s="106"/>
    </row>
    <row r="85" spans="1:4" s="15" customFormat="1" ht="20.399999999999999" x14ac:dyDescent="0.3">
      <c r="A85" s="74"/>
      <c r="C85" s="106"/>
      <c r="D85" s="106"/>
    </row>
    <row r="86" spans="1:4" s="15" customFormat="1" ht="20.399999999999999" x14ac:dyDescent="0.3">
      <c r="A86" s="74"/>
      <c r="C86" s="106"/>
      <c r="D86" s="106"/>
    </row>
    <row r="87" spans="1:4" s="15" customFormat="1" ht="20.399999999999999" x14ac:dyDescent="0.3">
      <c r="A87" s="74"/>
      <c r="C87" s="106"/>
      <c r="D87" s="106"/>
    </row>
    <row r="88" spans="1:4" s="15" customFormat="1" ht="20.399999999999999" x14ac:dyDescent="0.3">
      <c r="A88" s="74"/>
      <c r="C88" s="106"/>
      <c r="D88" s="106"/>
    </row>
    <row r="89" spans="1:4" s="15" customFormat="1" ht="20.399999999999999" x14ac:dyDescent="0.3">
      <c r="A89" s="74"/>
      <c r="C89" s="106"/>
      <c r="D89" s="106"/>
    </row>
    <row r="90" spans="1:4" s="15" customFormat="1" ht="20.399999999999999" x14ac:dyDescent="0.3">
      <c r="A90" s="74"/>
      <c r="C90" s="106"/>
      <c r="D90" s="106"/>
    </row>
    <row r="91" spans="1:4" s="15" customFormat="1" ht="20.399999999999999" x14ac:dyDescent="0.3">
      <c r="A91" s="74"/>
      <c r="C91" s="106"/>
      <c r="D91" s="106"/>
    </row>
    <row r="92" spans="1:4" s="15" customFormat="1" ht="20.399999999999999" x14ac:dyDescent="0.3">
      <c r="A92" s="74"/>
      <c r="C92" s="106"/>
      <c r="D92" s="106"/>
    </row>
    <row r="93" spans="1:4" s="15" customFormat="1" ht="20.399999999999999" x14ac:dyDescent="0.3">
      <c r="A93" s="74"/>
      <c r="C93" s="106"/>
      <c r="D93" s="106"/>
    </row>
    <row r="94" spans="1:4" s="15" customFormat="1" ht="20.399999999999999" x14ac:dyDescent="0.3">
      <c r="A94" s="74"/>
      <c r="C94" s="106"/>
      <c r="D94" s="106"/>
    </row>
    <row r="95" spans="1:4" s="15" customFormat="1" ht="20.399999999999999" x14ac:dyDescent="0.3">
      <c r="A95" s="74"/>
      <c r="C95" s="106"/>
      <c r="D95" s="106"/>
    </row>
    <row r="96" spans="1:4" s="15" customFormat="1" ht="20.399999999999999" x14ac:dyDescent="0.3">
      <c r="A96" s="74"/>
      <c r="C96" s="106"/>
      <c r="D96" s="106"/>
    </row>
    <row r="97" spans="1:4" s="15" customFormat="1" ht="20.399999999999999" x14ac:dyDescent="0.3">
      <c r="A97" s="74"/>
      <c r="C97" s="106"/>
      <c r="D97" s="106"/>
    </row>
    <row r="98" spans="1:4" s="15" customFormat="1" ht="20.399999999999999" x14ac:dyDescent="0.3">
      <c r="A98" s="74"/>
      <c r="C98" s="106"/>
      <c r="D98" s="106"/>
    </row>
    <row r="99" spans="1:4" s="15" customFormat="1" ht="20.399999999999999" x14ac:dyDescent="0.3">
      <c r="A99" s="74"/>
      <c r="C99" s="106"/>
      <c r="D99" s="106"/>
    </row>
    <row r="100" spans="1:4" s="15" customFormat="1" ht="20.399999999999999" x14ac:dyDescent="0.3">
      <c r="A100" s="74"/>
      <c r="C100" s="106"/>
      <c r="D100" s="106"/>
    </row>
    <row r="101" spans="1:4" s="15" customFormat="1" ht="20.399999999999999" x14ac:dyDescent="0.3">
      <c r="A101" s="74"/>
      <c r="C101" s="106"/>
      <c r="D101" s="106"/>
    </row>
    <row r="102" spans="1:4" s="15" customFormat="1" ht="20.399999999999999" x14ac:dyDescent="0.3">
      <c r="A102" s="74"/>
      <c r="C102" s="106"/>
      <c r="D102" s="106"/>
    </row>
    <row r="103" spans="1:4" s="15" customFormat="1" ht="20.399999999999999" x14ac:dyDescent="0.3">
      <c r="A103" s="74"/>
      <c r="C103" s="106"/>
      <c r="D103" s="106"/>
    </row>
    <row r="104" spans="1:4" s="15" customFormat="1" ht="20.399999999999999" x14ac:dyDescent="0.3">
      <c r="A104" s="74"/>
      <c r="C104" s="106"/>
      <c r="D104" s="106"/>
    </row>
    <row r="105" spans="1:4" s="15" customFormat="1" ht="20.399999999999999" x14ac:dyDescent="0.3">
      <c r="A105" s="74"/>
      <c r="C105" s="106"/>
      <c r="D105" s="106"/>
    </row>
    <row r="106" spans="1:4" s="15" customFormat="1" ht="20.399999999999999" x14ac:dyDescent="0.3">
      <c r="A106" s="74"/>
      <c r="C106" s="106"/>
      <c r="D106" s="106"/>
    </row>
    <row r="107" spans="1:4" s="15" customFormat="1" ht="20.399999999999999" x14ac:dyDescent="0.3">
      <c r="A107" s="74"/>
      <c r="C107" s="106"/>
      <c r="D107" s="106"/>
    </row>
    <row r="108" spans="1:4" s="15" customFormat="1" ht="20.399999999999999" x14ac:dyDescent="0.3">
      <c r="A108" s="74"/>
      <c r="C108" s="106"/>
      <c r="D108" s="106"/>
    </row>
    <row r="109" spans="1:4" s="15" customFormat="1" ht="20.399999999999999" x14ac:dyDescent="0.3">
      <c r="A109" s="74"/>
      <c r="C109" s="106"/>
      <c r="D109" s="106"/>
    </row>
    <row r="110" spans="1:4" s="15" customFormat="1" ht="20.399999999999999" x14ac:dyDescent="0.3">
      <c r="A110" s="74"/>
      <c r="C110" s="106"/>
      <c r="D110" s="106"/>
    </row>
    <row r="111" spans="1:4" s="15" customFormat="1" ht="20.399999999999999" x14ac:dyDescent="0.3">
      <c r="A111" s="74"/>
      <c r="C111" s="106"/>
      <c r="D111" s="106"/>
    </row>
    <row r="112" spans="1:4" s="15" customFormat="1" ht="20.399999999999999" x14ac:dyDescent="0.3">
      <c r="A112" s="74"/>
      <c r="C112" s="106"/>
      <c r="D112" s="106"/>
    </row>
    <row r="113" spans="1:4" s="15" customFormat="1" ht="20.399999999999999" x14ac:dyDescent="0.3">
      <c r="A113" s="74"/>
      <c r="C113" s="106"/>
      <c r="D113" s="106"/>
    </row>
    <row r="114" spans="1:4" s="15" customFormat="1" ht="20.399999999999999" x14ac:dyDescent="0.3">
      <c r="A114" s="74"/>
      <c r="C114" s="106"/>
      <c r="D114" s="106"/>
    </row>
    <row r="115" spans="1:4" s="15" customFormat="1" ht="20.399999999999999" x14ac:dyDescent="0.3">
      <c r="A115" s="74"/>
      <c r="C115" s="106"/>
      <c r="D115" s="106"/>
    </row>
    <row r="116" spans="1:4" s="15" customFormat="1" ht="20.399999999999999" x14ac:dyDescent="0.3">
      <c r="A116" s="74"/>
      <c r="C116" s="106"/>
      <c r="D116" s="106"/>
    </row>
    <row r="117" spans="1:4" s="15" customFormat="1" ht="20.399999999999999" x14ac:dyDescent="0.3">
      <c r="A117" s="74"/>
      <c r="C117" s="106"/>
      <c r="D117" s="106"/>
    </row>
    <row r="118" spans="1:4" s="15" customFormat="1" ht="20.399999999999999" x14ac:dyDescent="0.3">
      <c r="A118" s="74"/>
      <c r="C118" s="106"/>
      <c r="D118" s="106"/>
    </row>
    <row r="119" spans="1:4" s="15" customFormat="1" ht="20.399999999999999" x14ac:dyDescent="0.3">
      <c r="A119" s="74"/>
      <c r="C119" s="106"/>
      <c r="D119" s="106"/>
    </row>
    <row r="120" spans="1:4" s="15" customFormat="1" ht="20.399999999999999" x14ac:dyDescent="0.3">
      <c r="A120" s="74"/>
      <c r="C120" s="106"/>
      <c r="D120" s="106"/>
    </row>
    <row r="121" spans="1:4" s="15" customFormat="1" ht="20.399999999999999" x14ac:dyDescent="0.3">
      <c r="A121" s="74"/>
      <c r="C121" s="106"/>
      <c r="D121" s="106"/>
    </row>
    <row r="122" spans="1:4" s="15" customFormat="1" ht="20.399999999999999" x14ac:dyDescent="0.3">
      <c r="A122" s="74"/>
      <c r="C122" s="106"/>
      <c r="D122" s="106"/>
    </row>
    <row r="123" spans="1:4" s="15" customFormat="1" ht="20.399999999999999" x14ac:dyDescent="0.3">
      <c r="A123" s="74"/>
      <c r="C123" s="106"/>
      <c r="D123" s="106"/>
    </row>
    <row r="124" spans="1:4" s="15" customFormat="1" ht="20.399999999999999" x14ac:dyDescent="0.3">
      <c r="A124" s="74"/>
      <c r="C124" s="106"/>
      <c r="D124" s="106"/>
    </row>
    <row r="125" spans="1:4" s="15" customFormat="1" ht="20.399999999999999" x14ac:dyDescent="0.3">
      <c r="A125" s="74"/>
      <c r="C125" s="106"/>
      <c r="D125" s="106"/>
    </row>
    <row r="126" spans="1:4" s="15" customFormat="1" ht="20.399999999999999" x14ac:dyDescent="0.3">
      <c r="A126" s="74"/>
      <c r="C126" s="106"/>
      <c r="D126" s="106"/>
    </row>
    <row r="127" spans="1:4" s="15" customFormat="1" ht="20.399999999999999" x14ac:dyDescent="0.3">
      <c r="A127" s="74"/>
      <c r="C127" s="106"/>
      <c r="D127" s="106"/>
    </row>
    <row r="128" spans="1:4" s="15" customFormat="1" ht="20.399999999999999" x14ac:dyDescent="0.3">
      <c r="A128" s="74"/>
      <c r="C128" s="106"/>
      <c r="D128" s="106"/>
    </row>
    <row r="129" spans="1:4" s="15" customFormat="1" ht="20.399999999999999" x14ac:dyDescent="0.3">
      <c r="A129" s="74"/>
      <c r="C129" s="106"/>
      <c r="D129" s="106"/>
    </row>
    <row r="130" spans="1:4" s="15" customFormat="1" ht="20.399999999999999" x14ac:dyDescent="0.3">
      <c r="A130" s="74"/>
      <c r="C130" s="106"/>
      <c r="D130" s="106"/>
    </row>
    <row r="131" spans="1:4" s="15" customFormat="1" ht="20.399999999999999" x14ac:dyDescent="0.3">
      <c r="A131" s="74"/>
      <c r="C131" s="106"/>
      <c r="D131" s="106"/>
    </row>
    <row r="132" spans="1:4" s="15" customFormat="1" ht="20.399999999999999" x14ac:dyDescent="0.3">
      <c r="A132" s="74"/>
      <c r="C132" s="106"/>
      <c r="D132" s="106"/>
    </row>
    <row r="133" spans="1:4" s="15" customFormat="1" ht="20.399999999999999" x14ac:dyDescent="0.3">
      <c r="A133" s="74"/>
      <c r="C133" s="106"/>
      <c r="D133" s="106"/>
    </row>
    <row r="134" spans="1:4" s="15" customFormat="1" ht="20.399999999999999" x14ac:dyDescent="0.3">
      <c r="A134" s="74"/>
      <c r="C134" s="106"/>
      <c r="D134" s="106"/>
    </row>
    <row r="135" spans="1:4" s="15" customFormat="1" ht="20.399999999999999" x14ac:dyDescent="0.3">
      <c r="A135" s="74"/>
      <c r="C135" s="106"/>
      <c r="D135" s="106"/>
    </row>
    <row r="136" spans="1:4" s="15" customFormat="1" ht="20.399999999999999" x14ac:dyDescent="0.3">
      <c r="A136" s="74"/>
      <c r="C136" s="106"/>
      <c r="D136" s="106"/>
    </row>
    <row r="137" spans="1:4" s="15" customFormat="1" ht="20.399999999999999" x14ac:dyDescent="0.3">
      <c r="A137" s="74"/>
      <c r="C137" s="106"/>
      <c r="D137" s="106"/>
    </row>
    <row r="138" spans="1:4" s="15" customFormat="1" ht="20.399999999999999" x14ac:dyDescent="0.3">
      <c r="A138" s="74"/>
      <c r="C138" s="106"/>
      <c r="D138" s="106"/>
    </row>
    <row r="139" spans="1:4" s="15" customFormat="1" ht="20.399999999999999" x14ac:dyDescent="0.3">
      <c r="A139" s="74"/>
      <c r="C139" s="106"/>
      <c r="D139" s="106"/>
    </row>
    <row r="140" spans="1:4" s="15" customFormat="1" ht="20.399999999999999" x14ac:dyDescent="0.3">
      <c r="A140" s="74"/>
      <c r="C140" s="106"/>
      <c r="D140" s="106"/>
    </row>
    <row r="141" spans="1:4" s="15" customFormat="1" ht="20.399999999999999" x14ac:dyDescent="0.3">
      <c r="A141" s="74"/>
      <c r="C141" s="106"/>
      <c r="D141" s="106"/>
    </row>
    <row r="142" spans="1:4" s="15" customFormat="1" ht="20.399999999999999" x14ac:dyDescent="0.3">
      <c r="A142" s="74"/>
      <c r="C142" s="106"/>
      <c r="D142" s="106"/>
    </row>
    <row r="143" spans="1:4" s="15" customFormat="1" ht="20.399999999999999" x14ac:dyDescent="0.3">
      <c r="A143" s="74"/>
      <c r="C143" s="106"/>
      <c r="D143" s="106"/>
    </row>
    <row r="144" spans="1:4" s="15" customFormat="1" ht="20.399999999999999" x14ac:dyDescent="0.3">
      <c r="A144" s="74"/>
      <c r="C144" s="106"/>
      <c r="D144" s="106"/>
    </row>
    <row r="145" spans="1:4" s="15" customFormat="1" ht="20.399999999999999" x14ac:dyDescent="0.3">
      <c r="A145" s="74"/>
      <c r="C145" s="106"/>
      <c r="D145" s="106"/>
    </row>
    <row r="146" spans="1:4" s="15" customFormat="1" ht="20.399999999999999" x14ac:dyDescent="0.3">
      <c r="A146" s="74"/>
      <c r="C146" s="106"/>
      <c r="D146" s="106"/>
    </row>
    <row r="147" spans="1:4" s="15" customFormat="1" ht="20.399999999999999" x14ac:dyDescent="0.3">
      <c r="A147" s="74"/>
      <c r="C147" s="106"/>
      <c r="D147" s="106"/>
    </row>
    <row r="148" spans="1:4" s="15" customFormat="1" ht="20.399999999999999" x14ac:dyDescent="0.3">
      <c r="A148" s="74"/>
      <c r="C148" s="106"/>
      <c r="D148" s="106"/>
    </row>
    <row r="149" spans="1:4" s="15" customFormat="1" ht="20.399999999999999" x14ac:dyDescent="0.3">
      <c r="A149" s="74"/>
      <c r="C149" s="106"/>
      <c r="D149" s="106"/>
    </row>
    <row r="150" spans="1:4" s="15" customFormat="1" ht="20.399999999999999" x14ac:dyDescent="0.3">
      <c r="A150" s="74"/>
      <c r="C150" s="106"/>
      <c r="D150" s="106"/>
    </row>
    <row r="151" spans="1:4" s="15" customFormat="1" ht="20.399999999999999" x14ac:dyDescent="0.3">
      <c r="A151" s="74"/>
      <c r="C151" s="106"/>
      <c r="D151" s="106"/>
    </row>
    <row r="152" spans="1:4" s="15" customFormat="1" ht="20.399999999999999" x14ac:dyDescent="0.3">
      <c r="A152" s="74"/>
      <c r="C152" s="106"/>
      <c r="D152" s="106"/>
    </row>
    <row r="153" spans="1:4" s="15" customFormat="1" ht="20.399999999999999" x14ac:dyDescent="0.3">
      <c r="A153" s="74"/>
      <c r="C153" s="106"/>
      <c r="D153" s="106"/>
    </row>
    <row r="154" spans="1:4" s="15" customFormat="1" ht="20.399999999999999" x14ac:dyDescent="0.3">
      <c r="A154" s="74"/>
      <c r="C154" s="106"/>
      <c r="D154" s="106"/>
    </row>
    <row r="155" spans="1:4" s="15" customFormat="1" ht="20.399999999999999" x14ac:dyDescent="0.3">
      <c r="A155" s="74"/>
      <c r="C155" s="106"/>
      <c r="D155" s="106"/>
    </row>
    <row r="156" spans="1:4" s="15" customFormat="1" ht="20.399999999999999" x14ac:dyDescent="0.3">
      <c r="A156" s="74"/>
      <c r="C156" s="106"/>
      <c r="D156" s="106"/>
    </row>
    <row r="157" spans="1:4" s="15" customFormat="1" ht="20.399999999999999" x14ac:dyDescent="0.3">
      <c r="A157" s="74"/>
      <c r="C157" s="106"/>
      <c r="D157" s="106"/>
    </row>
    <row r="158" spans="1:4" s="15" customFormat="1" ht="20.399999999999999" x14ac:dyDescent="0.3">
      <c r="A158" s="74"/>
      <c r="C158" s="106"/>
      <c r="D158" s="106"/>
    </row>
    <row r="159" spans="1:4" s="15" customFormat="1" ht="20.399999999999999" x14ac:dyDescent="0.3">
      <c r="A159" s="74"/>
      <c r="C159" s="106"/>
      <c r="D159" s="106"/>
    </row>
    <row r="160" spans="1:4" s="15" customFormat="1" ht="20.399999999999999" x14ac:dyDescent="0.3">
      <c r="A160" s="74"/>
      <c r="C160" s="106"/>
      <c r="D160" s="106"/>
    </row>
    <row r="161" spans="1:4" s="15" customFormat="1" ht="20.399999999999999" x14ac:dyDescent="0.3">
      <c r="A161" s="74"/>
      <c r="C161" s="106"/>
      <c r="D161" s="106"/>
    </row>
    <row r="162" spans="1:4" s="15" customFormat="1" ht="20.399999999999999" x14ac:dyDescent="0.3">
      <c r="A162" s="74"/>
      <c r="C162" s="106"/>
      <c r="D162" s="106"/>
    </row>
    <row r="163" spans="1:4" s="15" customFormat="1" ht="20.399999999999999" x14ac:dyDescent="0.3">
      <c r="A163" s="74"/>
      <c r="C163" s="106"/>
      <c r="D163" s="106"/>
    </row>
    <row r="164" spans="1:4" s="15" customFormat="1" ht="20.399999999999999" x14ac:dyDescent="0.3">
      <c r="A164" s="74"/>
      <c r="C164" s="106"/>
      <c r="D164" s="106"/>
    </row>
    <row r="165" spans="1:4" s="15" customFormat="1" ht="20.399999999999999" x14ac:dyDescent="0.3">
      <c r="A165" s="74"/>
      <c r="C165" s="106"/>
      <c r="D165" s="106"/>
    </row>
    <row r="166" spans="1:4" s="15" customFormat="1" ht="20.399999999999999" x14ac:dyDescent="0.3">
      <c r="A166" s="74"/>
      <c r="C166" s="106"/>
      <c r="D166" s="106"/>
    </row>
    <row r="167" spans="1:4" s="15" customFormat="1" ht="20.399999999999999" x14ac:dyDescent="0.3">
      <c r="A167" s="74"/>
      <c r="C167" s="106"/>
      <c r="D167" s="106"/>
    </row>
    <row r="168" spans="1:4" s="15" customFormat="1" ht="20.399999999999999" x14ac:dyDescent="0.3">
      <c r="A168" s="74"/>
      <c r="C168" s="106"/>
      <c r="D168" s="106"/>
    </row>
    <row r="169" spans="1:4" s="15" customFormat="1" ht="20.399999999999999" x14ac:dyDescent="0.3">
      <c r="A169" s="74"/>
      <c r="C169" s="106"/>
      <c r="D169" s="106"/>
    </row>
    <row r="170" spans="1:4" s="15" customFormat="1" ht="20.399999999999999" x14ac:dyDescent="0.3">
      <c r="A170" s="74"/>
      <c r="C170" s="106"/>
      <c r="D170" s="106"/>
    </row>
    <row r="171" spans="1:4" s="15" customFormat="1" ht="20.399999999999999" x14ac:dyDescent="0.3">
      <c r="A171" s="74"/>
      <c r="C171" s="106"/>
      <c r="D171" s="106"/>
    </row>
    <row r="172" spans="1:4" s="15" customFormat="1" ht="20.399999999999999" x14ac:dyDescent="0.3">
      <c r="A172" s="74"/>
      <c r="C172" s="106"/>
      <c r="D172" s="106"/>
    </row>
    <row r="173" spans="1:4" s="15" customFormat="1" ht="20.399999999999999" x14ac:dyDescent="0.3">
      <c r="A173" s="74"/>
      <c r="C173" s="106"/>
      <c r="D173" s="106"/>
    </row>
    <row r="174" spans="1:4" s="15" customFormat="1" ht="20.399999999999999" x14ac:dyDescent="0.3">
      <c r="A174" s="74"/>
      <c r="C174" s="106"/>
      <c r="D174" s="106"/>
    </row>
    <row r="175" spans="1:4" s="15" customFormat="1" ht="20.399999999999999" x14ac:dyDescent="0.3">
      <c r="A175" s="74"/>
      <c r="C175" s="106"/>
      <c r="D175" s="106"/>
    </row>
    <row r="176" spans="1:4" s="15" customFormat="1" ht="20.399999999999999" x14ac:dyDescent="0.3">
      <c r="A176" s="74"/>
      <c r="C176" s="106"/>
      <c r="D176" s="106"/>
    </row>
    <row r="177" spans="1:4" s="15" customFormat="1" ht="20.399999999999999" x14ac:dyDescent="0.3">
      <c r="A177" s="74"/>
      <c r="C177" s="106"/>
      <c r="D177" s="106"/>
    </row>
    <row r="178" spans="1:4" s="15" customFormat="1" ht="20.399999999999999" x14ac:dyDescent="0.3">
      <c r="A178" s="74"/>
      <c r="C178" s="106"/>
      <c r="D178" s="106"/>
    </row>
    <row r="179" spans="1:4" s="15" customFormat="1" ht="20.399999999999999" x14ac:dyDescent="0.3">
      <c r="A179" s="74"/>
      <c r="C179" s="106"/>
      <c r="D179" s="106"/>
    </row>
    <row r="180" spans="1:4" s="15" customFormat="1" ht="20.399999999999999" x14ac:dyDescent="0.3">
      <c r="A180" s="74"/>
      <c r="C180" s="106"/>
      <c r="D180" s="106"/>
    </row>
    <row r="181" spans="1:4" s="15" customFormat="1" ht="20.399999999999999" x14ac:dyDescent="0.3">
      <c r="A181" s="74"/>
      <c r="C181" s="106"/>
      <c r="D181" s="106"/>
    </row>
    <row r="182" spans="1:4" s="15" customFormat="1" ht="20.399999999999999" x14ac:dyDescent="0.3">
      <c r="A182" s="74"/>
      <c r="C182" s="106"/>
      <c r="D182" s="106"/>
    </row>
    <row r="183" spans="1:4" s="15" customFormat="1" ht="20.399999999999999" x14ac:dyDescent="0.3">
      <c r="A183" s="74"/>
      <c r="C183" s="106"/>
      <c r="D183" s="106"/>
    </row>
    <row r="184" spans="1:4" s="15" customFormat="1" ht="20.399999999999999" x14ac:dyDescent="0.3">
      <c r="A184" s="74"/>
      <c r="C184" s="106"/>
      <c r="D184" s="106"/>
    </row>
    <row r="185" spans="1:4" s="15" customFormat="1" ht="20.399999999999999" x14ac:dyDescent="0.3">
      <c r="A185" s="74"/>
      <c r="C185" s="106"/>
      <c r="D185" s="106"/>
    </row>
    <row r="186" spans="1:4" s="15" customFormat="1" ht="20.399999999999999" x14ac:dyDescent="0.3">
      <c r="A186" s="74"/>
      <c r="C186" s="106"/>
      <c r="D186" s="106"/>
    </row>
    <row r="187" spans="1:4" s="15" customFormat="1" ht="20.399999999999999" x14ac:dyDescent="0.3">
      <c r="A187" s="74"/>
      <c r="C187" s="106"/>
      <c r="D187" s="106"/>
    </row>
    <row r="188" spans="1:4" s="15" customFormat="1" ht="20.399999999999999" x14ac:dyDescent="0.3">
      <c r="A188" s="74"/>
      <c r="C188" s="106"/>
      <c r="D188" s="106"/>
    </row>
    <row r="189" spans="1:4" s="15" customFormat="1" ht="20.399999999999999" x14ac:dyDescent="0.3">
      <c r="A189" s="74"/>
      <c r="C189" s="106"/>
      <c r="D189" s="106"/>
    </row>
    <row r="190" spans="1:4" s="15" customFormat="1" ht="20.399999999999999" x14ac:dyDescent="0.3">
      <c r="A190" s="74"/>
      <c r="C190" s="106"/>
      <c r="D190" s="106"/>
    </row>
    <row r="191" spans="1:4" s="15" customFormat="1" ht="20.399999999999999" x14ac:dyDescent="0.3">
      <c r="A191" s="74"/>
      <c r="C191" s="106"/>
      <c r="D191" s="106"/>
    </row>
    <row r="192" spans="1:4" s="15" customFormat="1" ht="20.399999999999999" x14ac:dyDescent="0.3">
      <c r="A192" s="74"/>
      <c r="C192" s="106"/>
      <c r="D192" s="106"/>
    </row>
    <row r="193" spans="1:4" s="15" customFormat="1" ht="20.399999999999999" x14ac:dyDescent="0.3">
      <c r="A193" s="74"/>
      <c r="C193" s="106"/>
      <c r="D193" s="106"/>
    </row>
    <row r="194" spans="1:4" s="15" customFormat="1" ht="20.399999999999999" x14ac:dyDescent="0.3">
      <c r="A194" s="74"/>
      <c r="C194" s="106"/>
      <c r="D194" s="106"/>
    </row>
    <row r="195" spans="1:4" s="15" customFormat="1" ht="20.399999999999999" x14ac:dyDescent="0.3">
      <c r="A195" s="74"/>
      <c r="C195" s="106"/>
      <c r="D195" s="106"/>
    </row>
    <row r="196" spans="1:4" s="15" customFormat="1" ht="20.399999999999999" x14ac:dyDescent="0.3">
      <c r="A196" s="74"/>
      <c r="C196" s="106"/>
      <c r="D196" s="106"/>
    </row>
    <row r="197" spans="1:4" s="15" customFormat="1" ht="20.399999999999999" x14ac:dyDescent="0.3">
      <c r="A197" s="74"/>
      <c r="C197" s="106"/>
      <c r="D197" s="106"/>
    </row>
    <row r="198" spans="1:4" s="15" customFormat="1" ht="20.399999999999999" x14ac:dyDescent="0.3">
      <c r="A198" s="74"/>
      <c r="C198" s="106"/>
      <c r="D198" s="106"/>
    </row>
    <row r="199" spans="1:4" s="15" customFormat="1" ht="20.399999999999999" x14ac:dyDescent="0.3">
      <c r="A199" s="74"/>
      <c r="C199" s="106"/>
      <c r="D199" s="106"/>
    </row>
    <row r="200" spans="1:4" s="15" customFormat="1" ht="20.399999999999999" x14ac:dyDescent="0.3">
      <c r="A200" s="74"/>
      <c r="C200" s="106"/>
      <c r="D200" s="106"/>
    </row>
    <row r="201" spans="1:4" s="15" customFormat="1" ht="20.399999999999999" x14ac:dyDescent="0.3">
      <c r="A201" s="74"/>
      <c r="C201" s="106"/>
      <c r="D201" s="106"/>
    </row>
    <row r="202" spans="1:4" s="15" customFormat="1" ht="20.399999999999999" x14ac:dyDescent="0.3">
      <c r="A202" s="74"/>
      <c r="C202" s="106"/>
      <c r="D202" s="106"/>
    </row>
    <row r="203" spans="1:4" s="15" customFormat="1" ht="20.399999999999999" x14ac:dyDescent="0.3">
      <c r="A203" s="74"/>
      <c r="C203" s="106"/>
      <c r="D203" s="106"/>
    </row>
    <row r="204" spans="1:4" s="15" customFormat="1" ht="20.399999999999999" x14ac:dyDescent="0.3">
      <c r="A204" s="74"/>
      <c r="C204" s="106"/>
      <c r="D204" s="106"/>
    </row>
    <row r="205" spans="1:4" s="15" customFormat="1" ht="20.399999999999999" x14ac:dyDescent="0.3">
      <c r="A205" s="74"/>
      <c r="C205" s="106"/>
      <c r="D205" s="106"/>
    </row>
    <row r="206" spans="1:4" s="15" customFormat="1" ht="20.399999999999999" x14ac:dyDescent="0.3">
      <c r="A206" s="74"/>
      <c r="C206" s="106"/>
      <c r="D206" s="106"/>
    </row>
    <row r="207" spans="1:4" s="15" customFormat="1" ht="20.399999999999999" x14ac:dyDescent="0.3">
      <c r="A207" s="74"/>
      <c r="C207" s="106"/>
      <c r="D207" s="106"/>
    </row>
    <row r="208" spans="1:4" s="15" customFormat="1" x14ac:dyDescent="0.3">
      <c r="A208" s="74"/>
    </row>
    <row r="209" spans="1:8" s="15" customFormat="1" ht="20.399999999999999" x14ac:dyDescent="0.3">
      <c r="A209" s="74"/>
      <c r="B209" s="107" t="s">
        <v>87</v>
      </c>
      <c r="C209" s="107" t="s">
        <v>139</v>
      </c>
      <c r="D209" s="108" t="s">
        <v>87</v>
      </c>
      <c r="E209" s="108" t="s">
        <v>139</v>
      </c>
    </row>
    <row r="210" spans="1:8" s="15" customFormat="1" ht="42" x14ac:dyDescent="0.4">
      <c r="A210" s="74"/>
      <c r="B210" s="109" t="s">
        <v>89</v>
      </c>
      <c r="C210" s="109" t="s">
        <v>204</v>
      </c>
      <c r="D210" s="15" t="s">
        <v>89</v>
      </c>
      <c r="F210" s="15" t="str">
        <f>IF(NOT(ISBLANK(D210)),D210,IF(NOT(ISBLANK(E210)),"     "&amp;E210,FALSE))</f>
        <v>Afectación Económica o presupuestal</v>
      </c>
      <c r="G210" s="15" t="s">
        <v>89</v>
      </c>
      <c r="H210" s="15" t="str">
        <f ca="1">IF(NOT(ISERROR(MATCH(G210,_xlfn.ANCHORARRAY(B221),0))),F223&amp;"Por favor no seleccionar los criterios de impacto",G210)</f>
        <v>Afectación Económica o presupuestal</v>
      </c>
    </row>
    <row r="211" spans="1:8" s="15" customFormat="1" ht="42" x14ac:dyDescent="0.4">
      <c r="A211" s="74"/>
      <c r="B211" s="109" t="s">
        <v>89</v>
      </c>
      <c r="C211" s="109" t="s">
        <v>205</v>
      </c>
      <c r="E211" s="15" t="s">
        <v>204</v>
      </c>
      <c r="F211" s="15" t="str">
        <f t="shared" ref="F211:F221" si="0">IF(NOT(ISBLANK(D211)),D211,IF(NOT(ISBLANK(E211)),"     "&amp;E211,FALSE))</f>
        <v xml:space="preserve">     Afectación menor a 200 SMLMV</v>
      </c>
    </row>
    <row r="212" spans="1:8" s="15" customFormat="1" ht="42" x14ac:dyDescent="0.4">
      <c r="A212" s="74"/>
      <c r="B212" s="109" t="s">
        <v>89</v>
      </c>
      <c r="C212" s="109" t="s">
        <v>209</v>
      </c>
      <c r="E212" s="15" t="s">
        <v>205</v>
      </c>
      <c r="F212" s="15" t="str">
        <f t="shared" si="0"/>
        <v xml:space="preserve">     Entre 200 y 1000 SMLMV</v>
      </c>
    </row>
    <row r="213" spans="1:8" s="15" customFormat="1" ht="42" x14ac:dyDescent="0.4">
      <c r="A213" s="74"/>
      <c r="B213" s="109" t="s">
        <v>89</v>
      </c>
      <c r="C213" s="109" t="s">
        <v>210</v>
      </c>
      <c r="E213" s="15" t="s">
        <v>209</v>
      </c>
      <c r="F213" s="15" t="str">
        <f t="shared" si="0"/>
        <v xml:space="preserve">     Entre 1000 y 5000 SMLMV </v>
      </c>
    </row>
    <row r="214" spans="1:8" s="15" customFormat="1" ht="42" x14ac:dyDescent="0.4">
      <c r="A214" s="74"/>
      <c r="B214" s="109" t="s">
        <v>89</v>
      </c>
      <c r="C214" s="109" t="s">
        <v>206</v>
      </c>
      <c r="E214" s="15" t="s">
        <v>210</v>
      </c>
      <c r="F214" s="15" t="str">
        <f t="shared" si="0"/>
        <v xml:space="preserve">     Entre 5000 y 10000 SMLMV</v>
      </c>
    </row>
    <row r="215" spans="1:8" s="15" customFormat="1" ht="21" x14ac:dyDescent="0.4">
      <c r="A215" s="74"/>
      <c r="B215" s="109" t="s">
        <v>57</v>
      </c>
      <c r="C215" s="109" t="s">
        <v>92</v>
      </c>
      <c r="E215" s="15" t="s">
        <v>206</v>
      </c>
      <c r="F215" s="15" t="str">
        <f t="shared" si="0"/>
        <v xml:space="preserve">     Mayor a 10000 SMLMV</v>
      </c>
    </row>
    <row r="216" spans="1:8" s="15" customFormat="1" ht="63" x14ac:dyDescent="0.4">
      <c r="A216" s="74"/>
      <c r="B216" s="109" t="s">
        <v>57</v>
      </c>
      <c r="C216" s="109" t="s">
        <v>93</v>
      </c>
      <c r="D216" s="15" t="s">
        <v>57</v>
      </c>
      <c r="F216" s="15" t="str">
        <f t="shared" si="0"/>
        <v>Pérdida Reputacional</v>
      </c>
    </row>
    <row r="217" spans="1:8" s="15" customFormat="1" ht="42" x14ac:dyDescent="0.4">
      <c r="A217" s="74"/>
      <c r="B217" s="109" t="s">
        <v>57</v>
      </c>
      <c r="C217" s="109" t="s">
        <v>95</v>
      </c>
      <c r="E217" s="15" t="s">
        <v>92</v>
      </c>
      <c r="F217" s="15" t="str">
        <f>IF(NOT(ISBLANK(D217)),D217,IF(NOT(ISBLANK(E217)),"     "&amp;E217,FALSE))</f>
        <v xml:space="preserve">     El riesgo afecta la imagen de alguna área de la organización</v>
      </c>
    </row>
    <row r="218" spans="1:8" s="15" customFormat="1" ht="63" x14ac:dyDescent="0.4">
      <c r="A218" s="74"/>
      <c r="B218" s="109" t="s">
        <v>57</v>
      </c>
      <c r="C218" s="109" t="s">
        <v>94</v>
      </c>
      <c r="E218" s="15" t="s">
        <v>93</v>
      </c>
      <c r="F218" s="15" t="str">
        <f t="shared" si="0"/>
        <v xml:space="preserve">     El riesgo afecta la imagen de la entidad internamente, de conocimiento general, nivel interno, de junta dircetiva y accionistas y/o de provedores</v>
      </c>
    </row>
    <row r="219" spans="1:8" s="15" customFormat="1" ht="42" x14ac:dyDescent="0.4">
      <c r="A219" s="74"/>
      <c r="B219" s="109" t="s">
        <v>57</v>
      </c>
      <c r="C219" s="109" t="s">
        <v>113</v>
      </c>
      <c r="E219" s="15" t="s">
        <v>95</v>
      </c>
      <c r="F219" s="15" t="str">
        <f t="shared" si="0"/>
        <v xml:space="preserve">     El riesgo afecta la imagen de la entidad con algunos usuarios de relevancia frente al logro de los objetivos</v>
      </c>
    </row>
    <row r="220" spans="1:8" s="15" customFormat="1" x14ac:dyDescent="0.3">
      <c r="A220" s="74"/>
      <c r="E220" s="15" t="s">
        <v>94</v>
      </c>
      <c r="F220" s="15" t="str">
        <f t="shared" si="0"/>
        <v xml:space="preserve">     El riesgo afecta la imagen de de la entidad con efecto publicitario sostenido a nivel de sector administrativo, nivel departamental o municipal</v>
      </c>
    </row>
    <row r="221" spans="1:8" s="15" customFormat="1" x14ac:dyDescent="0.3">
      <c r="A221" s="74"/>
      <c r="B221" s="15" t="e" cm="1" vm="1">
        <f t="array" aca="1" ref="B221:B223" ca="1">_xlfn.UNIQUE(Tabla1[[#All],[Criterios]])</f>
        <v>#NAME?</v>
      </c>
      <c r="E221" s="15" t="s">
        <v>113</v>
      </c>
      <c r="F221" s="15" t="str">
        <f t="shared" si="0"/>
        <v xml:space="preserve">     El riesgo afecta la imagen de la entidad a nivel nacional, con efecto publicitarios sostenible a nivel país</v>
      </c>
    </row>
    <row r="222" spans="1:8" s="15" customFormat="1" x14ac:dyDescent="0.3">
      <c r="A222" s="74"/>
      <c r="B222" s="15" t="e" vm="1">
        <f ca="1"/>
        <v>#NAME?</v>
      </c>
    </row>
    <row r="223" spans="1:8" s="15" customFormat="1" x14ac:dyDescent="0.3">
      <c r="B223" s="15" t="e" vm="1">
        <f ca="1"/>
        <v>#NAME?</v>
      </c>
      <c r="F223" s="110" t="s">
        <v>140</v>
      </c>
    </row>
    <row r="224" spans="1:8" s="15" customFormat="1" x14ac:dyDescent="0.3">
      <c r="F224" s="110" t="s">
        <v>141</v>
      </c>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33203125" defaultRowHeight="13.8" x14ac:dyDescent="0.3"/>
  <cols>
    <col min="1" max="2" width="14.33203125" style="59"/>
    <col min="3" max="3" width="17" style="59" customWidth="1"/>
    <col min="4" max="4" width="14.33203125" style="59"/>
    <col min="5" max="5" width="46" style="59" customWidth="1"/>
    <col min="6" max="16384" width="14.33203125" style="59"/>
  </cols>
  <sheetData>
    <row r="1" spans="2:6" ht="24" customHeight="1" thickBot="1" x14ac:dyDescent="0.35">
      <c r="B1" s="432" t="s">
        <v>77</v>
      </c>
      <c r="C1" s="433"/>
      <c r="D1" s="433"/>
      <c r="E1" s="433"/>
      <c r="F1" s="434"/>
    </row>
    <row r="2" spans="2:6" ht="16.2" thickBot="1" x14ac:dyDescent="0.35">
      <c r="B2" s="60"/>
      <c r="C2" s="60"/>
      <c r="D2" s="60"/>
      <c r="E2" s="60"/>
      <c r="F2" s="60"/>
    </row>
    <row r="3" spans="2:6" ht="16.2" thickBot="1" x14ac:dyDescent="0.35">
      <c r="B3" s="436" t="s">
        <v>63</v>
      </c>
      <c r="C3" s="437"/>
      <c r="D3" s="437"/>
      <c r="E3" s="72" t="s">
        <v>64</v>
      </c>
      <c r="F3" s="73" t="s">
        <v>65</v>
      </c>
    </row>
    <row r="4" spans="2:6" ht="31.2" x14ac:dyDescent="0.3">
      <c r="B4" s="438" t="s">
        <v>66</v>
      </c>
      <c r="C4" s="440" t="s">
        <v>13</v>
      </c>
      <c r="D4" s="61" t="s">
        <v>14</v>
      </c>
      <c r="E4" s="62" t="s">
        <v>67</v>
      </c>
      <c r="F4" s="63">
        <v>0.25</v>
      </c>
    </row>
    <row r="5" spans="2:6" ht="46.8" x14ac:dyDescent="0.3">
      <c r="B5" s="439"/>
      <c r="C5" s="441"/>
      <c r="D5" s="64" t="s">
        <v>15</v>
      </c>
      <c r="E5" s="65" t="s">
        <v>68</v>
      </c>
      <c r="F5" s="66">
        <v>0.15</v>
      </c>
    </row>
    <row r="6" spans="2:6" ht="46.8" x14ac:dyDescent="0.3">
      <c r="B6" s="439"/>
      <c r="C6" s="441"/>
      <c r="D6" s="64" t="s">
        <v>16</v>
      </c>
      <c r="E6" s="65" t="s">
        <v>69</v>
      </c>
      <c r="F6" s="66">
        <v>0.1</v>
      </c>
    </row>
    <row r="7" spans="2:6" ht="62.4" x14ac:dyDescent="0.3">
      <c r="B7" s="439"/>
      <c r="C7" s="441" t="s">
        <v>17</v>
      </c>
      <c r="D7" s="64" t="s">
        <v>10</v>
      </c>
      <c r="E7" s="65" t="s">
        <v>70</v>
      </c>
      <c r="F7" s="66">
        <v>0.25</v>
      </c>
    </row>
    <row r="8" spans="2:6" ht="31.2" x14ac:dyDescent="0.3">
      <c r="B8" s="439"/>
      <c r="C8" s="441"/>
      <c r="D8" s="64" t="s">
        <v>9</v>
      </c>
      <c r="E8" s="65" t="s">
        <v>71</v>
      </c>
      <c r="F8" s="66">
        <v>0.15</v>
      </c>
    </row>
    <row r="9" spans="2:6" ht="46.8" x14ac:dyDescent="0.3">
      <c r="B9" s="439" t="s">
        <v>150</v>
      </c>
      <c r="C9" s="441" t="s">
        <v>18</v>
      </c>
      <c r="D9" s="64" t="s">
        <v>19</v>
      </c>
      <c r="E9" s="65" t="s">
        <v>72</v>
      </c>
      <c r="F9" s="67" t="s">
        <v>73</v>
      </c>
    </row>
    <row r="10" spans="2:6" ht="46.8" x14ac:dyDescent="0.3">
      <c r="B10" s="439"/>
      <c r="C10" s="441"/>
      <c r="D10" s="64" t="s">
        <v>20</v>
      </c>
      <c r="E10" s="65" t="s">
        <v>74</v>
      </c>
      <c r="F10" s="67" t="s">
        <v>73</v>
      </c>
    </row>
    <row r="11" spans="2:6" ht="46.8" x14ac:dyDescent="0.3">
      <c r="B11" s="439"/>
      <c r="C11" s="441" t="s">
        <v>21</v>
      </c>
      <c r="D11" s="64" t="s">
        <v>22</v>
      </c>
      <c r="E11" s="65" t="s">
        <v>75</v>
      </c>
      <c r="F11" s="67" t="s">
        <v>73</v>
      </c>
    </row>
    <row r="12" spans="2:6" ht="46.8" x14ac:dyDescent="0.3">
      <c r="B12" s="439"/>
      <c r="C12" s="441"/>
      <c r="D12" s="64" t="s">
        <v>23</v>
      </c>
      <c r="E12" s="65" t="s">
        <v>76</v>
      </c>
      <c r="F12" s="67" t="s">
        <v>73</v>
      </c>
    </row>
    <row r="13" spans="2:6" ht="31.2" x14ac:dyDescent="0.3">
      <c r="B13" s="439"/>
      <c r="C13" s="441" t="s">
        <v>24</v>
      </c>
      <c r="D13" s="64" t="s">
        <v>114</v>
      </c>
      <c r="E13" s="65" t="s">
        <v>117</v>
      </c>
      <c r="F13" s="67" t="s">
        <v>73</v>
      </c>
    </row>
    <row r="14" spans="2:6" ht="16.2" thickBot="1" x14ac:dyDescent="0.35">
      <c r="B14" s="442"/>
      <c r="C14" s="443"/>
      <c r="D14" s="68" t="s">
        <v>115</v>
      </c>
      <c r="E14" s="69" t="s">
        <v>116</v>
      </c>
      <c r="F14" s="70" t="s">
        <v>73</v>
      </c>
    </row>
    <row r="15" spans="2:6" ht="49.5" customHeight="1" x14ac:dyDescent="0.3">
      <c r="B15" s="435" t="s">
        <v>147</v>
      </c>
      <c r="C15" s="435"/>
      <c r="D15" s="435"/>
      <c r="E15" s="435"/>
      <c r="F15" s="435"/>
    </row>
    <row r="16" spans="2:6" ht="27" customHeight="1" x14ac:dyDescent="0.3">
      <c r="B16" s="7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heetViews>
  <sheetFormatPr baseColWidth="10" defaultColWidth="11.5546875" defaultRowHeight="14.4" x14ac:dyDescent="0.3"/>
  <sheetData>
    <row r="2" spans="2:5" x14ac:dyDescent="0.3">
      <c r="B2" t="s">
        <v>31</v>
      </c>
      <c r="E2" t="s">
        <v>127</v>
      </c>
    </row>
    <row r="3" spans="2:5" x14ac:dyDescent="0.3">
      <c r="B3" t="s">
        <v>32</v>
      </c>
      <c r="E3" t="s">
        <v>126</v>
      </c>
    </row>
    <row r="4" spans="2:5" x14ac:dyDescent="0.3">
      <c r="B4" t="s">
        <v>131</v>
      </c>
      <c r="E4" t="s">
        <v>128</v>
      </c>
    </row>
    <row r="5" spans="2:5" x14ac:dyDescent="0.3">
      <c r="B5" t="s">
        <v>130</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heetViews>
  <sheetFormatPr baseColWidth="10" defaultColWidth="11.44140625" defaultRowHeight="13.8" x14ac:dyDescent="0.3"/>
  <cols>
    <col min="1" max="1" width="32.88671875" style="1" customWidth="1"/>
    <col min="2" max="16384" width="11.44140625" style="1"/>
  </cols>
  <sheetData>
    <row r="3" spans="1:1" x14ac:dyDescent="0.3">
      <c r="A3" s="2" t="s">
        <v>14</v>
      </c>
    </row>
    <row r="4" spans="1:1" x14ac:dyDescent="0.3">
      <c r="A4" s="2" t="s">
        <v>15</v>
      </c>
    </row>
    <row r="5" spans="1:1" x14ac:dyDescent="0.3">
      <c r="A5" s="2" t="s">
        <v>16</v>
      </c>
    </row>
    <row r="6" spans="1:1" x14ac:dyDescent="0.3">
      <c r="A6" s="2" t="s">
        <v>10</v>
      </c>
    </row>
    <row r="7" spans="1:1" x14ac:dyDescent="0.3">
      <c r="A7" s="2" t="s">
        <v>9</v>
      </c>
    </row>
    <row r="8" spans="1:1" x14ac:dyDescent="0.3">
      <c r="A8" s="2" t="s">
        <v>19</v>
      </c>
    </row>
    <row r="9" spans="1:1" x14ac:dyDescent="0.3">
      <c r="A9" s="2" t="s">
        <v>20</v>
      </c>
    </row>
    <row r="10" spans="1:1" x14ac:dyDescent="0.3">
      <c r="A10" s="2" t="s">
        <v>22</v>
      </c>
    </row>
    <row r="11" spans="1:1" x14ac:dyDescent="0.3">
      <c r="A11" s="2" t="s">
        <v>23</v>
      </c>
    </row>
    <row r="12" spans="1:1" x14ac:dyDescent="0.3">
      <c r="A12" s="2" t="s">
        <v>25</v>
      </c>
    </row>
    <row r="13" spans="1:1" x14ac:dyDescent="0.3">
      <c r="A13" s="2" t="s">
        <v>26</v>
      </c>
    </row>
    <row r="14" spans="1:1" x14ac:dyDescent="0.3">
      <c r="A14" s="2" t="s">
        <v>27</v>
      </c>
    </row>
    <row r="16" spans="1:1" x14ac:dyDescent="0.3">
      <c r="A16" s="2" t="s">
        <v>30</v>
      </c>
    </row>
    <row r="17" spans="1:1" x14ac:dyDescent="0.3">
      <c r="A17" s="2" t="s">
        <v>31</v>
      </c>
    </row>
    <row r="18" spans="1:1" x14ac:dyDescent="0.3">
      <c r="A18" s="2" t="s">
        <v>32</v>
      </c>
    </row>
    <row r="20" spans="1:1" x14ac:dyDescent="0.3">
      <c r="A20" s="2" t="s">
        <v>40</v>
      </c>
    </row>
    <row r="21" spans="1:1" x14ac:dyDescent="0.3">
      <c r="A21" s="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Andres Murillo</cp:lastModifiedBy>
  <cp:lastPrinted>2020-05-13T01:12:22Z</cp:lastPrinted>
  <dcterms:created xsi:type="dcterms:W3CDTF">2020-03-24T23:12:47Z</dcterms:created>
  <dcterms:modified xsi:type="dcterms:W3CDTF">2022-07-27T15:21:30Z</dcterms:modified>
</cp:coreProperties>
</file>