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hidePivotFieldList="1" defaultThemeVersion="124226"/>
  <mc:AlternateContent xmlns:mc="http://schemas.openxmlformats.org/markup-compatibility/2006">
    <mc:Choice Requires="x15">
      <x15ac:absPath xmlns:x15ac="http://schemas.microsoft.com/office/spreadsheetml/2010/11/ac" url="C:\Users\Sandy Poveda Vargas\Desktop\mapas de riesgos actualizado 21 de abril del 2023\"/>
    </mc:Choice>
  </mc:AlternateContent>
  <bookViews>
    <workbookView xWindow="0" yWindow="0" windowWidth="20490" windowHeight="7650"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s>
  <definedNames>
    <definedName name="_xlnm._FilterDatabase" localSheetId="1" hidden="1">'Mapa final'!$A$9:$BR$9</definedName>
  </definedNames>
  <calcPr calcId="162913"/>
  <pivotCaches>
    <pivotCache cacheId="0" r:id="rId11"/>
  </pivotCaches>
</workbook>
</file>

<file path=xl/calcChain.xml><?xml version="1.0" encoding="utf-8"?>
<calcChain xmlns="http://schemas.openxmlformats.org/spreadsheetml/2006/main">
  <c r="J12" i="1" l="1"/>
  <c r="K12" i="1" s="1"/>
  <c r="J11" i="1"/>
  <c r="K11" i="1" s="1"/>
  <c r="V10" i="1" l="1"/>
  <c r="S10" i="1"/>
  <c r="J10" i="1"/>
  <c r="K10" i="1" s="1"/>
  <c r="M53" i="1"/>
  <c r="M57" i="1"/>
  <c r="M21" i="1"/>
  <c r="M64" i="1"/>
  <c r="M28" i="1"/>
  <c r="M26" i="1"/>
  <c r="M50" i="1"/>
  <c r="M45" i="1"/>
  <c r="M22" i="1"/>
  <c r="M23" i="1"/>
  <c r="M51" i="1"/>
  <c r="M54" i="1"/>
  <c r="M38" i="1"/>
  <c r="M59" i="1"/>
  <c r="M62" i="1"/>
  <c r="M65" i="1"/>
  <c r="M32" i="1"/>
  <c r="M48" i="1"/>
  <c r="M41" i="1"/>
  <c r="M35" i="1"/>
  <c r="M44" i="1"/>
  <c r="M39" i="1"/>
  <c r="M42" i="1"/>
  <c r="M27" i="1"/>
  <c r="M60" i="1"/>
  <c r="M40" i="1"/>
  <c r="M58" i="1"/>
  <c r="M34" i="1"/>
  <c r="M24" i="1"/>
  <c r="M36" i="1"/>
  <c r="M29" i="1"/>
  <c r="M56" i="1"/>
  <c r="M52" i="1"/>
  <c r="M20" i="1"/>
  <c r="M63" i="1"/>
  <c r="M47" i="1"/>
  <c r="M33" i="1"/>
  <c r="M30" i="1"/>
  <c r="M66" i="1"/>
  <c r="F221" i="13" l="1"/>
  <c r="F211" i="13"/>
  <c r="F212" i="13"/>
  <c r="F213" i="13"/>
  <c r="F214" i="13"/>
  <c r="F215" i="13"/>
  <c r="F216" i="13"/>
  <c r="F217" i="13"/>
  <c r="F218" i="13"/>
  <c r="F219" i="13"/>
  <c r="F220" i="13"/>
  <c r="F210" i="13"/>
  <c r="M11" i="1"/>
  <c r="M12" i="1"/>
  <c r="B221" i="13" a="1"/>
  <c r="M46" i="1"/>
  <c r="N12" i="1" l="1"/>
  <c r="N11" i="1"/>
  <c r="B221" i="13"/>
  <c r="S49" i="1"/>
  <c r="S44" i="1"/>
  <c r="S38" i="1"/>
  <c r="O12" i="1" l="1"/>
  <c r="P12" i="1"/>
  <c r="O11" i="1"/>
  <c r="P1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V66" i="1" l="1"/>
  <c r="S66" i="1"/>
  <c r="V65" i="1"/>
  <c r="S65" i="1"/>
  <c r="V64" i="1"/>
  <c r="S64" i="1"/>
  <c r="V63" i="1"/>
  <c r="S63" i="1"/>
  <c r="V62" i="1"/>
  <c r="S62" i="1"/>
  <c r="V61" i="1"/>
  <c r="S61" i="1"/>
  <c r="J61" i="1"/>
  <c r="K61" i="1" s="1"/>
  <c r="V60" i="1"/>
  <c r="S60" i="1"/>
  <c r="V59" i="1"/>
  <c r="S59" i="1"/>
  <c r="V58" i="1"/>
  <c r="S58" i="1"/>
  <c r="V57" i="1"/>
  <c r="S57" i="1"/>
  <c r="V56" i="1"/>
  <c r="S56" i="1"/>
  <c r="V55" i="1"/>
  <c r="S55" i="1"/>
  <c r="J55" i="1"/>
  <c r="K55" i="1" s="1"/>
  <c r="V54" i="1"/>
  <c r="S54" i="1"/>
  <c r="V53" i="1"/>
  <c r="S53" i="1"/>
  <c r="V52" i="1"/>
  <c r="S52" i="1"/>
  <c r="V51" i="1"/>
  <c r="S51" i="1"/>
  <c r="V50" i="1"/>
  <c r="S50" i="1"/>
  <c r="V49" i="1"/>
  <c r="J49" i="1"/>
  <c r="K49" i="1" s="1"/>
  <c r="V48" i="1"/>
  <c r="S48" i="1"/>
  <c r="V47" i="1"/>
  <c r="S47" i="1"/>
  <c r="V46" i="1"/>
  <c r="S46" i="1"/>
  <c r="V45" i="1"/>
  <c r="S45" i="1"/>
  <c r="V44" i="1"/>
  <c r="V43" i="1"/>
  <c r="S43" i="1"/>
  <c r="J43" i="1"/>
  <c r="K43" i="1" s="1"/>
  <c r="V42" i="1"/>
  <c r="S42" i="1"/>
  <c r="V41" i="1"/>
  <c r="S41" i="1"/>
  <c r="V40" i="1"/>
  <c r="S40" i="1"/>
  <c r="V39" i="1"/>
  <c r="S39" i="1"/>
  <c r="V38" i="1"/>
  <c r="V37" i="1"/>
  <c r="S37" i="1"/>
  <c r="J37" i="1"/>
  <c r="K37" i="1" s="1"/>
  <c r="V36" i="1"/>
  <c r="S36" i="1"/>
  <c r="V35" i="1"/>
  <c r="S35" i="1"/>
  <c r="V34" i="1"/>
  <c r="S34" i="1"/>
  <c r="V33" i="1"/>
  <c r="S33" i="1"/>
  <c r="V32" i="1"/>
  <c r="S32" i="1"/>
  <c r="V31" i="1"/>
  <c r="S31" i="1"/>
  <c r="J31" i="1"/>
  <c r="K31" i="1" s="1"/>
  <c r="V30" i="1"/>
  <c r="S30" i="1"/>
  <c r="V29" i="1"/>
  <c r="S29" i="1"/>
  <c r="V28" i="1"/>
  <c r="S28" i="1"/>
  <c r="V27" i="1"/>
  <c r="S27" i="1"/>
  <c r="V26" i="1"/>
  <c r="S26" i="1"/>
  <c r="V25" i="1"/>
  <c r="S25" i="1"/>
  <c r="J25" i="1"/>
  <c r="K25" i="1" s="1"/>
  <c r="V24" i="1"/>
  <c r="S24" i="1"/>
  <c r="V23" i="1"/>
  <c r="S23" i="1"/>
  <c r="V22" i="1"/>
  <c r="S22" i="1"/>
  <c r="V21" i="1"/>
  <c r="S21" i="1"/>
  <c r="V20" i="1"/>
  <c r="S20" i="1"/>
  <c r="V19" i="1"/>
  <c r="S19" i="1"/>
  <c r="J19" i="1"/>
  <c r="K19" i="1" s="1"/>
  <c r="AD47" i="1" l="1"/>
  <c r="AC47" i="1" s="1"/>
  <c r="AD48" i="1"/>
  <c r="AC48" i="1" s="1"/>
  <c r="Z61" i="1"/>
  <c r="Z55" i="1"/>
  <c r="Z49" i="1"/>
  <c r="Z43" i="1"/>
  <c r="Z47" i="1"/>
  <c r="Z48" i="1"/>
  <c r="Z37" i="1"/>
  <c r="Z31" i="1"/>
  <c r="Z25" i="1"/>
  <c r="Z19" i="1"/>
  <c r="AA61" i="1" l="1"/>
  <c r="AB61" i="1"/>
  <c r="Z62" i="1" s="1"/>
  <c r="AA62" i="1" s="1"/>
  <c r="AA55" i="1"/>
  <c r="AB55" i="1"/>
  <c r="Z56" i="1" s="1"/>
  <c r="AB56" i="1" s="1"/>
  <c r="Z57" i="1" s="1"/>
  <c r="AA49" i="1"/>
  <c r="AB49" i="1"/>
  <c r="Z50" i="1" s="1"/>
  <c r="AB50" i="1" s="1"/>
  <c r="Z51" i="1" s="1"/>
  <c r="AA48" i="1"/>
  <c r="AB48" i="1"/>
  <c r="AA47" i="1"/>
  <c r="AB47" i="1"/>
  <c r="AA43" i="1"/>
  <c r="AB43" i="1"/>
  <c r="AA37" i="1"/>
  <c r="AB37" i="1"/>
  <c r="Z38" i="1" s="1"/>
  <c r="AB38" i="1" s="1"/>
  <c r="Z39" i="1" s="1"/>
  <c r="AA31" i="1"/>
  <c r="AB31" i="1"/>
  <c r="AA25" i="1"/>
  <c r="AB25" i="1"/>
  <c r="Z26" i="1" s="1"/>
  <c r="AB26" i="1" s="1"/>
  <c r="Z27" i="1" s="1"/>
  <c r="AA27" i="1" s="1"/>
  <c r="AA19" i="1"/>
  <c r="AB19" i="1"/>
  <c r="Z20" i="1" s="1"/>
  <c r="AA20" i="1" s="1"/>
  <c r="AA56" i="1" l="1"/>
  <c r="AA50" i="1"/>
  <c r="AB20" i="1"/>
  <c r="Z21" i="1" s="1"/>
  <c r="AA21" i="1" s="1"/>
  <c r="AA38" i="1"/>
  <c r="AA26" i="1"/>
  <c r="AA39" i="1"/>
  <c r="AB39" i="1"/>
  <c r="AB57" i="1"/>
  <c r="Z58" i="1" s="1"/>
  <c r="AA57" i="1"/>
  <c r="AB51" i="1"/>
  <c r="Z52" i="1" s="1"/>
  <c r="AA51" i="1"/>
  <c r="AB62" i="1"/>
  <c r="Z63" i="1" s="1"/>
  <c r="Z32" i="1"/>
  <c r="Z44" i="1"/>
  <c r="Z45" i="1"/>
  <c r="AB27"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E47" i="1"/>
  <c r="AE48" i="1"/>
  <c r="V11" i="1"/>
  <c r="V12" i="1"/>
  <c r="AA58" i="1" l="1"/>
  <c r="AB58" i="1"/>
  <c r="AA52" i="1"/>
  <c r="AB52" i="1"/>
  <c r="Z53" i="1" s="1"/>
  <c r="AB21" i="1"/>
  <c r="Z22" i="1" s="1"/>
  <c r="AB22" i="1" s="1"/>
  <c r="AA45" i="1"/>
  <c r="AB45" i="1"/>
  <c r="Z46" i="1" s="1"/>
  <c r="AA63" i="1"/>
  <c r="AB63" i="1"/>
  <c r="Z64" i="1" s="1"/>
  <c r="AA44" i="1"/>
  <c r="AB44" i="1"/>
  <c r="Z40" i="1"/>
  <c r="AA32" i="1"/>
  <c r="AB32" i="1"/>
  <c r="Z33" i="1" s="1"/>
  <c r="AA33" i="1" s="1"/>
  <c r="Z29" i="1"/>
  <c r="AA29" i="1" s="1"/>
  <c r="Z28" i="1"/>
  <c r="AB33" i="1" l="1"/>
  <c r="Z34" i="1" s="1"/>
  <c r="AB34" i="1" s="1"/>
  <c r="Z35" i="1" s="1"/>
  <c r="AA53" i="1"/>
  <c r="AB53" i="1"/>
  <c r="Z54" i="1" s="1"/>
  <c r="Z59" i="1"/>
  <c r="Z60" i="1"/>
  <c r="AA22" i="1"/>
  <c r="AA40" i="1"/>
  <c r="AB40" i="1"/>
  <c r="Z41" i="1" s="1"/>
  <c r="AA41" i="1" s="1"/>
  <c r="AA46" i="1"/>
  <c r="AB46" i="1"/>
  <c r="Z23" i="1"/>
  <c r="AB64" i="1"/>
  <c r="AA64" i="1"/>
  <c r="AA28" i="1"/>
  <c r="AB28" i="1"/>
  <c r="AB29" i="1"/>
  <c r="Z30" i="1" s="1"/>
  <c r="AA34" i="1" l="1"/>
  <c r="AA60" i="1"/>
  <c r="AB60" i="1"/>
  <c r="AA59" i="1"/>
  <c r="AB59" i="1"/>
  <c r="AA54" i="1"/>
  <c r="AB54" i="1"/>
  <c r="Z65" i="1"/>
  <c r="Z66" i="1"/>
  <c r="AB41" i="1"/>
  <c r="Z42" i="1" s="1"/>
  <c r="AA42" i="1" s="1"/>
  <c r="AB35" i="1"/>
  <c r="Z36" i="1" s="1"/>
  <c r="AA35" i="1"/>
  <c r="AA23" i="1"/>
  <c r="AB23" i="1"/>
  <c r="Z24" i="1" s="1"/>
  <c r="AA24" i="1" s="1"/>
  <c r="AA30" i="1"/>
  <c r="AB30" i="1"/>
  <c r="Z10" i="1"/>
  <c r="AA10" i="1" s="1"/>
  <c r="AA66" i="1" l="1"/>
  <c r="AB66" i="1"/>
  <c r="AA65" i="1"/>
  <c r="AB65" i="1"/>
  <c r="AA36" i="1"/>
  <c r="AB36" i="1"/>
  <c r="AB42" i="1"/>
  <c r="AB24" i="1"/>
  <c r="S11" i="1"/>
  <c r="AB10" i="1" l="1"/>
  <c r="Z11" i="1" s="1"/>
  <c r="AA11" i="1" l="1"/>
  <c r="AB11" i="1" l="1"/>
  <c r="Z12" i="1" s="1"/>
  <c r="AA12" i="1" s="1"/>
  <c r="AB12" i="1" l="1"/>
  <c r="AD38" i="18" l="1"/>
  <c r="L30" i="18"/>
  <c r="AD30" i="18"/>
  <c r="AJ6" i="18"/>
  <c r="L14" i="18"/>
  <c r="L22" i="18"/>
  <c r="X6" i="18"/>
  <c r="L6" i="18"/>
  <c r="R38" i="18"/>
  <c r="AJ38" i="18"/>
  <c r="L38" i="18"/>
  <c r="AD6" i="18"/>
  <c r="R6" i="18"/>
  <c r="AJ30" i="18"/>
  <c r="R30" i="18"/>
  <c r="AD22" i="18"/>
  <c r="AJ14" i="18"/>
  <c r="AJ22" i="18"/>
  <c r="AD14" i="18"/>
  <c r="X38" i="18"/>
  <c r="X14" i="18"/>
  <c r="R22" i="18"/>
  <c r="X22" i="18"/>
  <c r="R14" i="18"/>
  <c r="X30" i="18"/>
  <c r="AD26" i="1" l="1"/>
  <c r="AD25" i="1"/>
  <c r="AC25" i="1" s="1"/>
  <c r="AD63" i="1"/>
  <c r="AD56" i="1"/>
  <c r="AD55" i="1"/>
  <c r="AD38" i="1"/>
  <c r="AD37" i="1"/>
  <c r="AC37" i="1" s="1"/>
  <c r="AD50" i="1"/>
  <c r="AD49" i="1"/>
  <c r="AC49" i="1" s="1"/>
  <c r="AD20" i="1"/>
  <c r="AD19" i="1"/>
  <c r="AC19" i="1" s="1"/>
  <c r="AD44" i="1"/>
  <c r="AD43" i="1"/>
  <c r="AC43" i="1" s="1"/>
  <c r="AD32" i="1"/>
  <c r="AD31" i="1"/>
  <c r="AC31" i="1" s="1"/>
  <c r="J40" i="19" l="1"/>
  <c r="V30" i="19"/>
  <c r="AH20" i="19"/>
  <c r="J30" i="19"/>
  <c r="V20" i="19"/>
  <c r="AH10" i="19"/>
  <c r="P10" i="19"/>
  <c r="AB50" i="19"/>
  <c r="J50" i="19"/>
  <c r="AB40" i="19"/>
  <c r="P30" i="19"/>
  <c r="V50" i="19"/>
  <c r="P50" i="19"/>
  <c r="AB10" i="19"/>
  <c r="AH30" i="19"/>
  <c r="AH40" i="19"/>
  <c r="J10" i="19"/>
  <c r="AB20" i="19"/>
  <c r="AH50" i="19"/>
  <c r="AE31" i="1"/>
  <c r="V10" i="19"/>
  <c r="P20" i="19"/>
  <c r="J20" i="19"/>
  <c r="P40" i="19"/>
  <c r="V40" i="19"/>
  <c r="AB30" i="19"/>
  <c r="J11" i="19"/>
  <c r="V11" i="19"/>
  <c r="AB21" i="19"/>
  <c r="P31" i="19"/>
  <c r="J31" i="19"/>
  <c r="AB41" i="19"/>
  <c r="AE37" i="1"/>
  <c r="AH41" i="19"/>
  <c r="P41" i="19"/>
  <c r="J21" i="19"/>
  <c r="AB31" i="19"/>
  <c r="AB51" i="19"/>
  <c r="P21" i="19"/>
  <c r="V41" i="19"/>
  <c r="V31" i="19"/>
  <c r="AH21" i="19"/>
  <c r="AB11" i="19"/>
  <c r="P51" i="19"/>
  <c r="V21" i="19"/>
  <c r="AH31" i="19"/>
  <c r="V51" i="19"/>
  <c r="J51" i="19"/>
  <c r="AH51" i="19"/>
  <c r="AH11" i="19"/>
  <c r="J41" i="19"/>
  <c r="P11" i="19"/>
  <c r="AC20" i="1"/>
  <c r="AD21" i="1"/>
  <c r="AE49"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C55" i="1"/>
  <c r="AD62" i="1"/>
  <c r="AC62" i="1" s="1"/>
  <c r="AE25"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E19"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C63" i="1"/>
  <c r="AD64" i="1"/>
  <c r="AD33" i="1"/>
  <c r="AC32" i="1"/>
  <c r="AC38" i="1"/>
  <c r="AD39" i="1"/>
  <c r="AC39" i="1" s="1"/>
  <c r="AD40" i="1"/>
  <c r="V32" i="19"/>
  <c r="P42" i="19"/>
  <c r="J12" i="19"/>
  <c r="J32" i="19"/>
  <c r="AB52" i="19"/>
  <c r="AE43" i="1"/>
  <c r="J22" i="19"/>
  <c r="V22" i="19"/>
  <c r="J52" i="19"/>
  <c r="AH12" i="19"/>
  <c r="J42" i="19"/>
  <c r="AH42" i="19"/>
  <c r="P32" i="19"/>
  <c r="AB12" i="19"/>
  <c r="AH32" i="19"/>
  <c r="AB32" i="19"/>
  <c r="AB42" i="19"/>
  <c r="V42" i="19"/>
  <c r="V12" i="19"/>
  <c r="V52" i="19"/>
  <c r="AB22" i="19"/>
  <c r="AH52" i="19"/>
  <c r="AH22" i="19"/>
  <c r="P22" i="19"/>
  <c r="P12" i="19"/>
  <c r="P52" i="19"/>
  <c r="AD45" i="1"/>
  <c r="AC45" i="1" s="1"/>
  <c r="AD46" i="1"/>
  <c r="AC46" i="1" s="1"/>
  <c r="AC44" i="1"/>
  <c r="AC50" i="1"/>
  <c r="AD51" i="1"/>
  <c r="AC56" i="1"/>
  <c r="AD57" i="1"/>
  <c r="AC26" i="1"/>
  <c r="AD27" i="1"/>
  <c r="AC64" i="1" l="1"/>
  <c r="AD65" i="1"/>
  <c r="K35" i="19"/>
  <c r="AC25" i="19"/>
  <c r="K45" i="19"/>
  <c r="AI45" i="19"/>
  <c r="W45" i="19"/>
  <c r="Q35" i="19"/>
  <c r="K55" i="19"/>
  <c r="AC15" i="19"/>
  <c r="Q15" i="19"/>
  <c r="AC35" i="19"/>
  <c r="AI35" i="19"/>
  <c r="Q55" i="19"/>
  <c r="AI25" i="19"/>
  <c r="AE62"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E56"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E38" i="1"/>
  <c r="AD55" i="19"/>
  <c r="R15" i="19"/>
  <c r="AJ35" i="19"/>
  <c r="AE63"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E55"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E45" i="1"/>
  <c r="AD12" i="19"/>
  <c r="AD32" i="19"/>
  <c r="AD22" i="19"/>
  <c r="X52" i="19"/>
  <c r="AD52" i="19"/>
  <c r="L42" i="19"/>
  <c r="R42" i="19"/>
  <c r="AJ21" i="19"/>
  <c r="AD31" i="19"/>
  <c r="R21" i="19"/>
  <c r="AD41" i="19"/>
  <c r="AJ11" i="19"/>
  <c r="AJ51" i="19"/>
  <c r="AE39" i="1"/>
  <c r="L41" i="19"/>
  <c r="AD11" i="19"/>
  <c r="L21" i="19"/>
  <c r="L11" i="19"/>
  <c r="X51" i="19"/>
  <c r="X21" i="19"/>
  <c r="R11" i="19"/>
  <c r="R31" i="19"/>
  <c r="AJ41" i="19"/>
  <c r="L31" i="19"/>
  <c r="R51" i="19"/>
  <c r="X31" i="19"/>
  <c r="X11" i="19"/>
  <c r="X41" i="19"/>
  <c r="AJ31" i="19"/>
  <c r="AD51" i="19"/>
  <c r="R41" i="19"/>
  <c r="AD21" i="19"/>
  <c r="L51" i="19"/>
  <c r="AC27" i="1"/>
  <c r="AD28" i="1"/>
  <c r="AC51" i="1"/>
  <c r="AD52" i="1"/>
  <c r="K42" i="19"/>
  <c r="AC32" i="19"/>
  <c r="W42" i="19"/>
  <c r="AI52" i="19"/>
  <c r="K22" i="19"/>
  <c r="Q32" i="19"/>
  <c r="AI12" i="19"/>
  <c r="AC52" i="19"/>
  <c r="Q42" i="19"/>
  <c r="AC42" i="19"/>
  <c r="K12" i="19"/>
  <c r="Q22" i="19"/>
  <c r="W52" i="19"/>
  <c r="AI42" i="19"/>
  <c r="W32" i="19"/>
  <c r="AI22" i="19"/>
  <c r="W12" i="19"/>
  <c r="AI32" i="19"/>
  <c r="AC12" i="19"/>
  <c r="Q12" i="19"/>
  <c r="Q52" i="19"/>
  <c r="AE44" i="1"/>
  <c r="K32" i="19"/>
  <c r="W22" i="19"/>
  <c r="K52" i="19"/>
  <c r="AC22" i="19"/>
  <c r="AC40" i="19"/>
  <c r="W10" i="19"/>
  <c r="AC50" i="19"/>
  <c r="Q10" i="19"/>
  <c r="Q30" i="19"/>
  <c r="W50" i="19"/>
  <c r="K40" i="19"/>
  <c r="Q50" i="19"/>
  <c r="W20" i="19"/>
  <c r="AE32" i="1"/>
  <c r="K10" i="19"/>
  <c r="Q40" i="19"/>
  <c r="K30" i="19"/>
  <c r="AI50" i="19"/>
  <c r="AI20" i="19"/>
  <c r="K50" i="19"/>
  <c r="AI40" i="19"/>
  <c r="W40" i="19"/>
  <c r="K20" i="19"/>
  <c r="AC10" i="19"/>
  <c r="AI10" i="19"/>
  <c r="AC20" i="19"/>
  <c r="AI30" i="19"/>
  <c r="AC30" i="19"/>
  <c r="W30" i="19"/>
  <c r="Q20" i="19"/>
  <c r="AD22" i="1"/>
  <c r="AC21" i="1"/>
  <c r="AC57" i="1"/>
  <c r="AD58" i="1"/>
  <c r="K39" i="19"/>
  <c r="AC39" i="19"/>
  <c r="W29" i="19"/>
  <c r="AI49" i="19"/>
  <c r="W9" i="19"/>
  <c r="AC19" i="19"/>
  <c r="Q49" i="19"/>
  <c r="W49" i="19"/>
  <c r="AC9" i="19"/>
  <c r="AI9" i="19"/>
  <c r="Q29" i="19"/>
  <c r="W39" i="19"/>
  <c r="Q39" i="19"/>
  <c r="AE26"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E50" i="1"/>
  <c r="Q33" i="19"/>
  <c r="AI23" i="19"/>
  <c r="K53" i="19"/>
  <c r="AC23" i="19"/>
  <c r="AC13" i="19"/>
  <c r="W23" i="19"/>
  <c r="W33" i="19"/>
  <c r="Q13" i="19"/>
  <c r="W13" i="19"/>
  <c r="AI13" i="19"/>
  <c r="Q43" i="19"/>
  <c r="Q23" i="19"/>
  <c r="W53" i="19"/>
  <c r="M12" i="19"/>
  <c r="AK42" i="19"/>
  <c r="AE32" i="19"/>
  <c r="AE46" i="1"/>
  <c r="M52" i="19"/>
  <c r="S12" i="19"/>
  <c r="M32" i="19"/>
  <c r="S52" i="19"/>
  <c r="Y52" i="19"/>
  <c r="Y42" i="19"/>
  <c r="AK12" i="19"/>
  <c r="S22" i="19"/>
  <c r="AE12" i="19"/>
  <c r="Y22" i="19"/>
  <c r="S32" i="19"/>
  <c r="AK52" i="19"/>
  <c r="M22" i="19"/>
  <c r="AK32" i="19"/>
  <c r="AE22" i="19"/>
  <c r="AE42" i="19"/>
  <c r="Y32" i="19"/>
  <c r="M42" i="19"/>
  <c r="Y12" i="19"/>
  <c r="AE52" i="19"/>
  <c r="AK22" i="19"/>
  <c r="S42" i="19"/>
  <c r="AC40" i="1"/>
  <c r="AD42" i="1"/>
  <c r="AC42" i="1" s="1"/>
  <c r="AD41" i="1"/>
  <c r="AC41" i="1" s="1"/>
  <c r="AC33" i="1"/>
  <c r="AD3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E20" i="1"/>
  <c r="R40" i="19" l="1"/>
  <c r="AD10" i="19"/>
  <c r="X40" i="19"/>
  <c r="AJ10" i="19"/>
  <c r="R50" i="19"/>
  <c r="X10" i="19"/>
  <c r="R30" i="19"/>
  <c r="AE33" i="1"/>
  <c r="L10" i="19"/>
  <c r="L50" i="19"/>
  <c r="AJ20" i="19"/>
  <c r="AJ40" i="19"/>
  <c r="AD30" i="19"/>
  <c r="R20" i="19"/>
  <c r="AD50" i="19"/>
  <c r="AJ30" i="19"/>
  <c r="AJ50" i="19"/>
  <c r="X30" i="19"/>
  <c r="AD20" i="19"/>
  <c r="L40" i="19"/>
  <c r="X50" i="19"/>
  <c r="X20" i="19"/>
  <c r="AD40" i="19"/>
  <c r="R10" i="19"/>
  <c r="L30" i="19"/>
  <c r="L20" i="19"/>
  <c r="AC52" i="1"/>
  <c r="AD53" i="1"/>
  <c r="AC65" i="1"/>
  <c r="AD66" i="1"/>
  <c r="AC66" i="1" s="1"/>
  <c r="AD47" i="19"/>
  <c r="AJ27" i="19"/>
  <c r="AD27" i="19"/>
  <c r="AJ7" i="19"/>
  <c r="AJ37" i="19"/>
  <c r="L27" i="19"/>
  <c r="AD17" i="19"/>
  <c r="L37" i="19"/>
  <c r="R17" i="19"/>
  <c r="AJ17" i="19"/>
  <c r="X7" i="19"/>
  <c r="X47" i="19"/>
  <c r="L7" i="19"/>
  <c r="L17" i="19"/>
  <c r="R27" i="19"/>
  <c r="X27" i="19"/>
  <c r="R7" i="19"/>
  <c r="X17" i="19"/>
  <c r="AJ47" i="19"/>
  <c r="L47" i="19"/>
  <c r="R37" i="19"/>
  <c r="AD7" i="19"/>
  <c r="X37" i="19"/>
  <c r="R47" i="19"/>
  <c r="AD37" i="19"/>
  <c r="AD23" i="1"/>
  <c r="AC23" i="1" s="1"/>
  <c r="AC22" i="1"/>
  <c r="AD24" i="1"/>
  <c r="AC24" i="1" s="1"/>
  <c r="AJ43" i="19"/>
  <c r="AD33" i="19"/>
  <c r="X33" i="19"/>
  <c r="X13" i="19"/>
  <c r="AD43" i="19"/>
  <c r="L43" i="19"/>
  <c r="AE51" i="1"/>
  <c r="X23" i="19"/>
  <c r="R33" i="19"/>
  <c r="R43" i="19"/>
  <c r="AD53" i="19"/>
  <c r="AJ13" i="19"/>
  <c r="R23" i="19"/>
  <c r="R13" i="19"/>
  <c r="AJ53" i="19"/>
  <c r="L33" i="19"/>
  <c r="L23" i="19"/>
  <c r="X43" i="19"/>
  <c r="X53" i="19"/>
  <c r="AD13" i="19"/>
  <c r="L53" i="19"/>
  <c r="L13" i="19"/>
  <c r="AD23" i="19"/>
  <c r="AJ33" i="19"/>
  <c r="AJ23" i="19"/>
  <c r="R53" i="19"/>
  <c r="M55" i="19"/>
  <c r="AK15" i="19"/>
  <c r="AE25" i="19"/>
  <c r="AE64"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E21"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E41"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O11" i="19"/>
  <c r="O21" i="19"/>
  <c r="O51" i="19"/>
  <c r="AA31" i="19"/>
  <c r="AM31" i="19"/>
  <c r="AG51" i="19"/>
  <c r="AA41" i="19"/>
  <c r="AM11" i="19"/>
  <c r="U21" i="19"/>
  <c r="AG41" i="19"/>
  <c r="AM21" i="19"/>
  <c r="AM51" i="19"/>
  <c r="O41" i="19"/>
  <c r="U11" i="19"/>
  <c r="AG31" i="19"/>
  <c r="U41" i="19"/>
  <c r="AE42" i="1"/>
  <c r="AG11" i="19"/>
  <c r="AM41" i="19"/>
  <c r="AA21" i="19"/>
  <c r="AA51" i="19"/>
  <c r="U51" i="19"/>
  <c r="U31" i="19"/>
  <c r="AA11" i="19"/>
  <c r="AG21" i="19"/>
  <c r="O31" i="19"/>
  <c r="AC58" i="1"/>
  <c r="AD59" i="1"/>
  <c r="AC28" i="1"/>
  <c r="AD29" i="1"/>
  <c r="AC29" i="1" s="1"/>
  <c r="AD30" i="1"/>
  <c r="AC30" i="1" s="1"/>
  <c r="AC34" i="1"/>
  <c r="AD35" i="1"/>
  <c r="AE11" i="19"/>
  <c r="Y41" i="19"/>
  <c r="M41" i="19"/>
  <c r="Y21" i="19"/>
  <c r="AK41" i="19"/>
  <c r="S31" i="19"/>
  <c r="M31" i="19"/>
  <c r="M51" i="19"/>
  <c r="Y51" i="19"/>
  <c r="AK21" i="19"/>
  <c r="AK31" i="19"/>
  <c r="Y11" i="19"/>
  <c r="AE41" i="19"/>
  <c r="AE21" i="19"/>
  <c r="S51" i="19"/>
  <c r="AE51" i="19"/>
  <c r="AK51" i="19"/>
  <c r="M21" i="19"/>
  <c r="AE31" i="19"/>
  <c r="AE40" i="1"/>
  <c r="S41" i="19"/>
  <c r="AK11" i="19"/>
  <c r="S11" i="19"/>
  <c r="Y31" i="19"/>
  <c r="S21" i="19"/>
  <c r="M11" i="19"/>
  <c r="L54" i="19"/>
  <c r="AJ14" i="19"/>
  <c r="AD44" i="19"/>
  <c r="X54" i="19"/>
  <c r="R14" i="19"/>
  <c r="AD24" i="19"/>
  <c r="AD34" i="19"/>
  <c r="R54" i="19"/>
  <c r="L34" i="19"/>
  <c r="AJ34" i="19"/>
  <c r="X24" i="19"/>
  <c r="AJ24" i="19"/>
  <c r="X44" i="19"/>
  <c r="R24" i="19"/>
  <c r="AE57" i="1"/>
  <c r="X34" i="19"/>
  <c r="L14" i="19"/>
  <c r="AD14" i="19"/>
  <c r="L44" i="19"/>
  <c r="R44" i="19"/>
  <c r="AD54" i="19"/>
  <c r="X14" i="19"/>
  <c r="AJ44" i="19"/>
  <c r="R34" i="19"/>
  <c r="AJ54" i="19"/>
  <c r="L24" i="19"/>
  <c r="AD29" i="19"/>
  <c r="AD19" i="19"/>
  <c r="R39" i="19"/>
  <c r="R9" i="19"/>
  <c r="X49" i="19"/>
  <c r="X9" i="19"/>
  <c r="AD39" i="19"/>
  <c r="R29" i="19"/>
  <c r="L49" i="19"/>
  <c r="X19" i="19"/>
  <c r="X29" i="19"/>
  <c r="X39" i="19"/>
  <c r="L9" i="19"/>
  <c r="AE27" i="1"/>
  <c r="AD9" i="19"/>
  <c r="AJ49" i="19"/>
  <c r="L39" i="19"/>
  <c r="R19" i="19"/>
  <c r="AJ39" i="19"/>
  <c r="AJ29" i="19"/>
  <c r="AJ19" i="19"/>
  <c r="AJ9" i="19"/>
  <c r="AD49" i="19"/>
  <c r="L19" i="19"/>
  <c r="L29" i="19"/>
  <c r="R49" i="19"/>
  <c r="AC35" i="1" l="1"/>
  <c r="AD36" i="1"/>
  <c r="AC36" i="1" s="1"/>
  <c r="AG39" i="19"/>
  <c r="AG29" i="19"/>
  <c r="AM19" i="19"/>
  <c r="O39" i="19"/>
  <c r="AE30"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E58" i="1"/>
  <c r="AE24" i="19"/>
  <c r="S14" i="19"/>
  <c r="AK17" i="19"/>
  <c r="S27" i="19"/>
  <c r="S37" i="19"/>
  <c r="AE27" i="19"/>
  <c r="Y47" i="19"/>
  <c r="S7" i="19"/>
  <c r="M17" i="19"/>
  <c r="AE17" i="19"/>
  <c r="AK27" i="19"/>
  <c r="Y7" i="19"/>
  <c r="Y37" i="19"/>
  <c r="AE37" i="19"/>
  <c r="Y27" i="19"/>
  <c r="M47" i="19"/>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E22" i="1"/>
  <c r="AE28" i="19"/>
  <c r="AA55" i="19"/>
  <c r="O45" i="19"/>
  <c r="AA15" i="19"/>
  <c r="AM55" i="19"/>
  <c r="O55" i="19"/>
  <c r="AG35" i="19"/>
  <c r="AM25" i="19"/>
  <c r="AM35" i="19"/>
  <c r="AA25" i="19"/>
  <c r="AM45" i="19"/>
  <c r="AG25" i="19"/>
  <c r="AA35" i="19"/>
  <c r="O25" i="19"/>
  <c r="U25" i="19"/>
  <c r="AG45" i="19"/>
  <c r="U35" i="19"/>
  <c r="AA45" i="19"/>
  <c r="AM15" i="19"/>
  <c r="U45" i="19"/>
  <c r="O35" i="19"/>
  <c r="O15" i="19"/>
  <c r="AE66" i="1"/>
  <c r="AG15" i="19"/>
  <c r="U15" i="19"/>
  <c r="AG55" i="19"/>
  <c r="U55" i="19"/>
  <c r="AE40" i="19"/>
  <c r="Y30" i="19"/>
  <c r="M20" i="19"/>
  <c r="AE34"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E29" i="1"/>
  <c r="T19" i="19"/>
  <c r="AL49" i="19"/>
  <c r="T29" i="19"/>
  <c r="AF29" i="19"/>
  <c r="T18" i="19"/>
  <c r="N48" i="19"/>
  <c r="N8" i="19"/>
  <c r="T28" i="19"/>
  <c r="AF38" i="19"/>
  <c r="Z28" i="19"/>
  <c r="Z18" i="19"/>
  <c r="AF8" i="19"/>
  <c r="AE23"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E65"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E28" i="1"/>
  <c r="M9" i="19"/>
  <c r="Y29" i="19"/>
  <c r="AC53" i="1"/>
  <c r="AD54" i="1"/>
  <c r="AC54" i="1" s="1"/>
  <c r="AM46" i="19"/>
  <c r="U36" i="19"/>
  <c r="AG16" i="19"/>
  <c r="O6" i="19"/>
  <c r="AA36" i="19"/>
  <c r="AM16" i="19"/>
  <c r="U6" i="19"/>
  <c r="AG46" i="19"/>
  <c r="AA16" i="19"/>
  <c r="AA6" i="19"/>
  <c r="AG6" i="19"/>
  <c r="AA46" i="19"/>
  <c r="AM26" i="19"/>
  <c r="U16" i="19"/>
  <c r="O36" i="19"/>
  <c r="U26" i="19"/>
  <c r="O46" i="19"/>
  <c r="AA26" i="19"/>
  <c r="AM6" i="19"/>
  <c r="U46" i="19"/>
  <c r="AG26" i="19"/>
  <c r="O16" i="19"/>
  <c r="AG36" i="19"/>
  <c r="O26" i="19"/>
  <c r="AM36" i="19"/>
  <c r="AC59" i="1"/>
  <c r="AD60" i="1"/>
  <c r="AC60" i="1" s="1"/>
  <c r="O8" i="19"/>
  <c r="AA48" i="19"/>
  <c r="AM38" i="19"/>
  <c r="U48" i="19"/>
  <c r="AA18" i="19"/>
  <c r="AG18" i="19"/>
  <c r="AG48" i="19"/>
  <c r="AM18" i="19"/>
  <c r="AA28" i="19"/>
  <c r="AG28" i="19"/>
  <c r="AA8" i="19"/>
  <c r="U18" i="19"/>
  <c r="AG38" i="19"/>
  <c r="U38" i="19"/>
  <c r="AM8" i="19"/>
  <c r="AA38" i="19"/>
  <c r="AM48" i="19"/>
  <c r="U28" i="19"/>
  <c r="O38" i="19"/>
  <c r="U8" i="19"/>
  <c r="AG8" i="19"/>
  <c r="AE24"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E52" i="1"/>
  <c r="M33" i="19"/>
  <c r="AF6" i="19"/>
  <c r="N46" i="19"/>
  <c r="Z26" i="19"/>
  <c r="AL6" i="19"/>
  <c r="AL36" i="19"/>
  <c r="AF26" i="19"/>
  <c r="Z6" i="19"/>
  <c r="T26" i="19"/>
  <c r="Z46" i="19"/>
  <c r="AF46" i="19"/>
  <c r="T46" i="19"/>
  <c r="T6" i="19"/>
  <c r="AF36" i="19"/>
  <c r="N26" i="19"/>
  <c r="Z16" i="19"/>
  <c r="AL26" i="19"/>
  <c r="Z36" i="19"/>
  <c r="N36" i="19"/>
  <c r="AL46" i="19"/>
  <c r="T36" i="19"/>
  <c r="AF16" i="19"/>
  <c r="N6" i="19"/>
  <c r="N16" i="19"/>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E60" i="1"/>
  <c r="AA14" i="19"/>
  <c r="O54" i="19"/>
  <c r="U44" i="19"/>
  <c r="U43" i="19"/>
  <c r="U13" i="19"/>
  <c r="AM53" i="19"/>
  <c r="AA53" i="19"/>
  <c r="AA43" i="19"/>
  <c r="O53" i="19"/>
  <c r="O23" i="19"/>
  <c r="O13" i="19"/>
  <c r="AG43" i="19"/>
  <c r="U33" i="19"/>
  <c r="U23" i="19"/>
  <c r="AM13" i="19"/>
  <c r="AM23" i="19"/>
  <c r="AG13" i="19"/>
  <c r="AA23" i="19"/>
  <c r="AG33" i="19"/>
  <c r="AA33" i="19"/>
  <c r="AM33" i="19"/>
  <c r="AA13" i="19"/>
  <c r="AE54"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E59" i="1"/>
  <c r="AF53" i="19"/>
  <c r="T43" i="19"/>
  <c r="Z53" i="19"/>
  <c r="N43" i="19"/>
  <c r="T23" i="19"/>
  <c r="AF43" i="19"/>
  <c r="Z13" i="19"/>
  <c r="Z43" i="19"/>
  <c r="AF23" i="19"/>
  <c r="AL13" i="19"/>
  <c r="Z23" i="19"/>
  <c r="AL43" i="19"/>
  <c r="AF13" i="19"/>
  <c r="AL23" i="19"/>
  <c r="N13" i="19"/>
  <c r="T33" i="19"/>
  <c r="AL53" i="19"/>
  <c r="N23" i="19"/>
  <c r="N53" i="19"/>
  <c r="AF33" i="19"/>
  <c r="N33" i="19"/>
  <c r="AE53" i="1"/>
  <c r="T53" i="19"/>
  <c r="AL33" i="19"/>
  <c r="T13" i="19"/>
  <c r="Z33" i="19"/>
  <c r="Z47" i="19"/>
  <c r="T7" i="19"/>
  <c r="AL37" i="19"/>
  <c r="T17" i="19"/>
  <c r="Z17" i="19"/>
  <c r="AF7" i="19"/>
  <c r="AF37" i="19"/>
  <c r="N17" i="19"/>
  <c r="AF27" i="19"/>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E36"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A17" i="19"/>
  <c r="O7" i="19"/>
  <c r="AA37" i="19"/>
  <c r="AA27" i="19"/>
  <c r="AM27" i="19"/>
  <c r="U17" i="19"/>
  <c r="U47" i="19"/>
  <c r="AG17" i="19"/>
  <c r="O47" i="19"/>
  <c r="Z40" i="19"/>
  <c r="AE35"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M55" i="1" l="1"/>
  <c r="N55" i="1" s="1"/>
  <c r="M61" i="1"/>
  <c r="N61" i="1" s="1"/>
  <c r="M37" i="1"/>
  <c r="N37" i="1" s="1"/>
  <c r="M31" i="1"/>
  <c r="N31" i="1" s="1"/>
  <c r="M43" i="1"/>
  <c r="N43" i="1" s="1"/>
  <c r="M25" i="1"/>
  <c r="N25" i="1" s="1"/>
  <c r="M49" i="1"/>
  <c r="N49" i="1" s="1"/>
  <c r="M10" i="1"/>
  <c r="N10" i="1" s="1"/>
  <c r="M19" i="1"/>
  <c r="N19" i="1" s="1"/>
  <c r="AB36" i="18" l="1"/>
  <c r="J12" i="18"/>
  <c r="AH36" i="18"/>
  <c r="J36" i="18"/>
  <c r="J44" i="18"/>
  <c r="O61" i="1"/>
  <c r="AD61" i="1" s="1"/>
  <c r="AC61" i="1" s="1"/>
  <c r="AB20" i="18"/>
  <c r="J28" i="18"/>
  <c r="P20" i="18"/>
  <c r="P61" i="1"/>
  <c r="AH12" i="18"/>
  <c r="AB28" i="18"/>
  <c r="AH28" i="18"/>
  <c r="V36" i="18"/>
  <c r="V20" i="18"/>
  <c r="V12" i="18"/>
  <c r="V28" i="18"/>
  <c r="AH44" i="18"/>
  <c r="J20" i="18"/>
  <c r="P36" i="18"/>
  <c r="AB44" i="18"/>
  <c r="V44" i="18"/>
  <c r="AH20" i="18"/>
  <c r="P44" i="18"/>
  <c r="AB12" i="18"/>
  <c r="P28" i="18"/>
  <c r="P12" i="18"/>
  <c r="Z40" i="18"/>
  <c r="AL8" i="18"/>
  <c r="AF8" i="18"/>
  <c r="N16" i="18"/>
  <c r="Z16" i="18"/>
  <c r="AL24" i="18"/>
  <c r="AF24" i="18"/>
  <c r="AF32" i="18"/>
  <c r="T40" i="18"/>
  <c r="P37" i="1"/>
  <c r="Z32" i="18"/>
  <c r="Z8" i="18"/>
  <c r="N8" i="18"/>
  <c r="O37" i="1"/>
  <c r="N32" i="18"/>
  <c r="AL40" i="18"/>
  <c r="T8" i="18"/>
  <c r="AF16" i="18"/>
  <c r="T24" i="18"/>
  <c r="AL32" i="18"/>
  <c r="N40" i="18"/>
  <c r="Z24" i="18"/>
  <c r="AL16" i="18"/>
  <c r="N24" i="18"/>
  <c r="T32" i="18"/>
  <c r="T16" i="18"/>
  <c r="AF40" i="18"/>
  <c r="T34" i="18"/>
  <c r="T42" i="18"/>
  <c r="Z34" i="18"/>
  <c r="AL26" i="18"/>
  <c r="AF34" i="18"/>
  <c r="N34" i="18"/>
  <c r="O55" i="1"/>
  <c r="AF10" i="18"/>
  <c r="Z42" i="18"/>
  <c r="T10" i="18"/>
  <c r="P55" i="1"/>
  <c r="AL42" i="18"/>
  <c r="T18" i="18"/>
  <c r="AF18" i="18"/>
  <c r="Z26" i="18"/>
  <c r="AL34" i="18"/>
  <c r="Z18" i="18"/>
  <c r="AF42" i="18"/>
  <c r="N26" i="18"/>
  <c r="AL18" i="18"/>
  <c r="N10" i="18"/>
  <c r="AL10" i="18"/>
  <c r="AF26" i="18"/>
  <c r="Z10" i="18"/>
  <c r="N18" i="18"/>
  <c r="T26" i="18"/>
  <c r="N42" i="18"/>
  <c r="AJ8" i="18"/>
  <c r="AJ24" i="18"/>
  <c r="AD16" i="18"/>
  <c r="L16" i="18"/>
  <c r="AD32" i="18"/>
  <c r="AD24" i="18"/>
  <c r="L24" i="18"/>
  <c r="X24" i="18"/>
  <c r="R8" i="18"/>
  <c r="X32" i="18"/>
  <c r="AJ40" i="18"/>
  <c r="R16" i="18"/>
  <c r="AD40" i="18"/>
  <c r="L8" i="18"/>
  <c r="O31" i="1"/>
  <c r="R40" i="18"/>
  <c r="L40" i="18"/>
  <c r="X16" i="18"/>
  <c r="AJ16" i="18"/>
  <c r="P31" i="1"/>
  <c r="L32" i="18"/>
  <c r="X8" i="18"/>
  <c r="R32" i="18"/>
  <c r="R24" i="18"/>
  <c r="AJ32" i="18"/>
  <c r="AD8" i="18"/>
  <c r="X40" i="18"/>
  <c r="AH34" i="18"/>
  <c r="P10" i="18"/>
  <c r="V34" i="18"/>
  <c r="P42" i="18"/>
  <c r="AH18" i="18"/>
  <c r="AH42" i="18"/>
  <c r="AH26" i="18"/>
  <c r="O43" i="1"/>
  <c r="J42" i="18"/>
  <c r="P34" i="18"/>
  <c r="AB18" i="18"/>
  <c r="J10" i="18"/>
  <c r="V42" i="18"/>
  <c r="P26" i="18"/>
  <c r="V10" i="18"/>
  <c r="J34" i="18"/>
  <c r="V18" i="18"/>
  <c r="AB34" i="18"/>
  <c r="AB42" i="18"/>
  <c r="AB26" i="18"/>
  <c r="V26" i="18"/>
  <c r="J26" i="18"/>
  <c r="AH10" i="18"/>
  <c r="P18" i="18"/>
  <c r="AB10" i="18"/>
  <c r="J18" i="18"/>
  <c r="P43" i="1"/>
  <c r="P19" i="1"/>
  <c r="Z30" i="18"/>
  <c r="N30" i="18"/>
  <c r="AL14" i="18"/>
  <c r="Z6" i="18"/>
  <c r="O19" i="1"/>
  <c r="AF14" i="18"/>
  <c r="T22" i="18"/>
  <c r="AL38" i="18"/>
  <c r="AL6" i="18"/>
  <c r="Z14" i="18"/>
  <c r="Z38" i="18"/>
  <c r="T38" i="18"/>
  <c r="T14" i="18"/>
  <c r="AF30" i="18"/>
  <c r="Z22" i="18"/>
  <c r="T30" i="18"/>
  <c r="N14" i="18"/>
  <c r="N38" i="18"/>
  <c r="AL30" i="18"/>
  <c r="AL22" i="18"/>
  <c r="T6" i="18"/>
  <c r="AF22" i="18"/>
  <c r="N6" i="18"/>
  <c r="AF6" i="18"/>
  <c r="AF38" i="18"/>
  <c r="N22" i="18"/>
  <c r="O25" i="1"/>
  <c r="AB16" i="18"/>
  <c r="V40" i="18"/>
  <c r="AH40" i="18"/>
  <c r="P24" i="18"/>
  <c r="AH32" i="18"/>
  <c r="AH16" i="18"/>
  <c r="V16" i="18"/>
  <c r="P25" i="1"/>
  <c r="V24" i="18"/>
  <c r="J40" i="18"/>
  <c r="AB24" i="18"/>
  <c r="J24" i="18"/>
  <c r="J32" i="18"/>
  <c r="P8" i="18"/>
  <c r="J16" i="18"/>
  <c r="J8" i="18"/>
  <c r="AB32" i="18"/>
  <c r="AB8" i="18"/>
  <c r="AB40" i="18"/>
  <c r="V8" i="18"/>
  <c r="AH24" i="18"/>
  <c r="AH8" i="18"/>
  <c r="P16" i="18"/>
  <c r="P40" i="18"/>
  <c r="V32" i="18"/>
  <c r="P32" i="18"/>
  <c r="AH14" i="18"/>
  <c r="AH38" i="18"/>
  <c r="J14" i="18"/>
  <c r="V30" i="18"/>
  <c r="P14" i="18"/>
  <c r="V22" i="18"/>
  <c r="V14" i="18"/>
  <c r="P38" i="18"/>
  <c r="AB6" i="18"/>
  <c r="AH30" i="18"/>
  <c r="J22" i="18"/>
  <c r="V38" i="18"/>
  <c r="P10" i="1"/>
  <c r="J30" i="18"/>
  <c r="AB38" i="18"/>
  <c r="P22" i="18"/>
  <c r="AB30" i="18"/>
  <c r="O10" i="1"/>
  <c r="AD10" i="1" s="1"/>
  <c r="AB22" i="18"/>
  <c r="AB14" i="18"/>
  <c r="J6" i="18"/>
  <c r="P30" i="18"/>
  <c r="AH22" i="18"/>
  <c r="P6" i="18"/>
  <c r="J38" i="18"/>
  <c r="AH6" i="18"/>
  <c r="V6" i="18"/>
  <c r="X10" i="18"/>
  <c r="AD18" i="18"/>
  <c r="L10" i="18"/>
  <c r="AJ26" i="18"/>
  <c r="X34" i="18"/>
  <c r="AD26" i="18"/>
  <c r="L42" i="18"/>
  <c r="X18" i="18"/>
  <c r="AD34" i="18"/>
  <c r="R42" i="18"/>
  <c r="X26" i="18"/>
  <c r="AJ18" i="18"/>
  <c r="P49" i="1"/>
  <c r="L26" i="18"/>
  <c r="AD10" i="18"/>
  <c r="R34" i="18"/>
  <c r="L34" i="18"/>
  <c r="AJ42" i="18"/>
  <c r="R10" i="18"/>
  <c r="AJ34" i="18"/>
  <c r="R26" i="18"/>
  <c r="O49" i="1"/>
  <c r="L18" i="18"/>
  <c r="X42" i="18"/>
  <c r="R18" i="18"/>
  <c r="AJ10" i="18"/>
  <c r="AD42" i="18"/>
  <c r="J17" i="19" l="1"/>
  <c r="P27" i="19"/>
  <c r="V37" i="19"/>
  <c r="AH17" i="19"/>
  <c r="AB27" i="19"/>
  <c r="AH37" i="19"/>
  <c r="J7" i="19"/>
  <c r="J37" i="19"/>
  <c r="P47" i="19"/>
  <c r="V7" i="19"/>
  <c r="AB17" i="19"/>
  <c r="P17" i="19"/>
  <c r="V47" i="19"/>
  <c r="AH7" i="19"/>
  <c r="J27" i="19"/>
  <c r="P37" i="19"/>
  <c r="P7" i="19"/>
  <c r="AB7" i="19"/>
  <c r="V27" i="19"/>
  <c r="AB37" i="19"/>
  <c r="AH47" i="19"/>
  <c r="AB47" i="19"/>
  <c r="J47" i="19"/>
  <c r="V17" i="19"/>
  <c r="AH27" i="19"/>
  <c r="AD11" i="1"/>
  <c r="AC10" i="1"/>
  <c r="AH35" i="19"/>
  <c r="V55" i="19"/>
  <c r="P55" i="19"/>
  <c r="J45" i="19"/>
  <c r="P25" i="19"/>
  <c r="P35" i="19"/>
  <c r="AH25" i="19"/>
  <c r="AB55" i="19"/>
  <c r="AE61" i="1"/>
  <c r="AB25" i="19"/>
  <c r="AH55" i="19"/>
  <c r="AH15" i="19"/>
  <c r="V35" i="19"/>
  <c r="J55" i="19"/>
  <c r="AB15" i="19"/>
  <c r="V25" i="19"/>
  <c r="J15" i="19"/>
  <c r="AH45" i="19"/>
  <c r="J25" i="19"/>
  <c r="AB35" i="19"/>
  <c r="P15" i="19"/>
  <c r="V45" i="19"/>
  <c r="AB45" i="19"/>
  <c r="P45" i="19"/>
  <c r="V15" i="19"/>
  <c r="J35" i="19"/>
  <c r="AC11" i="1" l="1"/>
  <c r="AD12" i="1"/>
  <c r="AC12" i="1" s="1"/>
  <c r="AH16" i="19"/>
  <c r="J26" i="19"/>
  <c r="V6" i="19"/>
  <c r="J46" i="19"/>
  <c r="AB36" i="19"/>
  <c r="AB6" i="19"/>
  <c r="P36" i="19"/>
  <c r="J36" i="19"/>
  <c r="V46" i="19"/>
  <c r="AH46" i="19"/>
  <c r="AB46" i="19"/>
  <c r="V16" i="19"/>
  <c r="V36" i="19"/>
  <c r="AE10" i="1"/>
  <c r="AH6" i="19"/>
  <c r="V26" i="19"/>
  <c r="AH36" i="19"/>
  <c r="P26" i="19"/>
  <c r="P16" i="19"/>
  <c r="AB16" i="19"/>
  <c r="AH26" i="19"/>
  <c r="J16" i="19"/>
  <c r="P6" i="19"/>
  <c r="J6" i="19"/>
  <c r="P46" i="19"/>
  <c r="AB26" i="19"/>
  <c r="K47" i="19"/>
  <c r="AC17" i="19"/>
  <c r="K17" i="19"/>
  <c r="K7" i="19"/>
  <c r="AI17" i="19"/>
  <c r="K27" i="19"/>
  <c r="W7" i="19"/>
  <c r="AI37" i="19"/>
  <c r="Q7" i="19"/>
  <c r="W37" i="19"/>
  <c r="Q47" i="19"/>
  <c r="AC37" i="19"/>
  <c r="AI27" i="19"/>
  <c r="W27" i="19"/>
  <c r="AC47" i="19"/>
  <c r="Q37" i="19"/>
  <c r="AI47" i="19"/>
  <c r="W17" i="19"/>
  <c r="AC27" i="19"/>
  <c r="W47" i="19"/>
  <c r="AI7" i="19"/>
  <c r="Q27" i="19"/>
  <c r="AC7" i="19"/>
  <c r="Q17" i="19"/>
  <c r="K37" i="19"/>
  <c r="L36" i="19" l="1"/>
  <c r="AJ6" i="19"/>
  <c r="X26" i="19"/>
  <c r="AD46" i="19"/>
  <c r="R6" i="19"/>
  <c r="X46" i="19"/>
  <c r="AJ16" i="19"/>
  <c r="AJ26" i="19"/>
  <c r="AJ46" i="19"/>
  <c r="X36" i="19"/>
  <c r="AE12" i="1"/>
  <c r="R16" i="19"/>
  <c r="R26" i="19"/>
  <c r="R36" i="19"/>
  <c r="AD16" i="19"/>
  <c r="L26" i="19"/>
  <c r="AJ36" i="19"/>
  <c r="X6" i="19"/>
  <c r="L16" i="19"/>
  <c r="L6" i="19"/>
  <c r="AD6" i="19"/>
  <c r="R46" i="19"/>
  <c r="L46" i="19"/>
  <c r="AD26" i="19"/>
  <c r="AD36" i="19"/>
  <c r="X16" i="19"/>
  <c r="AI36" i="19"/>
  <c r="AI26" i="19"/>
  <c r="AC6" i="19"/>
  <c r="Q36" i="19"/>
  <c r="AC46" i="19"/>
  <c r="W36" i="19"/>
  <c r="K16" i="19"/>
  <c r="W26" i="19"/>
  <c r="K26" i="19"/>
  <c r="W46" i="19"/>
  <c r="AI6" i="19"/>
  <c r="AI16" i="19"/>
  <c r="W6" i="19"/>
  <c r="AI46" i="19"/>
  <c r="AE11" i="1"/>
  <c r="Q6" i="19"/>
  <c r="K6" i="19"/>
  <c r="Q16" i="19"/>
  <c r="AC36" i="19"/>
  <c r="W16" i="19"/>
  <c r="K36" i="19"/>
  <c r="Q26" i="19"/>
  <c r="Q46" i="19"/>
  <c r="AC26" i="19"/>
  <c r="AC16" i="19"/>
  <c r="K46"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<sst xmlns="http://schemas.openxmlformats.org/spreadsheetml/2006/main" count="347" uniqueCount="232">
  <si>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</si>
  <si>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</si>
  <si>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</si>
  <si>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</si>
  <si>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</si>
  <si>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</si>
  <si>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</si>
  <si>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</si>
  <si>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</si>
  <si>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</si>
  <si>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</si>
  <si>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</si>
  <si>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</si>
  <si>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</si>
  <si>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</si>
  <si>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</si>
  <si>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</si>
  <si>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</si>
  <si>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</si>
  <si>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</si>
  <si>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</si>
  <si>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</si>
  <si>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</si>
  <si>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</si>
  <si>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</si>
  <si>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</si>
  <si>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</si>
  <si>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</si>
  <si>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</si>
  <si>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</si>
  <si>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</si>
  <si>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</si>
  <si>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</si>
  <si>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</si>
  <si>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</si>
  <si>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</si>
  <si>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</si>
  <si>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</si>
  <si>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</si>
  <si>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</si>
  <si>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</si>
  <si>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</si>
  <si>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</si>
  <si>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</si>
  <si>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</si>
  <si>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</si>
  <si>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</si>
  <si>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</si>
  <si>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</si>
  <si>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</si>
  <si>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</si>
  <si>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</si>
  <si>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</si>
  <si>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</si>
  <si>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</si>
  <si>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</si>
  <si>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</si>
  <si>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</si>
  <si>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</si>
  <si>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</si>
  <si>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</si>
  <si>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</si>
  <si>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</si>
  <si>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</si>
  <si>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</si>
  <si>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</si>
  <si>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</si>
  <si>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</si>
  <si>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</si>
  <si>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</si>
  <si>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</si>
  <si>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</si>
  <si>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</si>
  <si>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</si>
  <si>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</si>
  <si>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</si>
  <si>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</si>
  <si>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</si>
  <si>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</si>
  <si>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</si>
  <si>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</si>
  <si>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</si>
  <si>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</si>
  <si>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</si>
  <si>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</si>
  <si>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</si>
  <si>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</si>
  <si>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</si>
  <si>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</si>
  <si>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</si>
  <si>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</si>
  <si>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</si>
  <si>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</si>
  <si>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</si>
  <si>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</si>
  <si>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</si>
  <si>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</si>
  <si>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</si>
  <si>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</si>
  <si>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</si>
  <si>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</si>
  <si>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</si>
  <si>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</si>
  <si>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</si>
  <si>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</si>
  <si>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</si>
  <si>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</si>
  <si>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</si>
  <si>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</si>
  <si>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</si>
  <si>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</si>
  <si>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</si>
  <si>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</si>
  <si>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</si>
  <si>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</si>
  <si>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</si>
  <si>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</si>
  <si>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</si>
  <si>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</si>
  <si>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</si>
  <si>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</si>
  <si>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</si>
  <si>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</si>
  <si>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</si>
  <si>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</si>
  <si>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</si>
  <si>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</si>
  <si>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</si>
  <si>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</si>
  <si>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</si>
  <si>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</si>
  <si>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</si>
  <si>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</si>
  <si>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</si>
  <si>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</si>
  <si>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</si>
  <si>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</si>
  <si>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</si>
  <si>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</si>
  <si>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</si>
  <si>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</si>
  <si>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</si>
  <si>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</si>
  <si>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</si>
  <si>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</si>
  <si>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</si>
  <si>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</si>
  <si>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</si>
  <si>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</si>
  <si>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</si>
  <si>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</si>
  <si>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</si>
  <si>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</si>
  <si>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</si>
  <si>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</si>
  <si>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</si>
  <si>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</si>
  <si>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</si>
  <si>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</si>
  <si>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</si>
  <si>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</si>
  <si>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</si>
  <si>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</si>
  <si>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</si>
  <si>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</si>
  <si>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</si>
  <si>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</si>
  <si>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</si>
  <si>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</si>
  <si>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</si>
  <si>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</si>
  <si>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</si>
  <si>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</si>
  <si>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</si>
  <si>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</si>
  <si>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</si>
  <si>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</si>
  <si>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</si>
  <si>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</si>
  <si>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</si>
  <si>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</si>
  <si>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</si>
  <si>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</si>
  <si>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</si>
  <si>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</si>
  <si>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</si>
  <si>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</si>
  <si>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</si>
  <si>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</si>
  <si>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</si>
  <si>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</si>
  <si>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</si>
  <si>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</si>
  <si>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</si>
  <si>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</si>
  <si>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</si>
  <si>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</si>
  <si>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</si>
  <si>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</si>
  <si>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</si>
  <si>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</si>
  <si>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</si>
  <si>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</si>
  <si>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</si>
  <si>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</si>
  <si>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</si>
  <si>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</si>
  <si>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</si>
  <si>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</si>
  <si>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</si>
  <si>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</si>
  <si>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</si>
  <si>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</si>
  <si>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</si>
  <si>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por castigos prespuestales y perdida de legitimidad ante la comunidad y partes interesadas</t>
  </si>
  <si>
    <t>Deficiencias en la planeación del proceso</t>
  </si>
  <si>
    <t>Subcausas</t>
  </si>
  <si>
    <t>Actividad  Riesgos</t>
  </si>
  <si>
    <t>Dificultad en la comunicación interna de los actores del proceso</t>
  </si>
  <si>
    <t>El secretario y los directores en comites técnicos verifican y validan  los lineamientos para el desarrollo y ejeución de las actividades del proceso, dejando como evidencia las actas</t>
  </si>
  <si>
    <t>Planeación y seguimiento a las actividades de monitoreo presentadas a planeación, 6 veces al año.</t>
  </si>
  <si>
    <t>mesas de trabajo para la actualizacion de conocimiento del talento humano de manera semestral</t>
  </si>
  <si>
    <t xml:space="preserve">El secretario, directores y referentes se reunen de forma bimestral con el fin de validar la planeación y el seguimiento del Monitoreo de las actividades presentadas a planeación, quedando como evidencia las Actas de Auto Control de las visitas realizadas a cada dependencia. </t>
  </si>
  <si>
    <t>Seguimiento a las actividades del proceso a través de los Comites Técnicos de cada depencia de la Secretaria de Gobierno.</t>
  </si>
  <si>
    <t>El secretario, los directores y referentes concertan mesas de trabajo para actualizar aspectos relacionados con la normatividad y otros aspectos especificos del proceso al Talento Humano, 1 vez por semestre,  quedando como evidencia el Acta de Reunión.</t>
  </si>
  <si>
    <t xml:space="preserve">Actividades encaminadas a realizar el analisis de la materialización </t>
  </si>
  <si>
    <t>incumplimiento de las metas del Plan de Desarrollo por las deficiencias en la formulación, implementación y seguimiento a las políticas, planes y proyectos de participación ciudadana y convicencia pacífica, protección del consumidor y protección animal.</t>
  </si>
  <si>
    <t>Posiblidad de afectación economica y reputacional  por castigos presupuestales y pérdida de legitimidad ante la comunidad y partes interesadas, debido al incumplimiento de las metas del Plan de Desarrollo por las deficiencias en la formulación, implementación y seguimiento a las políticas, planes y proyectos de particiapación ciudadana, seguridad y convicencia pacífica, protección del consumidor y protección animal.</t>
  </si>
  <si>
    <t xml:space="preserve">Deficiencia en la actualización al Talento Humano de conocimientos de los procesos de cada Dirección. </t>
  </si>
  <si>
    <t>GESTIÓN DE LA GOBERNABILIDAD, CONVIVENCIA Y SEGURIDAD CIUDADANA</t>
  </si>
  <si>
    <t>FORMULAR E IMPLEMENTAR POLÍTICAS, PLANES, PROGRAMAS Y PROYECTOS DE SEGURIDAD, JUSTICIA Y ORDEN PÚBLICO,  DERECHOS HUMANOS Y CONVIVENCIA PACÍFICA; ASIMISMO COORDINAR DE MANERA PERMANENTE LA JUSTICIA POLICIVA Y ADMINISTRATIVA, EJERCER LA INSPECCIÓN, VIGILANCIA Y CONTROL A LA OCUPACIÓN DEL ESPACIO PÚBLICO, DEFENSA DEL CONSUMIDOR, MEDIO AMBIENTE Y BIENESTAR ANIMAL, A TRAVÉS DE ESTRATEGIAS DE PREVENCIÓN, ATENCIÓN, PROMOCIÓN Y PROTECCIÓN, ENCAMINADOS A FORTALECER LA GOBERNABILIDAD DEMOCRÁTICA, LA SANA CONVIVENCIA, PARTICIPACIÓN CIUDADANA Y LA RESOLUCIÓN PACÍFICA DE CONFLICTOS EN EL MUNICIPIO.</t>
  </si>
  <si>
    <t>INICIA CON LA PLANEACIÓN DEL PROCESO, FORMULANDO PLANES, PROGRAMAS Y PROYECTOS QUE FORTALEZCAN LA PAZ, LA CONVIVENCIA PACÍFICA Y EL ORDEN PÚBLICO, LA COORDINACIÓN DE LAS AUTORIDADES MUNICIPALES, MEDIACIÓN EN LA PREVENCIÓN Y ATENCIÓN DE PROBLEMAS RELACIONADOS CON LA SEGURIDAD, CONVIVENCIA CIUDADANA,  DERECHO INTERNACIONAL HUMANITARIO, HASTA LA PROTECCIÓN DE VÍCTIMAS, ATENCIÓN, PROMOCIÓN, PREVENCIÓN Y APLICACIÓN DEL CÓDIGO DE POLICÍA, LA RECEPCIÓN Y EVALUACIÓN DE LAS PRUEBAS, PROTEGER LOS DERECHOS DE LOS NIÑOS, NIÑAS Y ADOLESCENTES, ASÍ COMO DE LOS ADULTOS MAYORES, EN MATERIA DE ALIMENTOS Y VIOLENCIA INTRAFAMILIAR, ADEMÁS SE DESARROLLAN ACTIVIDADES ASOCIADAS AL CONTROL Y VIGILANCIA DE ESTABLECIMIENTOS COMERCIALES, PROPIEDAD HORIZONTAL, MATRÍCULA INMOBILIARIA, VERIFICANDO EL CUMPLIMIENTO DE LOS DERECHOS DEL CONSUMIDOR, CONTROLANDO Y VIGILANDO INFRACCIONES URBANÍSTICAS, DE MEDIO AMBIENTE, PROTECCIÓN ANIMAL Y DEL ESPACIO PÚBLICO, SE IMPLEMENTAN MECANISMOS ALTERNATIVOS DE RESOLUCIÓN DE CONFLICTOS Y AUDIENCIA PÚBLICA, FINALIZA CON EL SEGUIMIENTO Y EVALUACIÓN DEL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</si>
</sst>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58"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dashed">
        <color theme="9" tint="-0.24994659260841701"/>
      </left>
      <right style="thin">
        <color indexed="64"/>
      </right>
      <top style="dashed">
        <color theme="9" tint="-0.24994659260841701"/>
      </top>
      <bottom/>
      <diagonal/>
    </border>
    <border>
      <left style="thin">
        <color indexed="64"/>
      </left>
      <right style="dashed">
        <color theme="9" tint="-0.24994659260841701"/>
      </right>
      <top style="dashed">
        <color theme="9" tint="-0.24994659260841701"/>
      </top>
      <bottom/>
      <diagonal/>
    </border>
  </borders>
  <cellStyleXfs count="5">
    <xf numFmtId="0" fontId="0" fillId="0" borderId="0"/>
    <xf numFmtId="9" fontId="14" fillId="0" borderId="0" applyFont="0" applyFill="0" applyBorder="0" applyAlignment="0" applyProtection="0"/>
    <xf numFmtId="0" fontId="47" fillId="0" borderId="0"/>
    <xf numFmtId="0" fontId="48" fillId="0" borderId="0"/>
    <xf numFmtId="0" fontId="5" fillId="0" borderId="0"/>
  </cellStyleXfs>
  <cellXfs count="40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xf numFmtId="0" fontId="49" fillId="3" borderId="52" xfId="2" applyFont="1" applyFill="1" applyBorder="1"/>
    <xf numFmtId="0" fontId="49" fillId="3" borderId="53"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5" borderId="45" xfId="0" applyFont="1" applyFill="1" applyBorder="1" applyAlignment="1">
      <alignment horizontal="center" vertical="center" wrapText="1" readingOrder="1"/>
    </xf>
    <xf numFmtId="0" fontId="37" fillId="15" borderId="46"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8" xfId="0" applyFont="1" applyBorder="1" applyAlignment="1" applyProtection="1">
      <alignment horizontal="left" vertical="top" wrapText="1"/>
      <protection locked="0"/>
    </xf>
    <xf numFmtId="0" fontId="4" fillId="0" borderId="4" xfId="0" applyFont="1" applyBorder="1" applyAlignment="1" applyProtection="1">
      <alignment vertical="top" wrapText="1"/>
      <protection hidden="1"/>
    </xf>
    <xf numFmtId="9" fontId="1" fillId="0" borderId="4" xfId="0" applyNumberFormat="1" applyFont="1" applyBorder="1" applyAlignment="1" applyProtection="1">
      <alignment vertical="top" wrapText="1"/>
      <protection hidden="1"/>
    </xf>
    <xf numFmtId="0" fontId="1" fillId="0" borderId="9" xfId="0" applyFont="1" applyBorder="1" applyAlignment="1" applyProtection="1">
      <alignment vertical="top" wrapText="1"/>
      <protection locked="0"/>
    </xf>
    <xf numFmtId="0" fontId="1" fillId="0" borderId="75" xfId="0" applyFont="1" applyBorder="1" applyAlignment="1" applyProtection="1">
      <alignment horizontal="center" vertical="top" wrapText="1"/>
      <protection locked="0"/>
    </xf>
    <xf numFmtId="9" fontId="1" fillId="0" borderId="33" xfId="0" applyNumberFormat="1" applyFont="1" applyBorder="1" applyAlignment="1" applyProtection="1">
      <alignment vertical="top" wrapText="1"/>
      <protection hidden="1"/>
    </xf>
    <xf numFmtId="0" fontId="4" fillId="0" borderId="76" xfId="0" applyFont="1" applyBorder="1" applyAlignment="1" applyProtection="1">
      <alignment vertical="top" wrapText="1"/>
      <protection hidden="1"/>
    </xf>
    <xf numFmtId="0" fontId="4" fillId="0" borderId="77" xfId="0" applyFont="1" applyBorder="1" applyAlignment="1" applyProtection="1">
      <alignment vertical="top"/>
      <protection hidden="1"/>
    </xf>
    <xf numFmtId="9" fontId="1" fillId="0" borderId="4" xfId="0" applyNumberFormat="1" applyFont="1" applyBorder="1" applyAlignment="1" applyProtection="1">
      <alignment vertical="top" wrapText="1"/>
      <protection locked="0"/>
    </xf>
    <xf numFmtId="9" fontId="1" fillId="0" borderId="8" xfId="0" applyNumberFormat="1" applyFont="1" applyBorder="1" applyAlignment="1" applyProtection="1">
      <alignment vertical="top" wrapText="1"/>
      <protection locked="0"/>
    </xf>
    <xf numFmtId="9" fontId="1" fillId="0" borderId="5" xfId="0" applyNumberFormat="1" applyFont="1" applyBorder="1" applyAlignment="1" applyProtection="1">
      <alignment vertical="top" wrapText="1"/>
      <protection locked="0"/>
    </xf>
    <xf numFmtId="0" fontId="55" fillId="3" borderId="64" xfId="2" applyFont="1" applyFill="1" applyBorder="1" applyAlignment="1">
      <alignment horizontal="justify" vertical="center" wrapText="1"/>
    </xf>
    <xf numFmtId="0" fontId="55" fillId="3" borderId="65" xfId="2" applyFont="1" applyFill="1" applyBorder="1" applyAlignment="1">
      <alignment horizontal="justify" vertical="center" wrapText="1"/>
    </xf>
    <xf numFmtId="0" fontId="54" fillId="3" borderId="71" xfId="0" applyFont="1" applyFill="1" applyBorder="1" applyAlignment="1">
      <alignment horizontal="left" vertical="center" wrapText="1"/>
    </xf>
    <xf numFmtId="0" fontId="54" fillId="3" borderId="72" xfId="0" applyFont="1" applyFill="1" applyBorder="1" applyAlignment="1">
      <alignment horizontal="left" vertical="center" wrapText="1"/>
    </xf>
    <xf numFmtId="0" fontId="54" fillId="3" borderId="58" xfId="3" applyFont="1" applyFill="1" applyBorder="1" applyAlignment="1">
      <alignment horizontal="left" vertical="top" wrapText="1" readingOrder="1"/>
    </xf>
    <xf numFmtId="0" fontId="54" fillId="3" borderId="59" xfId="3" applyFont="1" applyFill="1" applyBorder="1" applyAlignment="1">
      <alignment horizontal="left" vertical="top" wrapText="1" readingOrder="1"/>
    </xf>
    <xf numFmtId="0" fontId="55" fillId="3" borderId="60" xfId="2" applyFont="1" applyFill="1" applyBorder="1" applyAlignment="1">
      <alignment horizontal="justify" vertical="center" wrapText="1"/>
    </xf>
    <xf numFmtId="0" fontId="55" fillId="3" borderId="61" xfId="2" applyFont="1" applyFill="1" applyBorder="1" applyAlignment="1">
      <alignment horizontal="justify" vertical="center" wrapText="1"/>
    </xf>
    <xf numFmtId="0" fontId="54" fillId="3" borderId="62" xfId="0" applyFont="1" applyFill="1" applyBorder="1" applyAlignment="1">
      <alignment horizontal="left" vertical="center" wrapText="1"/>
    </xf>
    <xf numFmtId="0" fontId="54" fillId="3" borderId="63" xfId="0" applyFont="1" applyFill="1" applyBorder="1" applyAlignment="1">
      <alignment horizontal="left"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73" xfId="0" applyFont="1" applyFill="1" applyBorder="1" applyAlignment="1">
      <alignment horizontal="left" vertical="center" wrapText="1"/>
    </xf>
    <xf numFmtId="0" fontId="54" fillId="3" borderId="74" xfId="0" applyFont="1" applyFill="1" applyBorder="1" applyAlignment="1">
      <alignment horizontal="left" vertical="center" wrapText="1"/>
    </xf>
    <xf numFmtId="0" fontId="55" fillId="3" borderId="66" xfId="0" applyFont="1" applyFill="1" applyBorder="1" applyAlignment="1">
      <alignment horizontal="justify" vertical="center" wrapText="1"/>
    </xf>
    <xf numFmtId="0" fontId="55" fillId="3" borderId="67" xfId="0" applyFont="1" applyFill="1" applyBorder="1" applyAlignment="1">
      <alignment horizontal="justify" vertical="center" wrapText="1"/>
    </xf>
    <xf numFmtId="0" fontId="50" fillId="14" borderId="48" xfId="2" applyFont="1" applyFill="1" applyBorder="1" applyAlignment="1">
      <alignment horizontal="center" vertical="center" wrapText="1"/>
    </xf>
    <xf numFmtId="0" fontId="50" fillId="14" borderId="49" xfId="2" applyFont="1" applyFill="1" applyBorder="1" applyAlignment="1">
      <alignment horizontal="center" vertical="center" wrapText="1"/>
    </xf>
    <xf numFmtId="0" fontId="50" fillId="14" borderId="50"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8" xfId="2" quotePrefix="1" applyFont="1" applyBorder="1" applyAlignment="1">
      <alignment horizontal="left" vertical="center" wrapText="1"/>
    </xf>
    <xf numFmtId="0" fontId="49" fillId="0" borderId="69" xfId="2" quotePrefix="1" applyFont="1" applyBorder="1" applyAlignment="1">
      <alignment horizontal="left" vertical="center" wrapText="1"/>
    </xf>
    <xf numFmtId="0" fontId="49" fillId="0" borderId="70" xfId="2" quotePrefix="1" applyFont="1" applyBorder="1" applyAlignment="1">
      <alignment horizontal="left" vertical="center" wrapText="1"/>
    </xf>
    <xf numFmtId="0" fontId="51" fillId="3" borderId="51" xfId="2" quotePrefix="1" applyFont="1" applyFill="1" applyBorder="1" applyAlignment="1">
      <alignment horizontal="left" vertical="top" wrapText="1"/>
    </xf>
    <xf numFmtId="0" fontId="52" fillId="3" borderId="52" xfId="2" quotePrefix="1" applyFont="1" applyFill="1" applyBorder="1" applyAlignment="1">
      <alignment horizontal="left" vertical="top" wrapText="1"/>
    </xf>
    <xf numFmtId="0" fontId="52" fillId="3" borderId="53"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54" xfId="3" applyFont="1" applyFill="1" applyBorder="1" applyAlignment="1">
      <alignment horizontal="center" vertical="center" wrapText="1"/>
    </xf>
    <xf numFmtId="0" fontId="54" fillId="14" borderId="55" xfId="3" applyFont="1" applyFill="1" applyBorder="1" applyAlignment="1">
      <alignment horizontal="center" vertical="center" wrapText="1"/>
    </xf>
    <xf numFmtId="0" fontId="54" fillId="14" borderId="56" xfId="2" applyFont="1" applyFill="1" applyBorder="1" applyAlignment="1">
      <alignment horizontal="center" vertical="center"/>
    </xf>
    <xf numFmtId="0" fontId="54"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6" fillId="3" borderId="6" xfId="0" applyFont="1" applyFill="1" applyBorder="1" applyAlignment="1" applyProtection="1">
      <alignment horizontal="left" vertical="center" wrapText="1"/>
      <protection locked="0"/>
    </xf>
    <xf numFmtId="0" fontId="6" fillId="3" borderId="10" xfId="0" applyFont="1" applyFill="1" applyBorder="1" applyAlignment="1" applyProtection="1">
      <alignment horizontal="left" vertical="center" wrapText="1"/>
      <protection locked="0"/>
    </xf>
    <xf numFmtId="0" fontId="6" fillId="3" borderId="7" xfId="0" applyFont="1" applyFill="1" applyBorder="1" applyAlignment="1" applyProtection="1">
      <alignment horizontal="left" vertical="center" wrapText="1"/>
      <protection locked="0"/>
    </xf>
    <xf numFmtId="0" fontId="6" fillId="3" borderId="6" xfId="0" applyFont="1" applyFill="1" applyBorder="1" applyAlignment="1" applyProtection="1">
      <alignment horizontal="left" vertical="center"/>
      <protection locked="0"/>
    </xf>
    <xf numFmtId="0" fontId="6" fillId="3" borderId="10" xfId="0" applyFont="1" applyFill="1" applyBorder="1" applyAlignment="1" applyProtection="1">
      <alignment horizontal="left" vertical="center"/>
      <protection locked="0"/>
    </xf>
    <xf numFmtId="0" fontId="6"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9" xfId="0" applyFont="1" applyBorder="1" applyAlignment="1">
      <alignment horizontal="center" vertical="center" wrapText="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5" fillId="0" borderId="0" xfId="0" applyFont="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4" xfId="0" applyFont="1" applyBorder="1" applyAlignment="1">
      <alignment horizontal="center" vertical="center" wrapText="1"/>
    </xf>
    <xf numFmtId="0" fontId="43" fillId="0" borderId="0" xfId="0" applyFont="1" applyAlignment="1">
      <alignment horizontal="center" vertical="center"/>
    </xf>
    <xf numFmtId="0" fontId="43" fillId="0" borderId="14"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3" fillId="0" borderId="13" xfId="0" applyFont="1" applyBorder="1" applyAlignment="1">
      <alignment horizontal="center" vertical="center"/>
    </xf>
    <xf numFmtId="0" fontId="43" fillId="0" borderId="15" xfId="0" applyFont="1" applyBorder="1" applyAlignment="1">
      <alignment horizontal="center" vertical="center"/>
    </xf>
    <xf numFmtId="0" fontId="43" fillId="0" borderId="17" xfId="0" applyFont="1" applyBorder="1" applyAlignment="1">
      <alignment horizontal="center" vertical="center"/>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43" fillId="0" borderId="19" xfId="0" applyFont="1" applyBorder="1" applyAlignment="1">
      <alignment horizontal="center" vertical="center" wrapText="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5" xfId="0" applyFont="1" applyFill="1" applyBorder="1" applyAlignment="1">
      <alignment horizontal="center" vertical="center" wrapText="1" readingOrder="1"/>
    </xf>
    <xf numFmtId="0" fontId="40" fillId="15" borderId="36" xfId="0" applyFont="1" applyFill="1" applyBorder="1" applyAlignment="1">
      <alignment horizontal="center" vertical="center" wrapText="1" readingOrder="1"/>
    </xf>
    <xf numFmtId="0" fontId="40" fillId="15" borderId="47"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4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20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5" Type="http://schemas.openxmlformats.org/officeDocument/2006/relationships/sheetMetadata" Target="metadata.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C500/Downloads/RIESGO%20DE%20CORRUPCI&#211;N%20formato%20de%20gesti&#243;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s>
    <sheetDataSet>
      <sheetData sheetId="0">
        <row r="2">
          <cell r="G2" t="str">
            <v>Media</v>
          </cell>
          <cell r="N2">
            <v>1</v>
          </cell>
          <cell r="X2" t="str">
            <v>Baja</v>
          </cell>
          <cell r="Z2" t="str">
            <v>Mayor</v>
          </cell>
          <cell r="AA2">
            <v>0.8</v>
          </cell>
        </row>
        <row r="3">
          <cell r="K3" t="str">
            <v>Mayor</v>
          </cell>
          <cell r="N3">
            <v>2</v>
          </cell>
          <cell r="X3" t="str">
            <v>Baja</v>
          </cell>
          <cell r="Z3" t="str">
            <v>Mayor</v>
          </cell>
        </row>
        <row r="4">
          <cell r="X4" t="str">
            <v/>
          </cell>
          <cell r="Z4" t="str">
            <v/>
          </cell>
        </row>
        <row r="5">
          <cell r="X5" t="str">
            <v/>
          </cell>
          <cell r="Z5" t="str">
            <v/>
          </cell>
        </row>
        <row r="6">
          <cell r="X6" t="str">
            <v/>
          </cell>
          <cell r="Z6" t="str">
            <v/>
          </cell>
        </row>
        <row r="7">
          <cell r="X7" t="str">
            <v/>
          </cell>
          <cell r="Z7" t="str">
            <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76" t="s">
        <v>166</v>
      </c>
      <c r="C2" s="177"/>
      <c r="D2" s="177"/>
      <c r="E2" s="177"/>
      <c r="F2" s="177"/>
      <c r="G2" s="177"/>
      <c r="H2" s="178"/>
    </row>
    <row r="3" spans="2:8" x14ac:dyDescent="0.25">
      <c r="B3" s="84"/>
      <c r="C3" s="85"/>
      <c r="D3" s="85"/>
      <c r="E3" s="85"/>
      <c r="F3" s="85"/>
      <c r="G3" s="85"/>
      <c r="H3" s="86"/>
    </row>
    <row r="4" spans="2:8" ht="63" customHeight="1" x14ac:dyDescent="0.25">
      <c r="B4" s="179" t="s">
        <v>209</v>
      </c>
      <c r="C4" s="180"/>
      <c r="D4" s="180"/>
      <c r="E4" s="180"/>
      <c r="F4" s="180"/>
      <c r="G4" s="180"/>
      <c r="H4" s="181"/>
    </row>
    <row r="5" spans="2:8" ht="63" customHeight="1" x14ac:dyDescent="0.25">
      <c r="B5" s="182"/>
      <c r="C5" s="183"/>
      <c r="D5" s="183"/>
      <c r="E5" s="183"/>
      <c r="F5" s="183"/>
      <c r="G5" s="183"/>
      <c r="H5" s="184"/>
    </row>
    <row r="6" spans="2:8" ht="16.5" x14ac:dyDescent="0.25">
      <c r="B6" s="185" t="s">
        <v>164</v>
      </c>
      <c r="C6" s="186"/>
      <c r="D6" s="186"/>
      <c r="E6" s="186"/>
      <c r="F6" s="186"/>
      <c r="G6" s="186"/>
      <c r="H6" s="187"/>
    </row>
    <row r="7" spans="2:8" ht="95.25" customHeight="1" x14ac:dyDescent="0.25">
      <c r="B7" s="195" t="s">
        <v>169</v>
      </c>
      <c r="C7" s="196"/>
      <c r="D7" s="196"/>
      <c r="E7" s="196"/>
      <c r="F7" s="196"/>
      <c r="G7" s="196"/>
      <c r="H7" s="197"/>
    </row>
    <row r="8" spans="2:8" ht="16.5" x14ac:dyDescent="0.25">
      <c r="B8" s="120"/>
      <c r="C8" s="121"/>
      <c r="D8" s="121"/>
      <c r="E8" s="121"/>
      <c r="F8" s="121"/>
      <c r="G8" s="121"/>
      <c r="H8" s="122"/>
    </row>
    <row r="9" spans="2:8" ht="16.5" customHeight="1" x14ac:dyDescent="0.25">
      <c r="B9" s="188" t="s">
        <v>202</v>
      </c>
      <c r="C9" s="189"/>
      <c r="D9" s="189"/>
      <c r="E9" s="189"/>
      <c r="F9" s="189"/>
      <c r="G9" s="189"/>
      <c r="H9" s="190"/>
    </row>
    <row r="10" spans="2:8" ht="44.25" customHeight="1" x14ac:dyDescent="0.25">
      <c r="B10" s="188"/>
      <c r="C10" s="189"/>
      <c r="D10" s="189"/>
      <c r="E10" s="189"/>
      <c r="F10" s="189"/>
      <c r="G10" s="189"/>
      <c r="H10" s="190"/>
    </row>
    <row r="11" spans="2:8" ht="15.75" thickBot="1" x14ac:dyDescent="0.3">
      <c r="B11" s="109"/>
      <c r="C11" s="112"/>
      <c r="D11" s="117"/>
      <c r="E11" s="118"/>
      <c r="F11" s="118"/>
      <c r="G11" s="119"/>
      <c r="H11" s="113"/>
    </row>
    <row r="12" spans="2:8" ht="15.75" thickTop="1" x14ac:dyDescent="0.25">
      <c r="B12" s="109"/>
      <c r="C12" s="191" t="s">
        <v>165</v>
      </c>
      <c r="D12" s="192"/>
      <c r="E12" s="193" t="s">
        <v>203</v>
      </c>
      <c r="F12" s="194"/>
      <c r="G12" s="112"/>
      <c r="H12" s="113"/>
    </row>
    <row r="13" spans="2:8" ht="35.25" customHeight="1" x14ac:dyDescent="0.25">
      <c r="B13" s="109"/>
      <c r="C13" s="163" t="s">
        <v>196</v>
      </c>
      <c r="D13" s="164"/>
      <c r="E13" s="165" t="s">
        <v>201</v>
      </c>
      <c r="F13" s="166"/>
      <c r="G13" s="112"/>
      <c r="H13" s="113"/>
    </row>
    <row r="14" spans="2:8" ht="17.25" customHeight="1" x14ac:dyDescent="0.25">
      <c r="B14" s="109"/>
      <c r="C14" s="163" t="s">
        <v>197</v>
      </c>
      <c r="D14" s="164"/>
      <c r="E14" s="165" t="s">
        <v>199</v>
      </c>
      <c r="F14" s="166"/>
      <c r="G14" s="112"/>
      <c r="H14" s="113"/>
    </row>
    <row r="15" spans="2:8" ht="19.5" customHeight="1" x14ac:dyDescent="0.25">
      <c r="B15" s="109"/>
      <c r="C15" s="163" t="s">
        <v>198</v>
      </c>
      <c r="D15" s="164"/>
      <c r="E15" s="165" t="s">
        <v>200</v>
      </c>
      <c r="F15" s="166"/>
      <c r="G15" s="112"/>
      <c r="H15" s="113"/>
    </row>
    <row r="16" spans="2:8" ht="69.75" customHeight="1" x14ac:dyDescent="0.25">
      <c r="B16" s="109"/>
      <c r="C16" s="163" t="s">
        <v>167</v>
      </c>
      <c r="D16" s="164"/>
      <c r="E16" s="165" t="s">
        <v>168</v>
      </c>
      <c r="F16" s="166"/>
      <c r="G16" s="112"/>
      <c r="H16" s="113"/>
    </row>
    <row r="17" spans="2:8" ht="34.5" customHeight="1" x14ac:dyDescent="0.25">
      <c r="B17" s="109"/>
      <c r="C17" s="167" t="s">
        <v>2</v>
      </c>
      <c r="D17" s="168"/>
      <c r="E17" s="159" t="s">
        <v>210</v>
      </c>
      <c r="F17" s="160"/>
      <c r="G17" s="112"/>
      <c r="H17" s="113"/>
    </row>
    <row r="18" spans="2:8" ht="27.75" customHeight="1" x14ac:dyDescent="0.25">
      <c r="B18" s="109"/>
      <c r="C18" s="167" t="s">
        <v>3</v>
      </c>
      <c r="D18" s="168"/>
      <c r="E18" s="159" t="s">
        <v>211</v>
      </c>
      <c r="F18" s="160"/>
      <c r="G18" s="112"/>
      <c r="H18" s="113"/>
    </row>
    <row r="19" spans="2:8" ht="28.5" customHeight="1" x14ac:dyDescent="0.25">
      <c r="B19" s="109"/>
      <c r="C19" s="167" t="s">
        <v>42</v>
      </c>
      <c r="D19" s="168"/>
      <c r="E19" s="159" t="s">
        <v>212</v>
      </c>
      <c r="F19" s="160"/>
      <c r="G19" s="112"/>
      <c r="H19" s="113"/>
    </row>
    <row r="20" spans="2:8" ht="72.75" customHeight="1" x14ac:dyDescent="0.25">
      <c r="B20" s="109"/>
      <c r="C20" s="167" t="s">
        <v>1</v>
      </c>
      <c r="D20" s="168"/>
      <c r="E20" s="159" t="s">
        <v>213</v>
      </c>
      <c r="F20" s="160"/>
      <c r="G20" s="112"/>
      <c r="H20" s="113"/>
    </row>
    <row r="21" spans="2:8" ht="64.5" customHeight="1" x14ac:dyDescent="0.25">
      <c r="B21" s="109"/>
      <c r="C21" s="167" t="s">
        <v>50</v>
      </c>
      <c r="D21" s="168"/>
      <c r="E21" s="159" t="s">
        <v>171</v>
      </c>
      <c r="F21" s="160"/>
      <c r="G21" s="112"/>
      <c r="H21" s="113"/>
    </row>
    <row r="22" spans="2:8" ht="71.25" customHeight="1" x14ac:dyDescent="0.25">
      <c r="B22" s="109"/>
      <c r="C22" s="167" t="s">
        <v>170</v>
      </c>
      <c r="D22" s="168"/>
      <c r="E22" s="159" t="s">
        <v>172</v>
      </c>
      <c r="F22" s="160"/>
      <c r="G22" s="112"/>
      <c r="H22" s="113"/>
    </row>
    <row r="23" spans="2:8" ht="55.5" customHeight="1" x14ac:dyDescent="0.25">
      <c r="B23" s="109"/>
      <c r="C23" s="161" t="s">
        <v>173</v>
      </c>
      <c r="D23" s="162"/>
      <c r="E23" s="159" t="s">
        <v>174</v>
      </c>
      <c r="F23" s="160"/>
      <c r="G23" s="112"/>
      <c r="H23" s="113"/>
    </row>
    <row r="24" spans="2:8" ht="42" customHeight="1" x14ac:dyDescent="0.25">
      <c r="B24" s="109"/>
      <c r="C24" s="161" t="s">
        <v>48</v>
      </c>
      <c r="D24" s="162"/>
      <c r="E24" s="159" t="s">
        <v>175</v>
      </c>
      <c r="F24" s="160"/>
      <c r="G24" s="112"/>
      <c r="H24" s="113"/>
    </row>
    <row r="25" spans="2:8" ht="59.25" customHeight="1" x14ac:dyDescent="0.25">
      <c r="B25" s="109"/>
      <c r="C25" s="161" t="s">
        <v>163</v>
      </c>
      <c r="D25" s="162"/>
      <c r="E25" s="159" t="s">
        <v>176</v>
      </c>
      <c r="F25" s="160"/>
      <c r="G25" s="112"/>
      <c r="H25" s="113"/>
    </row>
    <row r="26" spans="2:8" ht="23.25" customHeight="1" x14ac:dyDescent="0.25">
      <c r="B26" s="109"/>
      <c r="C26" s="161" t="s">
        <v>12</v>
      </c>
      <c r="D26" s="162"/>
      <c r="E26" s="159" t="s">
        <v>177</v>
      </c>
      <c r="F26" s="160"/>
      <c r="G26" s="112"/>
      <c r="H26" s="113"/>
    </row>
    <row r="27" spans="2:8" ht="30.75" customHeight="1" x14ac:dyDescent="0.25">
      <c r="B27" s="109"/>
      <c r="C27" s="161" t="s">
        <v>181</v>
      </c>
      <c r="D27" s="162"/>
      <c r="E27" s="159" t="s">
        <v>178</v>
      </c>
      <c r="F27" s="160"/>
      <c r="G27" s="112"/>
      <c r="H27" s="113"/>
    </row>
    <row r="28" spans="2:8" ht="35.25" customHeight="1" x14ac:dyDescent="0.25">
      <c r="B28" s="109"/>
      <c r="C28" s="161" t="s">
        <v>182</v>
      </c>
      <c r="D28" s="162"/>
      <c r="E28" s="159" t="s">
        <v>179</v>
      </c>
      <c r="F28" s="160"/>
      <c r="G28" s="112"/>
      <c r="H28" s="113"/>
    </row>
    <row r="29" spans="2:8" ht="33" customHeight="1" x14ac:dyDescent="0.25">
      <c r="B29" s="109"/>
      <c r="C29" s="161" t="s">
        <v>182</v>
      </c>
      <c r="D29" s="162"/>
      <c r="E29" s="159" t="s">
        <v>179</v>
      </c>
      <c r="F29" s="160"/>
      <c r="G29" s="112"/>
      <c r="H29" s="113"/>
    </row>
    <row r="30" spans="2:8" ht="30" customHeight="1" x14ac:dyDescent="0.25">
      <c r="B30" s="109"/>
      <c r="C30" s="161" t="s">
        <v>183</v>
      </c>
      <c r="D30" s="162"/>
      <c r="E30" s="159" t="s">
        <v>180</v>
      </c>
      <c r="F30" s="160"/>
      <c r="G30" s="112"/>
      <c r="H30" s="113"/>
    </row>
    <row r="31" spans="2:8" ht="35.25" customHeight="1" x14ac:dyDescent="0.25">
      <c r="B31" s="109"/>
      <c r="C31" s="161" t="s">
        <v>184</v>
      </c>
      <c r="D31" s="162"/>
      <c r="E31" s="159" t="s">
        <v>185</v>
      </c>
      <c r="F31" s="160"/>
      <c r="G31" s="112"/>
      <c r="H31" s="113"/>
    </row>
    <row r="32" spans="2:8" ht="31.5" customHeight="1" x14ac:dyDescent="0.25">
      <c r="B32" s="109"/>
      <c r="C32" s="161" t="s">
        <v>186</v>
      </c>
      <c r="D32" s="162"/>
      <c r="E32" s="159" t="s">
        <v>187</v>
      </c>
      <c r="F32" s="160"/>
      <c r="G32" s="112"/>
      <c r="H32" s="113"/>
    </row>
    <row r="33" spans="2:8" ht="35.25" customHeight="1" x14ac:dyDescent="0.25">
      <c r="B33" s="109"/>
      <c r="C33" s="161" t="s">
        <v>188</v>
      </c>
      <c r="D33" s="162"/>
      <c r="E33" s="159" t="s">
        <v>189</v>
      </c>
      <c r="F33" s="160"/>
      <c r="G33" s="112"/>
      <c r="H33" s="113"/>
    </row>
    <row r="34" spans="2:8" ht="59.25" customHeight="1" x14ac:dyDescent="0.25">
      <c r="B34" s="109"/>
      <c r="C34" s="161" t="s">
        <v>190</v>
      </c>
      <c r="D34" s="162"/>
      <c r="E34" s="159" t="s">
        <v>191</v>
      </c>
      <c r="F34" s="160"/>
      <c r="G34" s="112"/>
      <c r="H34" s="113"/>
    </row>
    <row r="35" spans="2:8" ht="29.25" customHeight="1" x14ac:dyDescent="0.25">
      <c r="B35" s="109"/>
      <c r="C35" s="161" t="s">
        <v>29</v>
      </c>
      <c r="D35" s="162"/>
      <c r="E35" s="159" t="s">
        <v>192</v>
      </c>
      <c r="F35" s="160"/>
      <c r="G35" s="112"/>
      <c r="H35" s="113"/>
    </row>
    <row r="36" spans="2:8" ht="82.5" customHeight="1" x14ac:dyDescent="0.25">
      <c r="B36" s="109"/>
      <c r="C36" s="161" t="s">
        <v>194</v>
      </c>
      <c r="D36" s="162"/>
      <c r="E36" s="159" t="s">
        <v>193</v>
      </c>
      <c r="F36" s="160"/>
      <c r="G36" s="112"/>
      <c r="H36" s="113"/>
    </row>
    <row r="37" spans="2:8" ht="46.5" customHeight="1" x14ac:dyDescent="0.25">
      <c r="B37" s="109"/>
      <c r="C37" s="161" t="s">
        <v>39</v>
      </c>
      <c r="D37" s="162"/>
      <c r="E37" s="159" t="s">
        <v>195</v>
      </c>
      <c r="F37" s="160"/>
      <c r="G37" s="112"/>
      <c r="H37" s="113"/>
    </row>
    <row r="38" spans="2:8" ht="6.75" customHeight="1" thickBot="1" x14ac:dyDescent="0.3">
      <c r="B38" s="109"/>
      <c r="C38" s="172"/>
      <c r="D38" s="173"/>
      <c r="E38" s="174"/>
      <c r="F38" s="175"/>
      <c r="G38" s="112"/>
      <c r="H38" s="113"/>
    </row>
    <row r="39" spans="2:8" ht="15.75" thickTop="1" x14ac:dyDescent="0.25">
      <c r="B39" s="109"/>
      <c r="C39" s="110"/>
      <c r="D39" s="110"/>
      <c r="E39" s="111"/>
      <c r="F39" s="111"/>
      <c r="G39" s="112"/>
      <c r="H39" s="113"/>
    </row>
    <row r="40" spans="2:8" ht="21" customHeight="1" x14ac:dyDescent="0.25">
      <c r="B40" s="169" t="s">
        <v>204</v>
      </c>
      <c r="C40" s="170"/>
      <c r="D40" s="170"/>
      <c r="E40" s="170"/>
      <c r="F40" s="170"/>
      <c r="G40" s="170"/>
      <c r="H40" s="171"/>
    </row>
    <row r="41" spans="2:8" ht="20.25" customHeight="1" x14ac:dyDescent="0.25">
      <c r="B41" s="169" t="s">
        <v>205</v>
      </c>
      <c r="C41" s="170"/>
      <c r="D41" s="170"/>
      <c r="E41" s="170"/>
      <c r="F41" s="170"/>
      <c r="G41" s="170"/>
      <c r="H41" s="171"/>
    </row>
    <row r="42" spans="2:8" ht="20.25" customHeight="1" x14ac:dyDescent="0.25">
      <c r="B42" s="169" t="s">
        <v>206</v>
      </c>
      <c r="C42" s="170"/>
      <c r="D42" s="170"/>
      <c r="E42" s="170"/>
      <c r="F42" s="170"/>
      <c r="G42" s="170"/>
      <c r="H42" s="171"/>
    </row>
    <row r="43" spans="2:8" ht="20.25" customHeight="1" x14ac:dyDescent="0.25">
      <c r="B43" s="169" t="s">
        <v>207</v>
      </c>
      <c r="C43" s="170"/>
      <c r="D43" s="170"/>
      <c r="E43" s="170"/>
      <c r="F43" s="170"/>
      <c r="G43" s="170"/>
      <c r="H43" s="171"/>
    </row>
    <row r="44" spans="2:8" x14ac:dyDescent="0.25">
      <c r="B44" s="169" t="s">
        <v>208</v>
      </c>
      <c r="C44" s="170"/>
      <c r="D44" s="170"/>
      <c r="E44" s="170"/>
      <c r="F44" s="170"/>
      <c r="G44" s="170"/>
      <c r="H44" s="171"/>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R69"/>
  <sheetViews>
    <sheetView tabSelected="1" topLeftCell="C1" zoomScale="160" zoomScaleNormal="160" workbookViewId="0">
      <selection activeCell="C6" sqref="C6:P6"/>
    </sheetView>
  </sheetViews>
  <sheetFormatPr baseColWidth="10" defaultColWidth="11.42578125" defaultRowHeight="16.5" x14ac:dyDescent="0.3"/>
  <cols>
    <col min="1" max="1" width="4" style="2" bestFit="1" customWidth="1"/>
    <col min="2" max="2" width="14.140625" style="2" customWidth="1"/>
    <col min="3" max="3" width="13.140625" style="2" customWidth="1"/>
    <col min="4" max="5" width="16.140625" style="2" customWidth="1"/>
    <col min="6" max="6" width="32.42578125" style="1" customWidth="1"/>
    <col min="7" max="8" width="19" style="5" customWidth="1"/>
    <col min="9" max="9" width="17.85546875" style="1" customWidth="1"/>
    <col min="10" max="10" width="16.5703125" style="1" customWidth="1"/>
    <col min="11" max="11" width="6.28515625" style="1" bestFit="1" customWidth="1"/>
    <col min="12" max="12" width="27.28515625" style="1" bestFit="1" customWidth="1"/>
    <col min="13" max="13" width="30.5703125" style="1" hidden="1" customWidth="1"/>
    <col min="14" max="14" width="17.5703125" style="1" customWidth="1"/>
    <col min="15" max="15" width="6.28515625" style="1" bestFit="1" customWidth="1"/>
    <col min="16" max="16" width="16" style="1" customWidth="1"/>
    <col min="17" max="17" width="5.85546875" style="1" customWidth="1"/>
    <col min="18" max="18" width="31"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26" width="38.28515625" style="1" hidden="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x14ac:dyDescent="0.3">
      <c r="A1" s="198" t="s">
        <v>144</v>
      </c>
      <c r="B1" s="199"/>
      <c r="C1" s="199"/>
      <c r="D1" s="199"/>
      <c r="E1" s="199"/>
      <c r="F1" s="199"/>
      <c r="G1" s="199"/>
      <c r="H1" s="199"/>
      <c r="I1" s="199"/>
      <c r="J1" s="199"/>
      <c r="K1" s="199"/>
      <c r="L1" s="199"/>
      <c r="M1" s="199"/>
      <c r="N1" s="199"/>
      <c r="O1" s="199"/>
      <c r="P1" s="199"/>
      <c r="Q1" s="199"/>
      <c r="R1" s="199"/>
      <c r="S1" s="199"/>
      <c r="T1" s="199"/>
      <c r="U1" s="199"/>
      <c r="V1" s="199"/>
      <c r="W1" s="199"/>
      <c r="X1" s="199"/>
      <c r="Y1" s="199"/>
      <c r="Z1" s="199"/>
      <c r="AA1" s="199"/>
      <c r="AB1" s="199"/>
      <c r="AC1" s="199"/>
      <c r="AD1" s="199"/>
      <c r="AE1" s="199"/>
      <c r="AF1" s="199"/>
      <c r="AG1" s="199"/>
      <c r="AH1" s="199"/>
      <c r="AI1" s="199"/>
      <c r="AJ1" s="199"/>
      <c r="AK1" s="199"/>
      <c r="AL1" s="200"/>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x14ac:dyDescent="0.3">
      <c r="A2" s="201"/>
      <c r="B2" s="202"/>
      <c r="C2" s="202"/>
      <c r="D2" s="202"/>
      <c r="E2" s="202"/>
      <c r="F2" s="202"/>
      <c r="G2" s="202"/>
      <c r="H2" s="202"/>
      <c r="I2" s="202"/>
      <c r="J2" s="202"/>
      <c r="K2" s="202"/>
      <c r="L2" s="202"/>
      <c r="M2" s="202"/>
      <c r="N2" s="202"/>
      <c r="O2" s="202"/>
      <c r="P2" s="202"/>
      <c r="Q2" s="202"/>
      <c r="R2" s="202"/>
      <c r="S2" s="202"/>
      <c r="T2" s="202"/>
      <c r="U2" s="202"/>
      <c r="V2" s="202"/>
      <c r="W2" s="202"/>
      <c r="X2" s="202"/>
      <c r="Y2" s="202"/>
      <c r="Z2" s="202"/>
      <c r="AA2" s="202"/>
      <c r="AB2" s="202"/>
      <c r="AC2" s="202"/>
      <c r="AD2" s="202"/>
      <c r="AE2" s="202"/>
      <c r="AF2" s="202"/>
      <c r="AG2" s="202"/>
      <c r="AH2" s="202"/>
      <c r="AI2" s="202"/>
      <c r="AJ2" s="202"/>
      <c r="AK2" s="202"/>
      <c r="AL2" s="203"/>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x14ac:dyDescent="0.3">
      <c r="A3" s="28"/>
      <c r="B3" s="29"/>
      <c r="C3" s="28"/>
      <c r="D3" s="28"/>
      <c r="E3" s="28"/>
      <c r="F3" s="8"/>
      <c r="G3" s="27"/>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x14ac:dyDescent="0.3">
      <c r="A4" s="243" t="s">
        <v>43</v>
      </c>
      <c r="B4" s="244"/>
      <c r="C4" s="253" t="s">
        <v>229</v>
      </c>
      <c r="D4" s="254"/>
      <c r="E4" s="254"/>
      <c r="F4" s="254"/>
      <c r="G4" s="254"/>
      <c r="H4" s="254"/>
      <c r="I4" s="254"/>
      <c r="J4" s="254"/>
      <c r="K4" s="254"/>
      <c r="L4" s="254"/>
      <c r="M4" s="254"/>
      <c r="N4" s="254"/>
      <c r="O4" s="254"/>
      <c r="P4" s="255"/>
      <c r="Q4" s="256"/>
      <c r="R4" s="256"/>
      <c r="S4" s="256"/>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47.25" customHeight="1" x14ac:dyDescent="0.3">
      <c r="A5" s="243" t="s">
        <v>130</v>
      </c>
      <c r="B5" s="244"/>
      <c r="C5" s="250" t="s">
        <v>230</v>
      </c>
      <c r="D5" s="251"/>
      <c r="E5" s="251"/>
      <c r="F5" s="251"/>
      <c r="G5" s="251"/>
      <c r="H5" s="251"/>
      <c r="I5" s="251"/>
      <c r="J5" s="251"/>
      <c r="K5" s="251"/>
      <c r="L5" s="251"/>
      <c r="M5" s="251"/>
      <c r="N5" s="251"/>
      <c r="O5" s="251"/>
      <c r="P5" s="252"/>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65.25" customHeight="1" x14ac:dyDescent="0.3">
      <c r="A6" s="243" t="s">
        <v>44</v>
      </c>
      <c r="B6" s="244"/>
      <c r="C6" s="250" t="s">
        <v>231</v>
      </c>
      <c r="D6" s="251"/>
      <c r="E6" s="251"/>
      <c r="F6" s="251"/>
      <c r="G6" s="251"/>
      <c r="H6" s="251"/>
      <c r="I6" s="251"/>
      <c r="J6" s="251"/>
      <c r="K6" s="251"/>
      <c r="L6" s="251"/>
      <c r="M6" s="251"/>
      <c r="N6" s="251"/>
      <c r="O6" s="251"/>
      <c r="P6" s="252"/>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x14ac:dyDescent="0.3">
      <c r="A7" s="204" t="s">
        <v>139</v>
      </c>
      <c r="B7" s="205"/>
      <c r="C7" s="205"/>
      <c r="D7" s="205"/>
      <c r="E7" s="205"/>
      <c r="F7" s="205"/>
      <c r="G7" s="205"/>
      <c r="H7" s="205"/>
      <c r="I7" s="206"/>
      <c r="J7" s="204" t="s">
        <v>140</v>
      </c>
      <c r="K7" s="205"/>
      <c r="L7" s="205"/>
      <c r="M7" s="205"/>
      <c r="N7" s="205"/>
      <c r="O7" s="205"/>
      <c r="P7" s="206"/>
      <c r="Q7" s="204" t="s">
        <v>141</v>
      </c>
      <c r="R7" s="205"/>
      <c r="S7" s="205"/>
      <c r="T7" s="205"/>
      <c r="U7" s="205"/>
      <c r="V7" s="205"/>
      <c r="W7" s="205"/>
      <c r="X7" s="205"/>
      <c r="Y7" s="206"/>
      <c r="Z7" s="204" t="s">
        <v>142</v>
      </c>
      <c r="AA7" s="205"/>
      <c r="AB7" s="205"/>
      <c r="AC7" s="205"/>
      <c r="AD7" s="205"/>
      <c r="AE7" s="205"/>
      <c r="AF7" s="206"/>
      <c r="AG7" s="204" t="s">
        <v>34</v>
      </c>
      <c r="AH7" s="205"/>
      <c r="AI7" s="205"/>
      <c r="AJ7" s="205"/>
      <c r="AK7" s="205"/>
      <c r="AL7" s="206"/>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x14ac:dyDescent="0.3">
      <c r="A8" s="245" t="s">
        <v>0</v>
      </c>
      <c r="B8" s="214" t="s">
        <v>2</v>
      </c>
      <c r="C8" s="208" t="s">
        <v>3</v>
      </c>
      <c r="D8" s="208" t="s">
        <v>42</v>
      </c>
      <c r="E8" s="142"/>
      <c r="F8" s="247" t="s">
        <v>1</v>
      </c>
      <c r="G8" s="215" t="s">
        <v>50</v>
      </c>
      <c r="H8" s="143"/>
      <c r="I8" s="208" t="s">
        <v>135</v>
      </c>
      <c r="J8" s="210" t="s">
        <v>33</v>
      </c>
      <c r="K8" s="211" t="s">
        <v>5</v>
      </c>
      <c r="L8" s="215" t="s">
        <v>87</v>
      </c>
      <c r="M8" s="215" t="s">
        <v>92</v>
      </c>
      <c r="N8" s="213" t="s">
        <v>45</v>
      </c>
      <c r="O8" s="211" t="s">
        <v>5</v>
      </c>
      <c r="P8" s="208" t="s">
        <v>48</v>
      </c>
      <c r="Q8" s="248" t="s">
        <v>11</v>
      </c>
      <c r="R8" s="209" t="s">
        <v>163</v>
      </c>
      <c r="S8" s="215" t="s">
        <v>12</v>
      </c>
      <c r="T8" s="209" t="s">
        <v>8</v>
      </c>
      <c r="U8" s="209"/>
      <c r="V8" s="209"/>
      <c r="W8" s="209"/>
      <c r="X8" s="209"/>
      <c r="Y8" s="209"/>
      <c r="Z8" s="207" t="s">
        <v>138</v>
      </c>
      <c r="AA8" s="207" t="s">
        <v>46</v>
      </c>
      <c r="AB8" s="207" t="s">
        <v>5</v>
      </c>
      <c r="AC8" s="207" t="s">
        <v>47</v>
      </c>
      <c r="AD8" s="207" t="s">
        <v>5</v>
      </c>
      <c r="AE8" s="207" t="s">
        <v>49</v>
      </c>
      <c r="AF8" s="248" t="s">
        <v>29</v>
      </c>
      <c r="AG8" s="209" t="s">
        <v>34</v>
      </c>
      <c r="AH8" s="209" t="s">
        <v>35</v>
      </c>
      <c r="AI8" s="209" t="s">
        <v>36</v>
      </c>
      <c r="AJ8" s="209" t="s">
        <v>38</v>
      </c>
      <c r="AK8" s="209" t="s">
        <v>37</v>
      </c>
      <c r="AL8" s="209"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x14ac:dyDescent="0.25">
      <c r="A9" s="246"/>
      <c r="B9" s="214"/>
      <c r="C9" s="209"/>
      <c r="D9" s="209"/>
      <c r="E9" s="141" t="s">
        <v>216</v>
      </c>
      <c r="F9" s="214"/>
      <c r="G9" s="208"/>
      <c r="H9" s="142" t="s">
        <v>217</v>
      </c>
      <c r="I9" s="209"/>
      <c r="J9" s="208"/>
      <c r="K9" s="212"/>
      <c r="L9" s="208"/>
      <c r="M9" s="208"/>
      <c r="N9" s="212"/>
      <c r="O9" s="211"/>
      <c r="P9" s="209"/>
      <c r="Q9" s="249"/>
      <c r="R9" s="209"/>
      <c r="S9" s="208"/>
      <c r="T9" s="7" t="s">
        <v>13</v>
      </c>
      <c r="U9" s="7" t="s">
        <v>17</v>
      </c>
      <c r="V9" s="7" t="s">
        <v>28</v>
      </c>
      <c r="W9" s="7" t="s">
        <v>18</v>
      </c>
      <c r="X9" s="7" t="s">
        <v>21</v>
      </c>
      <c r="Y9" s="7" t="s">
        <v>24</v>
      </c>
      <c r="Z9" s="207"/>
      <c r="AA9" s="207"/>
      <c r="AB9" s="207"/>
      <c r="AC9" s="207"/>
      <c r="AD9" s="207"/>
      <c r="AE9" s="207"/>
      <c r="AF9" s="249"/>
      <c r="AG9" s="209"/>
      <c r="AH9" s="209"/>
      <c r="AI9" s="209"/>
      <c r="AJ9" s="209"/>
      <c r="AK9" s="209"/>
      <c r="AL9" s="209"/>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28.44999999999999" customHeight="1" x14ac:dyDescent="0.25">
      <c r="A10" s="225">
        <v>1</v>
      </c>
      <c r="B10" s="228" t="s">
        <v>134</v>
      </c>
      <c r="C10" s="228" t="s">
        <v>214</v>
      </c>
      <c r="D10" s="228" t="s">
        <v>226</v>
      </c>
      <c r="E10" s="146" t="s">
        <v>215</v>
      </c>
      <c r="F10" s="231" t="s">
        <v>227</v>
      </c>
      <c r="G10" s="228" t="s">
        <v>123</v>
      </c>
      <c r="H10" s="138" t="s">
        <v>220</v>
      </c>
      <c r="I10" s="144">
        <v>6</v>
      </c>
      <c r="J10" s="149" t="str">
        <f>IF(I10&lt;=0,"",IF(I10&lt;=2,"Muy Baja",IF(I10&lt;=24,"Baja",IF(I10&lt;=500,"Media",IF(I10&lt;=5000,"Alta","Muy Alta")))))</f>
        <v>Baja</v>
      </c>
      <c r="K10" s="150">
        <f>IF(J10="","",IF(J10="Muy Baja",0.2,IF(J10="Baja",0.4,IF(J10="Media",0.6,IF(J10="Alta",0.8,IF(J10="Muy Alta",1,))))))</f>
        <v>0.4</v>
      </c>
      <c r="L10" s="156" t="s">
        <v>156</v>
      </c>
      <c r="M10" s="219"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154" t="str">
        <f ca="1">IF(OR(M10='Tabla Impacto'!$C$11,M10='Tabla Impacto'!$D$11),"Leve",IF(OR(M10='Tabla Impacto'!$C$12,M10='Tabla Impacto'!$D$12),"Menor",IF(OR(M10='Tabla Impacto'!$C$13,M10='Tabla Impacto'!$D$13),"Moderado",IF(OR(M10='Tabla Impacto'!$C$14,M10='Tabla Impacto'!$D$14),"Mayor",IF(OR(M10='Tabla Impacto'!$C$15,M10='Tabla Impacto'!$D$15),"Catastrófico","")))))</f>
        <v>Mayor</v>
      </c>
      <c r="O10" s="153">
        <f ca="1">IF(N10="","",IF(N10="Leve",0.2,IF(N10="Menor",0.4,IF(N10="Moderado",0.6,IF(N10="Mayor",0.8,IF(N10="Catastrófico",1,))))))</f>
        <v>0.8</v>
      </c>
      <c r="P10" s="155"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3">
        <v>1</v>
      </c>
      <c r="R10" s="124" t="s">
        <v>222</v>
      </c>
      <c r="S10" s="125" t="str">
        <f>IF(OR(T10="Preventivo",T10="Detectivo"),"Probabilidad",IF(T10="Correctivo","Impacto",""))</f>
        <v>Probabilidad</v>
      </c>
      <c r="T10" s="126" t="s">
        <v>14</v>
      </c>
      <c r="U10" s="126" t="s">
        <v>9</v>
      </c>
      <c r="V10" s="127" t="str">
        <f>IF(AND(T10="Preventivo",U10="Automático"),"50%",IF(AND(T10="Preventivo",U10="Manual"),"40%",IF(AND(T10="Detectivo",U10="Automático"),"40%",IF(AND(T10="Detectivo",U10="Manual"),"30%",IF(AND(T10="Correctivo",U10="Automático"),"35%",IF(AND(T10="Correctivo",U10="Manual"),"25%",""))))))</f>
        <v>40%</v>
      </c>
      <c r="W10" s="126" t="s">
        <v>19</v>
      </c>
      <c r="X10" s="126" t="s">
        <v>22</v>
      </c>
      <c r="Y10" s="126" t="s">
        <v>119</v>
      </c>
      <c r="Z10" s="128">
        <f>IFERROR(IF(S10="Probabilidad",(K10-(+K10*V10)),IF(S10="Impacto",K10,"")),"")</f>
        <v>0.24</v>
      </c>
      <c r="AA10" s="129" t="str">
        <f>IFERROR(IF(Z10="","",IF(Z10&lt;=0.2,"Muy Baja",IF(Z10&lt;=0.4,"Baja",IF(Z10&lt;=0.6,"Media",IF(Z10&lt;=0.8,"Alta","Muy Alta"))))),"")</f>
        <v>Baja</v>
      </c>
      <c r="AB10" s="130">
        <f>+Z10</f>
        <v>0.24</v>
      </c>
      <c r="AC10" s="129" t="str">
        <f ca="1">IFERROR(IF(AD10="","",IF(AD10&lt;=0.2,"Leve",IF(AD10&lt;=0.4,"Menor",IF(AD10&lt;=0.6,"Moderado",IF(AD10&lt;=0.8,"Mayor","Catastrófico"))))),"")</f>
        <v>Mayor</v>
      </c>
      <c r="AD10" s="130">
        <f ca="1">IFERROR(IF(S10="Impacto",(O10-(+O10*V10)),IF(S10="Probabilidad",O10,"")),"")</f>
        <v>0.8</v>
      </c>
      <c r="AE10" s="131"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32" t="s">
        <v>136</v>
      </c>
      <c r="AG10" s="228" t="s">
        <v>225</v>
      </c>
      <c r="AH10" s="134"/>
      <c r="AI10" s="135"/>
      <c r="AJ10" s="135"/>
      <c r="AK10" s="133"/>
      <c r="AL10" s="134"/>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51.5" customHeight="1" x14ac:dyDescent="0.3">
      <c r="A11" s="226"/>
      <c r="B11" s="229"/>
      <c r="C11" s="229"/>
      <c r="D11" s="229"/>
      <c r="E11" s="147" t="s">
        <v>218</v>
      </c>
      <c r="F11" s="232"/>
      <c r="G11" s="229"/>
      <c r="H11" s="139" t="s">
        <v>223</v>
      </c>
      <c r="I11" s="145">
        <v>12</v>
      </c>
      <c r="J11" s="149" t="str">
        <f>IF(I11&lt;=0,"",IF(I11&lt;=2,"Muy Baja",IF(I11&lt;=24,"Baja",IF(I11&lt;=500,"Media",IF(I11&lt;=5000,"Alta","Muy Alta")))))</f>
        <v>Baja</v>
      </c>
      <c r="K11" s="150">
        <f>IF(J11="","",IF(J11="Muy Baja",0.2,IF(J11="Baja",0.4,IF(J11="Media",0.6,IF(J11="Alta",0.8,IF(J11="Muy Alta",1,))))))</f>
        <v>0.4</v>
      </c>
      <c r="L11" s="157" t="s">
        <v>154</v>
      </c>
      <c r="M11" s="220" t="str">
        <f ca="1">IF(NOT(ISERROR(MATCH(L11,_xlfn.ANCHORARRAY(F19),0))),K21&amp;"Por favor no seleccionar los criterios de impacto",L11)</f>
        <v xml:space="preserve">     El riesgo afecta la imagen de la entidad internamente, de conocimiento general, nivel interno, de junta dircetiva y accionistas y/o de provedores</v>
      </c>
      <c r="N11" s="154" t="str">
        <f ca="1">IF(OR(M11='Tabla Impacto'!$C$11,M11='Tabla Impacto'!$D$11),"Leve",IF(OR(M11='Tabla Impacto'!$C$12,M11='Tabla Impacto'!$D$12),"Menor",IF(OR(M11='Tabla Impacto'!$C$13,M11='Tabla Impacto'!$D$13),"Moderado",IF(OR(M11='Tabla Impacto'!$C$14,M11='Tabla Impacto'!$D$14),"Mayor",IF(OR(M11='Tabla Impacto'!$C$15,M11='Tabla Impacto'!$D$15),"Catastrófico","")))))</f>
        <v>Menor</v>
      </c>
      <c r="O11" s="153">
        <f ca="1">IF(N11="","",IF(N11="Leve",0.2,IF(N11="Menor",0.4,IF(N11="Moderado",0.6,IF(N11="Mayor",0.8,IF(N11="Catastrófico",1,))))))</f>
        <v>0.4</v>
      </c>
      <c r="P11" s="155" t="str">
        <f ca="1">IF(OR(AND(J11="Muy Baja",N11="Leve"),AND(J11="Muy Baja",N11="Menor"),AND(J11="Baja",N11="Leve")),"Bajo",IF(OR(AND(J11="Muy baja",N11="Moderado"),AND(J11="Baja",N11="Menor"),AND(J11="Baja",N11="Moderado"),AND(J11="Media",N11="Leve"),AND(J11="Media",N11="Menor"),AND(J11="Media",N11="Moderado"),AND(J11="Alta",N11="Leve"),AND(J11="Alta",N11="Menor")),"Moderado",IF(OR(AND(J11="Muy Baja",N11="Mayor"),AND(J11="Baja",N11="Mayor"),AND(J11="Media",N11="Mayor"),AND(J11="Alta",N11="Moderado"),AND(J11="Alta",N11="Mayor"),AND(J11="Muy Alta",N11="Leve"),AND(J11="Muy Alta",N11="Menor"),AND(J11="Muy Alta",N11="Moderado"),AND(J11="Muy Alta",N11="Mayor")),"Alto",IF(OR(AND(J11="Muy Baja",N11="Catastrófico"),AND(J11="Baja",N11="Catastrófico"),AND(J11="Media",N11="Catastrófico"),AND(J11="Alta",N11="Catastrófico"),AND(J11="Muy Alta",N11="Catastrófico")),"Extremo",""))))</f>
        <v>Moderado</v>
      </c>
      <c r="Q11" s="123">
        <v>2</v>
      </c>
      <c r="R11" s="124" t="s">
        <v>219</v>
      </c>
      <c r="S11" s="125" t="str">
        <f>IF(OR(T11="Preventivo",T11="Detectivo"),"Probabilidad",IF(T11="Correctivo","Impacto",""))</f>
        <v>Probabilidad</v>
      </c>
      <c r="T11" s="126" t="s">
        <v>14</v>
      </c>
      <c r="U11" s="126" t="s">
        <v>9</v>
      </c>
      <c r="V11" s="127" t="str">
        <f t="shared" ref="V11:V12" si="0">IF(AND(T11="Preventivo",U11="Automático"),"50%",IF(AND(T11="Preventivo",U11="Manual"),"40%",IF(AND(T11="Detectivo",U11="Automático"),"40%",IF(AND(T11="Detectivo",U11="Manual"),"30%",IF(AND(T11="Correctivo",U11="Automático"),"35%",IF(AND(T11="Correctivo",U11="Manual"),"25%",""))))))</f>
        <v>40%</v>
      </c>
      <c r="W11" s="126" t="s">
        <v>19</v>
      </c>
      <c r="X11" s="126" t="s">
        <v>23</v>
      </c>
      <c r="Y11" s="126" t="s">
        <v>119</v>
      </c>
      <c r="Z11" s="128">
        <f>IFERROR(IF(AND(S10="Probabilidad",S11="Probabilidad"),(AB10-(+AB10*V11)),IF(S11="Probabilidad",(K10-(+K10*V11)),IF(S11="Impacto",AB10,""))),"")</f>
        <v>0.14399999999999999</v>
      </c>
      <c r="AA11" s="129" t="str">
        <f>IFERROR(IF(Z11="","",IF(Z11&lt;=0.2,"Muy Baja",IF(Z11&lt;=0.4,"Baja",IF(Z11&lt;=0.6,"Media",IF(Z11&lt;=0.8,"Alta","Muy Alta"))))),"")</f>
        <v>Muy Baja</v>
      </c>
      <c r="AB11" s="130">
        <f t="shared" ref="AB11:AB12" si="1">+Z11</f>
        <v>0.14399999999999999</v>
      </c>
      <c r="AC11" s="129" t="str">
        <f ca="1">IFERROR(IF(AD11="","",IF(AD11&lt;=0.2,"Leve",IF(AD11&lt;=0.4,"Menor",IF(AD11&lt;=0.6,"Moderado",IF(AD11&lt;=0.8,"Mayor","Catastrófico"))))),"")</f>
        <v>Mayor</v>
      </c>
      <c r="AD11" s="130">
        <f ca="1">IFERROR(IF(AND(S10="Impacto",S11="Impacto"),(AD10-(+AD10*V11)),IF(S11="Impacto",($O$10-(+$O$10*V11)),IF(S11="Probabilidad",AD10,""))),"")</f>
        <v>0.8</v>
      </c>
      <c r="AE11" s="131" t="str">
        <f ca="1">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32" t="s">
        <v>136</v>
      </c>
      <c r="AG11" s="229"/>
      <c r="AH11" s="134"/>
      <c r="AI11" s="135"/>
      <c r="AJ11" s="135"/>
      <c r="AK11" s="133"/>
      <c r="AL11" s="134"/>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05" customHeight="1" x14ac:dyDescent="0.3">
      <c r="A12" s="226"/>
      <c r="B12" s="229"/>
      <c r="C12" s="229"/>
      <c r="D12" s="229"/>
      <c r="E12" s="148" t="s">
        <v>228</v>
      </c>
      <c r="F12" s="232"/>
      <c r="G12" s="229"/>
      <c r="H12" s="151" t="s">
        <v>221</v>
      </c>
      <c r="I12" s="152">
        <v>2</v>
      </c>
      <c r="J12" s="149" t="str">
        <f>IF(I12&lt;=0,"",IF(I12&lt;=2,"Muy Baja",IF(I12&lt;=24,"Baja",IF(I12&lt;=500,"Media",IF(I12&lt;=5000,"Alta","Muy Alta")))))</f>
        <v>Muy Baja</v>
      </c>
      <c r="K12" s="150">
        <f>IF(J12="","",IF(J12="Muy Baja",0.2,IF(J12="Baja",0.4,IF(J12="Media",0.6,IF(J12="Alta",0.8,IF(J12="Muy Alta",1,))))))</f>
        <v>0.2</v>
      </c>
      <c r="L12" s="158" t="s">
        <v>153</v>
      </c>
      <c r="M12" s="220" t="str">
        <f ca="1">IF(NOT(ISERROR(MATCH(L12,_xlfn.ANCHORARRAY(F20),0))),K22&amp;"Por favor no seleccionar los criterios de impacto",L12)</f>
        <v xml:space="preserve">     El riesgo afecta la imagen de alguna área de la organización</v>
      </c>
      <c r="N12" s="154" t="str">
        <f ca="1">IF(OR(M12='Tabla Impacto'!$C$11,M12='Tabla Impacto'!$D$11),"Leve",IF(OR(M12='Tabla Impacto'!$C$12,M12='Tabla Impacto'!$D$12),"Menor",IF(OR(M12='Tabla Impacto'!$C$13,M12='Tabla Impacto'!$D$13),"Moderado",IF(OR(M12='Tabla Impacto'!$C$14,M12='Tabla Impacto'!$D$14),"Mayor",IF(OR(M12='Tabla Impacto'!$C$15,M12='Tabla Impacto'!$D$15),"Catastrófico","")))))</f>
        <v>Leve</v>
      </c>
      <c r="O12" s="153">
        <f ca="1">IF(N12="","",IF(N12="Leve",0.2,IF(N12="Menor",0.4,IF(N12="Moderado",0.6,IF(N12="Mayor",0.8,IF(N12="Catastrófico",1,))))))</f>
        <v>0.2</v>
      </c>
      <c r="P12" s="155" t="str">
        <f ca="1">IF(OR(AND(J12="Muy Baja",N12="Leve"),AND(J12="Muy Baja",N12="Menor"),AND(J12="Baja",N12="Leve")),"Bajo",IF(OR(AND(J12="Muy baja",N12="Moderado"),AND(J12="Baja",N12="Menor"),AND(J12="Baja",N12="Moderado"),AND(J12="Media",N12="Leve"),AND(J12="Media",N12="Menor"),AND(J12="Media",N12="Moderado"),AND(J12="Alta",N12="Leve"),AND(J12="Alta",N12="Menor")),"Moderado",IF(OR(AND(J12="Muy Baja",N12="Mayor"),AND(J12="Baja",N12="Mayor"),AND(J12="Media",N12="Mayor"),AND(J12="Alta",N12="Moderado"),AND(J12="Alta",N12="Mayor"),AND(J12="Muy Alta",N12="Leve"),AND(J12="Muy Alta",N12="Menor"),AND(J12="Muy Alta",N12="Moderado"),AND(J12="Muy Alta",N12="Mayor")),"Alto",IF(OR(AND(J12="Muy Baja",N12="Catastrófico"),AND(J12="Baja",N12="Catastrófico"),AND(J12="Media",N12="Catastrófico"),AND(J12="Alta",N12="Catastrófico"),AND(J12="Muy Alta",N12="Catastrófico")),"Extremo",""))))</f>
        <v>Bajo</v>
      </c>
      <c r="Q12" s="123">
        <v>3</v>
      </c>
      <c r="R12" s="124" t="s">
        <v>224</v>
      </c>
      <c r="S12" s="125" t="s">
        <v>4</v>
      </c>
      <c r="T12" s="126" t="s">
        <v>14</v>
      </c>
      <c r="U12" s="126" t="s">
        <v>9</v>
      </c>
      <c r="V12" s="127" t="str">
        <f t="shared" si="0"/>
        <v>40%</v>
      </c>
      <c r="W12" s="126" t="s">
        <v>19</v>
      </c>
      <c r="X12" s="126" t="s">
        <v>23</v>
      </c>
      <c r="Y12" s="126" t="s">
        <v>119</v>
      </c>
      <c r="Z12" s="128">
        <f>IFERROR(IF(AND(S11="Probabilidad",S12="Probabilidad"),(AB11-(+AB11*V12)),IF(AND(S11="Impacto",S12="Probabilidad"),(AB10-(+AB10*V12)),IF(S12="Impacto",AB11,""))),"")</f>
        <v>8.6399999999999991E-2</v>
      </c>
      <c r="AA12" s="129" t="str">
        <f>IFERROR(IF(Z12="","",IF(Z12&lt;=0.2,"Muy Baja",IF(Z12&lt;=0.4,"Baja",IF(Z12&lt;=0.6,"Media",IF(Z12&lt;=0.8,"Alta","Muy Alta"))))),"")</f>
        <v>Muy Baja</v>
      </c>
      <c r="AB12" s="130">
        <f t="shared" si="1"/>
        <v>8.6399999999999991E-2</v>
      </c>
      <c r="AC12" s="129" t="str">
        <f ca="1">IFERROR(IF(AD12="","",IF(AD12&lt;=0.2,"Leve",IF(AD12&lt;=0.4,"Menor",IF(AD12&lt;=0.6,"Moderado",IF(AD12&lt;=0.8,"Mayor","Catastrófico"))))),"")</f>
        <v>Mayor</v>
      </c>
      <c r="AD12" s="130">
        <f ca="1">IFERROR(IF(AND(S11="Impacto",S12="Impacto"),(AD11-(+AD11*V12)),IF(AND(S11="Probabilidad",S12="Impacto"),(AD10-(+AD10*V12)),IF(S12="Probabilidad",AD11,""))),"")</f>
        <v>0.8</v>
      </c>
      <c r="AE12" s="131" t="str">
        <f ca="1">IFERROR(IF(OR(AND(AA12="Muy Baja",AC12="Leve"),AND(AA12="Muy Baja",AC12="Menor"),AND(AA12="Baja",AC12="Leve")),"Bajo",IF(OR(AND(AA12="Muy baja",AC12="Moderado"),AND(AA12="Baja",AC12="Menor"),AND(AA12="Baja",AC12="Moderado"),AND(AA12="Media",AC12="Leve"),AND(AA12="Media",AC12="Menor"),AND(AA12="Media",AC12="Moderado"),AND(AA12="Alta",AC12="Leve"),AND(AA12="Alta",AC12="Menor")),"Moderado",IF(OR(AND(AA12="Muy Baja",AC12="Mayor"),AND(AA12="Baja",AC12="Mayor"),AND(AA12="Media",AC12="Mayor"),AND(AA12="Alta",AC12="Moderado"),AND(AA12="Alta",AC12="Mayor"),AND(AA12="Muy Alta",AC12="Leve"),AND(AA12="Muy Alta",AC12="Menor"),AND(AA12="Muy Alta",AC12="Moderado"),AND(AA12="Muy Alta",AC12="Mayor")),"Alto",IF(OR(AND(AA12="Muy Baja",AC12="Catastrófico"),AND(AA12="Baja",AC12="Catastrófico"),AND(AA12="Media",AC12="Catastrófico"),AND(AA12="Alta",AC12="Catastrófico"),AND(AA12="Muy Alta",AC12="Catastrófico")),"Extremo","")))),"")</f>
        <v>Alto</v>
      </c>
      <c r="AF12" s="132" t="s">
        <v>136</v>
      </c>
      <c r="AG12" s="229"/>
      <c r="AH12" s="134"/>
      <c r="AI12" s="135"/>
      <c r="AJ12" s="135"/>
      <c r="AK12" s="133"/>
      <c r="AL12" s="134"/>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151.5" customHeight="1" x14ac:dyDescent="0.3">
      <c r="A13" s="225">
        <v>2</v>
      </c>
      <c r="B13" s="228"/>
      <c r="C13" s="22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151.5" customHeight="1" x14ac:dyDescent="0.3">
      <c r="A14" s="226"/>
      <c r="B14" s="229"/>
      <c r="C14" s="229"/>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151.5" customHeight="1" x14ac:dyDescent="0.3">
      <c r="A15" s="226"/>
      <c r="B15" s="229"/>
      <c r="C15" s="229"/>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151.5" customHeight="1" x14ac:dyDescent="0.3">
      <c r="A16" s="226"/>
      <c r="B16" s="229"/>
      <c r="C16" s="229"/>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151.5" customHeight="1" x14ac:dyDescent="0.3">
      <c r="A17" s="226"/>
      <c r="B17" s="229"/>
      <c r="C17" s="229"/>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151.5" customHeight="1" x14ac:dyDescent="0.3">
      <c r="A18" s="227"/>
      <c r="B18" s="230"/>
      <c r="C18" s="230"/>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151.5" customHeight="1" x14ac:dyDescent="0.3">
      <c r="A19" s="225">
        <v>3</v>
      </c>
      <c r="B19" s="228"/>
      <c r="C19" s="228"/>
      <c r="D19" s="228"/>
      <c r="E19" s="138"/>
      <c r="F19" s="231"/>
      <c r="G19" s="228"/>
      <c r="H19" s="138"/>
      <c r="I19" s="234"/>
      <c r="J19" s="237" t="str">
        <f>IF(I19&lt;=0,"",IF(I19&lt;=2,"Muy Baja",IF(I19&lt;=24,"Baja",IF(I19&lt;=500,"Media",IF(I19&lt;=5000,"Alta","Muy Alta")))))</f>
        <v/>
      </c>
      <c r="K19" s="219" t="str">
        <f>IF(J19="","",IF(J19="Muy Baja",0.2,IF(J19="Baja",0.4,IF(J19="Media",0.6,IF(J19="Alta",0.8,IF(J19="Muy Alta",1,))))))</f>
        <v/>
      </c>
      <c r="L19" s="240"/>
      <c r="M19" s="219">
        <f ca="1">IF(NOT(ISERROR(MATCH(L19,'Tabla Impacto'!$B$221:$B$223,0))),'Tabla Impacto'!$F$223&amp;"Por favor no seleccionar los criterios de impacto(Afectación Económica o presupuestal y Pérdida Reputacional)",L19)</f>
        <v>0</v>
      </c>
      <c r="N19" s="237" t="str">
        <f ca="1">IF(OR(M19='Tabla Impacto'!$C$11,M19='Tabla Impacto'!$D$11),"Leve",IF(OR(M19='Tabla Impacto'!$C$12,M19='Tabla Impacto'!$D$12),"Menor",IF(OR(M19='Tabla Impacto'!$C$13,M19='Tabla Impacto'!$D$13),"Moderado",IF(OR(M19='Tabla Impacto'!$C$14,M19='Tabla Impacto'!$D$14),"Mayor",IF(OR(M19='Tabla Impacto'!$C$15,M19='Tabla Impacto'!$D$15),"Catastrófico","")))))</f>
        <v/>
      </c>
      <c r="O19" s="219" t="str">
        <f ca="1">IF(N19="","",IF(N19="Leve",0.2,IF(N19="Menor",0.4,IF(N19="Moderado",0.6,IF(N19="Mayor",0.8,IF(N19="Catastrófico",1,))))))</f>
        <v/>
      </c>
      <c r="P19" s="222" t="str">
        <f ca="1">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123">
        <v>1</v>
      </c>
      <c r="R19" s="124"/>
      <c r="S19" s="125" t="str">
        <f>IF(OR(T19="Preventivo",T19="Detectivo"),"Probabilidad",IF(T19="Correctivo","Impacto",""))</f>
        <v/>
      </c>
      <c r="T19" s="126"/>
      <c r="U19" s="126"/>
      <c r="V19" s="127" t="str">
        <f>IF(AND(T19="Preventivo",U19="Automático"),"50%",IF(AND(T19="Preventivo",U19="Manual"),"40%",IF(AND(T19="Detectivo",U19="Automático"),"40%",IF(AND(T19="Detectivo",U19="Manual"),"30%",IF(AND(T19="Correctivo",U19="Automático"),"35%",IF(AND(T19="Correctivo",U19="Manual"),"25%",""))))))</f>
        <v/>
      </c>
      <c r="W19" s="126"/>
      <c r="X19" s="126"/>
      <c r="Y19" s="126"/>
      <c r="Z19" s="128" t="str">
        <f>IFERROR(IF(S19="Probabilidad",(K19-(+K19*V19)),IF(S19="Impacto",K19,"")),"")</f>
        <v/>
      </c>
      <c r="AA19" s="129" t="str">
        <f t="shared" ref="AA19:AA66" si="2">IFERROR(IF(Z19="","",IF(Z19&lt;=0.2,"Muy Baja",IF(Z19&lt;=0.4,"Baja",IF(Z19&lt;=0.6,"Media",IF(Z19&lt;=0.8,"Alta","Muy Alta"))))),"")</f>
        <v/>
      </c>
      <c r="AB19" s="130" t="str">
        <f>+Z19</f>
        <v/>
      </c>
      <c r="AC19" s="129" t="str">
        <f t="shared" ref="AC19:AC66" si="3">IFERROR(IF(AD19="","",IF(AD19&lt;=0.2,"Leve",IF(AD19&lt;=0.4,"Menor",IF(AD19&lt;=0.6,"Moderado",IF(AD19&lt;=0.8,"Mayor","Catastrófico"))))),"")</f>
        <v/>
      </c>
      <c r="AD19" s="130" t="str">
        <f>IFERROR(IF(S19="Impacto",(O19-(+O19*V19)),IF(S19="Probabilidad",O19,"")),"")</f>
        <v/>
      </c>
      <c r="AE19" s="131" t="str">
        <f>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2"/>
      <c r="AG19" s="133"/>
      <c r="AH19" s="134"/>
      <c r="AI19" s="135"/>
      <c r="AJ19" s="135"/>
      <c r="AK19" s="133"/>
      <c r="AL19" s="134"/>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151.5" customHeight="1" x14ac:dyDescent="0.3">
      <c r="A20" s="226"/>
      <c r="B20" s="229"/>
      <c r="C20" s="229"/>
      <c r="D20" s="229"/>
      <c r="E20" s="139"/>
      <c r="F20" s="232"/>
      <c r="G20" s="229"/>
      <c r="H20" s="139"/>
      <c r="I20" s="235"/>
      <c r="J20" s="238"/>
      <c r="K20" s="220"/>
      <c r="L20" s="241"/>
      <c r="M20" s="220">
        <f ca="1">IF(NOT(ISERROR(MATCH(L20,_xlfn.ANCHORARRAY(F31),0))),K33&amp;"Por favor no seleccionar los criterios de impacto",L20)</f>
        <v>0</v>
      </c>
      <c r="N20" s="238"/>
      <c r="O20" s="220"/>
      <c r="P20" s="223"/>
      <c r="Q20" s="123">
        <v>2</v>
      </c>
      <c r="R20" s="124"/>
      <c r="S20" s="125" t="str">
        <f>IF(OR(T20="Preventivo",T20="Detectivo"),"Probabilidad",IF(T20="Correctivo","Impacto",""))</f>
        <v/>
      </c>
      <c r="T20" s="126"/>
      <c r="U20" s="126"/>
      <c r="V20" s="127" t="str">
        <f t="shared" ref="V20:V24" si="4">IF(AND(T20="Preventivo",U20="Automático"),"50%",IF(AND(T20="Preventivo",U20="Manual"),"40%",IF(AND(T20="Detectivo",U20="Automático"),"40%",IF(AND(T20="Detectivo",U20="Manual"),"30%",IF(AND(T20="Correctivo",U20="Automático"),"35%",IF(AND(T20="Correctivo",U20="Manual"),"25%",""))))))</f>
        <v/>
      </c>
      <c r="W20" s="126"/>
      <c r="X20" s="126"/>
      <c r="Y20" s="126"/>
      <c r="Z20" s="137" t="str">
        <f>IFERROR(IF(AND(S19="Probabilidad",S20="Probabilidad"),(AB19-(+AB19*V20)),IF(S20="Probabilidad",(K19-(+K19*V20)),IF(S20="Impacto",AB19,""))),"")</f>
        <v/>
      </c>
      <c r="AA20" s="129" t="str">
        <f t="shared" si="2"/>
        <v/>
      </c>
      <c r="AB20" s="130" t="str">
        <f t="shared" ref="AB20:AB24" si="5">+Z20</f>
        <v/>
      </c>
      <c r="AC20" s="129" t="str">
        <f t="shared" si="3"/>
        <v/>
      </c>
      <c r="AD20" s="130" t="str">
        <f>IFERROR(IF(AND(S19="Impacto",S20="Impacto"),([1]Hoja1!AA2-(+[1]Hoja1!AA2*V20)),IF(S20="Impacto",($O$19-(+$O$19*V20)),IF(S20="Probabilidad",[1]Hoja1!AA2,""))),"")</f>
        <v/>
      </c>
      <c r="AE20" s="131" t="str">
        <f t="shared" ref="AE20:AE21" si="6">IFERROR(IF(OR(AND(AA20="Muy Baja",AC20="Leve"),AND(AA20="Muy Baja",AC20="Menor"),AND(AA20="Baja",AC20="Leve")),"Bajo",IF(OR(AND(AA20="Muy baja",AC20="Moderado"),AND(AA20="Baja",AC20="Menor"),AND(AA20="Baja",AC20="Moderado"),AND(AA20="Media",AC20="Leve"),AND(AA20="Media",AC20="Menor"),AND(AA20="Media",AC20="Moderado"),AND(AA20="Alta",AC20="Leve"),AND(AA20="Alta",AC20="Menor")),"Moderado",IF(OR(AND(AA20="Muy Baja",AC20="Mayor"),AND(AA20="Baja",AC20="Mayor"),AND(AA20="Media",AC20="Mayor"),AND(AA20="Alta",AC20="Moderado"),AND(AA20="Alta",AC20="Mayor"),AND(AA20="Muy Alta",AC20="Leve"),AND(AA20="Muy Alta",AC20="Menor"),AND(AA20="Muy Alta",AC20="Moderado"),AND(AA20="Muy Alta",AC20="Mayor")),"Alto",IF(OR(AND(AA20="Muy Baja",AC20="Catastrófico"),AND(AA20="Baja",AC20="Catastrófico"),AND(AA20="Media",AC20="Catastrófico"),AND(AA20="Alta",AC20="Catastrófico"),AND(AA20="Muy Alta",AC20="Catastrófico")),"Extremo","")))),"")</f>
        <v/>
      </c>
      <c r="AF20" s="132"/>
      <c r="AG20" s="133"/>
      <c r="AH20" s="134"/>
      <c r="AI20" s="135"/>
      <c r="AJ20" s="135"/>
      <c r="AK20" s="133"/>
      <c r="AL20" s="134"/>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151.5" customHeight="1" x14ac:dyDescent="0.3">
      <c r="A21" s="226"/>
      <c r="B21" s="229"/>
      <c r="C21" s="229"/>
      <c r="D21" s="229"/>
      <c r="E21" s="139"/>
      <c r="F21" s="232"/>
      <c r="G21" s="229"/>
      <c r="H21" s="139"/>
      <c r="I21" s="235"/>
      <c r="J21" s="238"/>
      <c r="K21" s="220"/>
      <c r="L21" s="241"/>
      <c r="M21" s="220">
        <f ca="1">IF(NOT(ISERROR(MATCH(L21,_xlfn.ANCHORARRAY(F32),0))),K34&amp;"Por favor no seleccionar los criterios de impacto",L21)</f>
        <v>0</v>
      </c>
      <c r="N21" s="238"/>
      <c r="O21" s="220"/>
      <c r="P21" s="223"/>
      <c r="Q21" s="123">
        <v>3</v>
      </c>
      <c r="R21" s="136"/>
      <c r="S21" s="125" t="str">
        <f>IF(OR(T21="Preventivo",T21="Detectivo"),"Probabilidad",IF(T21="Correctivo","Impacto",""))</f>
        <v/>
      </c>
      <c r="T21" s="126"/>
      <c r="U21" s="126"/>
      <c r="V21" s="127" t="str">
        <f t="shared" si="4"/>
        <v/>
      </c>
      <c r="W21" s="126"/>
      <c r="X21" s="126"/>
      <c r="Y21" s="126"/>
      <c r="Z21" s="128" t="str">
        <f>IFERROR(IF(AND(S20="Probabilidad",S21="Probabilidad"),(AB20-(+AB20*V21)),IF(AND(S20="Impacto",S21="Probabilidad"),(AB19-(+AB19*V21)),IF(S21="Impacto",AB20,""))),"")</f>
        <v/>
      </c>
      <c r="AA21" s="129" t="str">
        <f t="shared" si="2"/>
        <v/>
      </c>
      <c r="AB21" s="130" t="str">
        <f t="shared" si="5"/>
        <v/>
      </c>
      <c r="AC21" s="129" t="str">
        <f t="shared" si="3"/>
        <v/>
      </c>
      <c r="AD21" s="130" t="str">
        <f>IFERROR(IF(AND(S20="Impacto",S21="Impacto"),(AD20-(+AD20*V21)),IF(AND(S20="Probabilidad",S21="Impacto"),(AD19-(+AD19*V21)),IF(S21="Probabilidad",AD20,""))),"")</f>
        <v/>
      </c>
      <c r="AE21" s="131" t="str">
        <f t="shared" si="6"/>
        <v/>
      </c>
      <c r="AF21" s="132"/>
      <c r="AG21" s="133"/>
      <c r="AH21" s="134"/>
      <c r="AI21" s="135"/>
      <c r="AJ21" s="135"/>
      <c r="AK21" s="133"/>
      <c r="AL21" s="134"/>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151.5" customHeight="1" x14ac:dyDescent="0.3">
      <c r="A22" s="226"/>
      <c r="B22" s="229"/>
      <c r="C22" s="229"/>
      <c r="D22" s="229"/>
      <c r="E22" s="139"/>
      <c r="F22" s="232"/>
      <c r="G22" s="229"/>
      <c r="H22" s="139"/>
      <c r="I22" s="235"/>
      <c r="J22" s="238"/>
      <c r="K22" s="220"/>
      <c r="L22" s="241"/>
      <c r="M22" s="220">
        <f ca="1">IF(NOT(ISERROR(MATCH(L22,_xlfn.ANCHORARRAY(F33),0))),K35&amp;"Por favor no seleccionar los criterios de impacto",L22)</f>
        <v>0</v>
      </c>
      <c r="N22" s="238"/>
      <c r="O22" s="220"/>
      <c r="P22" s="223"/>
      <c r="Q22" s="123">
        <v>4</v>
      </c>
      <c r="R22" s="124"/>
      <c r="S22" s="125" t="str">
        <f t="shared" ref="S22:S24" si="7">IF(OR(T22="Preventivo",T22="Detectivo"),"Probabilidad",IF(T22="Correctivo","Impacto",""))</f>
        <v/>
      </c>
      <c r="T22" s="126"/>
      <c r="U22" s="126"/>
      <c r="V22" s="127" t="str">
        <f t="shared" si="4"/>
        <v/>
      </c>
      <c r="W22" s="126"/>
      <c r="X22" s="126"/>
      <c r="Y22" s="126"/>
      <c r="Z22" s="128" t="str">
        <f t="shared" ref="Z22:Z24" si="8">IFERROR(IF(AND(S21="Probabilidad",S22="Probabilidad"),(AB21-(+AB21*V22)),IF(AND(S21="Impacto",S22="Probabilidad"),(AB20-(+AB20*V22)),IF(S22="Impacto",AB21,""))),"")</f>
        <v/>
      </c>
      <c r="AA22" s="129" t="str">
        <f t="shared" si="2"/>
        <v/>
      </c>
      <c r="AB22" s="130" t="str">
        <f t="shared" si="5"/>
        <v/>
      </c>
      <c r="AC22" s="129" t="str">
        <f t="shared" si="3"/>
        <v/>
      </c>
      <c r="AD22" s="130" t="str">
        <f t="shared" ref="AD22:AD24" si="9">IFERROR(IF(AND(S21="Impacto",S22="Impacto"),(AD21-(+AD21*V22)),IF(AND(S21="Probabilidad",S22="Impacto"),(AD20-(+AD20*V22)),IF(S22="Probabilidad",AD21,""))),"")</f>
        <v/>
      </c>
      <c r="AE22" s="131" t="str">
        <f>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2"/>
      <c r="AG22" s="133"/>
      <c r="AH22" s="134"/>
      <c r="AI22" s="135"/>
      <c r="AJ22" s="135"/>
      <c r="AK22" s="133"/>
      <c r="AL22" s="134"/>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151.5" customHeight="1" x14ac:dyDescent="0.3">
      <c r="A23" s="226"/>
      <c r="B23" s="229"/>
      <c r="C23" s="229"/>
      <c r="D23" s="229"/>
      <c r="E23" s="139"/>
      <c r="F23" s="232"/>
      <c r="G23" s="229"/>
      <c r="H23" s="139"/>
      <c r="I23" s="235"/>
      <c r="J23" s="238"/>
      <c r="K23" s="220"/>
      <c r="L23" s="241"/>
      <c r="M23" s="220">
        <f ca="1">IF(NOT(ISERROR(MATCH(L23,_xlfn.ANCHORARRAY(F34),0))),K36&amp;"Por favor no seleccionar los criterios de impacto",L23)</f>
        <v>0</v>
      </c>
      <c r="N23" s="238"/>
      <c r="O23" s="220"/>
      <c r="P23" s="223"/>
      <c r="Q23" s="123">
        <v>5</v>
      </c>
      <c r="R23" s="124"/>
      <c r="S23" s="125" t="str">
        <f t="shared" si="7"/>
        <v/>
      </c>
      <c r="T23" s="126"/>
      <c r="U23" s="126"/>
      <c r="V23" s="127" t="str">
        <f t="shared" si="4"/>
        <v/>
      </c>
      <c r="W23" s="126"/>
      <c r="X23" s="126"/>
      <c r="Y23" s="126"/>
      <c r="Z23" s="128" t="str">
        <f t="shared" si="8"/>
        <v/>
      </c>
      <c r="AA23" s="129" t="str">
        <f t="shared" si="2"/>
        <v/>
      </c>
      <c r="AB23" s="130" t="str">
        <f t="shared" si="5"/>
        <v/>
      </c>
      <c r="AC23" s="129" t="str">
        <f t="shared" si="3"/>
        <v/>
      </c>
      <c r="AD23" s="130" t="str">
        <f t="shared" si="9"/>
        <v/>
      </c>
      <c r="AE23" s="131" t="str">
        <f t="shared" ref="AE23:AE24" si="10">IFERROR(IF(OR(AND(AA23="Muy Baja",AC23="Leve"),AND(AA23="Muy Baja",AC23="Menor"),AND(AA23="Baja",AC23="Leve")),"Bajo",IF(OR(AND(AA23="Muy baja",AC23="Moderado"),AND(AA23="Baja",AC23="Menor"),AND(AA23="Baja",AC23="Moderado"),AND(AA23="Media",AC23="Leve"),AND(AA23="Media",AC23="Menor"),AND(AA23="Media",AC23="Moderado"),AND(AA23="Alta",AC23="Leve"),AND(AA23="Alta",AC23="Menor")),"Moderado",IF(OR(AND(AA23="Muy Baja",AC23="Mayor"),AND(AA23="Baja",AC23="Mayor"),AND(AA23="Media",AC23="Mayor"),AND(AA23="Alta",AC23="Moderado"),AND(AA23="Alta",AC23="Mayor"),AND(AA23="Muy Alta",AC23="Leve"),AND(AA23="Muy Alta",AC23="Menor"),AND(AA23="Muy Alta",AC23="Moderado"),AND(AA23="Muy Alta",AC23="Mayor")),"Alto",IF(OR(AND(AA23="Muy Baja",AC23="Catastrófico"),AND(AA23="Baja",AC23="Catastrófico"),AND(AA23="Media",AC23="Catastrófico"),AND(AA23="Alta",AC23="Catastrófico"),AND(AA23="Muy Alta",AC23="Catastrófico")),"Extremo","")))),"")</f>
        <v/>
      </c>
      <c r="AF23" s="132"/>
      <c r="AG23" s="133"/>
      <c r="AH23" s="134"/>
      <c r="AI23" s="135"/>
      <c r="AJ23" s="135"/>
      <c r="AK23" s="133"/>
      <c r="AL23" s="134"/>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151.5" customHeight="1" x14ac:dyDescent="0.3">
      <c r="A24" s="227"/>
      <c r="B24" s="230"/>
      <c r="C24" s="230"/>
      <c r="D24" s="230"/>
      <c r="E24" s="140"/>
      <c r="F24" s="233"/>
      <c r="G24" s="230"/>
      <c r="H24" s="140"/>
      <c r="I24" s="236"/>
      <c r="J24" s="239"/>
      <c r="K24" s="221"/>
      <c r="L24" s="242"/>
      <c r="M24" s="221">
        <f ca="1">IF(NOT(ISERROR(MATCH(L24,_xlfn.ANCHORARRAY(F35),0))),K37&amp;"Por favor no seleccionar los criterios de impacto",L24)</f>
        <v>0</v>
      </c>
      <c r="N24" s="239"/>
      <c r="O24" s="221"/>
      <c r="P24" s="224"/>
      <c r="Q24" s="123">
        <v>6</v>
      </c>
      <c r="R24" s="124"/>
      <c r="S24" s="125" t="str">
        <f t="shared" si="7"/>
        <v/>
      </c>
      <c r="T24" s="126"/>
      <c r="U24" s="126"/>
      <c r="V24" s="127" t="str">
        <f t="shared" si="4"/>
        <v/>
      </c>
      <c r="W24" s="126"/>
      <c r="X24" s="126"/>
      <c r="Y24" s="126"/>
      <c r="Z24" s="128" t="str">
        <f t="shared" si="8"/>
        <v/>
      </c>
      <c r="AA24" s="129" t="str">
        <f t="shared" si="2"/>
        <v/>
      </c>
      <c r="AB24" s="130" t="str">
        <f t="shared" si="5"/>
        <v/>
      </c>
      <c r="AC24" s="129" t="str">
        <f t="shared" si="3"/>
        <v/>
      </c>
      <c r="AD24" s="130" t="str">
        <f t="shared" si="9"/>
        <v/>
      </c>
      <c r="AE24" s="131" t="str">
        <f t="shared" si="10"/>
        <v/>
      </c>
      <c r="AF24" s="132"/>
      <c r="AG24" s="133"/>
      <c r="AH24" s="134"/>
      <c r="AI24" s="135"/>
      <c r="AJ24" s="135"/>
      <c r="AK24" s="133"/>
      <c r="AL24" s="134"/>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151.5" customHeight="1" x14ac:dyDescent="0.3">
      <c r="A25" s="225">
        <v>4</v>
      </c>
      <c r="B25" s="228"/>
      <c r="C25" s="228"/>
      <c r="D25" s="228"/>
      <c r="E25" s="138"/>
      <c r="F25" s="231"/>
      <c r="G25" s="228"/>
      <c r="H25" s="138"/>
      <c r="I25" s="234"/>
      <c r="J25" s="237" t="str">
        <f>IF(I25&lt;=0,"",IF(I25&lt;=2,"Muy Baja",IF(I25&lt;=24,"Baja",IF(I25&lt;=500,"Media",IF(I25&lt;=5000,"Alta","Muy Alta")))))</f>
        <v/>
      </c>
      <c r="K25" s="219" t="str">
        <f>IF(J25="","",IF(J25="Muy Baja",0.2,IF(J25="Baja",0.4,IF(J25="Media",0.6,IF(J25="Alta",0.8,IF(J25="Muy Alta",1,))))))</f>
        <v/>
      </c>
      <c r="L25" s="240"/>
      <c r="M25" s="219">
        <f ca="1">IF(NOT(ISERROR(MATCH(L25,'Tabla Impacto'!$B$221:$B$223,0))),'Tabla Impacto'!$F$223&amp;"Por favor no seleccionar los criterios de impacto(Afectación Económica o presupuestal y Pérdida Reputacional)",L25)</f>
        <v>0</v>
      </c>
      <c r="N25" s="237" t="str">
        <f ca="1">IF(OR(M25='Tabla Impacto'!$C$11,M25='Tabla Impacto'!$D$11),"Leve",IF(OR(M25='Tabla Impacto'!$C$12,M25='Tabla Impacto'!$D$12),"Menor",IF(OR(M25='Tabla Impacto'!$C$13,M25='Tabla Impacto'!$D$13),"Moderado",IF(OR(M25='Tabla Impacto'!$C$14,M25='Tabla Impacto'!$D$14),"Mayor",IF(OR(M25='Tabla Impacto'!$C$15,M25='Tabla Impacto'!$D$15),"Catastrófico","")))))</f>
        <v/>
      </c>
      <c r="O25" s="219" t="str">
        <f ca="1">IF(N25="","",IF(N25="Leve",0.2,IF(N25="Menor",0.4,IF(N25="Moderado",0.6,IF(N25="Mayor",0.8,IF(N25="Catastrófico",1,))))))</f>
        <v/>
      </c>
      <c r="P25" s="222" t="str">
        <f ca="1">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123">
        <v>1</v>
      </c>
      <c r="R25" s="124"/>
      <c r="S25" s="125" t="str">
        <f>IF(OR(T25="Preventivo",T25="Detectivo"),"Probabilidad",IF(T25="Correctivo","Impacto",""))</f>
        <v/>
      </c>
      <c r="T25" s="126"/>
      <c r="U25" s="126"/>
      <c r="V25" s="127" t="str">
        <f>IF(AND(T25="Preventivo",U25="Automático"),"50%",IF(AND(T25="Preventivo",U25="Manual"),"40%",IF(AND(T25="Detectivo",U25="Automático"),"40%",IF(AND(T25="Detectivo",U25="Manual"),"30%",IF(AND(T25="Correctivo",U25="Automático"),"35%",IF(AND(T25="Correctivo",U25="Manual"),"25%",""))))))</f>
        <v/>
      </c>
      <c r="W25" s="126"/>
      <c r="X25" s="126"/>
      <c r="Y25" s="126"/>
      <c r="Z25" s="128" t="str">
        <f>IFERROR(IF(S25="Probabilidad",(K25-(+K25*V25)),IF(S25="Impacto",K25,"")),"")</f>
        <v/>
      </c>
      <c r="AA25" s="129" t="str">
        <f t="shared" si="2"/>
        <v/>
      </c>
      <c r="AB25" s="130" t="str">
        <f>+Z25</f>
        <v/>
      </c>
      <c r="AC25" s="129" t="str">
        <f t="shared" si="3"/>
        <v/>
      </c>
      <c r="AD25" s="130" t="str">
        <f>IFERROR(IF(S25="Impacto",(O25-(+O25*V25)),IF(S25="Probabilidad",O25,"")),"")</f>
        <v/>
      </c>
      <c r="AE25" s="131" t="str">
        <f>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2"/>
      <c r="AG25" s="133"/>
      <c r="AH25" s="134"/>
      <c r="AI25" s="135"/>
      <c r="AJ25" s="135"/>
      <c r="AK25" s="133"/>
      <c r="AL25" s="134"/>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151.5" customHeight="1" x14ac:dyDescent="0.3">
      <c r="A26" s="226"/>
      <c r="B26" s="229"/>
      <c r="C26" s="229"/>
      <c r="D26" s="229"/>
      <c r="E26" s="139"/>
      <c r="F26" s="232"/>
      <c r="G26" s="229"/>
      <c r="H26" s="139"/>
      <c r="I26" s="235"/>
      <c r="J26" s="238"/>
      <c r="K26" s="220"/>
      <c r="L26" s="241"/>
      <c r="M26" s="220">
        <f ca="1">IF(NOT(ISERROR(MATCH(L26,_xlfn.ANCHORARRAY(F37),0))),K39&amp;"Por favor no seleccionar los criterios de impacto",L26)</f>
        <v>0</v>
      </c>
      <c r="N26" s="238"/>
      <c r="O26" s="220"/>
      <c r="P26" s="223"/>
      <c r="Q26" s="123">
        <v>2</v>
      </c>
      <c r="R26" s="124"/>
      <c r="S26" s="125" t="str">
        <f>IF(OR(T26="Preventivo",T26="Detectivo"),"Probabilidad",IF(T26="Correctivo","Impacto",""))</f>
        <v/>
      </c>
      <c r="T26" s="126"/>
      <c r="U26" s="126"/>
      <c r="V26" s="127" t="str">
        <f t="shared" ref="V26:V30" si="11">IF(AND(T26="Preventivo",U26="Automático"),"50%",IF(AND(T26="Preventivo",U26="Manual"),"40%",IF(AND(T26="Detectivo",U26="Automático"),"40%",IF(AND(T26="Detectivo",U26="Manual"),"30%",IF(AND(T26="Correctivo",U26="Automático"),"35%",IF(AND(T26="Correctivo",U26="Manual"),"25%",""))))))</f>
        <v/>
      </c>
      <c r="W26" s="126"/>
      <c r="X26" s="126"/>
      <c r="Y26" s="126"/>
      <c r="Z26" s="128" t="str">
        <f>IFERROR(IF(AND(S25="Probabilidad",S26="Probabilidad"),(AB25-(+AB25*V26)),IF(S26="Probabilidad",(K25-(+K25*V26)),IF(S26="Impacto",AB25,""))),"")</f>
        <v/>
      </c>
      <c r="AA26" s="129" t="str">
        <f t="shared" si="2"/>
        <v/>
      </c>
      <c r="AB26" s="130" t="str">
        <f t="shared" ref="AB26:AB30" si="12">+Z26</f>
        <v/>
      </c>
      <c r="AC26" s="129" t="str">
        <f t="shared" si="3"/>
        <v/>
      </c>
      <c r="AD26" s="130" t="str">
        <f>IFERROR(IF(AND(S25="Impacto",S26="Impacto"),(AD19-(+AD19*V26)),IF(S26="Impacto",($O$25-(+$O$25*V26)),IF(S26="Probabilidad",AD19,""))),"")</f>
        <v/>
      </c>
      <c r="AE26" s="131" t="str">
        <f t="shared" ref="AE26:AE27" si="13">IFERROR(IF(OR(AND(AA26="Muy Baja",AC26="Leve"),AND(AA26="Muy Baja",AC26="Menor"),AND(AA26="Baja",AC26="Leve")),"Bajo",IF(OR(AND(AA26="Muy baja",AC26="Moderado"),AND(AA26="Baja",AC26="Menor"),AND(AA26="Baja",AC26="Moderado"),AND(AA26="Media",AC26="Leve"),AND(AA26="Media",AC26="Menor"),AND(AA26="Media",AC26="Moderado"),AND(AA26="Alta",AC26="Leve"),AND(AA26="Alta",AC26="Menor")),"Moderado",IF(OR(AND(AA26="Muy Baja",AC26="Mayor"),AND(AA26="Baja",AC26="Mayor"),AND(AA26="Media",AC26="Mayor"),AND(AA26="Alta",AC26="Moderado"),AND(AA26="Alta",AC26="Mayor"),AND(AA26="Muy Alta",AC26="Leve"),AND(AA26="Muy Alta",AC26="Menor"),AND(AA26="Muy Alta",AC26="Moderado"),AND(AA26="Muy Alta",AC26="Mayor")),"Alto",IF(OR(AND(AA26="Muy Baja",AC26="Catastrófico"),AND(AA26="Baja",AC26="Catastrófico"),AND(AA26="Media",AC26="Catastrófico"),AND(AA26="Alta",AC26="Catastrófico"),AND(AA26="Muy Alta",AC26="Catastrófico")),"Extremo","")))),"")</f>
        <v/>
      </c>
      <c r="AF26" s="132"/>
      <c r="AG26" s="133"/>
      <c r="AH26" s="134"/>
      <c r="AI26" s="135"/>
      <c r="AJ26" s="135"/>
      <c r="AK26" s="133"/>
      <c r="AL26" s="134"/>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151.5" customHeight="1" x14ac:dyDescent="0.3">
      <c r="A27" s="226"/>
      <c r="B27" s="229"/>
      <c r="C27" s="229"/>
      <c r="D27" s="229"/>
      <c r="E27" s="139"/>
      <c r="F27" s="232"/>
      <c r="G27" s="229"/>
      <c r="H27" s="139"/>
      <c r="I27" s="235"/>
      <c r="J27" s="238"/>
      <c r="K27" s="220"/>
      <c r="L27" s="241"/>
      <c r="M27" s="220">
        <f ca="1">IF(NOT(ISERROR(MATCH(L27,_xlfn.ANCHORARRAY(F38),0))),K40&amp;"Por favor no seleccionar los criterios de impacto",L27)</f>
        <v>0</v>
      </c>
      <c r="N27" s="238"/>
      <c r="O27" s="220"/>
      <c r="P27" s="223"/>
      <c r="Q27" s="123">
        <v>3</v>
      </c>
      <c r="R27" s="136"/>
      <c r="S27" s="125" t="str">
        <f>IF(OR(T27="Preventivo",T27="Detectivo"),"Probabilidad",IF(T27="Correctivo","Impacto",""))</f>
        <v/>
      </c>
      <c r="T27" s="126"/>
      <c r="U27" s="126"/>
      <c r="V27" s="127" t="str">
        <f t="shared" si="11"/>
        <v/>
      </c>
      <c r="W27" s="126"/>
      <c r="X27" s="126"/>
      <c r="Y27" s="126"/>
      <c r="Z27" s="128" t="str">
        <f>IFERROR(IF(AND(S26="Probabilidad",S27="Probabilidad"),(AB26-(+AB26*V27)),IF(AND(S26="Impacto",S27="Probabilidad"),(AB25-(+AB25*V27)),IF(S27="Impacto",AB26,""))),"")</f>
        <v/>
      </c>
      <c r="AA27" s="129" t="str">
        <f t="shared" si="2"/>
        <v/>
      </c>
      <c r="AB27" s="130" t="str">
        <f t="shared" si="12"/>
        <v/>
      </c>
      <c r="AC27" s="129" t="str">
        <f t="shared" si="3"/>
        <v/>
      </c>
      <c r="AD27" s="130" t="str">
        <f>IFERROR(IF(AND(S26="Impacto",S27="Impacto"),(AD26-(+AD26*V27)),IF(AND(S26="Probabilidad",S27="Impacto"),(AD25-(+AD25*V27)),IF(S27="Probabilidad",AD26,""))),"")</f>
        <v/>
      </c>
      <c r="AE27" s="131" t="str">
        <f t="shared" si="13"/>
        <v/>
      </c>
      <c r="AF27" s="132"/>
      <c r="AG27" s="133"/>
      <c r="AH27" s="134"/>
      <c r="AI27" s="135"/>
      <c r="AJ27" s="135"/>
      <c r="AK27" s="133"/>
      <c r="AL27" s="134"/>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151.5" customHeight="1" x14ac:dyDescent="0.3">
      <c r="A28" s="226"/>
      <c r="B28" s="229"/>
      <c r="C28" s="229"/>
      <c r="D28" s="229"/>
      <c r="E28" s="139"/>
      <c r="F28" s="232"/>
      <c r="G28" s="229"/>
      <c r="H28" s="139"/>
      <c r="I28" s="235"/>
      <c r="J28" s="238"/>
      <c r="K28" s="220"/>
      <c r="L28" s="241"/>
      <c r="M28" s="220">
        <f ca="1">IF(NOT(ISERROR(MATCH(L28,_xlfn.ANCHORARRAY(F39),0))),K41&amp;"Por favor no seleccionar los criterios de impacto",L28)</f>
        <v>0</v>
      </c>
      <c r="N28" s="238"/>
      <c r="O28" s="220"/>
      <c r="P28" s="223"/>
      <c r="Q28" s="123">
        <v>4</v>
      </c>
      <c r="R28" s="124"/>
      <c r="S28" s="125" t="str">
        <f t="shared" ref="S28:S30" si="14">IF(OR(T28="Preventivo",T28="Detectivo"),"Probabilidad",IF(T28="Correctivo","Impacto",""))</f>
        <v/>
      </c>
      <c r="T28" s="126"/>
      <c r="U28" s="126"/>
      <c r="V28" s="127" t="str">
        <f t="shared" si="11"/>
        <v/>
      </c>
      <c r="W28" s="126"/>
      <c r="X28" s="126"/>
      <c r="Y28" s="126"/>
      <c r="Z28" s="128" t="str">
        <f t="shared" ref="Z28:Z30" si="15">IFERROR(IF(AND(S27="Probabilidad",S28="Probabilidad"),(AB27-(+AB27*V28)),IF(AND(S27="Impacto",S28="Probabilidad"),(AB26-(+AB26*V28)),IF(S28="Impacto",AB27,""))),"")</f>
        <v/>
      </c>
      <c r="AA28" s="129" t="str">
        <f t="shared" si="2"/>
        <v/>
      </c>
      <c r="AB28" s="130" t="str">
        <f t="shared" si="12"/>
        <v/>
      </c>
      <c r="AC28" s="129" t="str">
        <f t="shared" si="3"/>
        <v/>
      </c>
      <c r="AD28" s="130" t="str">
        <f t="shared" ref="AD28:AD30" si="16">IFERROR(IF(AND(S27="Impacto",S28="Impacto"),(AD27-(+AD27*V28)),IF(AND(S27="Probabilidad",S28="Impacto"),(AD26-(+AD26*V28)),IF(S28="Probabilidad",AD27,""))),"")</f>
        <v/>
      </c>
      <c r="AE28" s="131" t="str">
        <f>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2"/>
      <c r="AG28" s="133"/>
      <c r="AH28" s="134"/>
      <c r="AI28" s="135"/>
      <c r="AJ28" s="135"/>
      <c r="AK28" s="133"/>
      <c r="AL28" s="134"/>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151.5" customHeight="1" x14ac:dyDescent="0.3">
      <c r="A29" s="226"/>
      <c r="B29" s="229"/>
      <c r="C29" s="229"/>
      <c r="D29" s="229"/>
      <c r="E29" s="139"/>
      <c r="F29" s="232"/>
      <c r="G29" s="229"/>
      <c r="H29" s="139"/>
      <c r="I29" s="235"/>
      <c r="J29" s="238"/>
      <c r="K29" s="220"/>
      <c r="L29" s="241"/>
      <c r="M29" s="220">
        <f ca="1">IF(NOT(ISERROR(MATCH(L29,_xlfn.ANCHORARRAY(F40),0))),K42&amp;"Por favor no seleccionar los criterios de impacto",L29)</f>
        <v>0</v>
      </c>
      <c r="N29" s="238"/>
      <c r="O29" s="220"/>
      <c r="P29" s="223"/>
      <c r="Q29" s="123">
        <v>5</v>
      </c>
      <c r="R29" s="124"/>
      <c r="S29" s="125" t="str">
        <f t="shared" si="14"/>
        <v/>
      </c>
      <c r="T29" s="126"/>
      <c r="U29" s="126"/>
      <c r="V29" s="127" t="str">
        <f t="shared" si="11"/>
        <v/>
      </c>
      <c r="W29" s="126"/>
      <c r="X29" s="126"/>
      <c r="Y29" s="126"/>
      <c r="Z29" s="137" t="str">
        <f t="shared" si="15"/>
        <v/>
      </c>
      <c r="AA29" s="129" t="str">
        <f t="shared" si="2"/>
        <v/>
      </c>
      <c r="AB29" s="130" t="str">
        <f t="shared" si="12"/>
        <v/>
      </c>
      <c r="AC29" s="129" t="str">
        <f t="shared" si="3"/>
        <v/>
      </c>
      <c r="AD29" s="130" t="str">
        <f t="shared" si="16"/>
        <v/>
      </c>
      <c r="AE29" s="131" t="str">
        <f t="shared" ref="AE29:AE30" si="17">IFERROR(IF(OR(AND(AA29="Muy Baja",AC29="Leve"),AND(AA29="Muy Baja",AC29="Menor"),AND(AA29="Baja",AC29="Leve")),"Bajo",IF(OR(AND(AA29="Muy baja",AC29="Moderado"),AND(AA29="Baja",AC29="Menor"),AND(AA29="Baja",AC29="Moderado"),AND(AA29="Media",AC29="Leve"),AND(AA29="Media",AC29="Menor"),AND(AA29="Media",AC29="Moderado"),AND(AA29="Alta",AC29="Leve"),AND(AA29="Alta",AC29="Menor")),"Moderado",IF(OR(AND(AA29="Muy Baja",AC29="Mayor"),AND(AA29="Baja",AC29="Mayor"),AND(AA29="Media",AC29="Mayor"),AND(AA29="Alta",AC29="Moderado"),AND(AA29="Alta",AC29="Mayor"),AND(AA29="Muy Alta",AC29="Leve"),AND(AA29="Muy Alta",AC29="Menor"),AND(AA29="Muy Alta",AC29="Moderado"),AND(AA29="Muy Alta",AC29="Mayor")),"Alto",IF(OR(AND(AA29="Muy Baja",AC29="Catastrófico"),AND(AA29="Baja",AC29="Catastrófico"),AND(AA29="Media",AC29="Catastrófico"),AND(AA29="Alta",AC29="Catastrófico"),AND(AA29="Muy Alta",AC29="Catastrófico")),"Extremo","")))),"")</f>
        <v/>
      </c>
      <c r="AF29" s="132"/>
      <c r="AG29" s="133"/>
      <c r="AH29" s="134"/>
      <c r="AI29" s="135"/>
      <c r="AJ29" s="135"/>
      <c r="AK29" s="133"/>
      <c r="AL29" s="134"/>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151.5" customHeight="1" x14ac:dyDescent="0.3">
      <c r="A30" s="227"/>
      <c r="B30" s="230"/>
      <c r="C30" s="230"/>
      <c r="D30" s="230"/>
      <c r="E30" s="140"/>
      <c r="F30" s="233"/>
      <c r="G30" s="230"/>
      <c r="H30" s="140"/>
      <c r="I30" s="236"/>
      <c r="J30" s="239"/>
      <c r="K30" s="221"/>
      <c r="L30" s="242"/>
      <c r="M30" s="221">
        <f ca="1">IF(NOT(ISERROR(MATCH(L30,_xlfn.ANCHORARRAY(F41),0))),K43&amp;"Por favor no seleccionar los criterios de impacto",L30)</f>
        <v>0</v>
      </c>
      <c r="N30" s="239"/>
      <c r="O30" s="221"/>
      <c r="P30" s="224"/>
      <c r="Q30" s="123">
        <v>6</v>
      </c>
      <c r="R30" s="124"/>
      <c r="S30" s="125" t="str">
        <f t="shared" si="14"/>
        <v/>
      </c>
      <c r="T30" s="126"/>
      <c r="U30" s="126"/>
      <c r="V30" s="127" t="str">
        <f t="shared" si="11"/>
        <v/>
      </c>
      <c r="W30" s="126"/>
      <c r="X30" s="126"/>
      <c r="Y30" s="126"/>
      <c r="Z30" s="128" t="str">
        <f t="shared" si="15"/>
        <v/>
      </c>
      <c r="AA30" s="129" t="str">
        <f t="shared" si="2"/>
        <v/>
      </c>
      <c r="AB30" s="130" t="str">
        <f t="shared" si="12"/>
        <v/>
      </c>
      <c r="AC30" s="129" t="str">
        <f t="shared" si="3"/>
        <v/>
      </c>
      <c r="AD30" s="130" t="str">
        <f t="shared" si="16"/>
        <v/>
      </c>
      <c r="AE30" s="131" t="str">
        <f t="shared" si="17"/>
        <v/>
      </c>
      <c r="AF30" s="132"/>
      <c r="AG30" s="133"/>
      <c r="AH30" s="134"/>
      <c r="AI30" s="135"/>
      <c r="AJ30" s="135"/>
      <c r="AK30" s="133"/>
      <c r="AL30" s="134"/>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151.5" customHeight="1" x14ac:dyDescent="0.3">
      <c r="A31" s="225">
        <v>5</v>
      </c>
      <c r="B31" s="228"/>
      <c r="C31" s="228"/>
      <c r="D31" s="228"/>
      <c r="E31" s="138"/>
      <c r="F31" s="231"/>
      <c r="G31" s="228"/>
      <c r="H31" s="138"/>
      <c r="I31" s="234"/>
      <c r="J31" s="237" t="str">
        <f>IF(I31&lt;=0,"",IF(I31&lt;=2,"Muy Baja",IF(I31&lt;=24,"Baja",IF(I31&lt;=500,"Media",IF(I31&lt;=5000,"Alta","Muy Alta")))))</f>
        <v/>
      </c>
      <c r="K31" s="219" t="str">
        <f>IF(J31="","",IF(J31="Muy Baja",0.2,IF(J31="Baja",0.4,IF(J31="Media",0.6,IF(J31="Alta",0.8,IF(J31="Muy Alta",1,))))))</f>
        <v/>
      </c>
      <c r="L31" s="240"/>
      <c r="M31" s="219">
        <f ca="1">IF(NOT(ISERROR(MATCH(L31,'Tabla Impacto'!$B$221:$B$223,0))),'Tabla Impacto'!$F$223&amp;"Por favor no seleccionar los criterios de impacto(Afectación Económica o presupuestal y Pérdida Reputacional)",L31)</f>
        <v>0</v>
      </c>
      <c r="N31" s="237" t="str">
        <f ca="1">IF(OR(M31='Tabla Impacto'!$C$11,M31='Tabla Impacto'!$D$11),"Leve",IF(OR(M31='Tabla Impacto'!$C$12,M31='Tabla Impacto'!$D$12),"Menor",IF(OR(M31='Tabla Impacto'!$C$13,M31='Tabla Impacto'!$D$13),"Moderado",IF(OR(M31='Tabla Impacto'!$C$14,M31='Tabla Impacto'!$D$14),"Mayor",IF(OR(M31='Tabla Impacto'!$C$15,M31='Tabla Impacto'!$D$15),"Catastrófico","")))))</f>
        <v/>
      </c>
      <c r="O31" s="219" t="str">
        <f ca="1">IF(N31="","",IF(N31="Leve",0.2,IF(N31="Menor",0.4,IF(N31="Moderado",0.6,IF(N31="Mayor",0.8,IF(N31="Catastrófico",1,))))))</f>
        <v/>
      </c>
      <c r="P31" s="222" t="str">
        <f ca="1">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123">
        <v>1</v>
      </c>
      <c r="R31" s="124"/>
      <c r="S31" s="125" t="str">
        <f>IF(OR(T31="Preventivo",T31="Detectivo"),"Probabilidad",IF(T31="Correctivo","Impacto",""))</f>
        <v/>
      </c>
      <c r="T31" s="126"/>
      <c r="U31" s="126"/>
      <c r="V31" s="127" t="str">
        <f>IF(AND(T31="Preventivo",U31="Automático"),"50%",IF(AND(T31="Preventivo",U31="Manual"),"40%",IF(AND(T31="Detectivo",U31="Automático"),"40%",IF(AND(T31="Detectivo",U31="Manual"),"30%",IF(AND(T31="Correctivo",U31="Automático"),"35%",IF(AND(T31="Correctivo",U31="Manual"),"25%",""))))))</f>
        <v/>
      </c>
      <c r="W31" s="126"/>
      <c r="X31" s="126"/>
      <c r="Y31" s="126"/>
      <c r="Z31" s="128" t="str">
        <f>IFERROR(IF(S31="Probabilidad",(K31-(+K31*V31)),IF(S31="Impacto",K31,"")),"")</f>
        <v/>
      </c>
      <c r="AA31" s="129" t="str">
        <f t="shared" si="2"/>
        <v/>
      </c>
      <c r="AB31" s="130" t="str">
        <f>+Z31</f>
        <v/>
      </c>
      <c r="AC31" s="129" t="str">
        <f t="shared" si="3"/>
        <v/>
      </c>
      <c r="AD31" s="130" t="str">
        <f>IFERROR(IF(S31="Impacto",(O31-(+O31*V31)),IF(S31="Probabilidad",O31,"")),"")</f>
        <v/>
      </c>
      <c r="AE31" s="131" t="str">
        <f>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2"/>
      <c r="AG31" s="133"/>
      <c r="AH31" s="134"/>
      <c r="AI31" s="135"/>
      <c r="AJ31" s="135"/>
      <c r="AK31" s="133"/>
      <c r="AL31" s="134"/>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151.5" customHeight="1" x14ac:dyDescent="0.3">
      <c r="A32" s="226"/>
      <c r="B32" s="229"/>
      <c r="C32" s="229"/>
      <c r="D32" s="229"/>
      <c r="E32" s="139"/>
      <c r="F32" s="232"/>
      <c r="G32" s="229"/>
      <c r="H32" s="139"/>
      <c r="I32" s="235"/>
      <c r="J32" s="238"/>
      <c r="K32" s="220"/>
      <c r="L32" s="241"/>
      <c r="M32" s="220">
        <f ca="1">IF(NOT(ISERROR(MATCH(L32,_xlfn.ANCHORARRAY(F43),0))),K45&amp;"Por favor no seleccionar los criterios de impacto",L32)</f>
        <v>0</v>
      </c>
      <c r="N32" s="238"/>
      <c r="O32" s="220"/>
      <c r="P32" s="223"/>
      <c r="Q32" s="123">
        <v>2</v>
      </c>
      <c r="R32" s="124"/>
      <c r="S32" s="125" t="str">
        <f>IF(OR(T32="Preventivo",T32="Detectivo"),"Probabilidad",IF(T32="Correctivo","Impacto",""))</f>
        <v/>
      </c>
      <c r="T32" s="126"/>
      <c r="U32" s="126"/>
      <c r="V32" s="127" t="str">
        <f t="shared" ref="V32:V36" si="18">IF(AND(T32="Preventivo",U32="Automático"),"50%",IF(AND(T32="Preventivo",U32="Manual"),"40%",IF(AND(T32="Detectivo",U32="Automático"),"40%",IF(AND(T32="Detectivo",U32="Manual"),"30%",IF(AND(T32="Correctivo",U32="Automático"),"35%",IF(AND(T32="Correctivo",U32="Manual"),"25%",""))))))</f>
        <v/>
      </c>
      <c r="W32" s="126"/>
      <c r="X32" s="126"/>
      <c r="Y32" s="126"/>
      <c r="Z32" s="128" t="str">
        <f>IFERROR(IF(AND(S31="Probabilidad",S32="Probabilidad"),(AB31-(+AB31*V32)),IF(S32="Probabilidad",(K31-(+K31*V32)),IF(S32="Impacto",AB31,""))),"")</f>
        <v/>
      </c>
      <c r="AA32" s="129" t="str">
        <f t="shared" si="2"/>
        <v/>
      </c>
      <c r="AB32" s="130" t="str">
        <f t="shared" ref="AB32:AB36" si="19">+Z32</f>
        <v/>
      </c>
      <c r="AC32" s="129" t="str">
        <f t="shared" si="3"/>
        <v/>
      </c>
      <c r="AD32" s="130" t="str">
        <f>IFERROR(IF(AND(S31="Impacto",S32="Impacto"),(AD25-(+AD25*V32)),IF(S32="Impacto",($O$31-(+$O$31*V32)),IF(S32="Probabilidad",AD25,""))),"")</f>
        <v/>
      </c>
      <c r="AE32" s="131" t="str">
        <f t="shared" ref="AE32:AE33" si="20">IFERROR(IF(OR(AND(AA32="Muy Baja",AC32="Leve"),AND(AA32="Muy Baja",AC32="Menor"),AND(AA32="Baja",AC32="Leve")),"Bajo",IF(OR(AND(AA32="Muy baja",AC32="Moderado"),AND(AA32="Baja",AC32="Menor"),AND(AA32="Baja",AC32="Moderado"),AND(AA32="Media",AC32="Leve"),AND(AA32="Media",AC32="Menor"),AND(AA32="Media",AC32="Moderado"),AND(AA32="Alta",AC32="Leve"),AND(AA32="Alta",AC32="Menor")),"Moderado",IF(OR(AND(AA32="Muy Baja",AC32="Mayor"),AND(AA32="Baja",AC32="Mayor"),AND(AA32="Media",AC32="Mayor"),AND(AA32="Alta",AC32="Moderado"),AND(AA32="Alta",AC32="Mayor"),AND(AA32="Muy Alta",AC32="Leve"),AND(AA32="Muy Alta",AC32="Menor"),AND(AA32="Muy Alta",AC32="Moderado"),AND(AA32="Muy Alta",AC32="Mayor")),"Alto",IF(OR(AND(AA32="Muy Baja",AC32="Catastrófico"),AND(AA32="Baja",AC32="Catastrófico"),AND(AA32="Media",AC32="Catastrófico"),AND(AA32="Alta",AC32="Catastrófico"),AND(AA32="Muy Alta",AC32="Catastrófico")),"Extremo","")))),"")</f>
        <v/>
      </c>
      <c r="AF32" s="132"/>
      <c r="AG32" s="133"/>
      <c r="AH32" s="134"/>
      <c r="AI32" s="135"/>
      <c r="AJ32" s="135"/>
      <c r="AK32" s="133"/>
      <c r="AL32" s="134"/>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151.5" customHeight="1" x14ac:dyDescent="0.3">
      <c r="A33" s="226"/>
      <c r="B33" s="229"/>
      <c r="C33" s="229"/>
      <c r="D33" s="229"/>
      <c r="E33" s="139"/>
      <c r="F33" s="232"/>
      <c r="G33" s="229"/>
      <c r="H33" s="139"/>
      <c r="I33" s="235"/>
      <c r="J33" s="238"/>
      <c r="K33" s="220"/>
      <c r="L33" s="241"/>
      <c r="M33" s="220">
        <f ca="1">IF(NOT(ISERROR(MATCH(L33,_xlfn.ANCHORARRAY(F44),0))),K46&amp;"Por favor no seleccionar los criterios de impacto",L33)</f>
        <v>0</v>
      </c>
      <c r="N33" s="238"/>
      <c r="O33" s="220"/>
      <c r="P33" s="223"/>
      <c r="Q33" s="123">
        <v>3</v>
      </c>
      <c r="R33" s="136"/>
      <c r="S33" s="125" t="str">
        <f>IF(OR(T33="Preventivo",T33="Detectivo"),"Probabilidad",IF(T33="Correctivo","Impacto",""))</f>
        <v/>
      </c>
      <c r="T33" s="126"/>
      <c r="U33" s="126"/>
      <c r="V33" s="127" t="str">
        <f t="shared" si="18"/>
        <v/>
      </c>
      <c r="W33" s="126"/>
      <c r="X33" s="126"/>
      <c r="Y33" s="126"/>
      <c r="Z33" s="128" t="str">
        <f>IFERROR(IF(AND(S32="Probabilidad",S33="Probabilidad"),(AB32-(+AB32*V33)),IF(AND(S32="Impacto",S33="Probabilidad"),(AB31-(+AB31*V33)),IF(S33="Impacto",AB32,""))),"")</f>
        <v/>
      </c>
      <c r="AA33" s="129" t="str">
        <f t="shared" si="2"/>
        <v/>
      </c>
      <c r="AB33" s="130" t="str">
        <f t="shared" si="19"/>
        <v/>
      </c>
      <c r="AC33" s="129" t="str">
        <f t="shared" si="3"/>
        <v/>
      </c>
      <c r="AD33" s="130" t="str">
        <f>IFERROR(IF(AND(S32="Impacto",S33="Impacto"),(AD32-(+AD32*V33)),IF(AND(S32="Probabilidad",S33="Impacto"),(AD31-(+AD31*V33)),IF(S33="Probabilidad",AD32,""))),"")</f>
        <v/>
      </c>
      <c r="AE33" s="131" t="str">
        <f t="shared" si="20"/>
        <v/>
      </c>
      <c r="AF33" s="132"/>
      <c r="AG33" s="133"/>
      <c r="AH33" s="134"/>
      <c r="AI33" s="135"/>
      <c r="AJ33" s="135"/>
      <c r="AK33" s="133"/>
      <c r="AL33" s="134"/>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151.5" customHeight="1" x14ac:dyDescent="0.3">
      <c r="A34" s="226"/>
      <c r="B34" s="229"/>
      <c r="C34" s="229"/>
      <c r="D34" s="229"/>
      <c r="E34" s="139"/>
      <c r="F34" s="232"/>
      <c r="G34" s="229"/>
      <c r="H34" s="139"/>
      <c r="I34" s="235"/>
      <c r="J34" s="238"/>
      <c r="K34" s="220"/>
      <c r="L34" s="241"/>
      <c r="M34" s="220">
        <f ca="1">IF(NOT(ISERROR(MATCH(L34,_xlfn.ANCHORARRAY(F45),0))),K47&amp;"Por favor no seleccionar los criterios de impacto",L34)</f>
        <v>0</v>
      </c>
      <c r="N34" s="238"/>
      <c r="O34" s="220"/>
      <c r="P34" s="223"/>
      <c r="Q34" s="123">
        <v>4</v>
      </c>
      <c r="R34" s="124"/>
      <c r="S34" s="125" t="str">
        <f t="shared" ref="S34:S36" si="21">IF(OR(T34="Preventivo",T34="Detectivo"),"Probabilidad",IF(T34="Correctivo","Impacto",""))</f>
        <v/>
      </c>
      <c r="T34" s="126"/>
      <c r="U34" s="126"/>
      <c r="V34" s="127" t="str">
        <f t="shared" si="18"/>
        <v/>
      </c>
      <c r="W34" s="126"/>
      <c r="X34" s="126"/>
      <c r="Y34" s="126"/>
      <c r="Z34" s="128" t="str">
        <f t="shared" ref="Z34:Z36" si="22">IFERROR(IF(AND(S33="Probabilidad",S34="Probabilidad"),(AB33-(+AB33*V34)),IF(AND(S33="Impacto",S34="Probabilidad"),(AB32-(+AB32*V34)),IF(S34="Impacto",AB33,""))),"")</f>
        <v/>
      </c>
      <c r="AA34" s="129" t="str">
        <f t="shared" si="2"/>
        <v/>
      </c>
      <c r="AB34" s="130" t="str">
        <f t="shared" si="19"/>
        <v/>
      </c>
      <c r="AC34" s="129" t="str">
        <f t="shared" si="3"/>
        <v/>
      </c>
      <c r="AD34" s="130" t="str">
        <f t="shared" ref="AD34:AD36" si="23">IFERROR(IF(AND(S33="Impacto",S34="Impacto"),(AD33-(+AD33*V34)),IF(AND(S33="Probabilidad",S34="Impacto"),(AD32-(+AD32*V34)),IF(S34="Probabilidad",AD33,""))),"")</f>
        <v/>
      </c>
      <c r="AE34" s="131" t="str">
        <f>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2"/>
      <c r="AG34" s="133"/>
      <c r="AH34" s="134"/>
      <c r="AI34" s="135"/>
      <c r="AJ34" s="135"/>
      <c r="AK34" s="133"/>
      <c r="AL34" s="134"/>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151.5" customHeight="1" x14ac:dyDescent="0.3">
      <c r="A35" s="226"/>
      <c r="B35" s="229"/>
      <c r="C35" s="229"/>
      <c r="D35" s="229"/>
      <c r="E35" s="139"/>
      <c r="F35" s="232"/>
      <c r="G35" s="229"/>
      <c r="H35" s="139"/>
      <c r="I35" s="235"/>
      <c r="J35" s="238"/>
      <c r="K35" s="220"/>
      <c r="L35" s="241"/>
      <c r="M35" s="220">
        <f ca="1">IF(NOT(ISERROR(MATCH(L35,_xlfn.ANCHORARRAY(F46),0))),K48&amp;"Por favor no seleccionar los criterios de impacto",L35)</f>
        <v>0</v>
      </c>
      <c r="N35" s="238"/>
      <c r="O35" s="220"/>
      <c r="P35" s="223"/>
      <c r="Q35" s="123">
        <v>5</v>
      </c>
      <c r="R35" s="124"/>
      <c r="S35" s="125" t="str">
        <f t="shared" si="21"/>
        <v/>
      </c>
      <c r="T35" s="126"/>
      <c r="U35" s="126"/>
      <c r="V35" s="127" t="str">
        <f t="shared" si="18"/>
        <v/>
      </c>
      <c r="W35" s="126"/>
      <c r="X35" s="126"/>
      <c r="Y35" s="126"/>
      <c r="Z35" s="128" t="str">
        <f t="shared" si="22"/>
        <v/>
      </c>
      <c r="AA35" s="129" t="str">
        <f t="shared" si="2"/>
        <v/>
      </c>
      <c r="AB35" s="130" t="str">
        <f t="shared" si="19"/>
        <v/>
      </c>
      <c r="AC35" s="129" t="str">
        <f t="shared" si="3"/>
        <v/>
      </c>
      <c r="AD35" s="130" t="str">
        <f t="shared" si="23"/>
        <v/>
      </c>
      <c r="AE35" s="131" t="str">
        <f t="shared" ref="AE35:AE36" si="24">IFERROR(IF(OR(AND(AA35="Muy Baja",AC35="Leve"),AND(AA35="Muy Baja",AC35="Menor"),AND(AA35="Baja",AC35="Leve")),"Bajo",IF(OR(AND(AA35="Muy baja",AC35="Moderado"),AND(AA35="Baja",AC35="Menor"),AND(AA35="Baja",AC35="Moderado"),AND(AA35="Media",AC35="Leve"),AND(AA35="Media",AC35="Menor"),AND(AA35="Media",AC35="Moderado"),AND(AA35="Alta",AC35="Leve"),AND(AA35="Alta",AC35="Menor")),"Moderado",IF(OR(AND(AA35="Muy Baja",AC35="Mayor"),AND(AA35="Baja",AC35="Mayor"),AND(AA35="Media",AC35="Mayor"),AND(AA35="Alta",AC35="Moderado"),AND(AA35="Alta",AC35="Mayor"),AND(AA35="Muy Alta",AC35="Leve"),AND(AA35="Muy Alta",AC35="Menor"),AND(AA35="Muy Alta",AC35="Moderado"),AND(AA35="Muy Alta",AC35="Mayor")),"Alto",IF(OR(AND(AA35="Muy Baja",AC35="Catastrófico"),AND(AA35="Baja",AC35="Catastrófico"),AND(AA35="Media",AC35="Catastrófico"),AND(AA35="Alta",AC35="Catastrófico"),AND(AA35="Muy Alta",AC35="Catastrófico")),"Extremo","")))),"")</f>
        <v/>
      </c>
      <c r="AF35" s="132"/>
      <c r="AG35" s="133"/>
      <c r="AH35" s="134"/>
      <c r="AI35" s="135"/>
      <c r="AJ35" s="135"/>
      <c r="AK35" s="133"/>
      <c r="AL35" s="134"/>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151.5" customHeight="1" x14ac:dyDescent="0.3">
      <c r="A36" s="227"/>
      <c r="B36" s="230"/>
      <c r="C36" s="230"/>
      <c r="D36" s="230"/>
      <c r="E36" s="140"/>
      <c r="F36" s="233"/>
      <c r="G36" s="230"/>
      <c r="H36" s="140"/>
      <c r="I36" s="236"/>
      <c r="J36" s="239"/>
      <c r="K36" s="221"/>
      <c r="L36" s="242"/>
      <c r="M36" s="221">
        <f ca="1">IF(NOT(ISERROR(MATCH(L36,_xlfn.ANCHORARRAY(F47),0))),K49&amp;"Por favor no seleccionar los criterios de impacto",L36)</f>
        <v>0</v>
      </c>
      <c r="N36" s="239"/>
      <c r="O36" s="221"/>
      <c r="P36" s="224"/>
      <c r="Q36" s="123">
        <v>6</v>
      </c>
      <c r="R36" s="124"/>
      <c r="S36" s="125" t="str">
        <f t="shared" si="21"/>
        <v/>
      </c>
      <c r="T36" s="126"/>
      <c r="U36" s="126"/>
      <c r="V36" s="127" t="str">
        <f t="shared" si="18"/>
        <v/>
      </c>
      <c r="W36" s="126"/>
      <c r="X36" s="126"/>
      <c r="Y36" s="126"/>
      <c r="Z36" s="128" t="str">
        <f t="shared" si="22"/>
        <v/>
      </c>
      <c r="AA36" s="129" t="str">
        <f t="shared" si="2"/>
        <v/>
      </c>
      <c r="AB36" s="130" t="str">
        <f t="shared" si="19"/>
        <v/>
      </c>
      <c r="AC36" s="129" t="str">
        <f t="shared" si="3"/>
        <v/>
      </c>
      <c r="AD36" s="130" t="str">
        <f t="shared" si="23"/>
        <v/>
      </c>
      <c r="AE36" s="131" t="str">
        <f t="shared" si="24"/>
        <v/>
      </c>
      <c r="AF36" s="132"/>
      <c r="AG36" s="133"/>
      <c r="AH36" s="134"/>
      <c r="AI36" s="135"/>
      <c r="AJ36" s="135"/>
      <c r="AK36" s="133"/>
      <c r="AL36" s="134"/>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151.5" customHeight="1" x14ac:dyDescent="0.3">
      <c r="A37" s="225">
        <v>6</v>
      </c>
      <c r="B37" s="228"/>
      <c r="C37" s="228"/>
      <c r="D37" s="228"/>
      <c r="E37" s="138"/>
      <c r="F37" s="231"/>
      <c r="G37" s="228"/>
      <c r="H37" s="138"/>
      <c r="I37" s="234"/>
      <c r="J37" s="237" t="str">
        <f>IF(I37&lt;=0,"",IF(I37&lt;=2,"Muy Baja",IF(I37&lt;=24,"Baja",IF(I37&lt;=500,"Media",IF(I37&lt;=5000,"Alta","Muy Alta")))))</f>
        <v/>
      </c>
      <c r="K37" s="219" t="str">
        <f>IF(J37="","",IF(J37="Muy Baja",0.2,IF(J37="Baja",0.4,IF(J37="Media",0.6,IF(J37="Alta",0.8,IF(J37="Muy Alta",1,))))))</f>
        <v/>
      </c>
      <c r="L37" s="240"/>
      <c r="M37" s="219">
        <f ca="1">IF(NOT(ISERROR(MATCH(L37,'Tabla Impacto'!$B$221:$B$223,0))),'Tabla Impacto'!$F$223&amp;"Por favor no seleccionar los criterios de impacto(Afectación Económica o presupuestal y Pérdida Reputacional)",L37)</f>
        <v>0</v>
      </c>
      <c r="N37" s="237" t="str">
        <f ca="1">IF(OR(M37='Tabla Impacto'!$C$11,M37='Tabla Impacto'!$D$11),"Leve",IF(OR(M37='Tabla Impacto'!$C$12,M37='Tabla Impacto'!$D$12),"Menor",IF(OR(M37='Tabla Impacto'!$C$13,M37='Tabla Impacto'!$D$13),"Moderado",IF(OR(M37='Tabla Impacto'!$C$14,M37='Tabla Impacto'!$D$14),"Mayor",IF(OR(M37='Tabla Impacto'!$C$15,M37='Tabla Impacto'!$D$15),"Catastrófico","")))))</f>
        <v/>
      </c>
      <c r="O37" s="219" t="str">
        <f ca="1">IF(N37="","",IF(N37="Leve",0.2,IF(N37="Menor",0.4,IF(N37="Moderado",0.6,IF(N37="Mayor",0.8,IF(N37="Catastrófico",1,))))))</f>
        <v/>
      </c>
      <c r="P37" s="222" t="str">
        <f ca="1">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123">
        <v>1</v>
      </c>
      <c r="R37" s="124"/>
      <c r="S37" s="125" t="str">
        <f>IF(OR(T37="Preventivo",T37="Detectivo"),"Probabilidad",IF(T37="Correctivo","Impacto",""))</f>
        <v/>
      </c>
      <c r="T37" s="126"/>
      <c r="U37" s="126"/>
      <c r="V37" s="127" t="str">
        <f>IF(AND(T37="Preventivo",U37="Automático"),"50%",IF(AND(T37="Preventivo",U37="Manual"),"40%",IF(AND(T37="Detectivo",U37="Automático"),"40%",IF(AND(T37="Detectivo",U37="Manual"),"30%",IF(AND(T37="Correctivo",U37="Automático"),"35%",IF(AND(T37="Correctivo",U37="Manual"),"25%",""))))))</f>
        <v/>
      </c>
      <c r="W37" s="126"/>
      <c r="X37" s="126"/>
      <c r="Y37" s="126"/>
      <c r="Z37" s="128" t="str">
        <f>IFERROR(IF(S37="Probabilidad",(K37-(+K37*V37)),IF(S37="Impacto",K37,"")),"")</f>
        <v/>
      </c>
      <c r="AA37" s="129" t="str">
        <f t="shared" si="2"/>
        <v/>
      </c>
      <c r="AB37" s="130" t="str">
        <f>+Z37</f>
        <v/>
      </c>
      <c r="AC37" s="129" t="str">
        <f t="shared" si="3"/>
        <v/>
      </c>
      <c r="AD37" s="130" t="str">
        <f>IFERROR(IF(S37="Impacto",(O37-(+O37*V37)),IF(S37="Probabilidad",O37,"")),"")</f>
        <v/>
      </c>
      <c r="AE37" s="131" t="str">
        <f>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2"/>
      <c r="AG37" s="133"/>
      <c r="AH37" s="134"/>
      <c r="AI37" s="135"/>
      <c r="AJ37" s="135"/>
      <c r="AK37" s="133"/>
      <c r="AL37" s="134"/>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151.5" customHeight="1" x14ac:dyDescent="0.3">
      <c r="A38" s="226"/>
      <c r="B38" s="229"/>
      <c r="C38" s="229"/>
      <c r="D38" s="229"/>
      <c r="E38" s="139"/>
      <c r="F38" s="232"/>
      <c r="G38" s="229"/>
      <c r="H38" s="139"/>
      <c r="I38" s="235"/>
      <c r="J38" s="238"/>
      <c r="K38" s="220"/>
      <c r="L38" s="241"/>
      <c r="M38" s="220">
        <f ca="1">IF(NOT(ISERROR(MATCH(L38,_xlfn.ANCHORARRAY(F49),0))),K51&amp;"Por favor no seleccionar los criterios de impacto",L38)</f>
        <v>0</v>
      </c>
      <c r="N38" s="238"/>
      <c r="O38" s="220"/>
      <c r="P38" s="223"/>
      <c r="Q38" s="123">
        <v>2</v>
      </c>
      <c r="R38" s="124"/>
      <c r="S38" s="125" t="str">
        <f>IF(OR(T38="Preventivo",T38="Detectivo"),"Probabilidad",IF(T38="Correctivo","Impacto",""))</f>
        <v/>
      </c>
      <c r="T38" s="126"/>
      <c r="U38" s="126"/>
      <c r="V38" s="127" t="str">
        <f t="shared" ref="V38:V42" si="25">IF(AND(T38="Preventivo",U38="Automático"),"50%",IF(AND(T38="Preventivo",U38="Manual"),"40%",IF(AND(T38="Detectivo",U38="Automático"),"40%",IF(AND(T38="Detectivo",U38="Manual"),"30%",IF(AND(T38="Correctivo",U38="Automático"),"35%",IF(AND(T38="Correctivo",U38="Manual"),"25%",""))))))</f>
        <v/>
      </c>
      <c r="W38" s="126"/>
      <c r="X38" s="126"/>
      <c r="Y38" s="126"/>
      <c r="Z38" s="128" t="str">
        <f>IFERROR(IF(AND(S37="Probabilidad",S38="Probabilidad"),(AB37-(+AB37*V38)),IF(S38="Probabilidad",(K37-(+K37*V38)),IF(S38="Impacto",AB37,""))),"")</f>
        <v/>
      </c>
      <c r="AA38" s="129" t="str">
        <f t="shared" si="2"/>
        <v/>
      </c>
      <c r="AB38" s="130" t="str">
        <f t="shared" ref="AB38:AB42" si="26">+Z38</f>
        <v/>
      </c>
      <c r="AC38" s="129" t="str">
        <f t="shared" si="3"/>
        <v/>
      </c>
      <c r="AD38" s="130" t="str">
        <f>IFERROR(IF(AND(S37="Impacto",S38="Impacto"),(AD31-(+AD31*V38)),IF(S38="Impacto",($O$37-(+$O$37*V38)),IF(S38="Probabilidad",AD31,""))),"")</f>
        <v/>
      </c>
      <c r="AE38" s="131" t="str">
        <f t="shared" ref="AE38:AE39" si="27">IFERROR(IF(OR(AND(AA38="Muy Baja",AC38="Leve"),AND(AA38="Muy Baja",AC38="Menor"),AND(AA38="Baja",AC38="Leve")),"Bajo",IF(OR(AND(AA38="Muy baja",AC38="Moderado"),AND(AA38="Baja",AC38="Menor"),AND(AA38="Baja",AC38="Moderado"),AND(AA38="Media",AC38="Leve"),AND(AA38="Media",AC38="Menor"),AND(AA38="Media",AC38="Moderado"),AND(AA38="Alta",AC38="Leve"),AND(AA38="Alta",AC38="Menor")),"Moderado",IF(OR(AND(AA38="Muy Baja",AC38="Mayor"),AND(AA38="Baja",AC38="Mayor"),AND(AA38="Media",AC38="Mayor"),AND(AA38="Alta",AC38="Moderado"),AND(AA38="Alta",AC38="Mayor"),AND(AA38="Muy Alta",AC38="Leve"),AND(AA38="Muy Alta",AC38="Menor"),AND(AA38="Muy Alta",AC38="Moderado"),AND(AA38="Muy Alta",AC38="Mayor")),"Alto",IF(OR(AND(AA38="Muy Baja",AC38="Catastrófico"),AND(AA38="Baja",AC38="Catastrófico"),AND(AA38="Media",AC38="Catastrófico"),AND(AA38="Alta",AC38="Catastrófico"),AND(AA38="Muy Alta",AC38="Catastrófico")),"Extremo","")))),"")</f>
        <v/>
      </c>
      <c r="AF38" s="132"/>
      <c r="AG38" s="133"/>
      <c r="AH38" s="134"/>
      <c r="AI38" s="135"/>
      <c r="AJ38" s="135"/>
      <c r="AK38" s="133"/>
      <c r="AL38" s="134"/>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151.5" customHeight="1" x14ac:dyDescent="0.3">
      <c r="A39" s="226"/>
      <c r="B39" s="229"/>
      <c r="C39" s="229"/>
      <c r="D39" s="229"/>
      <c r="E39" s="139"/>
      <c r="F39" s="232"/>
      <c r="G39" s="229"/>
      <c r="H39" s="139"/>
      <c r="I39" s="235"/>
      <c r="J39" s="238"/>
      <c r="K39" s="220"/>
      <c r="L39" s="241"/>
      <c r="M39" s="220">
        <f ca="1">IF(NOT(ISERROR(MATCH(L39,_xlfn.ANCHORARRAY(F50),0))),K52&amp;"Por favor no seleccionar los criterios de impacto",L39)</f>
        <v>0</v>
      </c>
      <c r="N39" s="238"/>
      <c r="O39" s="220"/>
      <c r="P39" s="223"/>
      <c r="Q39" s="123">
        <v>3</v>
      </c>
      <c r="R39" s="136"/>
      <c r="S39" s="125" t="str">
        <f>IF(OR(T39="Preventivo",T39="Detectivo"),"Probabilidad",IF(T39="Correctivo","Impacto",""))</f>
        <v/>
      </c>
      <c r="T39" s="126"/>
      <c r="U39" s="126"/>
      <c r="V39" s="127" t="str">
        <f t="shared" si="25"/>
        <v/>
      </c>
      <c r="W39" s="126"/>
      <c r="X39" s="126"/>
      <c r="Y39" s="126"/>
      <c r="Z39" s="128" t="str">
        <f>IFERROR(IF(AND(S38="Probabilidad",S39="Probabilidad"),(AB38-(+AB38*V39)),IF(AND(S38="Impacto",S39="Probabilidad"),(AB37-(+AB37*V39)),IF(S39="Impacto",AB38,""))),"")</f>
        <v/>
      </c>
      <c r="AA39" s="129" t="str">
        <f t="shared" si="2"/>
        <v/>
      </c>
      <c r="AB39" s="130" t="str">
        <f t="shared" si="26"/>
        <v/>
      </c>
      <c r="AC39" s="129" t="str">
        <f t="shared" si="3"/>
        <v/>
      </c>
      <c r="AD39" s="130" t="str">
        <f>IFERROR(IF(AND(S38="Impacto",S39="Impacto"),(AD38-(+AD38*V39)),IF(AND(S38="Probabilidad",S39="Impacto"),(AD37-(+AD37*V39)),IF(S39="Probabilidad",AD38,""))),"")</f>
        <v/>
      </c>
      <c r="AE39" s="131" t="str">
        <f t="shared" si="27"/>
        <v/>
      </c>
      <c r="AF39" s="132"/>
      <c r="AG39" s="133"/>
      <c r="AH39" s="134"/>
      <c r="AI39" s="135"/>
      <c r="AJ39" s="135"/>
      <c r="AK39" s="133"/>
      <c r="AL39" s="134"/>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151.5" customHeight="1" x14ac:dyDescent="0.3">
      <c r="A40" s="226"/>
      <c r="B40" s="229"/>
      <c r="C40" s="229"/>
      <c r="D40" s="229"/>
      <c r="E40" s="139"/>
      <c r="F40" s="232"/>
      <c r="G40" s="229"/>
      <c r="H40" s="139"/>
      <c r="I40" s="235"/>
      <c r="J40" s="238"/>
      <c r="K40" s="220"/>
      <c r="L40" s="241"/>
      <c r="M40" s="220">
        <f ca="1">IF(NOT(ISERROR(MATCH(L40,_xlfn.ANCHORARRAY(F51),0))),K53&amp;"Por favor no seleccionar los criterios de impacto",L40)</f>
        <v>0</v>
      </c>
      <c r="N40" s="238"/>
      <c r="O40" s="220"/>
      <c r="P40" s="223"/>
      <c r="Q40" s="123">
        <v>4</v>
      </c>
      <c r="R40" s="124"/>
      <c r="S40" s="125" t="str">
        <f t="shared" ref="S40:S42" si="28">IF(OR(T40="Preventivo",T40="Detectivo"),"Probabilidad",IF(T40="Correctivo","Impacto",""))</f>
        <v/>
      </c>
      <c r="T40" s="126"/>
      <c r="U40" s="126"/>
      <c r="V40" s="127" t="str">
        <f t="shared" si="25"/>
        <v/>
      </c>
      <c r="W40" s="126"/>
      <c r="X40" s="126"/>
      <c r="Y40" s="126"/>
      <c r="Z40" s="128" t="str">
        <f t="shared" ref="Z40:Z42" si="29">IFERROR(IF(AND(S39="Probabilidad",S40="Probabilidad"),(AB39-(+AB39*V40)),IF(AND(S39="Impacto",S40="Probabilidad"),(AB38-(+AB38*V40)),IF(S40="Impacto",AB39,""))),"")</f>
        <v/>
      </c>
      <c r="AA40" s="129" t="str">
        <f t="shared" si="2"/>
        <v/>
      </c>
      <c r="AB40" s="130" t="str">
        <f t="shared" si="26"/>
        <v/>
      </c>
      <c r="AC40" s="129" t="str">
        <f t="shared" si="3"/>
        <v/>
      </c>
      <c r="AD40" s="130" t="str">
        <f t="shared" ref="AD40:AD42" si="30">IFERROR(IF(AND(S39="Impacto",S40="Impacto"),(AD39-(+AD39*V40)),IF(AND(S39="Probabilidad",S40="Impacto"),(AD38-(+AD38*V40)),IF(S40="Probabilidad",AD39,""))),"")</f>
        <v/>
      </c>
      <c r="AE40" s="131" t="str">
        <f>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2"/>
      <c r="AG40" s="133"/>
      <c r="AH40" s="134"/>
      <c r="AI40" s="135"/>
      <c r="AJ40" s="135"/>
      <c r="AK40" s="133"/>
      <c r="AL40" s="134"/>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151.5" customHeight="1" x14ac:dyDescent="0.3">
      <c r="A41" s="226"/>
      <c r="B41" s="229"/>
      <c r="C41" s="229"/>
      <c r="D41" s="229"/>
      <c r="E41" s="139"/>
      <c r="F41" s="232"/>
      <c r="G41" s="229"/>
      <c r="H41" s="139"/>
      <c r="I41" s="235"/>
      <c r="J41" s="238"/>
      <c r="K41" s="220"/>
      <c r="L41" s="241"/>
      <c r="M41" s="220">
        <f ca="1">IF(NOT(ISERROR(MATCH(L41,_xlfn.ANCHORARRAY(F52),0))),K54&amp;"Por favor no seleccionar los criterios de impacto",L41)</f>
        <v>0</v>
      </c>
      <c r="N41" s="238"/>
      <c r="O41" s="220"/>
      <c r="P41" s="223"/>
      <c r="Q41" s="123">
        <v>5</v>
      </c>
      <c r="R41" s="124"/>
      <c r="S41" s="125" t="str">
        <f t="shared" si="28"/>
        <v/>
      </c>
      <c r="T41" s="126"/>
      <c r="U41" s="126"/>
      <c r="V41" s="127" t="str">
        <f t="shared" si="25"/>
        <v/>
      </c>
      <c r="W41" s="126"/>
      <c r="X41" s="126"/>
      <c r="Y41" s="126"/>
      <c r="Z41" s="128" t="str">
        <f t="shared" si="29"/>
        <v/>
      </c>
      <c r="AA41" s="129" t="str">
        <f t="shared" si="2"/>
        <v/>
      </c>
      <c r="AB41" s="130" t="str">
        <f t="shared" si="26"/>
        <v/>
      </c>
      <c r="AC41" s="129" t="str">
        <f t="shared" si="3"/>
        <v/>
      </c>
      <c r="AD41" s="130" t="str">
        <f t="shared" si="30"/>
        <v/>
      </c>
      <c r="AE41" s="131" t="str">
        <f t="shared" ref="AE41" si="31">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2"/>
      <c r="AG41" s="133"/>
      <c r="AH41" s="134"/>
      <c r="AI41" s="135"/>
      <c r="AJ41" s="135"/>
      <c r="AK41" s="133"/>
      <c r="AL41" s="134"/>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151.5" customHeight="1" x14ac:dyDescent="0.3">
      <c r="A42" s="227"/>
      <c r="B42" s="230"/>
      <c r="C42" s="230"/>
      <c r="D42" s="230"/>
      <c r="E42" s="140"/>
      <c r="F42" s="233"/>
      <c r="G42" s="230"/>
      <c r="H42" s="140"/>
      <c r="I42" s="236"/>
      <c r="J42" s="239"/>
      <c r="K42" s="221"/>
      <c r="L42" s="242"/>
      <c r="M42" s="221">
        <f ca="1">IF(NOT(ISERROR(MATCH(L42,_xlfn.ANCHORARRAY(F53),0))),K55&amp;"Por favor no seleccionar los criterios de impacto",L42)</f>
        <v>0</v>
      </c>
      <c r="N42" s="239"/>
      <c r="O42" s="221"/>
      <c r="P42" s="224"/>
      <c r="Q42" s="123">
        <v>6</v>
      </c>
      <c r="R42" s="124"/>
      <c r="S42" s="125" t="str">
        <f t="shared" si="28"/>
        <v/>
      </c>
      <c r="T42" s="126"/>
      <c r="U42" s="126"/>
      <c r="V42" s="127" t="str">
        <f t="shared" si="25"/>
        <v/>
      </c>
      <c r="W42" s="126"/>
      <c r="X42" s="126"/>
      <c r="Y42" s="126"/>
      <c r="Z42" s="128" t="str">
        <f t="shared" si="29"/>
        <v/>
      </c>
      <c r="AA42" s="129" t="str">
        <f t="shared" si="2"/>
        <v/>
      </c>
      <c r="AB42" s="130" t="str">
        <f t="shared" si="26"/>
        <v/>
      </c>
      <c r="AC42" s="129" t="str">
        <f t="shared" si="3"/>
        <v/>
      </c>
      <c r="AD42" s="130" t="str">
        <f t="shared" si="30"/>
        <v/>
      </c>
      <c r="AE42" s="131" t="str">
        <f>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2"/>
      <c r="AG42" s="133"/>
      <c r="AH42" s="134"/>
      <c r="AI42" s="135"/>
      <c r="AJ42" s="135"/>
      <c r="AK42" s="133"/>
      <c r="AL42" s="134"/>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151.5" customHeight="1" x14ac:dyDescent="0.3">
      <c r="A43" s="225">
        <v>7</v>
      </c>
      <c r="B43" s="228"/>
      <c r="C43" s="228"/>
      <c r="D43" s="228"/>
      <c r="E43" s="138"/>
      <c r="F43" s="231"/>
      <c r="G43" s="228"/>
      <c r="H43" s="138"/>
      <c r="I43" s="234"/>
      <c r="J43" s="237" t="str">
        <f>IF(I43&lt;=0,"",IF(I43&lt;=2,"Muy Baja",IF(I43&lt;=24,"Baja",IF(I43&lt;=500,"Media",IF(I43&lt;=5000,"Alta","Muy Alta")))))</f>
        <v/>
      </c>
      <c r="K43" s="219" t="str">
        <f>IF(J43="","",IF(J43="Muy Baja",0.2,IF(J43="Baja",0.4,IF(J43="Media",0.6,IF(J43="Alta",0.8,IF(J43="Muy Alta",1,))))))</f>
        <v/>
      </c>
      <c r="L43" s="240"/>
      <c r="M43" s="219">
        <f ca="1">IF(NOT(ISERROR(MATCH(L43,'Tabla Impacto'!$B$221:$B$223,0))),'Tabla Impacto'!$F$223&amp;"Por favor no seleccionar los criterios de impacto(Afectación Económica o presupuestal y Pérdida Reputacional)",L43)</f>
        <v>0</v>
      </c>
      <c r="N43" s="237" t="str">
        <f ca="1">IF(OR(M43='Tabla Impacto'!$C$11,M43='Tabla Impacto'!$D$11),"Leve",IF(OR(M43='Tabla Impacto'!$C$12,M43='Tabla Impacto'!$D$12),"Menor",IF(OR(M43='Tabla Impacto'!$C$13,M43='Tabla Impacto'!$D$13),"Moderado",IF(OR(M43='Tabla Impacto'!$C$14,M43='Tabla Impacto'!$D$14),"Mayor",IF(OR(M43='Tabla Impacto'!$C$15,M43='Tabla Impacto'!$D$15),"Catastrófico","")))))</f>
        <v/>
      </c>
      <c r="O43" s="219" t="str">
        <f ca="1">IF(N43="","",IF(N43="Leve",0.2,IF(N43="Menor",0.4,IF(N43="Moderado",0.6,IF(N43="Mayor",0.8,IF(N43="Catastrófico",1,))))))</f>
        <v/>
      </c>
      <c r="P43" s="222" t="str">
        <f ca="1">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123">
        <v>1</v>
      </c>
      <c r="R43" s="124"/>
      <c r="S43" s="125" t="str">
        <f>IF(OR(T43="Preventivo",T43="Detectivo"),"Probabilidad",IF(T43="Correctivo","Impacto",""))</f>
        <v/>
      </c>
      <c r="T43" s="126"/>
      <c r="U43" s="126"/>
      <c r="V43" s="127" t="str">
        <f>IF(AND(T43="Preventivo",U43="Automático"),"50%",IF(AND(T43="Preventivo",U43="Manual"),"40%",IF(AND(T43="Detectivo",U43="Automático"),"40%",IF(AND(T43="Detectivo",U43="Manual"),"30%",IF(AND(T43="Correctivo",U43="Automático"),"35%",IF(AND(T43="Correctivo",U43="Manual"),"25%",""))))))</f>
        <v/>
      </c>
      <c r="W43" s="126"/>
      <c r="X43" s="126"/>
      <c r="Y43" s="126"/>
      <c r="Z43" s="128" t="str">
        <f>IFERROR(IF(S43="Probabilidad",(K43-(+K43*V43)),IF(S43="Impacto",K43,"")),"")</f>
        <v/>
      </c>
      <c r="AA43" s="129" t="str">
        <f t="shared" si="2"/>
        <v/>
      </c>
      <c r="AB43" s="130" t="str">
        <f>+Z43</f>
        <v/>
      </c>
      <c r="AC43" s="129" t="str">
        <f t="shared" si="3"/>
        <v/>
      </c>
      <c r="AD43" s="130" t="str">
        <f>IFERROR(IF(S43="Impacto",(O43-(+O43*V43)),IF(S43="Probabilidad",O43,"")),"")</f>
        <v/>
      </c>
      <c r="AE43" s="131" t="str">
        <f>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2"/>
      <c r="AG43" s="133"/>
      <c r="AH43" s="134"/>
      <c r="AI43" s="135"/>
      <c r="AJ43" s="135"/>
      <c r="AK43" s="133"/>
      <c r="AL43" s="134"/>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151.5" customHeight="1" x14ac:dyDescent="0.3">
      <c r="A44" s="226"/>
      <c r="B44" s="229"/>
      <c r="C44" s="229"/>
      <c r="D44" s="229"/>
      <c r="E44" s="139"/>
      <c r="F44" s="232"/>
      <c r="G44" s="229"/>
      <c r="H44" s="139"/>
      <c r="I44" s="235"/>
      <c r="J44" s="238"/>
      <c r="K44" s="220"/>
      <c r="L44" s="241"/>
      <c r="M44" s="220">
        <f ca="1">IF(NOT(ISERROR(MATCH(L44,_xlfn.ANCHORARRAY(F55),0))),K57&amp;"Por favor no seleccionar los criterios de impacto",L44)</f>
        <v>0</v>
      </c>
      <c r="N44" s="238"/>
      <c r="O44" s="220"/>
      <c r="P44" s="223"/>
      <c r="Q44" s="123">
        <v>2</v>
      </c>
      <c r="R44" s="124"/>
      <c r="S44" s="125" t="str">
        <f>IF(OR(T44="Preventivo",T44="Detectivo"),"Probabilidad",IF(T44="Correctivo","Impacto",""))</f>
        <v/>
      </c>
      <c r="T44" s="126"/>
      <c r="U44" s="126"/>
      <c r="V44" s="127" t="str">
        <f t="shared" ref="V44:V48" si="32">IF(AND(T44="Preventivo",U44="Automático"),"50%",IF(AND(T44="Preventivo",U44="Manual"),"40%",IF(AND(T44="Detectivo",U44="Automático"),"40%",IF(AND(T44="Detectivo",U44="Manual"),"30%",IF(AND(T44="Correctivo",U44="Automático"),"35%",IF(AND(T44="Correctivo",U44="Manual"),"25%",""))))))</f>
        <v/>
      </c>
      <c r="W44" s="126"/>
      <c r="X44" s="126"/>
      <c r="Y44" s="126"/>
      <c r="Z44" s="128" t="str">
        <f>IFERROR(IF(AND(S43="Probabilidad",S44="Probabilidad"),(AB43-(+AB43*V44)),IF(S44="Probabilidad",(K43-(+K43*V44)),IF(S44="Impacto",AB43,""))),"")</f>
        <v/>
      </c>
      <c r="AA44" s="129" t="str">
        <f t="shared" si="2"/>
        <v/>
      </c>
      <c r="AB44" s="130" t="str">
        <f t="shared" ref="AB44:AB48" si="33">+Z44</f>
        <v/>
      </c>
      <c r="AC44" s="129" t="str">
        <f t="shared" si="3"/>
        <v/>
      </c>
      <c r="AD44" s="130" t="str">
        <f>IFERROR(IF(AND(S43="Impacto",S44="Impacto"),(AD37-(+AD37*V44)),IF(S44="Impacto",($O$43-(+$O$43*V44)),IF(S44="Probabilidad",AD37,""))),"")</f>
        <v/>
      </c>
      <c r="AE44" s="131" t="str">
        <f t="shared" ref="AE44:AE45" si="34">IFERROR(IF(OR(AND(AA44="Muy Baja",AC44="Leve"),AND(AA44="Muy Baja",AC44="Menor"),AND(AA44="Baja",AC44="Leve")),"Bajo",IF(OR(AND(AA44="Muy baja",AC44="Moderado"),AND(AA44="Baja",AC44="Menor"),AND(AA44="Baja",AC44="Moderado"),AND(AA44="Media",AC44="Leve"),AND(AA44="Media",AC44="Menor"),AND(AA44="Media",AC44="Moderado"),AND(AA44="Alta",AC44="Leve"),AND(AA44="Alta",AC44="Menor")),"Moderado",IF(OR(AND(AA44="Muy Baja",AC44="Mayor"),AND(AA44="Baja",AC44="Mayor"),AND(AA44="Media",AC44="Mayor"),AND(AA44="Alta",AC44="Moderado"),AND(AA44="Alta",AC44="Mayor"),AND(AA44="Muy Alta",AC44="Leve"),AND(AA44="Muy Alta",AC44="Menor"),AND(AA44="Muy Alta",AC44="Moderado"),AND(AA44="Muy Alta",AC44="Mayor")),"Alto",IF(OR(AND(AA44="Muy Baja",AC44="Catastrófico"),AND(AA44="Baja",AC44="Catastrófico"),AND(AA44="Media",AC44="Catastrófico"),AND(AA44="Alta",AC44="Catastrófico"),AND(AA44="Muy Alta",AC44="Catastrófico")),"Extremo","")))),"")</f>
        <v/>
      </c>
      <c r="AF44" s="132"/>
      <c r="AG44" s="133"/>
      <c r="AH44" s="134"/>
      <c r="AI44" s="135"/>
      <c r="AJ44" s="135"/>
      <c r="AK44" s="133"/>
      <c r="AL44" s="134"/>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151.5" customHeight="1" x14ac:dyDescent="0.3">
      <c r="A45" s="226"/>
      <c r="B45" s="229"/>
      <c r="C45" s="229"/>
      <c r="D45" s="229"/>
      <c r="E45" s="139"/>
      <c r="F45" s="232"/>
      <c r="G45" s="229"/>
      <c r="H45" s="139"/>
      <c r="I45" s="235"/>
      <c r="J45" s="238"/>
      <c r="K45" s="220"/>
      <c r="L45" s="241"/>
      <c r="M45" s="220">
        <f ca="1">IF(NOT(ISERROR(MATCH(L45,_xlfn.ANCHORARRAY(F56),0))),K58&amp;"Por favor no seleccionar los criterios de impacto",L45)</f>
        <v>0</v>
      </c>
      <c r="N45" s="238"/>
      <c r="O45" s="220"/>
      <c r="P45" s="223"/>
      <c r="Q45" s="123">
        <v>3</v>
      </c>
      <c r="R45" s="136"/>
      <c r="S45" s="125" t="str">
        <f>IF(OR(T45="Preventivo",T45="Detectivo"),"Probabilidad",IF(T45="Correctivo","Impacto",""))</f>
        <v/>
      </c>
      <c r="T45" s="126"/>
      <c r="U45" s="126"/>
      <c r="V45" s="127" t="str">
        <f t="shared" si="32"/>
        <v/>
      </c>
      <c r="W45" s="126"/>
      <c r="X45" s="126"/>
      <c r="Y45" s="126"/>
      <c r="Z45" s="128" t="str">
        <f>IFERROR(IF(AND(S44="Probabilidad",S45="Probabilidad"),(AB44-(+AB44*V45)),IF(AND(S44="Impacto",S45="Probabilidad"),(AB43-(+AB43*V45)),IF(S45="Impacto",AB44,""))),"")</f>
        <v/>
      </c>
      <c r="AA45" s="129" t="str">
        <f t="shared" si="2"/>
        <v/>
      </c>
      <c r="AB45" s="130" t="str">
        <f t="shared" si="33"/>
        <v/>
      </c>
      <c r="AC45" s="129" t="str">
        <f t="shared" si="3"/>
        <v/>
      </c>
      <c r="AD45" s="130" t="str">
        <f>IFERROR(IF(AND(S44="Impacto",S45="Impacto"),(AD44-(+AD44*V45)),IF(AND(S44="Probabilidad",S45="Impacto"),(AD43-(+AD43*V45)),IF(S45="Probabilidad",AD44,""))),"")</f>
        <v/>
      </c>
      <c r="AE45" s="131" t="str">
        <f t="shared" si="34"/>
        <v/>
      </c>
      <c r="AF45" s="132"/>
      <c r="AG45" s="133"/>
      <c r="AH45" s="134"/>
      <c r="AI45" s="135"/>
      <c r="AJ45" s="135"/>
      <c r="AK45" s="133"/>
      <c r="AL45" s="134"/>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151.5" customHeight="1" x14ac:dyDescent="0.3">
      <c r="A46" s="226"/>
      <c r="B46" s="229"/>
      <c r="C46" s="229"/>
      <c r="D46" s="229"/>
      <c r="E46" s="139"/>
      <c r="F46" s="232"/>
      <c r="G46" s="229"/>
      <c r="H46" s="139"/>
      <c r="I46" s="235"/>
      <c r="J46" s="238"/>
      <c r="K46" s="220"/>
      <c r="L46" s="241"/>
      <c r="M46" s="220">
        <f ca="1">IF(NOT(ISERROR(MATCH(L46,_xlfn.ANCHORARRAY(F57),0))),K59&amp;"Por favor no seleccionar los criterios de impacto",L46)</f>
        <v>0</v>
      </c>
      <c r="N46" s="238"/>
      <c r="O46" s="220"/>
      <c r="P46" s="223"/>
      <c r="Q46" s="123">
        <v>4</v>
      </c>
      <c r="R46" s="124"/>
      <c r="S46" s="125" t="str">
        <f t="shared" ref="S46:S48" si="35">IF(OR(T46="Preventivo",T46="Detectivo"),"Probabilidad",IF(T46="Correctivo","Impacto",""))</f>
        <v/>
      </c>
      <c r="T46" s="126"/>
      <c r="U46" s="126"/>
      <c r="V46" s="127" t="str">
        <f t="shared" si="32"/>
        <v/>
      </c>
      <c r="W46" s="126"/>
      <c r="X46" s="126"/>
      <c r="Y46" s="126"/>
      <c r="Z46" s="128" t="str">
        <f t="shared" ref="Z46:Z48" si="36">IFERROR(IF(AND(S45="Probabilidad",S46="Probabilidad"),(AB45-(+AB45*V46)),IF(AND(S45="Impacto",S46="Probabilidad"),(AB44-(+AB44*V46)),IF(S46="Impacto",AB45,""))),"")</f>
        <v/>
      </c>
      <c r="AA46" s="129" t="str">
        <f t="shared" si="2"/>
        <v/>
      </c>
      <c r="AB46" s="130" t="str">
        <f t="shared" si="33"/>
        <v/>
      </c>
      <c r="AC46" s="129" t="str">
        <f t="shared" si="3"/>
        <v/>
      </c>
      <c r="AD46" s="130" t="str">
        <f t="shared" ref="AD46:AD48" si="37">IFERROR(IF(AND(S45="Impacto",S46="Impacto"),(AD45-(+AD45*V46)),IF(AND(S45="Probabilidad",S46="Impacto"),(AD44-(+AD44*V46)),IF(S46="Probabilidad",AD45,""))),"")</f>
        <v/>
      </c>
      <c r="AE46" s="131" t="str">
        <f>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2"/>
      <c r="AG46" s="133"/>
      <c r="AH46" s="134"/>
      <c r="AI46" s="135"/>
      <c r="AJ46" s="135"/>
      <c r="AK46" s="133"/>
      <c r="AL46" s="134"/>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151.5" customHeight="1" x14ac:dyDescent="0.3">
      <c r="A47" s="226"/>
      <c r="B47" s="229"/>
      <c r="C47" s="229"/>
      <c r="D47" s="229"/>
      <c r="E47" s="139"/>
      <c r="F47" s="232"/>
      <c r="G47" s="229"/>
      <c r="H47" s="139"/>
      <c r="I47" s="235"/>
      <c r="J47" s="238"/>
      <c r="K47" s="220"/>
      <c r="L47" s="241"/>
      <c r="M47" s="220">
        <f ca="1">IF(NOT(ISERROR(MATCH(L47,_xlfn.ANCHORARRAY(F58),0))),K60&amp;"Por favor no seleccionar los criterios de impacto",L47)</f>
        <v>0</v>
      </c>
      <c r="N47" s="238"/>
      <c r="O47" s="220"/>
      <c r="P47" s="223"/>
      <c r="Q47" s="123">
        <v>5</v>
      </c>
      <c r="R47" s="124"/>
      <c r="S47" s="125" t="str">
        <f t="shared" si="35"/>
        <v/>
      </c>
      <c r="T47" s="126"/>
      <c r="U47" s="126"/>
      <c r="V47" s="127" t="str">
        <f t="shared" si="32"/>
        <v/>
      </c>
      <c r="W47" s="126"/>
      <c r="X47" s="126"/>
      <c r="Y47" s="126"/>
      <c r="Z47" s="128" t="str">
        <f t="shared" si="36"/>
        <v/>
      </c>
      <c r="AA47" s="129" t="str">
        <f t="shared" si="2"/>
        <v/>
      </c>
      <c r="AB47" s="130" t="str">
        <f t="shared" si="33"/>
        <v/>
      </c>
      <c r="AC47" s="129" t="str">
        <f t="shared" si="3"/>
        <v/>
      </c>
      <c r="AD47" s="130" t="str">
        <f t="shared" si="37"/>
        <v/>
      </c>
      <c r="AE47" s="131" t="str">
        <f t="shared" ref="AE47:AE48" si="38">IFERROR(IF(OR(AND(AA47="Muy Baja",AC47="Leve"),AND(AA47="Muy Baja",AC47="Menor"),AND(AA47="Baja",AC47="Leve")),"Bajo",IF(OR(AND(AA47="Muy baja",AC47="Moderado"),AND(AA47="Baja",AC47="Menor"),AND(AA47="Baja",AC47="Moderado"),AND(AA47="Media",AC47="Leve"),AND(AA47="Media",AC47="Menor"),AND(AA47="Media",AC47="Moderado"),AND(AA47="Alta",AC47="Leve"),AND(AA47="Alta",AC47="Menor")),"Moderado",IF(OR(AND(AA47="Muy Baja",AC47="Mayor"),AND(AA47="Baja",AC47="Mayor"),AND(AA47="Media",AC47="Mayor"),AND(AA47="Alta",AC47="Moderado"),AND(AA47="Alta",AC47="Mayor"),AND(AA47="Muy Alta",AC47="Leve"),AND(AA47="Muy Alta",AC47="Menor"),AND(AA47="Muy Alta",AC47="Moderado"),AND(AA47="Muy Alta",AC47="Mayor")),"Alto",IF(OR(AND(AA47="Muy Baja",AC47="Catastrófico"),AND(AA47="Baja",AC47="Catastrófico"),AND(AA47="Media",AC47="Catastrófico"),AND(AA47="Alta",AC47="Catastrófico"),AND(AA47="Muy Alta",AC47="Catastrófico")),"Extremo","")))),"")</f>
        <v/>
      </c>
      <c r="AF47" s="132"/>
      <c r="AG47" s="133"/>
      <c r="AH47" s="134"/>
      <c r="AI47" s="135"/>
      <c r="AJ47" s="135"/>
      <c r="AK47" s="133"/>
      <c r="AL47" s="134"/>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151.5" customHeight="1" x14ac:dyDescent="0.3">
      <c r="A48" s="227"/>
      <c r="B48" s="230"/>
      <c r="C48" s="230"/>
      <c r="D48" s="230"/>
      <c r="E48" s="140"/>
      <c r="F48" s="233"/>
      <c r="G48" s="230"/>
      <c r="H48" s="140"/>
      <c r="I48" s="236"/>
      <c r="J48" s="239"/>
      <c r="K48" s="221"/>
      <c r="L48" s="242"/>
      <c r="M48" s="221">
        <f ca="1">IF(NOT(ISERROR(MATCH(L48,_xlfn.ANCHORARRAY(F59),0))),K61&amp;"Por favor no seleccionar los criterios de impacto",L48)</f>
        <v>0</v>
      </c>
      <c r="N48" s="239"/>
      <c r="O48" s="221"/>
      <c r="P48" s="224"/>
      <c r="Q48" s="123">
        <v>6</v>
      </c>
      <c r="R48" s="124"/>
      <c r="S48" s="125" t="str">
        <f t="shared" si="35"/>
        <v/>
      </c>
      <c r="T48" s="126"/>
      <c r="U48" s="126"/>
      <c r="V48" s="127" t="str">
        <f t="shared" si="32"/>
        <v/>
      </c>
      <c r="W48" s="126"/>
      <c r="X48" s="126"/>
      <c r="Y48" s="126"/>
      <c r="Z48" s="128" t="str">
        <f t="shared" si="36"/>
        <v/>
      </c>
      <c r="AA48" s="129" t="str">
        <f t="shared" si="2"/>
        <v/>
      </c>
      <c r="AB48" s="130" t="str">
        <f t="shared" si="33"/>
        <v/>
      </c>
      <c r="AC48" s="129" t="str">
        <f t="shared" si="3"/>
        <v/>
      </c>
      <c r="AD48" s="130" t="str">
        <f t="shared" si="37"/>
        <v/>
      </c>
      <c r="AE48" s="131" t="str">
        <f t="shared" si="38"/>
        <v/>
      </c>
      <c r="AF48" s="132"/>
      <c r="AG48" s="133"/>
      <c r="AH48" s="134"/>
      <c r="AI48" s="135"/>
      <c r="AJ48" s="135"/>
      <c r="AK48" s="133"/>
      <c r="AL48" s="134"/>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151.5" customHeight="1" x14ac:dyDescent="0.3">
      <c r="A49" s="225">
        <v>8</v>
      </c>
      <c r="B49" s="228"/>
      <c r="C49" s="228"/>
      <c r="D49" s="228"/>
      <c r="E49" s="138"/>
      <c r="F49" s="231"/>
      <c r="G49" s="228"/>
      <c r="H49" s="138"/>
      <c r="I49" s="234"/>
      <c r="J49" s="237" t="str">
        <f>IF(I49&lt;=0,"",IF(I49&lt;=2,"Muy Baja",IF(I49&lt;=24,"Baja",IF(I49&lt;=500,"Media",IF(I49&lt;=5000,"Alta","Muy Alta")))))</f>
        <v/>
      </c>
      <c r="K49" s="219" t="str">
        <f>IF(J49="","",IF(J49="Muy Baja",0.2,IF(J49="Baja",0.4,IF(J49="Media",0.6,IF(J49="Alta",0.8,IF(J49="Muy Alta",1,))))))</f>
        <v/>
      </c>
      <c r="L49" s="240"/>
      <c r="M49" s="219">
        <f ca="1">IF(NOT(ISERROR(MATCH(L49,'Tabla Impacto'!$B$221:$B$223,0))),'Tabla Impacto'!$F$223&amp;"Por favor no seleccionar los criterios de impacto(Afectación Económica o presupuestal y Pérdida Reputacional)",L49)</f>
        <v>0</v>
      </c>
      <c r="N49" s="237" t="str">
        <f ca="1">IF(OR(M49='Tabla Impacto'!$C$11,M49='Tabla Impacto'!$D$11),"Leve",IF(OR(M49='Tabla Impacto'!$C$12,M49='Tabla Impacto'!$D$12),"Menor",IF(OR(M49='Tabla Impacto'!$C$13,M49='Tabla Impacto'!$D$13),"Moderado",IF(OR(M49='Tabla Impacto'!$C$14,M49='Tabla Impacto'!$D$14),"Mayor",IF(OR(M49='Tabla Impacto'!$C$15,M49='Tabla Impacto'!$D$15),"Catastrófico","")))))</f>
        <v/>
      </c>
      <c r="O49" s="219" t="str">
        <f ca="1">IF(N49="","",IF(N49="Leve",0.2,IF(N49="Menor",0.4,IF(N49="Moderado",0.6,IF(N49="Mayor",0.8,IF(N49="Catastrófico",1,))))))</f>
        <v/>
      </c>
      <c r="P49" s="222" t="str">
        <f ca="1">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123">
        <v>1</v>
      </c>
      <c r="R49" s="124"/>
      <c r="S49" s="125" t="str">
        <f>IF(OR(T49="Preventivo",T49="Detectivo"),"Probabilidad",IF(T49="Correctivo","Impacto",""))</f>
        <v/>
      </c>
      <c r="T49" s="126"/>
      <c r="U49" s="126"/>
      <c r="V49" s="127" t="str">
        <f>IF(AND(T49="Preventivo",U49="Automático"),"50%",IF(AND(T49="Preventivo",U49="Manual"),"40%",IF(AND(T49="Detectivo",U49="Automático"),"40%",IF(AND(T49="Detectivo",U49="Manual"),"30%",IF(AND(T49="Correctivo",U49="Automático"),"35%",IF(AND(T49="Correctivo",U49="Manual"),"25%",""))))))</f>
        <v/>
      </c>
      <c r="W49" s="126"/>
      <c r="X49" s="126"/>
      <c r="Y49" s="126"/>
      <c r="Z49" s="128" t="str">
        <f>IFERROR(IF(S49="Probabilidad",(K49-(+K49*V49)),IF(S49="Impacto",K49,"")),"")</f>
        <v/>
      </c>
      <c r="AA49" s="129" t="str">
        <f t="shared" si="2"/>
        <v/>
      </c>
      <c r="AB49" s="130" t="str">
        <f>+Z49</f>
        <v/>
      </c>
      <c r="AC49" s="129" t="str">
        <f t="shared" si="3"/>
        <v/>
      </c>
      <c r="AD49" s="130" t="str">
        <f>IFERROR(IF(S49="Impacto",(O49-(+O49*V49)),IF(S49="Probabilidad",O49,"")),"")</f>
        <v/>
      </c>
      <c r="AE49" s="131" t="str">
        <f>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2"/>
      <c r="AG49" s="133"/>
      <c r="AH49" s="134"/>
      <c r="AI49" s="135"/>
      <c r="AJ49" s="135"/>
      <c r="AK49" s="133"/>
      <c r="AL49" s="134"/>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151.5" customHeight="1" x14ac:dyDescent="0.3">
      <c r="A50" s="226"/>
      <c r="B50" s="229"/>
      <c r="C50" s="229"/>
      <c r="D50" s="229"/>
      <c r="E50" s="139"/>
      <c r="F50" s="232"/>
      <c r="G50" s="229"/>
      <c r="H50" s="139"/>
      <c r="I50" s="235"/>
      <c r="J50" s="238"/>
      <c r="K50" s="220"/>
      <c r="L50" s="241"/>
      <c r="M50" s="220">
        <f ca="1">IF(NOT(ISERROR(MATCH(L50,_xlfn.ANCHORARRAY(F61),0))),K63&amp;"Por favor no seleccionar los criterios de impacto",L50)</f>
        <v>0</v>
      </c>
      <c r="N50" s="238"/>
      <c r="O50" s="220"/>
      <c r="P50" s="223"/>
      <c r="Q50" s="123">
        <v>2</v>
      </c>
      <c r="R50" s="124"/>
      <c r="S50" s="125" t="str">
        <f>IF(OR(T50="Preventivo",T50="Detectivo"),"Probabilidad",IF(T50="Correctivo","Impacto",""))</f>
        <v/>
      </c>
      <c r="T50" s="126"/>
      <c r="U50" s="126"/>
      <c r="V50" s="127" t="str">
        <f t="shared" ref="V50:V54" si="39">IF(AND(T50="Preventivo",U50="Automático"),"50%",IF(AND(T50="Preventivo",U50="Manual"),"40%",IF(AND(T50="Detectivo",U50="Automático"),"40%",IF(AND(T50="Detectivo",U50="Manual"),"30%",IF(AND(T50="Correctivo",U50="Automático"),"35%",IF(AND(T50="Correctivo",U50="Manual"),"25%",""))))))</f>
        <v/>
      </c>
      <c r="W50" s="126"/>
      <c r="X50" s="126"/>
      <c r="Y50" s="126"/>
      <c r="Z50" s="128" t="str">
        <f>IFERROR(IF(AND(S49="Probabilidad",S50="Probabilidad"),(AB49-(+AB49*V50)),IF(S50="Probabilidad",(K49-(+K49*V50)),IF(S50="Impacto",AB49,""))),"")</f>
        <v/>
      </c>
      <c r="AA50" s="129" t="str">
        <f t="shared" si="2"/>
        <v/>
      </c>
      <c r="AB50" s="130" t="str">
        <f t="shared" ref="AB50:AB54" si="40">+Z50</f>
        <v/>
      </c>
      <c r="AC50" s="129" t="str">
        <f t="shared" si="3"/>
        <v/>
      </c>
      <c r="AD50" s="130" t="str">
        <f>IFERROR(IF(AND(S49="Impacto",S50="Impacto"),(AD43-(+AD43*V50)),IF(S50="Impacto",($O$49-(+$O$49*V50)),IF(S50="Probabilidad",AD43,""))),"")</f>
        <v/>
      </c>
      <c r="AE50" s="131" t="str">
        <f t="shared" ref="AE50:AE51" si="41">IFERROR(IF(OR(AND(AA50="Muy Baja",AC50="Leve"),AND(AA50="Muy Baja",AC50="Menor"),AND(AA50="Baja",AC50="Leve")),"Bajo",IF(OR(AND(AA50="Muy baja",AC50="Moderado"),AND(AA50="Baja",AC50="Menor"),AND(AA50="Baja",AC50="Moderado"),AND(AA50="Media",AC50="Leve"),AND(AA50="Media",AC50="Menor"),AND(AA50="Media",AC50="Moderado"),AND(AA50="Alta",AC50="Leve"),AND(AA50="Alta",AC50="Menor")),"Moderado",IF(OR(AND(AA50="Muy Baja",AC50="Mayor"),AND(AA50="Baja",AC50="Mayor"),AND(AA50="Media",AC50="Mayor"),AND(AA50="Alta",AC50="Moderado"),AND(AA50="Alta",AC50="Mayor"),AND(AA50="Muy Alta",AC50="Leve"),AND(AA50="Muy Alta",AC50="Menor"),AND(AA50="Muy Alta",AC50="Moderado"),AND(AA50="Muy Alta",AC50="Mayor")),"Alto",IF(OR(AND(AA50="Muy Baja",AC50="Catastrófico"),AND(AA50="Baja",AC50="Catastrófico"),AND(AA50="Media",AC50="Catastrófico"),AND(AA50="Alta",AC50="Catastrófico"),AND(AA50="Muy Alta",AC50="Catastrófico")),"Extremo","")))),"")</f>
        <v/>
      </c>
      <c r="AF50" s="132"/>
      <c r="AG50" s="133"/>
      <c r="AH50" s="134"/>
      <c r="AI50" s="135"/>
      <c r="AJ50" s="135"/>
      <c r="AK50" s="133"/>
      <c r="AL50" s="134"/>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151.5" customHeight="1" x14ac:dyDescent="0.3">
      <c r="A51" s="226"/>
      <c r="B51" s="229"/>
      <c r="C51" s="229"/>
      <c r="D51" s="229"/>
      <c r="E51" s="139"/>
      <c r="F51" s="232"/>
      <c r="G51" s="229"/>
      <c r="H51" s="139"/>
      <c r="I51" s="235"/>
      <c r="J51" s="238"/>
      <c r="K51" s="220"/>
      <c r="L51" s="241"/>
      <c r="M51" s="220">
        <f ca="1">IF(NOT(ISERROR(MATCH(L51,_xlfn.ANCHORARRAY(F62),0))),K64&amp;"Por favor no seleccionar los criterios de impacto",L51)</f>
        <v>0</v>
      </c>
      <c r="N51" s="238"/>
      <c r="O51" s="220"/>
      <c r="P51" s="223"/>
      <c r="Q51" s="123">
        <v>3</v>
      </c>
      <c r="R51" s="136"/>
      <c r="S51" s="125" t="str">
        <f>IF(OR(T51="Preventivo",T51="Detectivo"),"Probabilidad",IF(T51="Correctivo","Impacto",""))</f>
        <v/>
      </c>
      <c r="T51" s="126"/>
      <c r="U51" s="126"/>
      <c r="V51" s="127" t="str">
        <f t="shared" si="39"/>
        <v/>
      </c>
      <c r="W51" s="126"/>
      <c r="X51" s="126"/>
      <c r="Y51" s="126"/>
      <c r="Z51" s="128" t="str">
        <f>IFERROR(IF(AND(S50="Probabilidad",S51="Probabilidad"),(AB50-(+AB50*V51)),IF(AND(S50="Impacto",S51="Probabilidad"),(AB49-(+AB49*V51)),IF(S51="Impacto",AB50,""))),"")</f>
        <v/>
      </c>
      <c r="AA51" s="129" t="str">
        <f t="shared" si="2"/>
        <v/>
      </c>
      <c r="AB51" s="130" t="str">
        <f t="shared" si="40"/>
        <v/>
      </c>
      <c r="AC51" s="129" t="str">
        <f t="shared" si="3"/>
        <v/>
      </c>
      <c r="AD51" s="130" t="str">
        <f>IFERROR(IF(AND(S50="Impacto",S51="Impacto"),(AD50-(+AD50*V51)),IF(AND(S50="Probabilidad",S51="Impacto"),(AD49-(+AD49*V51)),IF(S51="Probabilidad",AD50,""))),"")</f>
        <v/>
      </c>
      <c r="AE51" s="131" t="str">
        <f t="shared" si="41"/>
        <v/>
      </c>
      <c r="AF51" s="132"/>
      <c r="AG51" s="133"/>
      <c r="AH51" s="134"/>
      <c r="AI51" s="135"/>
      <c r="AJ51" s="135"/>
      <c r="AK51" s="133"/>
      <c r="AL51" s="134"/>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151.5" customHeight="1" x14ac:dyDescent="0.3">
      <c r="A52" s="226"/>
      <c r="B52" s="229"/>
      <c r="C52" s="229"/>
      <c r="D52" s="229"/>
      <c r="E52" s="139"/>
      <c r="F52" s="232"/>
      <c r="G52" s="229"/>
      <c r="H52" s="139"/>
      <c r="I52" s="235"/>
      <c r="J52" s="238"/>
      <c r="K52" s="220"/>
      <c r="L52" s="241"/>
      <c r="M52" s="220">
        <f ca="1">IF(NOT(ISERROR(MATCH(L52,_xlfn.ANCHORARRAY(F63),0))),K65&amp;"Por favor no seleccionar los criterios de impacto",L52)</f>
        <v>0</v>
      </c>
      <c r="N52" s="238"/>
      <c r="O52" s="220"/>
      <c r="P52" s="223"/>
      <c r="Q52" s="123">
        <v>4</v>
      </c>
      <c r="R52" s="124"/>
      <c r="S52" s="125" t="str">
        <f t="shared" ref="S52:S54" si="42">IF(OR(T52="Preventivo",T52="Detectivo"),"Probabilidad",IF(T52="Correctivo","Impacto",""))</f>
        <v/>
      </c>
      <c r="T52" s="126"/>
      <c r="U52" s="126"/>
      <c r="V52" s="127" t="str">
        <f t="shared" si="39"/>
        <v/>
      </c>
      <c r="W52" s="126"/>
      <c r="X52" s="126"/>
      <c r="Y52" s="126"/>
      <c r="Z52" s="128" t="str">
        <f t="shared" ref="Z52:Z54" si="43">IFERROR(IF(AND(S51="Probabilidad",S52="Probabilidad"),(AB51-(+AB51*V52)),IF(AND(S51="Impacto",S52="Probabilidad"),(AB50-(+AB50*V52)),IF(S52="Impacto",AB51,""))),"")</f>
        <v/>
      </c>
      <c r="AA52" s="129" t="str">
        <f t="shared" si="2"/>
        <v/>
      </c>
      <c r="AB52" s="130" t="str">
        <f t="shared" si="40"/>
        <v/>
      </c>
      <c r="AC52" s="129" t="str">
        <f t="shared" si="3"/>
        <v/>
      </c>
      <c r="AD52" s="130" t="str">
        <f t="shared" ref="AD52:AD54" si="44">IFERROR(IF(AND(S51="Impacto",S52="Impacto"),(AD51-(+AD51*V52)),IF(AND(S51="Probabilidad",S52="Impacto"),(AD50-(+AD50*V52)),IF(S52="Probabilidad",AD51,""))),"")</f>
        <v/>
      </c>
      <c r="AE52" s="131" t="str">
        <f>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2"/>
      <c r="AG52" s="133"/>
      <c r="AH52" s="134"/>
      <c r="AI52" s="135"/>
      <c r="AJ52" s="135"/>
      <c r="AK52" s="133"/>
      <c r="AL52" s="134"/>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151.5" customHeight="1" x14ac:dyDescent="0.3">
      <c r="A53" s="226"/>
      <c r="B53" s="229"/>
      <c r="C53" s="229"/>
      <c r="D53" s="229"/>
      <c r="E53" s="139"/>
      <c r="F53" s="232"/>
      <c r="G53" s="229"/>
      <c r="H53" s="139"/>
      <c r="I53" s="235"/>
      <c r="J53" s="238"/>
      <c r="K53" s="220"/>
      <c r="L53" s="241"/>
      <c r="M53" s="220">
        <f ca="1">IF(NOT(ISERROR(MATCH(L53,_xlfn.ANCHORARRAY(F64),0))),K66&amp;"Por favor no seleccionar los criterios de impacto",L53)</f>
        <v>0</v>
      </c>
      <c r="N53" s="238"/>
      <c r="O53" s="220"/>
      <c r="P53" s="223"/>
      <c r="Q53" s="123">
        <v>5</v>
      </c>
      <c r="R53" s="124"/>
      <c r="S53" s="125" t="str">
        <f t="shared" si="42"/>
        <v/>
      </c>
      <c r="T53" s="126"/>
      <c r="U53" s="126"/>
      <c r="V53" s="127" t="str">
        <f t="shared" si="39"/>
        <v/>
      </c>
      <c r="W53" s="126"/>
      <c r="X53" s="126"/>
      <c r="Y53" s="126"/>
      <c r="Z53" s="128" t="str">
        <f t="shared" si="43"/>
        <v/>
      </c>
      <c r="AA53" s="129" t="str">
        <f t="shared" si="2"/>
        <v/>
      </c>
      <c r="AB53" s="130" t="str">
        <f t="shared" si="40"/>
        <v/>
      </c>
      <c r="AC53" s="129" t="str">
        <f t="shared" si="3"/>
        <v/>
      </c>
      <c r="AD53" s="130" t="str">
        <f t="shared" si="44"/>
        <v/>
      </c>
      <c r="AE53" s="131" t="str">
        <f t="shared" ref="AE53:AE54" si="45">IFERROR(IF(OR(AND(AA53="Muy Baja",AC53="Leve"),AND(AA53="Muy Baja",AC53="Menor"),AND(AA53="Baja",AC53="Leve")),"Bajo",IF(OR(AND(AA53="Muy baja",AC53="Moderado"),AND(AA53="Baja",AC53="Menor"),AND(AA53="Baja",AC53="Moderado"),AND(AA53="Media",AC53="Leve"),AND(AA53="Media",AC53="Menor"),AND(AA53="Media",AC53="Moderado"),AND(AA53="Alta",AC53="Leve"),AND(AA53="Alta",AC53="Menor")),"Moderado",IF(OR(AND(AA53="Muy Baja",AC53="Mayor"),AND(AA53="Baja",AC53="Mayor"),AND(AA53="Media",AC53="Mayor"),AND(AA53="Alta",AC53="Moderado"),AND(AA53="Alta",AC53="Mayor"),AND(AA53="Muy Alta",AC53="Leve"),AND(AA53="Muy Alta",AC53="Menor"),AND(AA53="Muy Alta",AC53="Moderado"),AND(AA53="Muy Alta",AC53="Mayor")),"Alto",IF(OR(AND(AA53="Muy Baja",AC53="Catastrófico"),AND(AA53="Baja",AC53="Catastrófico"),AND(AA53="Media",AC53="Catastrófico"),AND(AA53="Alta",AC53="Catastrófico"),AND(AA53="Muy Alta",AC53="Catastrófico")),"Extremo","")))),"")</f>
        <v/>
      </c>
      <c r="AF53" s="132"/>
      <c r="AG53" s="133"/>
      <c r="AH53" s="134"/>
      <c r="AI53" s="135"/>
      <c r="AJ53" s="135"/>
      <c r="AK53" s="133"/>
      <c r="AL53" s="134"/>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151.5" customHeight="1" x14ac:dyDescent="0.3">
      <c r="A54" s="227"/>
      <c r="B54" s="230"/>
      <c r="C54" s="230"/>
      <c r="D54" s="230"/>
      <c r="E54" s="140"/>
      <c r="F54" s="233"/>
      <c r="G54" s="230"/>
      <c r="H54" s="140"/>
      <c r="I54" s="236"/>
      <c r="J54" s="239"/>
      <c r="K54" s="221"/>
      <c r="L54" s="242"/>
      <c r="M54" s="221">
        <f ca="1">IF(NOT(ISERROR(MATCH(L54,_xlfn.ANCHORARRAY(F65),0))),K67&amp;"Por favor no seleccionar los criterios de impacto",L54)</f>
        <v>0</v>
      </c>
      <c r="N54" s="239"/>
      <c r="O54" s="221"/>
      <c r="P54" s="224"/>
      <c r="Q54" s="123">
        <v>6</v>
      </c>
      <c r="R54" s="124"/>
      <c r="S54" s="125" t="str">
        <f t="shared" si="42"/>
        <v/>
      </c>
      <c r="T54" s="126"/>
      <c r="U54" s="126"/>
      <c r="V54" s="127" t="str">
        <f t="shared" si="39"/>
        <v/>
      </c>
      <c r="W54" s="126"/>
      <c r="X54" s="126"/>
      <c r="Y54" s="126"/>
      <c r="Z54" s="128" t="str">
        <f t="shared" si="43"/>
        <v/>
      </c>
      <c r="AA54" s="129" t="str">
        <f t="shared" si="2"/>
        <v/>
      </c>
      <c r="AB54" s="130" t="str">
        <f t="shared" si="40"/>
        <v/>
      </c>
      <c r="AC54" s="129" t="str">
        <f t="shared" si="3"/>
        <v/>
      </c>
      <c r="AD54" s="130" t="str">
        <f t="shared" si="44"/>
        <v/>
      </c>
      <c r="AE54" s="131" t="str">
        <f t="shared" si="45"/>
        <v/>
      </c>
      <c r="AF54" s="132"/>
      <c r="AG54" s="133"/>
      <c r="AH54" s="134"/>
      <c r="AI54" s="135"/>
      <c r="AJ54" s="135"/>
      <c r="AK54" s="133"/>
      <c r="AL54" s="134"/>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151.5" customHeight="1" x14ac:dyDescent="0.3">
      <c r="A55" s="225">
        <v>9</v>
      </c>
      <c r="B55" s="228"/>
      <c r="C55" s="228"/>
      <c r="D55" s="228"/>
      <c r="E55" s="138"/>
      <c r="F55" s="231"/>
      <c r="G55" s="228"/>
      <c r="H55" s="138"/>
      <c r="I55" s="234"/>
      <c r="J55" s="237" t="str">
        <f>IF(I55&lt;=0,"",IF(I55&lt;=2,"Muy Baja",IF(I55&lt;=24,"Baja",IF(I55&lt;=500,"Media",IF(I55&lt;=5000,"Alta","Muy Alta")))))</f>
        <v/>
      </c>
      <c r="K55" s="219" t="str">
        <f>IF(J55="","",IF(J55="Muy Baja",0.2,IF(J55="Baja",0.4,IF(J55="Media",0.6,IF(J55="Alta",0.8,IF(J55="Muy Alta",1,))))))</f>
        <v/>
      </c>
      <c r="L55" s="240"/>
      <c r="M55" s="219">
        <f ca="1">IF(NOT(ISERROR(MATCH(L55,'Tabla Impacto'!$B$221:$B$223,0))),'Tabla Impacto'!$F$223&amp;"Por favor no seleccionar los criterios de impacto(Afectación Económica o presupuestal y Pérdida Reputacional)",L55)</f>
        <v>0</v>
      </c>
      <c r="N55" s="237" t="str">
        <f ca="1">IF(OR(M55='Tabla Impacto'!$C$11,M55='Tabla Impacto'!$D$11),"Leve",IF(OR(M55='Tabla Impacto'!$C$12,M55='Tabla Impacto'!$D$12),"Menor",IF(OR(M55='Tabla Impacto'!$C$13,M55='Tabla Impacto'!$D$13),"Moderado",IF(OR(M55='Tabla Impacto'!$C$14,M55='Tabla Impacto'!$D$14),"Mayor",IF(OR(M55='Tabla Impacto'!$C$15,M55='Tabla Impacto'!$D$15),"Catastrófico","")))))</f>
        <v/>
      </c>
      <c r="O55" s="219" t="str">
        <f ca="1">IF(N55="","",IF(N55="Leve",0.2,IF(N55="Menor",0.4,IF(N55="Moderado",0.6,IF(N55="Mayor",0.8,IF(N55="Catastrófico",1,))))))</f>
        <v/>
      </c>
      <c r="P55" s="222" t="str">
        <f ca="1">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123">
        <v>1</v>
      </c>
      <c r="R55" s="124"/>
      <c r="S55" s="125" t="str">
        <f>IF(OR(T55="Preventivo",T55="Detectivo"),"Probabilidad",IF(T55="Correctivo","Impacto",""))</f>
        <v/>
      </c>
      <c r="T55" s="126"/>
      <c r="U55" s="126"/>
      <c r="V55" s="127" t="str">
        <f>IF(AND(T55="Preventivo",U55="Automático"),"50%",IF(AND(T55="Preventivo",U55="Manual"),"40%",IF(AND(T55="Detectivo",U55="Automático"),"40%",IF(AND(T55="Detectivo",U55="Manual"),"30%",IF(AND(T55="Correctivo",U55="Automático"),"35%",IF(AND(T55="Correctivo",U55="Manual"),"25%",""))))))</f>
        <v/>
      </c>
      <c r="W55" s="126"/>
      <c r="X55" s="126"/>
      <c r="Y55" s="126"/>
      <c r="Z55" s="128" t="str">
        <f>IFERROR(IF(S55="Probabilidad",(K55-(+K55*V55)),IF(S55="Impacto",K55,"")),"")</f>
        <v/>
      </c>
      <c r="AA55" s="129" t="str">
        <f t="shared" si="2"/>
        <v/>
      </c>
      <c r="AB55" s="130" t="str">
        <f>+Z55</f>
        <v/>
      </c>
      <c r="AC55" s="129" t="str">
        <f t="shared" si="3"/>
        <v/>
      </c>
      <c r="AD55" s="130" t="str">
        <f>IFERROR(IF(S55="Impacto",(O55-(+O55*V55)),IF(S55="Probabilidad",O55,"")),"")</f>
        <v/>
      </c>
      <c r="AE55" s="131" t="str">
        <f>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2"/>
      <c r="AG55" s="133"/>
      <c r="AH55" s="134"/>
      <c r="AI55" s="135"/>
      <c r="AJ55" s="135"/>
      <c r="AK55" s="133"/>
      <c r="AL55" s="134"/>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151.5" customHeight="1" x14ac:dyDescent="0.3">
      <c r="A56" s="226"/>
      <c r="B56" s="229"/>
      <c r="C56" s="229"/>
      <c r="D56" s="229"/>
      <c r="E56" s="139"/>
      <c r="F56" s="232"/>
      <c r="G56" s="229"/>
      <c r="H56" s="139"/>
      <c r="I56" s="235"/>
      <c r="J56" s="238"/>
      <c r="K56" s="220"/>
      <c r="L56" s="241"/>
      <c r="M56" s="220">
        <f ca="1">IF(NOT(ISERROR(MATCH(L56,_xlfn.ANCHORARRAY(F67),0))),K69&amp;"Por favor no seleccionar los criterios de impacto",L56)</f>
        <v>0</v>
      </c>
      <c r="N56" s="238"/>
      <c r="O56" s="220"/>
      <c r="P56" s="223"/>
      <c r="Q56" s="123">
        <v>2</v>
      </c>
      <c r="R56" s="124"/>
      <c r="S56" s="125" t="str">
        <f>IF(OR(T56="Preventivo",T56="Detectivo"),"Probabilidad",IF(T56="Correctivo","Impacto",""))</f>
        <v/>
      </c>
      <c r="T56" s="126"/>
      <c r="U56" s="126"/>
      <c r="V56" s="127" t="str">
        <f t="shared" ref="V56:V60" si="46">IF(AND(T56="Preventivo",U56="Automático"),"50%",IF(AND(T56="Preventivo",U56="Manual"),"40%",IF(AND(T56="Detectivo",U56="Automático"),"40%",IF(AND(T56="Detectivo",U56="Manual"),"30%",IF(AND(T56="Correctivo",U56="Automático"),"35%",IF(AND(T56="Correctivo",U56="Manual"),"25%",""))))))</f>
        <v/>
      </c>
      <c r="W56" s="126"/>
      <c r="X56" s="126"/>
      <c r="Y56" s="126"/>
      <c r="Z56" s="128" t="str">
        <f>IFERROR(IF(AND(S55="Probabilidad",S56="Probabilidad"),(AB55-(+AB55*V56)),IF(S56="Probabilidad",(K55-(+K55*V56)),IF(S56="Impacto",AB55,""))),"")</f>
        <v/>
      </c>
      <c r="AA56" s="129" t="str">
        <f t="shared" si="2"/>
        <v/>
      </c>
      <c r="AB56" s="130" t="str">
        <f t="shared" ref="AB56:AB60" si="47">+Z56</f>
        <v/>
      </c>
      <c r="AC56" s="129" t="str">
        <f t="shared" si="3"/>
        <v/>
      </c>
      <c r="AD56" s="130" t="str">
        <f>IFERROR(IF(AND(S55="Impacto",S56="Impacto"),(AD49-(+AD49*V56)),IF(S56="Impacto",($O$55-(+$O$55*V56)),IF(S56="Probabilidad",AD49,""))),"")</f>
        <v/>
      </c>
      <c r="AE56" s="131" t="str">
        <f t="shared" ref="AE56:AE57" si="48">IFERROR(IF(OR(AND(AA56="Muy Baja",AC56="Leve"),AND(AA56="Muy Baja",AC56="Menor"),AND(AA56="Baja",AC56="Leve")),"Bajo",IF(OR(AND(AA56="Muy baja",AC56="Moderado"),AND(AA56="Baja",AC56="Menor"),AND(AA56="Baja",AC56="Moderado"),AND(AA56="Media",AC56="Leve"),AND(AA56="Media",AC56="Menor"),AND(AA56="Media",AC56="Moderado"),AND(AA56="Alta",AC56="Leve"),AND(AA56="Alta",AC56="Menor")),"Moderado",IF(OR(AND(AA56="Muy Baja",AC56="Mayor"),AND(AA56="Baja",AC56="Mayor"),AND(AA56="Media",AC56="Mayor"),AND(AA56="Alta",AC56="Moderado"),AND(AA56="Alta",AC56="Mayor"),AND(AA56="Muy Alta",AC56="Leve"),AND(AA56="Muy Alta",AC56="Menor"),AND(AA56="Muy Alta",AC56="Moderado"),AND(AA56="Muy Alta",AC56="Mayor")),"Alto",IF(OR(AND(AA56="Muy Baja",AC56="Catastrófico"),AND(AA56="Baja",AC56="Catastrófico"),AND(AA56="Media",AC56="Catastrófico"),AND(AA56="Alta",AC56="Catastrófico"),AND(AA56="Muy Alta",AC56="Catastrófico")),"Extremo","")))),"")</f>
        <v/>
      </c>
      <c r="AF56" s="132"/>
      <c r="AG56" s="133"/>
      <c r="AH56" s="134"/>
      <c r="AI56" s="135"/>
      <c r="AJ56" s="135"/>
      <c r="AK56" s="133"/>
      <c r="AL56" s="134"/>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151.5" customHeight="1" x14ac:dyDescent="0.3">
      <c r="A57" s="226"/>
      <c r="B57" s="229"/>
      <c r="C57" s="229"/>
      <c r="D57" s="229"/>
      <c r="E57" s="139"/>
      <c r="F57" s="232"/>
      <c r="G57" s="229"/>
      <c r="H57" s="139"/>
      <c r="I57" s="235"/>
      <c r="J57" s="238"/>
      <c r="K57" s="220"/>
      <c r="L57" s="241"/>
      <c r="M57" s="220">
        <f ca="1">IF(NOT(ISERROR(MATCH(L57,_xlfn.ANCHORARRAY(F68),0))),K70&amp;"Por favor no seleccionar los criterios de impacto",L57)</f>
        <v>0</v>
      </c>
      <c r="N57" s="238"/>
      <c r="O57" s="220"/>
      <c r="P57" s="223"/>
      <c r="Q57" s="123">
        <v>3</v>
      </c>
      <c r="R57" s="136"/>
      <c r="S57" s="125" t="str">
        <f>IF(OR(T57="Preventivo",T57="Detectivo"),"Probabilidad",IF(T57="Correctivo","Impacto",""))</f>
        <v/>
      </c>
      <c r="T57" s="126"/>
      <c r="U57" s="126"/>
      <c r="V57" s="127" t="str">
        <f t="shared" si="46"/>
        <v/>
      </c>
      <c r="W57" s="126"/>
      <c r="X57" s="126"/>
      <c r="Y57" s="126"/>
      <c r="Z57" s="128" t="str">
        <f>IFERROR(IF(AND(S56="Probabilidad",S57="Probabilidad"),(AB56-(+AB56*V57)),IF(AND(S56="Impacto",S57="Probabilidad"),(AB55-(+AB55*V57)),IF(S57="Impacto",AB56,""))),"")</f>
        <v/>
      </c>
      <c r="AA57" s="129" t="str">
        <f t="shared" si="2"/>
        <v/>
      </c>
      <c r="AB57" s="130" t="str">
        <f t="shared" si="47"/>
        <v/>
      </c>
      <c r="AC57" s="129" t="str">
        <f t="shared" si="3"/>
        <v/>
      </c>
      <c r="AD57" s="130" t="str">
        <f>IFERROR(IF(AND(S56="Impacto",S57="Impacto"),(AD56-(+AD56*V57)),IF(AND(S56="Probabilidad",S57="Impacto"),(AD55-(+AD55*V57)),IF(S57="Probabilidad",AD56,""))),"")</f>
        <v/>
      </c>
      <c r="AE57" s="131" t="str">
        <f t="shared" si="48"/>
        <v/>
      </c>
      <c r="AF57" s="132"/>
      <c r="AG57" s="133"/>
      <c r="AH57" s="134"/>
      <c r="AI57" s="135"/>
      <c r="AJ57" s="135"/>
      <c r="AK57" s="133"/>
      <c r="AL57" s="134"/>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151.5" customHeight="1" x14ac:dyDescent="0.3">
      <c r="A58" s="226"/>
      <c r="B58" s="229"/>
      <c r="C58" s="229"/>
      <c r="D58" s="229"/>
      <c r="E58" s="139"/>
      <c r="F58" s="232"/>
      <c r="G58" s="229"/>
      <c r="H58" s="139"/>
      <c r="I58" s="235"/>
      <c r="J58" s="238"/>
      <c r="K58" s="220"/>
      <c r="L58" s="241"/>
      <c r="M58" s="220">
        <f ca="1">IF(NOT(ISERROR(MATCH(L58,_xlfn.ANCHORARRAY(F69),0))),K71&amp;"Por favor no seleccionar los criterios de impacto",L58)</f>
        <v>0</v>
      </c>
      <c r="N58" s="238"/>
      <c r="O58" s="220"/>
      <c r="P58" s="223"/>
      <c r="Q58" s="123">
        <v>4</v>
      </c>
      <c r="R58" s="124"/>
      <c r="S58" s="125" t="str">
        <f t="shared" ref="S58:S60" si="49">IF(OR(T58="Preventivo",T58="Detectivo"),"Probabilidad",IF(T58="Correctivo","Impacto",""))</f>
        <v/>
      </c>
      <c r="T58" s="126"/>
      <c r="U58" s="126"/>
      <c r="V58" s="127" t="str">
        <f t="shared" si="46"/>
        <v/>
      </c>
      <c r="W58" s="126"/>
      <c r="X58" s="126"/>
      <c r="Y58" s="126"/>
      <c r="Z58" s="128" t="str">
        <f t="shared" ref="Z58:Z60" si="50">IFERROR(IF(AND(S57="Probabilidad",S58="Probabilidad"),(AB57-(+AB57*V58)),IF(AND(S57="Impacto",S58="Probabilidad"),(AB56-(+AB56*V58)),IF(S58="Impacto",AB57,""))),"")</f>
        <v/>
      </c>
      <c r="AA58" s="129" t="str">
        <f t="shared" si="2"/>
        <v/>
      </c>
      <c r="AB58" s="130" t="str">
        <f t="shared" si="47"/>
        <v/>
      </c>
      <c r="AC58" s="129" t="str">
        <f t="shared" si="3"/>
        <v/>
      </c>
      <c r="AD58" s="130" t="str">
        <f t="shared" ref="AD58:AD60" si="51">IFERROR(IF(AND(S57="Impacto",S58="Impacto"),(AD57-(+AD57*V58)),IF(AND(S57="Probabilidad",S58="Impacto"),(AD56-(+AD56*V58)),IF(S58="Probabilidad",AD57,""))),"")</f>
        <v/>
      </c>
      <c r="AE58" s="131" t="str">
        <f>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2"/>
      <c r="AG58" s="133"/>
      <c r="AH58" s="134"/>
      <c r="AI58" s="135"/>
      <c r="AJ58" s="135"/>
      <c r="AK58" s="133"/>
      <c r="AL58" s="134"/>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151.5" customHeight="1" x14ac:dyDescent="0.3">
      <c r="A59" s="226"/>
      <c r="B59" s="229"/>
      <c r="C59" s="229"/>
      <c r="D59" s="229"/>
      <c r="E59" s="139"/>
      <c r="F59" s="232"/>
      <c r="G59" s="229"/>
      <c r="H59" s="139"/>
      <c r="I59" s="235"/>
      <c r="J59" s="238"/>
      <c r="K59" s="220"/>
      <c r="L59" s="241"/>
      <c r="M59" s="220">
        <f ca="1">IF(NOT(ISERROR(MATCH(L59,_xlfn.ANCHORARRAY(F70),0))),K72&amp;"Por favor no seleccionar los criterios de impacto",L59)</f>
        <v>0</v>
      </c>
      <c r="N59" s="238"/>
      <c r="O59" s="220"/>
      <c r="P59" s="223"/>
      <c r="Q59" s="123">
        <v>5</v>
      </c>
      <c r="R59" s="124"/>
      <c r="S59" s="125" t="str">
        <f t="shared" si="49"/>
        <v/>
      </c>
      <c r="T59" s="126"/>
      <c r="U59" s="126"/>
      <c r="V59" s="127" t="str">
        <f t="shared" si="46"/>
        <v/>
      </c>
      <c r="W59" s="126"/>
      <c r="X59" s="126"/>
      <c r="Y59" s="126"/>
      <c r="Z59" s="128" t="str">
        <f t="shared" si="50"/>
        <v/>
      </c>
      <c r="AA59" s="129" t="str">
        <f t="shared" si="2"/>
        <v/>
      </c>
      <c r="AB59" s="130" t="str">
        <f t="shared" si="47"/>
        <v/>
      </c>
      <c r="AC59" s="129" t="str">
        <f t="shared" si="3"/>
        <v/>
      </c>
      <c r="AD59" s="130" t="str">
        <f t="shared" si="51"/>
        <v/>
      </c>
      <c r="AE59" s="131" t="str">
        <f t="shared" ref="AE59:AE60" si="52">IFERROR(IF(OR(AND(AA59="Muy Baja",AC59="Leve"),AND(AA59="Muy Baja",AC59="Menor"),AND(AA59="Baja",AC59="Leve")),"Bajo",IF(OR(AND(AA59="Muy baja",AC59="Moderado"),AND(AA59="Baja",AC59="Menor"),AND(AA59="Baja",AC59="Moderado"),AND(AA59="Media",AC59="Leve"),AND(AA59="Media",AC59="Menor"),AND(AA59="Media",AC59="Moderado"),AND(AA59="Alta",AC59="Leve"),AND(AA59="Alta",AC59="Menor")),"Moderado",IF(OR(AND(AA59="Muy Baja",AC59="Mayor"),AND(AA59="Baja",AC59="Mayor"),AND(AA59="Media",AC59="Mayor"),AND(AA59="Alta",AC59="Moderado"),AND(AA59="Alta",AC59="Mayor"),AND(AA59="Muy Alta",AC59="Leve"),AND(AA59="Muy Alta",AC59="Menor"),AND(AA59="Muy Alta",AC59="Moderado"),AND(AA59="Muy Alta",AC59="Mayor")),"Alto",IF(OR(AND(AA59="Muy Baja",AC59="Catastrófico"),AND(AA59="Baja",AC59="Catastrófico"),AND(AA59="Media",AC59="Catastrófico"),AND(AA59="Alta",AC59="Catastrófico"),AND(AA59="Muy Alta",AC59="Catastrófico")),"Extremo","")))),"")</f>
        <v/>
      </c>
      <c r="AF59" s="132"/>
      <c r="AG59" s="133"/>
      <c r="AH59" s="134"/>
      <c r="AI59" s="135"/>
      <c r="AJ59" s="135"/>
      <c r="AK59" s="133"/>
      <c r="AL59" s="134"/>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51.5" customHeight="1" x14ac:dyDescent="0.3">
      <c r="A60" s="227"/>
      <c r="B60" s="230"/>
      <c r="C60" s="230"/>
      <c r="D60" s="230"/>
      <c r="E60" s="140"/>
      <c r="F60" s="233"/>
      <c r="G60" s="230"/>
      <c r="H60" s="140"/>
      <c r="I60" s="236"/>
      <c r="J60" s="239"/>
      <c r="K60" s="221"/>
      <c r="L60" s="242"/>
      <c r="M60" s="221">
        <f ca="1">IF(NOT(ISERROR(MATCH(L60,_xlfn.ANCHORARRAY(F71),0))),K73&amp;"Por favor no seleccionar los criterios de impacto",L60)</f>
        <v>0</v>
      </c>
      <c r="N60" s="239"/>
      <c r="O60" s="221"/>
      <c r="P60" s="224"/>
      <c r="Q60" s="123">
        <v>6</v>
      </c>
      <c r="R60" s="124"/>
      <c r="S60" s="125" t="str">
        <f t="shared" si="49"/>
        <v/>
      </c>
      <c r="T60" s="126"/>
      <c r="U60" s="126"/>
      <c r="V60" s="127" t="str">
        <f t="shared" si="46"/>
        <v/>
      </c>
      <c r="W60" s="126"/>
      <c r="X60" s="126"/>
      <c r="Y60" s="126"/>
      <c r="Z60" s="128" t="str">
        <f t="shared" si="50"/>
        <v/>
      </c>
      <c r="AA60" s="129" t="str">
        <f t="shared" si="2"/>
        <v/>
      </c>
      <c r="AB60" s="130" t="str">
        <f t="shared" si="47"/>
        <v/>
      </c>
      <c r="AC60" s="129" t="str">
        <f t="shared" si="3"/>
        <v/>
      </c>
      <c r="AD60" s="130" t="str">
        <f t="shared" si="51"/>
        <v/>
      </c>
      <c r="AE60" s="131" t="str">
        <f t="shared" si="52"/>
        <v/>
      </c>
      <c r="AF60" s="132"/>
      <c r="AG60" s="133"/>
      <c r="AH60" s="134"/>
      <c r="AI60" s="135"/>
      <c r="AJ60" s="135"/>
      <c r="AK60" s="133"/>
      <c r="AL60" s="134"/>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51.5" customHeight="1" x14ac:dyDescent="0.3">
      <c r="A61" s="225">
        <v>10</v>
      </c>
      <c r="B61" s="228"/>
      <c r="C61" s="228"/>
      <c r="D61" s="228"/>
      <c r="E61" s="138"/>
      <c r="F61" s="231"/>
      <c r="G61" s="228"/>
      <c r="H61" s="138"/>
      <c r="I61" s="234"/>
      <c r="J61" s="237" t="str">
        <f>IF(I61&lt;=0,"",IF(I61&lt;=2,"Muy Baja",IF(I61&lt;=24,"Baja",IF(I61&lt;=500,"Media",IF(I61&lt;=5000,"Alta","Muy Alta")))))</f>
        <v/>
      </c>
      <c r="K61" s="219" t="str">
        <f>IF(J61="","",IF(J61="Muy Baja",0.2,IF(J61="Baja",0.4,IF(J61="Media",0.6,IF(J61="Alta",0.8,IF(J61="Muy Alta",1,))))))</f>
        <v/>
      </c>
      <c r="L61" s="240"/>
      <c r="M61" s="219">
        <f ca="1">IF(NOT(ISERROR(MATCH(L61,'Tabla Impacto'!$B$221:$B$223,0))),'Tabla Impacto'!$F$223&amp;"Por favor no seleccionar los criterios de impacto(Afectación Económica o presupuestal y Pérdida Reputacional)",L61)</f>
        <v>0</v>
      </c>
      <c r="N61" s="237" t="str">
        <f ca="1">IF(OR(M61='Tabla Impacto'!$C$11,M61='Tabla Impacto'!$D$11),"Leve",IF(OR(M61='Tabla Impacto'!$C$12,M61='Tabla Impacto'!$D$12),"Menor",IF(OR(M61='Tabla Impacto'!$C$13,M61='Tabla Impacto'!$D$13),"Moderado",IF(OR(M61='Tabla Impacto'!$C$14,M61='Tabla Impacto'!$D$14),"Mayor",IF(OR(M61='Tabla Impacto'!$C$15,M61='Tabla Impacto'!$D$15),"Catastrófico","")))))</f>
        <v/>
      </c>
      <c r="O61" s="219" t="str">
        <f ca="1">IF(N61="","",IF(N61="Leve",0.2,IF(N61="Menor",0.4,IF(N61="Moderado",0.6,IF(N61="Mayor",0.8,IF(N61="Catastrófico",1,))))))</f>
        <v/>
      </c>
      <c r="P61" s="222" t="str">
        <f ca="1">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123">
        <v>1</v>
      </c>
      <c r="R61" s="124"/>
      <c r="S61" s="125" t="str">
        <f>IF(OR(T61="Preventivo",T61="Detectivo"),"Probabilidad",IF(T61="Correctivo","Impacto",""))</f>
        <v/>
      </c>
      <c r="T61" s="126"/>
      <c r="U61" s="126"/>
      <c r="V61" s="127" t="str">
        <f>IF(AND(T61="Preventivo",U61="Automático"),"50%",IF(AND(T61="Preventivo",U61="Manual"),"40%",IF(AND(T61="Detectivo",U61="Automático"),"40%",IF(AND(T61="Detectivo",U61="Manual"),"30%",IF(AND(T61="Correctivo",U61="Automático"),"35%",IF(AND(T61="Correctivo",U61="Manual"),"25%",""))))))</f>
        <v/>
      </c>
      <c r="W61" s="126"/>
      <c r="X61" s="126"/>
      <c r="Y61" s="126"/>
      <c r="Z61" s="128" t="str">
        <f>IFERROR(IF(S61="Probabilidad",(K61-(+K61*V61)),IF(S61="Impacto",K61,"")),"")</f>
        <v/>
      </c>
      <c r="AA61" s="129" t="str">
        <f t="shared" si="2"/>
        <v/>
      </c>
      <c r="AB61" s="130" t="str">
        <f>+Z61</f>
        <v/>
      </c>
      <c r="AC61" s="129" t="str">
        <f t="shared" si="3"/>
        <v/>
      </c>
      <c r="AD61" s="130" t="str">
        <f>IFERROR(IF(S61="Impacto",(O61-(+O61*V61)),IF(S61="Probabilidad",O61,"")),"")</f>
        <v/>
      </c>
      <c r="AE61" s="131" t="str">
        <f>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2"/>
      <c r="AG61" s="133"/>
      <c r="AH61" s="134"/>
      <c r="AI61" s="135"/>
      <c r="AJ61" s="135"/>
      <c r="AK61" s="133"/>
      <c r="AL61" s="134"/>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c r="BQ61" s="8"/>
      <c r="BR61" s="8"/>
    </row>
    <row r="62" spans="1:70" ht="151.5" customHeight="1" x14ac:dyDescent="0.3">
      <c r="A62" s="226"/>
      <c r="B62" s="229"/>
      <c r="C62" s="229"/>
      <c r="D62" s="229"/>
      <c r="E62" s="139"/>
      <c r="F62" s="232"/>
      <c r="G62" s="229"/>
      <c r="H62" s="139"/>
      <c r="I62" s="235"/>
      <c r="J62" s="238"/>
      <c r="K62" s="220"/>
      <c r="L62" s="241"/>
      <c r="M62" s="220">
        <f ca="1">IF(NOT(ISERROR(MATCH(L62,_xlfn.ANCHORARRAY(F73),0))),K75&amp;"Por favor no seleccionar los criterios de impacto",L62)</f>
        <v>0</v>
      </c>
      <c r="N62" s="238"/>
      <c r="O62" s="220"/>
      <c r="P62" s="223"/>
      <c r="Q62" s="123">
        <v>2</v>
      </c>
      <c r="R62" s="124"/>
      <c r="S62" s="125" t="str">
        <f>IF(OR(T62="Preventivo",T62="Detectivo"),"Probabilidad",IF(T62="Correctivo","Impacto",""))</f>
        <v/>
      </c>
      <c r="T62" s="126"/>
      <c r="U62" s="126"/>
      <c r="V62" s="127" t="str">
        <f t="shared" ref="V62:V66" si="53">IF(AND(T62="Preventivo",U62="Automático"),"50%",IF(AND(T62="Preventivo",U62="Manual"),"40%",IF(AND(T62="Detectivo",U62="Automático"),"40%",IF(AND(T62="Detectivo",U62="Manual"),"30%",IF(AND(T62="Correctivo",U62="Automático"),"35%",IF(AND(T62="Correctivo",U62="Manual"),"25%",""))))))</f>
        <v/>
      </c>
      <c r="W62" s="126"/>
      <c r="X62" s="126"/>
      <c r="Y62" s="126"/>
      <c r="Z62" s="128" t="str">
        <f>IFERROR(IF(AND(S61="Probabilidad",S62="Probabilidad"),(AB61-(+AB61*V62)),IF(S62="Probabilidad",(K61-(+K61*V62)),IF(S62="Impacto",AB61,""))),"")</f>
        <v/>
      </c>
      <c r="AA62" s="129" t="str">
        <f t="shared" si="2"/>
        <v/>
      </c>
      <c r="AB62" s="130" t="str">
        <f t="shared" ref="AB62:AB66" si="54">+Z62</f>
        <v/>
      </c>
      <c r="AC62" s="129" t="str">
        <f t="shared" si="3"/>
        <v/>
      </c>
      <c r="AD62" s="130" t="str">
        <f>IFERROR(IF(AND(S61="Impacto",S62="Impacto"),(AD55-(+AD55*V62)),IF(S62="Impacto",($O$61-(+$O$61*V62)),IF(S62="Probabilidad",AD55,""))),"")</f>
        <v/>
      </c>
      <c r="AE62" s="131" t="str">
        <f t="shared" ref="AE62:AE63" si="55">IFERROR(IF(OR(AND(AA62="Muy Baja",AC62="Leve"),AND(AA62="Muy Baja",AC62="Menor"),AND(AA62="Baja",AC62="Leve")),"Bajo",IF(OR(AND(AA62="Muy baja",AC62="Moderado"),AND(AA62="Baja",AC62="Menor"),AND(AA62="Baja",AC62="Moderado"),AND(AA62="Media",AC62="Leve"),AND(AA62="Media",AC62="Menor"),AND(AA62="Media",AC62="Moderado"),AND(AA62="Alta",AC62="Leve"),AND(AA62="Alta",AC62="Menor")),"Moderado",IF(OR(AND(AA62="Muy Baja",AC62="Mayor"),AND(AA62="Baja",AC62="Mayor"),AND(AA62="Media",AC62="Mayor"),AND(AA62="Alta",AC62="Moderado"),AND(AA62="Alta",AC62="Mayor"),AND(AA62="Muy Alta",AC62="Leve"),AND(AA62="Muy Alta",AC62="Menor"),AND(AA62="Muy Alta",AC62="Moderado"),AND(AA62="Muy Alta",AC62="Mayor")),"Alto",IF(OR(AND(AA62="Muy Baja",AC62="Catastrófico"),AND(AA62="Baja",AC62="Catastrófico"),AND(AA62="Media",AC62="Catastrófico"),AND(AA62="Alta",AC62="Catastrófico"),AND(AA62="Muy Alta",AC62="Catastrófico")),"Extremo","")))),"")</f>
        <v/>
      </c>
      <c r="AF62" s="132"/>
      <c r="AG62" s="133"/>
      <c r="AH62" s="134"/>
      <c r="AI62" s="135"/>
      <c r="AJ62" s="135"/>
      <c r="AK62" s="133"/>
      <c r="AL62" s="134"/>
    </row>
    <row r="63" spans="1:70" ht="151.5" customHeight="1" x14ac:dyDescent="0.3">
      <c r="A63" s="226"/>
      <c r="B63" s="229"/>
      <c r="C63" s="229"/>
      <c r="D63" s="229"/>
      <c r="E63" s="139"/>
      <c r="F63" s="232"/>
      <c r="G63" s="229"/>
      <c r="H63" s="139"/>
      <c r="I63" s="235"/>
      <c r="J63" s="238"/>
      <c r="K63" s="220"/>
      <c r="L63" s="241"/>
      <c r="M63" s="220">
        <f ca="1">IF(NOT(ISERROR(MATCH(L63,_xlfn.ANCHORARRAY(F74),0))),K76&amp;"Por favor no seleccionar los criterios de impacto",L63)</f>
        <v>0</v>
      </c>
      <c r="N63" s="238"/>
      <c r="O63" s="220"/>
      <c r="P63" s="223"/>
      <c r="Q63" s="123">
        <v>3</v>
      </c>
      <c r="R63" s="136"/>
      <c r="S63" s="125" t="str">
        <f>IF(OR(T63="Preventivo",T63="Detectivo"),"Probabilidad",IF(T63="Correctivo","Impacto",""))</f>
        <v/>
      </c>
      <c r="T63" s="126"/>
      <c r="U63" s="126"/>
      <c r="V63" s="127" t="str">
        <f t="shared" si="53"/>
        <v/>
      </c>
      <c r="W63" s="126"/>
      <c r="X63" s="126"/>
      <c r="Y63" s="126"/>
      <c r="Z63" s="128" t="str">
        <f>IFERROR(IF(AND(S62="Probabilidad",S63="Probabilidad"),(AB62-(+AB62*V63)),IF(AND(S62="Impacto",S63="Probabilidad"),(AB61-(+AB61*V63)),IF(S63="Impacto",AB62,""))),"")</f>
        <v/>
      </c>
      <c r="AA63" s="129" t="str">
        <f t="shared" si="2"/>
        <v/>
      </c>
      <c r="AB63" s="130" t="str">
        <f t="shared" si="54"/>
        <v/>
      </c>
      <c r="AC63" s="129" t="str">
        <f t="shared" si="3"/>
        <v/>
      </c>
      <c r="AD63" s="130" t="str">
        <f>IFERROR(IF(AND(S62="Impacto",S63="Impacto"),(AD62-(+AD62*V63)),IF(AND(S62="Probabilidad",S63="Impacto"),(AD61-(+AD61*V63)),IF(S63="Probabilidad",AD62,""))),"")</f>
        <v/>
      </c>
      <c r="AE63" s="131" t="str">
        <f t="shared" si="55"/>
        <v/>
      </c>
      <c r="AF63" s="132"/>
      <c r="AG63" s="133"/>
      <c r="AH63" s="134"/>
      <c r="AI63" s="135"/>
      <c r="AJ63" s="135"/>
      <c r="AK63" s="133"/>
      <c r="AL63" s="134"/>
    </row>
    <row r="64" spans="1:70" ht="151.5" customHeight="1" x14ac:dyDescent="0.3">
      <c r="A64" s="226"/>
      <c r="B64" s="229"/>
      <c r="C64" s="229"/>
      <c r="D64" s="229"/>
      <c r="E64" s="139"/>
      <c r="F64" s="232"/>
      <c r="G64" s="229"/>
      <c r="H64" s="139"/>
      <c r="I64" s="235"/>
      <c r="J64" s="238"/>
      <c r="K64" s="220"/>
      <c r="L64" s="241"/>
      <c r="M64" s="220">
        <f ca="1">IF(NOT(ISERROR(MATCH(L64,_xlfn.ANCHORARRAY(F75),0))),K77&amp;"Por favor no seleccionar los criterios de impacto",L64)</f>
        <v>0</v>
      </c>
      <c r="N64" s="238"/>
      <c r="O64" s="220"/>
      <c r="P64" s="223"/>
      <c r="Q64" s="123">
        <v>4</v>
      </c>
      <c r="R64" s="124"/>
      <c r="S64" s="125" t="str">
        <f t="shared" ref="S64:S66" si="56">IF(OR(T64="Preventivo",T64="Detectivo"),"Probabilidad",IF(T64="Correctivo","Impacto",""))</f>
        <v/>
      </c>
      <c r="T64" s="126"/>
      <c r="U64" s="126"/>
      <c r="V64" s="127" t="str">
        <f t="shared" si="53"/>
        <v/>
      </c>
      <c r="W64" s="126"/>
      <c r="X64" s="126"/>
      <c r="Y64" s="126"/>
      <c r="Z64" s="128" t="str">
        <f t="shared" ref="Z64:Z66" si="57">IFERROR(IF(AND(S63="Probabilidad",S64="Probabilidad"),(AB63-(+AB63*V64)),IF(AND(S63="Impacto",S64="Probabilidad"),(AB62-(+AB62*V64)),IF(S64="Impacto",AB63,""))),"")</f>
        <v/>
      </c>
      <c r="AA64" s="129" t="str">
        <f t="shared" si="2"/>
        <v/>
      </c>
      <c r="AB64" s="130" t="str">
        <f t="shared" si="54"/>
        <v/>
      </c>
      <c r="AC64" s="129" t="str">
        <f t="shared" si="3"/>
        <v/>
      </c>
      <c r="AD64" s="130" t="str">
        <f t="shared" ref="AD64:AD66" si="58">IFERROR(IF(AND(S63="Impacto",S64="Impacto"),(AD63-(+AD63*V64)),IF(AND(S63="Probabilidad",S64="Impacto"),(AD62-(+AD62*V64)),IF(S64="Probabilidad",AD63,""))),"")</f>
        <v/>
      </c>
      <c r="AE64" s="131" t="str">
        <f>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2"/>
      <c r="AG64" s="133"/>
      <c r="AH64" s="134"/>
      <c r="AI64" s="135"/>
      <c r="AJ64" s="135"/>
      <c r="AK64" s="133"/>
      <c r="AL64" s="134"/>
    </row>
    <row r="65" spans="1:38" ht="151.5" customHeight="1" x14ac:dyDescent="0.3">
      <c r="A65" s="226"/>
      <c r="B65" s="229"/>
      <c r="C65" s="229"/>
      <c r="D65" s="229"/>
      <c r="E65" s="139"/>
      <c r="F65" s="232"/>
      <c r="G65" s="229"/>
      <c r="H65" s="139"/>
      <c r="I65" s="235"/>
      <c r="J65" s="238"/>
      <c r="K65" s="220"/>
      <c r="L65" s="241"/>
      <c r="M65" s="220">
        <f ca="1">IF(NOT(ISERROR(MATCH(L65,_xlfn.ANCHORARRAY(F76),0))),K78&amp;"Por favor no seleccionar los criterios de impacto",L65)</f>
        <v>0</v>
      </c>
      <c r="N65" s="238"/>
      <c r="O65" s="220"/>
      <c r="P65" s="223"/>
      <c r="Q65" s="123">
        <v>5</v>
      </c>
      <c r="R65" s="124"/>
      <c r="S65" s="125" t="str">
        <f t="shared" si="56"/>
        <v/>
      </c>
      <c r="T65" s="126"/>
      <c r="U65" s="126"/>
      <c r="V65" s="127" t="str">
        <f t="shared" si="53"/>
        <v/>
      </c>
      <c r="W65" s="126"/>
      <c r="X65" s="126"/>
      <c r="Y65" s="126"/>
      <c r="Z65" s="128" t="str">
        <f t="shared" si="57"/>
        <v/>
      </c>
      <c r="AA65" s="129" t="str">
        <f t="shared" si="2"/>
        <v/>
      </c>
      <c r="AB65" s="130" t="str">
        <f t="shared" si="54"/>
        <v/>
      </c>
      <c r="AC65" s="129" t="str">
        <f t="shared" si="3"/>
        <v/>
      </c>
      <c r="AD65" s="130" t="str">
        <f t="shared" si="58"/>
        <v/>
      </c>
      <c r="AE65" s="131" t="str">
        <f t="shared" ref="AE65:AE66" si="59">IFERROR(IF(OR(AND(AA65="Muy Baja",AC65="Leve"),AND(AA65="Muy Baja",AC65="Menor"),AND(AA65="Baja",AC65="Leve")),"Bajo",IF(OR(AND(AA65="Muy baja",AC65="Moderado"),AND(AA65="Baja",AC65="Menor"),AND(AA65="Baja",AC65="Moderado"),AND(AA65="Media",AC65="Leve"),AND(AA65="Media",AC65="Menor"),AND(AA65="Media",AC65="Moderado"),AND(AA65="Alta",AC65="Leve"),AND(AA65="Alta",AC65="Menor")),"Moderado",IF(OR(AND(AA65="Muy Baja",AC65="Mayor"),AND(AA65="Baja",AC65="Mayor"),AND(AA65="Media",AC65="Mayor"),AND(AA65="Alta",AC65="Moderado"),AND(AA65="Alta",AC65="Mayor"),AND(AA65="Muy Alta",AC65="Leve"),AND(AA65="Muy Alta",AC65="Menor"),AND(AA65="Muy Alta",AC65="Moderado"),AND(AA65="Muy Alta",AC65="Mayor")),"Alto",IF(OR(AND(AA65="Muy Baja",AC65="Catastrófico"),AND(AA65="Baja",AC65="Catastrófico"),AND(AA65="Media",AC65="Catastrófico"),AND(AA65="Alta",AC65="Catastrófico"),AND(AA65="Muy Alta",AC65="Catastrófico")),"Extremo","")))),"")</f>
        <v/>
      </c>
      <c r="AF65" s="132"/>
      <c r="AG65" s="133"/>
      <c r="AH65" s="134"/>
      <c r="AI65" s="135"/>
      <c r="AJ65" s="135"/>
      <c r="AK65" s="133"/>
      <c r="AL65" s="134"/>
    </row>
    <row r="66" spans="1:38" ht="151.5" customHeight="1" x14ac:dyDescent="0.3">
      <c r="A66" s="227"/>
      <c r="B66" s="230"/>
      <c r="C66" s="230"/>
      <c r="D66" s="230"/>
      <c r="E66" s="140"/>
      <c r="F66" s="233"/>
      <c r="G66" s="230"/>
      <c r="H66" s="140"/>
      <c r="I66" s="236"/>
      <c r="J66" s="239"/>
      <c r="K66" s="221"/>
      <c r="L66" s="242"/>
      <c r="M66" s="221">
        <f ca="1">IF(NOT(ISERROR(MATCH(L66,_xlfn.ANCHORARRAY(F77),0))),K79&amp;"Por favor no seleccionar los criterios de impacto",L66)</f>
        <v>0</v>
      </c>
      <c r="N66" s="239"/>
      <c r="O66" s="221"/>
      <c r="P66" s="224"/>
      <c r="Q66" s="123">
        <v>6</v>
      </c>
      <c r="R66" s="124"/>
      <c r="S66" s="125" t="str">
        <f t="shared" si="56"/>
        <v/>
      </c>
      <c r="T66" s="126"/>
      <c r="U66" s="126"/>
      <c r="V66" s="127" t="str">
        <f t="shared" si="53"/>
        <v/>
      </c>
      <c r="W66" s="126"/>
      <c r="X66" s="126"/>
      <c r="Y66" s="126"/>
      <c r="Z66" s="128" t="str">
        <f t="shared" si="57"/>
        <v/>
      </c>
      <c r="AA66" s="129" t="str">
        <f t="shared" si="2"/>
        <v/>
      </c>
      <c r="AB66" s="130" t="str">
        <f t="shared" si="54"/>
        <v/>
      </c>
      <c r="AC66" s="129" t="str">
        <f t="shared" si="3"/>
        <v/>
      </c>
      <c r="AD66" s="130" t="str">
        <f t="shared" si="58"/>
        <v/>
      </c>
      <c r="AE66" s="131" t="str">
        <f t="shared" si="59"/>
        <v/>
      </c>
      <c r="AF66" s="132"/>
      <c r="AG66" s="133"/>
      <c r="AH66" s="134"/>
      <c r="AI66" s="135"/>
      <c r="AJ66" s="135"/>
      <c r="AK66" s="133"/>
      <c r="AL66" s="134"/>
    </row>
    <row r="67" spans="1:38" ht="49.5" customHeight="1" x14ac:dyDescent="0.3">
      <c r="A67" s="6"/>
      <c r="B67" s="216" t="s">
        <v>131</v>
      </c>
      <c r="C67" s="217"/>
      <c r="D67" s="217"/>
      <c r="E67" s="217"/>
      <c r="F67" s="217"/>
      <c r="G67" s="217"/>
      <c r="H67" s="217"/>
      <c r="I67" s="217"/>
      <c r="J67" s="217"/>
      <c r="K67" s="217"/>
      <c r="L67" s="217"/>
      <c r="M67" s="217"/>
      <c r="N67" s="217"/>
      <c r="O67" s="217"/>
      <c r="P67" s="217"/>
      <c r="Q67" s="217"/>
      <c r="R67" s="217"/>
      <c r="S67" s="217"/>
      <c r="T67" s="217"/>
      <c r="U67" s="217"/>
      <c r="V67" s="217"/>
      <c r="W67" s="217"/>
      <c r="X67" s="217"/>
      <c r="Y67" s="217"/>
      <c r="Z67" s="217"/>
      <c r="AA67" s="217"/>
      <c r="AB67" s="217"/>
      <c r="AC67" s="217"/>
      <c r="AD67" s="217"/>
      <c r="AE67" s="217"/>
      <c r="AF67" s="217"/>
      <c r="AG67" s="217"/>
      <c r="AH67" s="217"/>
      <c r="AI67" s="217"/>
      <c r="AJ67" s="217"/>
      <c r="AK67" s="217"/>
      <c r="AL67" s="218"/>
    </row>
    <row r="69" spans="1:38" x14ac:dyDescent="0.3">
      <c r="A69" s="1"/>
      <c r="B69" s="24" t="s">
        <v>143</v>
      </c>
      <c r="C69" s="1"/>
      <c r="D69" s="1"/>
      <c r="E69" s="1"/>
      <c r="G69" s="1"/>
      <c r="H69" s="1"/>
    </row>
  </sheetData>
  <autoFilter ref="A9:BR9"/>
  <dataConsolidate/>
  <mergeCells count="168">
    <mergeCell ref="A10:A12"/>
    <mergeCell ref="B10:B12"/>
    <mergeCell ref="C10:C12"/>
    <mergeCell ref="D10:D12"/>
    <mergeCell ref="F10:F12"/>
    <mergeCell ref="M10:M12"/>
    <mergeCell ref="AG10:AG12"/>
    <mergeCell ref="G10:G12"/>
    <mergeCell ref="AI8:AI9"/>
    <mergeCell ref="AH8:AH9"/>
    <mergeCell ref="A4:B4"/>
    <mergeCell ref="A5:B5"/>
    <mergeCell ref="A6:B6"/>
    <mergeCell ref="A8:A9"/>
    <mergeCell ref="G8:G9"/>
    <mergeCell ref="F8:F9"/>
    <mergeCell ref="D8:D9"/>
    <mergeCell ref="C8:C9"/>
    <mergeCell ref="AF8:AF9"/>
    <mergeCell ref="C5:P5"/>
    <mergeCell ref="C6:P6"/>
    <mergeCell ref="Q8:Q9"/>
    <mergeCell ref="AE8:AE9"/>
    <mergeCell ref="AD8:AD9"/>
    <mergeCell ref="Z8:Z9"/>
    <mergeCell ref="R8:R9"/>
    <mergeCell ref="C4:P4"/>
    <mergeCell ref="Q4:S4"/>
    <mergeCell ref="L19:L24"/>
    <mergeCell ref="M19:M24"/>
    <mergeCell ref="N19:N24"/>
    <mergeCell ref="A13:A18"/>
    <mergeCell ref="B13:B18"/>
    <mergeCell ref="C13:C18"/>
    <mergeCell ref="O19:O24"/>
    <mergeCell ref="P19:P24"/>
    <mergeCell ref="A19:A24"/>
    <mergeCell ref="B19:B24"/>
    <mergeCell ref="C19:C24"/>
    <mergeCell ref="D19:D24"/>
    <mergeCell ref="F19:F24"/>
    <mergeCell ref="G19:G24"/>
    <mergeCell ref="I19:I24"/>
    <mergeCell ref="J19:J24"/>
    <mergeCell ref="K19:K24"/>
    <mergeCell ref="A25:A30"/>
    <mergeCell ref="B25:B30"/>
    <mergeCell ref="C25:C30"/>
    <mergeCell ref="D25:D30"/>
    <mergeCell ref="F25:F30"/>
    <mergeCell ref="G25:G30"/>
    <mergeCell ref="I25:I30"/>
    <mergeCell ref="J25:J30"/>
    <mergeCell ref="K25:K30"/>
    <mergeCell ref="L25:L30"/>
    <mergeCell ref="M25:M30"/>
    <mergeCell ref="N25:N30"/>
    <mergeCell ref="O25:O30"/>
    <mergeCell ref="P25:P30"/>
    <mergeCell ref="O31:O36"/>
    <mergeCell ref="P31:P36"/>
    <mergeCell ref="O37:O42"/>
    <mergeCell ref="P37:P42"/>
    <mergeCell ref="G37:G42"/>
    <mergeCell ref="D31:D36"/>
    <mergeCell ref="F31:F36"/>
    <mergeCell ref="L37:L42"/>
    <mergeCell ref="M37:M42"/>
    <mergeCell ref="N37:N42"/>
    <mergeCell ref="G31:G36"/>
    <mergeCell ref="I31:I36"/>
    <mergeCell ref="J31:J36"/>
    <mergeCell ref="K31:K36"/>
    <mergeCell ref="L31:L36"/>
    <mergeCell ref="I37:I42"/>
    <mergeCell ref="J37:J42"/>
    <mergeCell ref="K37:K42"/>
    <mergeCell ref="M31:M36"/>
    <mergeCell ref="N31:N36"/>
    <mergeCell ref="A31:A36"/>
    <mergeCell ref="B31:B36"/>
    <mergeCell ref="C31:C36"/>
    <mergeCell ref="A37:A42"/>
    <mergeCell ref="B37:B42"/>
    <mergeCell ref="C37:C42"/>
    <mergeCell ref="D37:D42"/>
    <mergeCell ref="F37:F42"/>
    <mergeCell ref="A49:A54"/>
    <mergeCell ref="B49:B54"/>
    <mergeCell ref="C49:C54"/>
    <mergeCell ref="D49:D54"/>
    <mergeCell ref="F49:F54"/>
    <mergeCell ref="A43:A48"/>
    <mergeCell ref="B43:B48"/>
    <mergeCell ref="C43:C48"/>
    <mergeCell ref="D43:D48"/>
    <mergeCell ref="F43:F48"/>
    <mergeCell ref="F55:F60"/>
    <mergeCell ref="G55:G60"/>
    <mergeCell ref="I55:I60"/>
    <mergeCell ref="J55:J60"/>
    <mergeCell ref="K55:K60"/>
    <mergeCell ref="O43:O48"/>
    <mergeCell ref="P43:P48"/>
    <mergeCell ref="G49:G54"/>
    <mergeCell ref="I49:I54"/>
    <mergeCell ref="J49:J54"/>
    <mergeCell ref="K49:K54"/>
    <mergeCell ref="L49:L54"/>
    <mergeCell ref="G43:G48"/>
    <mergeCell ref="I43:I48"/>
    <mergeCell ref="J43:J48"/>
    <mergeCell ref="K43:K48"/>
    <mergeCell ref="M49:M54"/>
    <mergeCell ref="N49:N54"/>
    <mergeCell ref="O49:O54"/>
    <mergeCell ref="P49:P54"/>
    <mergeCell ref="L43:L48"/>
    <mergeCell ref="M43:M48"/>
    <mergeCell ref="N43:N48"/>
    <mergeCell ref="B67:AL67"/>
    <mergeCell ref="O55:O60"/>
    <mergeCell ref="P55:P60"/>
    <mergeCell ref="A61:A66"/>
    <mergeCell ref="B61:B66"/>
    <mergeCell ref="C61:C66"/>
    <mergeCell ref="D61:D66"/>
    <mergeCell ref="F61:F66"/>
    <mergeCell ref="G61:G66"/>
    <mergeCell ref="I61:I66"/>
    <mergeCell ref="J61:J66"/>
    <mergeCell ref="K61:K66"/>
    <mergeCell ref="L61:L66"/>
    <mergeCell ref="M61:M66"/>
    <mergeCell ref="N61:N66"/>
    <mergeCell ref="O61:O66"/>
    <mergeCell ref="P61:P66"/>
    <mergeCell ref="L55:L60"/>
    <mergeCell ref="M55:M60"/>
    <mergeCell ref="N55:N60"/>
    <mergeCell ref="A55:A60"/>
    <mergeCell ref="B55:B60"/>
    <mergeCell ref="C55:C60"/>
    <mergeCell ref="D55:D60"/>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L8:L9"/>
    <mergeCell ref="M8:M9"/>
    <mergeCell ref="S8:S9"/>
    <mergeCell ref="T8:Y8"/>
    <mergeCell ref="AG8:AG9"/>
    <mergeCell ref="AL8:AL9"/>
    <mergeCell ref="AK8:AK9"/>
    <mergeCell ref="AJ8:AJ9"/>
  </mergeCells>
  <conditionalFormatting sqref="AA10:AA12 J10:J12">
    <cfRule type="cellIs" dxfId="202" priority="324" operator="equal">
      <formula>"Muy Alta"</formula>
    </cfRule>
    <cfRule type="cellIs" dxfId="201" priority="325" operator="equal">
      <formula>"Alta"</formula>
    </cfRule>
    <cfRule type="cellIs" dxfId="200" priority="326" operator="equal">
      <formula>"Media"</formula>
    </cfRule>
    <cfRule type="cellIs" dxfId="199" priority="327" operator="equal">
      <formula>"Baja"</formula>
    </cfRule>
    <cfRule type="cellIs" dxfId="198" priority="328" operator="equal">
      <formula>"Muy Baja"</formula>
    </cfRule>
  </conditionalFormatting>
  <conditionalFormatting sqref="N19 N25 N31 N37 N43 N49 N55 N61 AC10:AC12 N10:N12">
    <cfRule type="cellIs" dxfId="197" priority="319" operator="equal">
      <formula>"Catastrófico"</formula>
    </cfRule>
    <cfRule type="cellIs" dxfId="196" priority="320" operator="equal">
      <formula>"Mayor"</formula>
    </cfRule>
    <cfRule type="cellIs" dxfId="195" priority="321" operator="equal">
      <formula>"Moderado"</formula>
    </cfRule>
    <cfRule type="cellIs" dxfId="194" priority="322" operator="equal">
      <formula>"Menor"</formula>
    </cfRule>
    <cfRule type="cellIs" dxfId="193" priority="323" operator="equal">
      <formula>"Leve"</formula>
    </cfRule>
  </conditionalFormatting>
  <conditionalFormatting sqref="AE10:AE12 P10:P12">
    <cfRule type="cellIs" dxfId="192" priority="315" operator="equal">
      <formula>"Extremo"</formula>
    </cfRule>
    <cfRule type="cellIs" dxfId="191" priority="316" operator="equal">
      <formula>"Alto"</formula>
    </cfRule>
    <cfRule type="cellIs" dxfId="190" priority="317" operator="equal">
      <formula>"Moderado"</formula>
    </cfRule>
    <cfRule type="cellIs" dxfId="189" priority="318" operator="equal">
      <formula>"Bajo"</formula>
    </cfRule>
  </conditionalFormatting>
  <conditionalFormatting sqref="J55">
    <cfRule type="cellIs" dxfId="188" priority="58" operator="equal">
      <formula>"Muy Alta"</formula>
    </cfRule>
    <cfRule type="cellIs" dxfId="187" priority="59" operator="equal">
      <formula>"Alta"</formula>
    </cfRule>
    <cfRule type="cellIs" dxfId="186" priority="60" operator="equal">
      <formula>"Media"</formula>
    </cfRule>
    <cfRule type="cellIs" dxfId="185" priority="61" operator="equal">
      <formula>"Baja"</formula>
    </cfRule>
    <cfRule type="cellIs" dxfId="184" priority="62" operator="equal">
      <formula>"Muy Baja"</formula>
    </cfRule>
  </conditionalFormatting>
  <conditionalFormatting sqref="J19">
    <cfRule type="cellIs" dxfId="183" priority="226" operator="equal">
      <formula>"Muy Alta"</formula>
    </cfRule>
    <cfRule type="cellIs" dxfId="182" priority="227" operator="equal">
      <formula>"Alta"</formula>
    </cfRule>
    <cfRule type="cellIs" dxfId="181" priority="228" operator="equal">
      <formula>"Media"</formula>
    </cfRule>
    <cfRule type="cellIs" dxfId="180" priority="229" operator="equal">
      <formula>"Baja"</formula>
    </cfRule>
    <cfRule type="cellIs" dxfId="179" priority="230" operator="equal">
      <formula>"Muy Baja"</formula>
    </cfRule>
  </conditionalFormatting>
  <conditionalFormatting sqref="P19">
    <cfRule type="cellIs" dxfId="178" priority="217" operator="equal">
      <formula>"Extremo"</formula>
    </cfRule>
    <cfRule type="cellIs" dxfId="177" priority="218" operator="equal">
      <formula>"Alto"</formula>
    </cfRule>
    <cfRule type="cellIs" dxfId="176" priority="219" operator="equal">
      <formula>"Moderado"</formula>
    </cfRule>
    <cfRule type="cellIs" dxfId="175" priority="220" operator="equal">
      <formula>"Bajo"</formula>
    </cfRule>
  </conditionalFormatting>
  <conditionalFormatting sqref="AA19:AA24">
    <cfRule type="cellIs" dxfId="174" priority="212" operator="equal">
      <formula>"Muy Alta"</formula>
    </cfRule>
    <cfRule type="cellIs" dxfId="173" priority="213" operator="equal">
      <formula>"Alta"</formula>
    </cfRule>
    <cfRule type="cellIs" dxfId="172" priority="214" operator="equal">
      <formula>"Media"</formula>
    </cfRule>
    <cfRule type="cellIs" dxfId="171" priority="215" operator="equal">
      <formula>"Baja"</formula>
    </cfRule>
    <cfRule type="cellIs" dxfId="170" priority="216" operator="equal">
      <formula>"Muy Baja"</formula>
    </cfRule>
  </conditionalFormatting>
  <conditionalFormatting sqref="AC19:AC24">
    <cfRule type="cellIs" dxfId="169" priority="207" operator="equal">
      <formula>"Catastrófico"</formula>
    </cfRule>
    <cfRule type="cellIs" dxfId="168" priority="208" operator="equal">
      <formula>"Mayor"</formula>
    </cfRule>
    <cfRule type="cellIs" dxfId="167" priority="209" operator="equal">
      <formula>"Moderado"</formula>
    </cfRule>
    <cfRule type="cellIs" dxfId="166" priority="210" operator="equal">
      <formula>"Menor"</formula>
    </cfRule>
    <cfRule type="cellIs" dxfId="165" priority="211" operator="equal">
      <formula>"Leve"</formula>
    </cfRule>
  </conditionalFormatting>
  <conditionalFormatting sqref="AE19:AE24">
    <cfRule type="cellIs" dxfId="164" priority="203" operator="equal">
      <formula>"Extremo"</formula>
    </cfRule>
    <cfRule type="cellIs" dxfId="163" priority="204" operator="equal">
      <formula>"Alto"</formula>
    </cfRule>
    <cfRule type="cellIs" dxfId="162" priority="205" operator="equal">
      <formula>"Moderado"</formula>
    </cfRule>
    <cfRule type="cellIs" dxfId="161" priority="206" operator="equal">
      <formula>"Bajo"</formula>
    </cfRule>
  </conditionalFormatting>
  <conditionalFormatting sqref="J25">
    <cfRule type="cellIs" dxfId="160" priority="198" operator="equal">
      <formula>"Muy Alta"</formula>
    </cfRule>
    <cfRule type="cellIs" dxfId="159" priority="199" operator="equal">
      <formula>"Alta"</formula>
    </cfRule>
    <cfRule type="cellIs" dxfId="158" priority="200" operator="equal">
      <formula>"Media"</formula>
    </cfRule>
    <cfRule type="cellIs" dxfId="157" priority="201" operator="equal">
      <formula>"Baja"</formula>
    </cfRule>
    <cfRule type="cellIs" dxfId="156" priority="202" operator="equal">
      <formula>"Muy Baja"</formula>
    </cfRule>
  </conditionalFormatting>
  <conditionalFormatting sqref="P25">
    <cfRule type="cellIs" dxfId="155" priority="189" operator="equal">
      <formula>"Extremo"</formula>
    </cfRule>
    <cfRule type="cellIs" dxfId="154" priority="190" operator="equal">
      <formula>"Alto"</formula>
    </cfRule>
    <cfRule type="cellIs" dxfId="153" priority="191" operator="equal">
      <formula>"Moderado"</formula>
    </cfRule>
    <cfRule type="cellIs" dxfId="152" priority="192" operator="equal">
      <formula>"Bajo"</formula>
    </cfRule>
  </conditionalFormatting>
  <conditionalFormatting sqref="AA25:AA30">
    <cfRule type="cellIs" dxfId="151" priority="184" operator="equal">
      <formula>"Muy Alta"</formula>
    </cfRule>
    <cfRule type="cellIs" dxfId="150" priority="185" operator="equal">
      <formula>"Alta"</formula>
    </cfRule>
    <cfRule type="cellIs" dxfId="149" priority="186" operator="equal">
      <formula>"Media"</formula>
    </cfRule>
    <cfRule type="cellIs" dxfId="148" priority="187" operator="equal">
      <formula>"Baja"</formula>
    </cfRule>
    <cfRule type="cellIs" dxfId="147" priority="188" operator="equal">
      <formula>"Muy Baja"</formula>
    </cfRule>
  </conditionalFormatting>
  <conditionalFormatting sqref="AC25:AC30">
    <cfRule type="cellIs" dxfId="146" priority="179" operator="equal">
      <formula>"Catastrófico"</formula>
    </cfRule>
    <cfRule type="cellIs" dxfId="145" priority="180" operator="equal">
      <formula>"Mayor"</formula>
    </cfRule>
    <cfRule type="cellIs" dxfId="144" priority="181" operator="equal">
      <formula>"Moderado"</formula>
    </cfRule>
    <cfRule type="cellIs" dxfId="143" priority="182" operator="equal">
      <formula>"Menor"</formula>
    </cfRule>
    <cfRule type="cellIs" dxfId="142" priority="183" operator="equal">
      <formula>"Leve"</formula>
    </cfRule>
  </conditionalFormatting>
  <conditionalFormatting sqref="AE25:AE30">
    <cfRule type="cellIs" dxfId="141" priority="175" operator="equal">
      <formula>"Extremo"</formula>
    </cfRule>
    <cfRule type="cellIs" dxfId="140" priority="176" operator="equal">
      <formula>"Alto"</formula>
    </cfRule>
    <cfRule type="cellIs" dxfId="139" priority="177" operator="equal">
      <formula>"Moderado"</formula>
    </cfRule>
    <cfRule type="cellIs" dxfId="138" priority="178" operator="equal">
      <formula>"Bajo"</formula>
    </cfRule>
  </conditionalFormatting>
  <conditionalFormatting sqref="J31">
    <cfRule type="cellIs" dxfId="137" priority="170" operator="equal">
      <formula>"Muy Alta"</formula>
    </cfRule>
    <cfRule type="cellIs" dxfId="136" priority="171" operator="equal">
      <formula>"Alta"</formula>
    </cfRule>
    <cfRule type="cellIs" dxfId="135" priority="172" operator="equal">
      <formula>"Media"</formula>
    </cfRule>
    <cfRule type="cellIs" dxfId="134" priority="173" operator="equal">
      <formula>"Baja"</formula>
    </cfRule>
    <cfRule type="cellIs" dxfId="133" priority="174" operator="equal">
      <formula>"Muy Baja"</formula>
    </cfRule>
  </conditionalFormatting>
  <conditionalFormatting sqref="P31">
    <cfRule type="cellIs" dxfId="132" priority="161" operator="equal">
      <formula>"Extremo"</formula>
    </cfRule>
    <cfRule type="cellIs" dxfId="131" priority="162" operator="equal">
      <formula>"Alto"</formula>
    </cfRule>
    <cfRule type="cellIs" dxfId="130" priority="163" operator="equal">
      <formula>"Moderado"</formula>
    </cfRule>
    <cfRule type="cellIs" dxfId="129" priority="164" operator="equal">
      <formula>"Bajo"</formula>
    </cfRule>
  </conditionalFormatting>
  <conditionalFormatting sqref="AA31:AA36">
    <cfRule type="cellIs" dxfId="128" priority="156" operator="equal">
      <formula>"Muy Alta"</formula>
    </cfRule>
    <cfRule type="cellIs" dxfId="127" priority="157" operator="equal">
      <formula>"Alta"</formula>
    </cfRule>
    <cfRule type="cellIs" dxfId="126" priority="158" operator="equal">
      <formula>"Media"</formula>
    </cfRule>
    <cfRule type="cellIs" dxfId="125" priority="159" operator="equal">
      <formula>"Baja"</formula>
    </cfRule>
    <cfRule type="cellIs" dxfId="124" priority="160" operator="equal">
      <formula>"Muy Baja"</formula>
    </cfRule>
  </conditionalFormatting>
  <conditionalFormatting sqref="AC31:AC36">
    <cfRule type="cellIs" dxfId="123" priority="151" operator="equal">
      <formula>"Catastrófico"</formula>
    </cfRule>
    <cfRule type="cellIs" dxfId="122" priority="152" operator="equal">
      <formula>"Mayor"</formula>
    </cfRule>
    <cfRule type="cellIs" dxfId="121" priority="153" operator="equal">
      <formula>"Moderado"</formula>
    </cfRule>
    <cfRule type="cellIs" dxfId="120" priority="154" operator="equal">
      <formula>"Menor"</formula>
    </cfRule>
    <cfRule type="cellIs" dxfId="119" priority="155" operator="equal">
      <formula>"Leve"</formula>
    </cfRule>
  </conditionalFormatting>
  <conditionalFormatting sqref="AE31:AE36">
    <cfRule type="cellIs" dxfId="118" priority="147" operator="equal">
      <formula>"Extremo"</formula>
    </cfRule>
    <cfRule type="cellIs" dxfId="117" priority="148" operator="equal">
      <formula>"Alto"</formula>
    </cfRule>
    <cfRule type="cellIs" dxfId="116" priority="149" operator="equal">
      <formula>"Moderado"</formula>
    </cfRule>
    <cfRule type="cellIs" dxfId="115" priority="150" operator="equal">
      <formula>"Bajo"</formula>
    </cfRule>
  </conditionalFormatting>
  <conditionalFormatting sqref="J37">
    <cfRule type="cellIs" dxfId="114" priority="142" operator="equal">
      <formula>"Muy Alta"</formula>
    </cfRule>
    <cfRule type="cellIs" dxfId="113" priority="143" operator="equal">
      <formula>"Alta"</formula>
    </cfRule>
    <cfRule type="cellIs" dxfId="112" priority="144" operator="equal">
      <formula>"Media"</formula>
    </cfRule>
    <cfRule type="cellIs" dxfId="111" priority="145" operator="equal">
      <formula>"Baja"</formula>
    </cfRule>
    <cfRule type="cellIs" dxfId="110" priority="146" operator="equal">
      <formula>"Muy Baja"</formula>
    </cfRule>
  </conditionalFormatting>
  <conditionalFormatting sqref="P37">
    <cfRule type="cellIs" dxfId="109" priority="133" operator="equal">
      <formula>"Extremo"</formula>
    </cfRule>
    <cfRule type="cellIs" dxfId="108" priority="134" operator="equal">
      <formula>"Alto"</formula>
    </cfRule>
    <cfRule type="cellIs" dxfId="107" priority="135" operator="equal">
      <formula>"Moderado"</formula>
    </cfRule>
    <cfRule type="cellIs" dxfId="106" priority="136" operator="equal">
      <formula>"Bajo"</formula>
    </cfRule>
  </conditionalFormatting>
  <conditionalFormatting sqref="AA37:AA42">
    <cfRule type="cellIs" dxfId="105" priority="128" operator="equal">
      <formula>"Muy Alta"</formula>
    </cfRule>
    <cfRule type="cellIs" dxfId="104" priority="129" operator="equal">
      <formula>"Alta"</formula>
    </cfRule>
    <cfRule type="cellIs" dxfId="103" priority="130" operator="equal">
      <formula>"Media"</formula>
    </cfRule>
    <cfRule type="cellIs" dxfId="102" priority="131" operator="equal">
      <formula>"Baja"</formula>
    </cfRule>
    <cfRule type="cellIs" dxfId="101" priority="132" operator="equal">
      <formula>"Muy Baja"</formula>
    </cfRule>
  </conditionalFormatting>
  <conditionalFormatting sqref="AC37:AC42">
    <cfRule type="cellIs" dxfId="100" priority="123" operator="equal">
      <formula>"Catastrófico"</formula>
    </cfRule>
    <cfRule type="cellIs" dxfId="99" priority="124" operator="equal">
      <formula>"Mayor"</formula>
    </cfRule>
    <cfRule type="cellIs" dxfId="98" priority="125" operator="equal">
      <formula>"Moderado"</formula>
    </cfRule>
    <cfRule type="cellIs" dxfId="97" priority="126" operator="equal">
      <formula>"Menor"</formula>
    </cfRule>
    <cfRule type="cellIs" dxfId="96" priority="127" operator="equal">
      <formula>"Leve"</formula>
    </cfRule>
  </conditionalFormatting>
  <conditionalFormatting sqref="AE37:AE42">
    <cfRule type="cellIs" dxfId="95" priority="119" operator="equal">
      <formula>"Extremo"</formula>
    </cfRule>
    <cfRule type="cellIs" dxfId="94" priority="120" operator="equal">
      <formula>"Alto"</formula>
    </cfRule>
    <cfRule type="cellIs" dxfId="93" priority="121" operator="equal">
      <formula>"Moderado"</formula>
    </cfRule>
    <cfRule type="cellIs" dxfId="92" priority="122" operator="equal">
      <formula>"Bajo"</formula>
    </cfRule>
  </conditionalFormatting>
  <conditionalFormatting sqref="J43">
    <cfRule type="cellIs" dxfId="91" priority="114" operator="equal">
      <formula>"Muy Alta"</formula>
    </cfRule>
    <cfRule type="cellIs" dxfId="90" priority="115" operator="equal">
      <formula>"Alta"</formula>
    </cfRule>
    <cfRule type="cellIs" dxfId="89" priority="116" operator="equal">
      <formula>"Media"</formula>
    </cfRule>
    <cfRule type="cellIs" dxfId="88" priority="117" operator="equal">
      <formula>"Baja"</formula>
    </cfRule>
    <cfRule type="cellIs" dxfId="87" priority="118" operator="equal">
      <formula>"Muy Baja"</formula>
    </cfRule>
  </conditionalFormatting>
  <conditionalFormatting sqref="P43">
    <cfRule type="cellIs" dxfId="86" priority="105" operator="equal">
      <formula>"Extremo"</formula>
    </cfRule>
    <cfRule type="cellIs" dxfId="85" priority="106" operator="equal">
      <formula>"Alto"</formula>
    </cfRule>
    <cfRule type="cellIs" dxfId="84" priority="107" operator="equal">
      <formula>"Moderado"</formula>
    </cfRule>
    <cfRule type="cellIs" dxfId="83" priority="108" operator="equal">
      <formula>"Bajo"</formula>
    </cfRule>
  </conditionalFormatting>
  <conditionalFormatting sqref="AA43:AA48">
    <cfRule type="cellIs" dxfId="82" priority="100" operator="equal">
      <formula>"Muy Alta"</formula>
    </cfRule>
    <cfRule type="cellIs" dxfId="81" priority="101" operator="equal">
      <formula>"Alta"</formula>
    </cfRule>
    <cfRule type="cellIs" dxfId="80" priority="102" operator="equal">
      <formula>"Media"</formula>
    </cfRule>
    <cfRule type="cellIs" dxfId="79" priority="103" operator="equal">
      <formula>"Baja"</formula>
    </cfRule>
    <cfRule type="cellIs" dxfId="78" priority="104" operator="equal">
      <formula>"Muy Baja"</formula>
    </cfRule>
  </conditionalFormatting>
  <conditionalFormatting sqref="AC43:AC48">
    <cfRule type="cellIs" dxfId="77" priority="95" operator="equal">
      <formula>"Catastrófico"</formula>
    </cfRule>
    <cfRule type="cellIs" dxfId="76" priority="96" operator="equal">
      <formula>"Mayor"</formula>
    </cfRule>
    <cfRule type="cellIs" dxfId="75" priority="97" operator="equal">
      <formula>"Moderado"</formula>
    </cfRule>
    <cfRule type="cellIs" dxfId="74" priority="98" operator="equal">
      <formula>"Menor"</formula>
    </cfRule>
    <cfRule type="cellIs" dxfId="73" priority="99" operator="equal">
      <formula>"Leve"</formula>
    </cfRule>
  </conditionalFormatting>
  <conditionalFormatting sqref="AE43:AE48">
    <cfRule type="cellIs" dxfId="72" priority="91" operator="equal">
      <formula>"Extremo"</formula>
    </cfRule>
    <cfRule type="cellIs" dxfId="71" priority="92" operator="equal">
      <formula>"Alto"</formula>
    </cfRule>
    <cfRule type="cellIs" dxfId="70" priority="93" operator="equal">
      <formula>"Moderado"</formula>
    </cfRule>
    <cfRule type="cellIs" dxfId="69" priority="94" operator="equal">
      <formula>"Bajo"</formula>
    </cfRule>
  </conditionalFormatting>
  <conditionalFormatting sqref="J49">
    <cfRule type="cellIs" dxfId="68" priority="86" operator="equal">
      <formula>"Muy Alta"</formula>
    </cfRule>
    <cfRule type="cellIs" dxfId="67" priority="87" operator="equal">
      <formula>"Alta"</formula>
    </cfRule>
    <cfRule type="cellIs" dxfId="66" priority="88" operator="equal">
      <formula>"Media"</formula>
    </cfRule>
    <cfRule type="cellIs" dxfId="65" priority="89" operator="equal">
      <formula>"Baja"</formula>
    </cfRule>
    <cfRule type="cellIs" dxfId="64" priority="90" operator="equal">
      <formula>"Muy Baja"</formula>
    </cfRule>
  </conditionalFormatting>
  <conditionalFormatting sqref="P49">
    <cfRule type="cellIs" dxfId="63" priority="77" operator="equal">
      <formula>"Extremo"</formula>
    </cfRule>
    <cfRule type="cellIs" dxfId="62" priority="78" operator="equal">
      <formula>"Alto"</formula>
    </cfRule>
    <cfRule type="cellIs" dxfId="61" priority="79" operator="equal">
      <formula>"Moderado"</formula>
    </cfRule>
    <cfRule type="cellIs" dxfId="60" priority="80" operator="equal">
      <formula>"Bajo"</formula>
    </cfRule>
  </conditionalFormatting>
  <conditionalFormatting sqref="AA49:AA54">
    <cfRule type="cellIs" dxfId="59" priority="72" operator="equal">
      <formula>"Muy Alta"</formula>
    </cfRule>
    <cfRule type="cellIs" dxfId="58" priority="73" operator="equal">
      <formula>"Alta"</formula>
    </cfRule>
    <cfRule type="cellIs" dxfId="57" priority="74" operator="equal">
      <formula>"Media"</formula>
    </cfRule>
    <cfRule type="cellIs" dxfId="56" priority="75" operator="equal">
      <formula>"Baja"</formula>
    </cfRule>
    <cfRule type="cellIs" dxfId="55" priority="76" operator="equal">
      <formula>"Muy Baja"</formula>
    </cfRule>
  </conditionalFormatting>
  <conditionalFormatting sqref="AC49:AC54">
    <cfRule type="cellIs" dxfId="54" priority="67" operator="equal">
      <formula>"Catastrófico"</formula>
    </cfRule>
    <cfRule type="cellIs" dxfId="53" priority="68" operator="equal">
      <formula>"Mayor"</formula>
    </cfRule>
    <cfRule type="cellIs" dxfId="52" priority="69" operator="equal">
      <formula>"Moderado"</formula>
    </cfRule>
    <cfRule type="cellIs" dxfId="51" priority="70" operator="equal">
      <formula>"Menor"</formula>
    </cfRule>
    <cfRule type="cellIs" dxfId="50" priority="71" operator="equal">
      <formula>"Leve"</formula>
    </cfRule>
  </conditionalFormatting>
  <conditionalFormatting sqref="AE49:AE54">
    <cfRule type="cellIs" dxfId="49" priority="63" operator="equal">
      <formula>"Extremo"</formula>
    </cfRule>
    <cfRule type="cellIs" dxfId="48" priority="64" operator="equal">
      <formula>"Alto"</formula>
    </cfRule>
    <cfRule type="cellIs" dxfId="47" priority="65" operator="equal">
      <formula>"Moderado"</formula>
    </cfRule>
    <cfRule type="cellIs" dxfId="46" priority="66" operator="equal">
      <formula>"Bajo"</formula>
    </cfRule>
  </conditionalFormatting>
  <conditionalFormatting sqref="P55">
    <cfRule type="cellIs" dxfId="45" priority="49" operator="equal">
      <formula>"Extremo"</formula>
    </cfRule>
    <cfRule type="cellIs" dxfId="44" priority="50" operator="equal">
      <formula>"Alto"</formula>
    </cfRule>
    <cfRule type="cellIs" dxfId="43" priority="51" operator="equal">
      <formula>"Moderado"</formula>
    </cfRule>
    <cfRule type="cellIs" dxfId="42" priority="52" operator="equal">
      <formula>"Bajo"</formula>
    </cfRule>
  </conditionalFormatting>
  <conditionalFormatting sqref="AA55:AA60">
    <cfRule type="cellIs" dxfId="41" priority="44" operator="equal">
      <formula>"Muy Alta"</formula>
    </cfRule>
    <cfRule type="cellIs" dxfId="40" priority="45" operator="equal">
      <formula>"Alta"</formula>
    </cfRule>
    <cfRule type="cellIs" dxfId="39" priority="46" operator="equal">
      <formula>"Media"</formula>
    </cfRule>
    <cfRule type="cellIs" dxfId="38" priority="47" operator="equal">
      <formula>"Baja"</formula>
    </cfRule>
    <cfRule type="cellIs" dxfId="37" priority="48" operator="equal">
      <formula>"Muy Baja"</formula>
    </cfRule>
  </conditionalFormatting>
  <conditionalFormatting sqref="AC55:AC60">
    <cfRule type="cellIs" dxfId="36" priority="39" operator="equal">
      <formula>"Catastrófico"</formula>
    </cfRule>
    <cfRule type="cellIs" dxfId="35" priority="40" operator="equal">
      <formula>"Mayor"</formula>
    </cfRule>
    <cfRule type="cellIs" dxfId="34" priority="41" operator="equal">
      <formula>"Moderado"</formula>
    </cfRule>
    <cfRule type="cellIs" dxfId="33" priority="42" operator="equal">
      <formula>"Menor"</formula>
    </cfRule>
    <cfRule type="cellIs" dxfId="32" priority="43" operator="equal">
      <formula>"Leve"</formula>
    </cfRule>
  </conditionalFormatting>
  <conditionalFormatting sqref="AE55:AE60">
    <cfRule type="cellIs" dxfId="31" priority="35" operator="equal">
      <formula>"Extremo"</formula>
    </cfRule>
    <cfRule type="cellIs" dxfId="30" priority="36" operator="equal">
      <formula>"Alto"</formula>
    </cfRule>
    <cfRule type="cellIs" dxfId="29" priority="37" operator="equal">
      <formula>"Moderado"</formula>
    </cfRule>
    <cfRule type="cellIs" dxfId="28" priority="38" operator="equal">
      <formula>"Bajo"</formula>
    </cfRule>
  </conditionalFormatting>
  <conditionalFormatting sqref="J61">
    <cfRule type="cellIs" dxfId="27" priority="30" operator="equal">
      <formula>"Muy Alta"</formula>
    </cfRule>
    <cfRule type="cellIs" dxfId="26" priority="31" operator="equal">
      <formula>"Alta"</formula>
    </cfRule>
    <cfRule type="cellIs" dxfId="25" priority="32" operator="equal">
      <formula>"Media"</formula>
    </cfRule>
    <cfRule type="cellIs" dxfId="24" priority="33" operator="equal">
      <formula>"Baja"</formula>
    </cfRule>
    <cfRule type="cellIs" dxfId="23" priority="34" operator="equal">
      <formula>"Muy Baja"</formula>
    </cfRule>
  </conditionalFormatting>
  <conditionalFormatting sqref="P61">
    <cfRule type="cellIs" dxfId="22" priority="21" operator="equal">
      <formula>"Extremo"</formula>
    </cfRule>
    <cfRule type="cellIs" dxfId="21" priority="22" operator="equal">
      <formula>"Alto"</formula>
    </cfRule>
    <cfRule type="cellIs" dxfId="20" priority="23" operator="equal">
      <formula>"Moderado"</formula>
    </cfRule>
    <cfRule type="cellIs" dxfId="19" priority="24" operator="equal">
      <formula>"Bajo"</formula>
    </cfRule>
  </conditionalFormatting>
  <conditionalFormatting sqref="AA61:AA66">
    <cfRule type="cellIs" dxfId="18" priority="16" operator="equal">
      <formula>"Muy Alta"</formula>
    </cfRule>
    <cfRule type="cellIs" dxfId="17" priority="17" operator="equal">
      <formula>"Alta"</formula>
    </cfRule>
    <cfRule type="cellIs" dxfId="16" priority="18" operator="equal">
      <formula>"Media"</formula>
    </cfRule>
    <cfRule type="cellIs" dxfId="15" priority="19" operator="equal">
      <formula>"Baja"</formula>
    </cfRule>
    <cfRule type="cellIs" dxfId="14" priority="20" operator="equal">
      <formula>"Muy Baja"</formula>
    </cfRule>
  </conditionalFormatting>
  <conditionalFormatting sqref="AC61:AC66">
    <cfRule type="cellIs" dxfId="13" priority="11" operator="equal">
      <formula>"Catastrófico"</formula>
    </cfRule>
    <cfRule type="cellIs" dxfId="12" priority="12" operator="equal">
      <formula>"Mayor"</formula>
    </cfRule>
    <cfRule type="cellIs" dxfId="11" priority="13" operator="equal">
      <formula>"Moderado"</formula>
    </cfRule>
    <cfRule type="cellIs" dxfId="10" priority="14" operator="equal">
      <formula>"Menor"</formula>
    </cfRule>
    <cfRule type="cellIs" dxfId="9" priority="15" operator="equal">
      <formula>"Leve"</formula>
    </cfRule>
  </conditionalFormatting>
  <conditionalFormatting sqref="AE61:AE66">
    <cfRule type="cellIs" dxfId="8" priority="7" operator="equal">
      <formula>"Extremo"</formula>
    </cfRule>
    <cfRule type="cellIs" dxfId="7" priority="8" operator="equal">
      <formula>"Alto"</formula>
    </cfRule>
    <cfRule type="cellIs" dxfId="6" priority="9" operator="equal">
      <formula>"Moderado"</formula>
    </cfRule>
    <cfRule type="cellIs" dxfId="5" priority="10" operator="equal">
      <formula>"Bajo"</formula>
    </cfRule>
  </conditionalFormatting>
  <conditionalFormatting sqref="M10:M12 M19:M66">
    <cfRule type="containsText" dxfId="4" priority="6" operator="containsText" text="❌">
      <formula>NOT(ISERROR(SEARCH("❌",M10)))</formula>
    </cfRule>
  </conditionalFormatting>
  <pageMargins left="0.7" right="0.7" top="0.75" bottom="0.75" header="0.3" footer="0.3"/>
  <pageSetup orientation="portrait" r:id="rId1"/>
  <ignoredErrors>
    <ignoredError sqref="AD12" formula="1"/>
  </ignoredErrors>
  <extLst>
    <ext xmlns:x14="http://schemas.microsoft.com/office/spreadsheetml/2009/9/main" uri="{CCE6A557-97BC-4b89-ADB6-D9C93CAAB3DF}">
      <x14:dataValidations xmlns:xm="http://schemas.microsoft.com/office/excel/2006/main" count="16">
        <x14:dataValidation type="list" allowBlank="1" showInputMessage="1" showErrorMessage="1">
          <x14:formula1>
            <xm:f>'Opciones Tratamiento'!$B$9:$B$10</xm:f>
          </x14:formula1>
          <xm:sqref>AL10:AL11 AL19:AL20 AL22:AL23 AL25:AL26 AL28:AL29 AL31:AL32 AL34:AL35 AL37:AL38 AL40:AL41 AL43:AL44 AL46:AL47 AL49:AL50 AL52:AL53 AL55:AL56 AL58:AL59 AL61:AL62 AL64:AL65</xm:sqref>
        </x14:dataValidation>
        <x14:dataValidation type="list" allowBlank="1" showInputMessage="1" showErrorMessage="1">
          <x14:formula1>
            <xm:f>'Opciones Tratamiento'!$B$13:$B$19</xm:f>
          </x14:formula1>
          <xm:sqref>H12 G10:G12 G19:H66</xm:sqref>
        </x14:dataValidation>
        <x14:dataValidation type="list" allowBlank="1" showInputMessage="1" showErrorMessage="1">
          <x14:formula1>
            <xm:f>'Opciones Tratamiento'!$E$2:$E$4</xm:f>
          </x14:formula1>
          <xm:sqref>B10:B66</xm:sqref>
        </x14:dataValidation>
        <x14:dataValidation type="custom" allowBlank="1" showInputMessage="1" showErrorMessage="1" error="Recuerde que las acciones se generan bajo la medida de mitigar el riesgo">
          <x14:formula1>
            <xm:f>IF(OR(AF19='Opciones Tratamiento'!$B$2,AF19='Opciones Tratamiento'!$B$3,AF19='Opciones Tratamiento'!$B$4),ISBLANK(AF19),ISTEXT(AF19))</xm:f>
          </x14:formula1>
          <xm:sqref>AG19:AG66</xm:sqref>
        </x14:dataValidation>
        <x14:dataValidation type="custom" allowBlank="1" showInputMessage="1" showErrorMessage="1" error="Recuerde que las acciones se generan bajo la medida de mitigar el riesgo">
          <x14:formula1>
            <xm:f>IF(OR(AF11='Opciones Tratamiento'!$B$2,AF11='Opciones Tratamiento'!$B$3,AF11='Opciones Tratamiento'!$B$4),ISBLANK(AF11),ISTEXT(AF11))</xm:f>
          </x14:formula1>
          <xm:sqref>AG10</xm:sqref>
        </x14:dataValidation>
        <x14:dataValidation type="list" allowBlank="1" showInputMessage="1" showErrorMessage="1">
          <x14:formula1>
            <xm:f>'Tabla Valoración controles'!$D$4:$D$6</xm:f>
          </x14:formula1>
          <xm:sqref>T10:T12 T19:T66</xm:sqref>
        </x14:dataValidation>
        <x14:dataValidation type="list" allowBlank="1" showInputMessage="1" showErrorMessage="1">
          <x14:formula1>
            <xm:f>'Tabla Valoración controles'!$D$7:$D$8</xm:f>
          </x14:formula1>
          <xm:sqref>U10:U12 U19:U66</xm:sqref>
        </x14:dataValidation>
        <x14:dataValidation type="list" allowBlank="1" showInputMessage="1" showErrorMessage="1">
          <x14:formula1>
            <xm:f>'Tabla Valoración controles'!$D$9:$D$10</xm:f>
          </x14:formula1>
          <xm:sqref>W10:W12 W19:W66</xm:sqref>
        </x14:dataValidation>
        <x14:dataValidation type="list" allowBlank="1" showInputMessage="1" showErrorMessage="1">
          <x14:formula1>
            <xm:f>'Tabla Valoración controles'!$D$11:$D$12</xm:f>
          </x14:formula1>
          <xm:sqref>X10:X12 X19:X66</xm:sqref>
        </x14:dataValidation>
        <x14:dataValidation type="list" allowBlank="1" showInputMessage="1" showErrorMessage="1">
          <x14:formula1>
            <xm:f>'Tabla Valoración controles'!$D$13:$D$14</xm:f>
          </x14:formula1>
          <xm:sqref>Y10:Y12 Y19:Y66</xm:sqref>
        </x14:dataValidation>
        <x14:dataValidation type="list" allowBlank="1" showInputMessage="1" showErrorMessage="1">
          <x14:formula1>
            <xm:f>'Opciones Tratamiento'!$B$2:$B$5</xm:f>
          </x14:formula1>
          <xm:sqref>AF10:AF12 AF19:AF66</xm:sqref>
        </x14:dataValidation>
        <x14:dataValidation type="list" allowBlank="1" showInputMessage="1" showErrorMessage="1">
          <x14:formula1>
            <xm:f>'Tabla Impacto'!$F$210:$F$221</xm:f>
          </x14:formula1>
          <xm:sqref>L10:L12 L19:L66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AH10:AH12 AH19:AH66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AI10:AI12 AI19:AI66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AJ10:AJ12 AJ19:AJ66</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AK10:AK12 AK19:AK66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L12" sqref="L12:M13"/>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42" t="s">
        <v>161</v>
      </c>
      <c r="C2" s="342"/>
      <c r="D2" s="342"/>
      <c r="E2" s="342"/>
      <c r="F2" s="342"/>
      <c r="G2" s="342"/>
      <c r="H2" s="342"/>
      <c r="I2" s="342"/>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42"/>
      <c r="C3" s="342"/>
      <c r="D3" s="342"/>
      <c r="E3" s="342"/>
      <c r="F3" s="342"/>
      <c r="G3" s="342"/>
      <c r="H3" s="342"/>
      <c r="I3" s="342"/>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42"/>
      <c r="C4" s="342"/>
      <c r="D4" s="342"/>
      <c r="E4" s="342"/>
      <c r="F4" s="342"/>
      <c r="G4" s="342"/>
      <c r="H4" s="342"/>
      <c r="I4" s="342"/>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57" t="s">
        <v>4</v>
      </c>
      <c r="C6" s="257"/>
      <c r="D6" s="258"/>
      <c r="E6" s="295" t="s">
        <v>116</v>
      </c>
      <c r="F6" s="296"/>
      <c r="G6" s="296"/>
      <c r="H6" s="296"/>
      <c r="I6" s="297"/>
      <c r="J6" s="306" t="str">
        <f ca="1">IF(AND('Mapa final'!$J$10="Muy Alta",'Mapa final'!$N$10="Leve"),CONCATENATE("R",'Mapa final'!$A$10),"")</f>
        <v/>
      </c>
      <c r="K6" s="307"/>
      <c r="L6" s="307" t="str">
        <f>IF(AND([1]Hoja1!$G$2="Muy Alta",[1]Hoja1!$K$3="Leve"),CONCATENATE("R",'Mapa final'!$A$13),"")</f>
        <v/>
      </c>
      <c r="M6" s="307"/>
      <c r="N6" s="307" t="str">
        <f ca="1">IF(AND('Mapa final'!$J$19="Muy Alta",'Mapa final'!$N$19="Leve"),CONCATENATE("R",'Mapa final'!$A$19),"")</f>
        <v/>
      </c>
      <c r="O6" s="309"/>
      <c r="P6" s="306" t="str">
        <f ca="1">IF(AND('Mapa final'!$J$10="Muy Alta",'Mapa final'!$N$10="Menor"),CONCATENATE("R",'Mapa final'!$A$10),"")</f>
        <v/>
      </c>
      <c r="Q6" s="307"/>
      <c r="R6" s="307" t="str">
        <f>IF(AND([1]Hoja1!$G$2="Muy Alta",[1]Hoja1!$K$3="Menor"),CONCATENATE("R",'Mapa final'!$A$13),"")</f>
        <v/>
      </c>
      <c r="S6" s="307"/>
      <c r="T6" s="307" t="str">
        <f ca="1">IF(AND('Mapa final'!$J$19="Muy Alta",'Mapa final'!$N$19="Menor"),CONCATENATE("R",'Mapa final'!$A$19),"")</f>
        <v/>
      </c>
      <c r="U6" s="309"/>
      <c r="V6" s="306" t="str">
        <f ca="1">IF(AND('Mapa final'!$J$10="Muy Alta",'Mapa final'!$N$10="Moderado"),CONCATENATE("R",'Mapa final'!$A$10),"")</f>
        <v/>
      </c>
      <c r="W6" s="307"/>
      <c r="X6" s="307" t="str">
        <f>IF(AND([1]Hoja1!$G$2="Muy Alta",[1]Hoja1!$K$3="Moderado"),CONCATENATE("R",'Mapa final'!$A$13),"")</f>
        <v/>
      </c>
      <c r="Y6" s="307"/>
      <c r="Z6" s="307" t="str">
        <f ca="1">IF(AND('Mapa final'!$J$19="Muy Alta",'Mapa final'!$N$19="Moderado"),CONCATENATE("R",'Mapa final'!$A$19),"")</f>
        <v/>
      </c>
      <c r="AA6" s="309"/>
      <c r="AB6" s="306" t="str">
        <f ca="1">IF(AND('Mapa final'!$J$10="Muy Alta",'Mapa final'!$N$10="Mayor"),CONCATENATE("R",'Mapa final'!$A$10),"")</f>
        <v/>
      </c>
      <c r="AC6" s="307"/>
      <c r="AD6" s="307" t="str">
        <f>IF(AND([1]Hoja1!$G$2="Muy Alta",[1]Hoja1!$K$3="Mayor"),CONCATENATE("R",'Mapa final'!$A$13),"")</f>
        <v/>
      </c>
      <c r="AE6" s="307"/>
      <c r="AF6" s="307" t="str">
        <f ca="1">IF(AND('Mapa final'!$J$19="Muy Alta",'Mapa final'!$N$19="Mayor"),CONCATENATE("R",'Mapa final'!$A$19),"")</f>
        <v/>
      </c>
      <c r="AG6" s="309"/>
      <c r="AH6" s="321" t="str">
        <f ca="1">IF(AND('Mapa final'!$J$10="Muy Alta",'Mapa final'!$N$10="Catastrófico"),CONCATENATE("R",'Mapa final'!$A$10),"")</f>
        <v/>
      </c>
      <c r="AI6" s="322"/>
      <c r="AJ6" s="322" t="str">
        <f>IF(AND([1]Hoja1!$G$2="Muy Alta",[1]Hoja1!$K$3="Catastrófico"),CONCATENATE("R",'Mapa final'!$A$13),"")</f>
        <v/>
      </c>
      <c r="AK6" s="322"/>
      <c r="AL6" s="322" t="str">
        <f ca="1">IF(AND('Mapa final'!$J$19="Muy Alta",'Mapa final'!$N$19="Catastrófico"),CONCATENATE("R",'Mapa final'!$A$19),"")</f>
        <v/>
      </c>
      <c r="AM6" s="323"/>
      <c r="AO6" s="259" t="s">
        <v>79</v>
      </c>
      <c r="AP6" s="260"/>
      <c r="AQ6" s="260"/>
      <c r="AR6" s="260"/>
      <c r="AS6" s="260"/>
      <c r="AT6" s="26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57"/>
      <c r="C7" s="257"/>
      <c r="D7" s="258"/>
      <c r="E7" s="298"/>
      <c r="F7" s="299"/>
      <c r="G7" s="299"/>
      <c r="H7" s="299"/>
      <c r="I7" s="300"/>
      <c r="J7" s="308"/>
      <c r="K7" s="304"/>
      <c r="L7" s="304"/>
      <c r="M7" s="304"/>
      <c r="N7" s="304"/>
      <c r="O7" s="305"/>
      <c r="P7" s="308"/>
      <c r="Q7" s="304"/>
      <c r="R7" s="304"/>
      <c r="S7" s="304"/>
      <c r="T7" s="304"/>
      <c r="U7" s="305"/>
      <c r="V7" s="308"/>
      <c r="W7" s="304"/>
      <c r="X7" s="304"/>
      <c r="Y7" s="304"/>
      <c r="Z7" s="304"/>
      <c r="AA7" s="305"/>
      <c r="AB7" s="308"/>
      <c r="AC7" s="304"/>
      <c r="AD7" s="304"/>
      <c r="AE7" s="304"/>
      <c r="AF7" s="304"/>
      <c r="AG7" s="305"/>
      <c r="AH7" s="315"/>
      <c r="AI7" s="316"/>
      <c r="AJ7" s="316"/>
      <c r="AK7" s="316"/>
      <c r="AL7" s="316"/>
      <c r="AM7" s="317"/>
      <c r="AN7" s="83"/>
      <c r="AO7" s="262"/>
      <c r="AP7" s="263"/>
      <c r="AQ7" s="263"/>
      <c r="AR7" s="263"/>
      <c r="AS7" s="263"/>
      <c r="AT7" s="26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57"/>
      <c r="C8" s="257"/>
      <c r="D8" s="258"/>
      <c r="E8" s="298"/>
      <c r="F8" s="299"/>
      <c r="G8" s="299"/>
      <c r="H8" s="299"/>
      <c r="I8" s="300"/>
      <c r="J8" s="308" t="str">
        <f ca="1">IF(AND('Mapa final'!$J$25="Muy Alta",'Mapa final'!$N$25="Leve"),CONCATENATE("R",'Mapa final'!$A$25),"")</f>
        <v/>
      </c>
      <c r="K8" s="304"/>
      <c r="L8" s="304" t="str">
        <f ca="1">IF(AND('Mapa final'!$J$31="Muy Alta",'Mapa final'!$N$31="Leve"),CONCATENATE("R",'Mapa final'!$A$31),"")</f>
        <v/>
      </c>
      <c r="M8" s="304"/>
      <c r="N8" s="304" t="str">
        <f ca="1">IF(AND('Mapa final'!$J$37="Muy Alta",'Mapa final'!$N$37="Leve"),CONCATENATE("R",'Mapa final'!$A$37),"")</f>
        <v/>
      </c>
      <c r="O8" s="305"/>
      <c r="P8" s="308" t="str">
        <f ca="1">IF(AND('Mapa final'!$J$25="Muy Alta",'Mapa final'!$N$25="Menor"),CONCATENATE("R",'Mapa final'!$A$25),"")</f>
        <v/>
      </c>
      <c r="Q8" s="304"/>
      <c r="R8" s="304" t="str">
        <f ca="1">IF(AND('Mapa final'!$J$31="Muy Alta",'Mapa final'!$N$31="Menor"),CONCATENATE("R",'Mapa final'!$A$31),"")</f>
        <v/>
      </c>
      <c r="S8" s="304"/>
      <c r="T8" s="304" t="str">
        <f ca="1">IF(AND('Mapa final'!$J$37="Muy Alta",'Mapa final'!$N$37="Menor"),CONCATENATE("R",'Mapa final'!$A$37),"")</f>
        <v/>
      </c>
      <c r="U8" s="305"/>
      <c r="V8" s="308" t="str">
        <f ca="1">IF(AND('Mapa final'!$J$25="Muy Alta",'Mapa final'!$N$25="Moderado"),CONCATENATE("R",'Mapa final'!$A$25),"")</f>
        <v/>
      </c>
      <c r="W8" s="304"/>
      <c r="X8" s="304" t="str">
        <f ca="1">IF(AND('Mapa final'!$J$31="Muy Alta",'Mapa final'!$N$31="Moderado"),CONCATENATE("R",'Mapa final'!$A$31),"")</f>
        <v/>
      </c>
      <c r="Y8" s="304"/>
      <c r="Z8" s="304" t="str">
        <f ca="1">IF(AND('Mapa final'!$J$37="Muy Alta",'Mapa final'!$N$37="Moderado"),CONCATENATE("R",'Mapa final'!$A$37),"")</f>
        <v/>
      </c>
      <c r="AA8" s="305"/>
      <c r="AB8" s="308" t="str">
        <f ca="1">IF(AND('Mapa final'!$J$25="Muy Alta",'Mapa final'!$N$25="Mayor"),CONCATENATE("R",'Mapa final'!$A$25),"")</f>
        <v/>
      </c>
      <c r="AC8" s="304"/>
      <c r="AD8" s="304" t="str">
        <f ca="1">IF(AND('Mapa final'!$J$31="Muy Alta",'Mapa final'!$N$31="Mayor"),CONCATENATE("R",'Mapa final'!$A$31),"")</f>
        <v/>
      </c>
      <c r="AE8" s="304"/>
      <c r="AF8" s="304" t="str">
        <f ca="1">IF(AND('Mapa final'!$J$37="Muy Alta",'Mapa final'!$N$37="Mayor"),CONCATENATE("R",'Mapa final'!$A$37),"")</f>
        <v/>
      </c>
      <c r="AG8" s="305"/>
      <c r="AH8" s="315" t="str">
        <f ca="1">IF(AND('Mapa final'!$J$25="Muy Alta",'Mapa final'!$N$25="Catastrófico"),CONCATENATE("R",'Mapa final'!$A$25),"")</f>
        <v/>
      </c>
      <c r="AI8" s="316"/>
      <c r="AJ8" s="316" t="str">
        <f ca="1">IF(AND('Mapa final'!$J$31="Muy Alta",'Mapa final'!$N$31="Catastrófico"),CONCATENATE("R",'Mapa final'!$A$31),"")</f>
        <v/>
      </c>
      <c r="AK8" s="316"/>
      <c r="AL8" s="316" t="str">
        <f ca="1">IF(AND('Mapa final'!$J$37="Muy Alta",'Mapa final'!$N$37="Catastrófico"),CONCATENATE("R",'Mapa final'!$A$37),"")</f>
        <v/>
      </c>
      <c r="AM8" s="317"/>
      <c r="AN8" s="83"/>
      <c r="AO8" s="262"/>
      <c r="AP8" s="263"/>
      <c r="AQ8" s="263"/>
      <c r="AR8" s="263"/>
      <c r="AS8" s="263"/>
      <c r="AT8" s="26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57"/>
      <c r="C9" s="257"/>
      <c r="D9" s="258"/>
      <c r="E9" s="298"/>
      <c r="F9" s="299"/>
      <c r="G9" s="299"/>
      <c r="H9" s="299"/>
      <c r="I9" s="300"/>
      <c r="J9" s="308"/>
      <c r="K9" s="304"/>
      <c r="L9" s="304"/>
      <c r="M9" s="304"/>
      <c r="N9" s="304"/>
      <c r="O9" s="305"/>
      <c r="P9" s="308"/>
      <c r="Q9" s="304"/>
      <c r="R9" s="304"/>
      <c r="S9" s="304"/>
      <c r="T9" s="304"/>
      <c r="U9" s="305"/>
      <c r="V9" s="308"/>
      <c r="W9" s="304"/>
      <c r="X9" s="304"/>
      <c r="Y9" s="304"/>
      <c r="Z9" s="304"/>
      <c r="AA9" s="305"/>
      <c r="AB9" s="308"/>
      <c r="AC9" s="304"/>
      <c r="AD9" s="304"/>
      <c r="AE9" s="304"/>
      <c r="AF9" s="304"/>
      <c r="AG9" s="305"/>
      <c r="AH9" s="315"/>
      <c r="AI9" s="316"/>
      <c r="AJ9" s="316"/>
      <c r="AK9" s="316"/>
      <c r="AL9" s="316"/>
      <c r="AM9" s="317"/>
      <c r="AN9" s="83"/>
      <c r="AO9" s="262"/>
      <c r="AP9" s="263"/>
      <c r="AQ9" s="263"/>
      <c r="AR9" s="263"/>
      <c r="AS9" s="263"/>
      <c r="AT9" s="26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57"/>
      <c r="C10" s="257"/>
      <c r="D10" s="258"/>
      <c r="E10" s="298"/>
      <c r="F10" s="299"/>
      <c r="G10" s="299"/>
      <c r="H10" s="299"/>
      <c r="I10" s="300"/>
      <c r="J10" s="308" t="str">
        <f ca="1">IF(AND('Mapa final'!$J$43="Muy Alta",'Mapa final'!$N$43="Leve"),CONCATENATE("R",'Mapa final'!$A$43),"")</f>
        <v/>
      </c>
      <c r="K10" s="304"/>
      <c r="L10" s="304" t="str">
        <f ca="1">IF(AND('Mapa final'!$J$49="Muy Alta",'Mapa final'!$N$49="Leve"),CONCATENATE("R",'Mapa final'!$A$49),"")</f>
        <v/>
      </c>
      <c r="M10" s="304"/>
      <c r="N10" s="304" t="str">
        <f ca="1">IF(AND('Mapa final'!$J$55="Muy Alta",'Mapa final'!$N$55="Leve"),CONCATENATE("R",'Mapa final'!$A$55),"")</f>
        <v/>
      </c>
      <c r="O10" s="305"/>
      <c r="P10" s="308" t="str">
        <f ca="1">IF(AND('Mapa final'!$J$43="Muy Alta",'Mapa final'!$N$43="Menor"),CONCATENATE("R",'Mapa final'!$A$43),"")</f>
        <v/>
      </c>
      <c r="Q10" s="304"/>
      <c r="R10" s="304" t="str">
        <f ca="1">IF(AND('Mapa final'!$J$49="Muy Alta",'Mapa final'!$N$49="Menor"),CONCATENATE("R",'Mapa final'!$A$49),"")</f>
        <v/>
      </c>
      <c r="S10" s="304"/>
      <c r="T10" s="304" t="str">
        <f ca="1">IF(AND('Mapa final'!$J$55="Muy Alta",'Mapa final'!$N$55="Menor"),CONCATENATE("R",'Mapa final'!$A$55),"")</f>
        <v/>
      </c>
      <c r="U10" s="305"/>
      <c r="V10" s="308" t="str">
        <f ca="1">IF(AND('Mapa final'!$J$43="Muy Alta",'Mapa final'!$N$43="Moderado"),CONCATENATE("R",'Mapa final'!$A$43),"")</f>
        <v/>
      </c>
      <c r="W10" s="304"/>
      <c r="X10" s="304" t="str">
        <f ca="1">IF(AND('Mapa final'!$J$49="Muy Alta",'Mapa final'!$N$49="Moderado"),CONCATENATE("R",'Mapa final'!$A$49),"")</f>
        <v/>
      </c>
      <c r="Y10" s="304"/>
      <c r="Z10" s="304" t="str">
        <f ca="1">IF(AND('Mapa final'!$J$55="Muy Alta",'Mapa final'!$N$55="Moderado"),CONCATENATE("R",'Mapa final'!$A$55),"")</f>
        <v/>
      </c>
      <c r="AA10" s="305"/>
      <c r="AB10" s="308" t="str">
        <f ca="1">IF(AND('Mapa final'!$J$43="Muy Alta",'Mapa final'!$N$43="Mayor"),CONCATENATE("R",'Mapa final'!$A$43),"")</f>
        <v/>
      </c>
      <c r="AC10" s="304"/>
      <c r="AD10" s="304" t="str">
        <f ca="1">IF(AND('Mapa final'!$J$49="Muy Alta",'Mapa final'!$N$49="Mayor"),CONCATENATE("R",'Mapa final'!$A$49),"")</f>
        <v/>
      </c>
      <c r="AE10" s="304"/>
      <c r="AF10" s="304" t="str">
        <f ca="1">IF(AND('Mapa final'!$J$55="Muy Alta",'Mapa final'!$N$55="Mayor"),CONCATENATE("R",'Mapa final'!$A$55),"")</f>
        <v/>
      </c>
      <c r="AG10" s="305"/>
      <c r="AH10" s="315" t="str">
        <f ca="1">IF(AND('Mapa final'!$J$43="Muy Alta",'Mapa final'!$N$43="Catastrófico"),CONCATENATE("R",'Mapa final'!$A$43),"")</f>
        <v/>
      </c>
      <c r="AI10" s="316"/>
      <c r="AJ10" s="316" t="str">
        <f ca="1">IF(AND('Mapa final'!$J$49="Muy Alta",'Mapa final'!$N$49="Catastrófico"),CONCATENATE("R",'Mapa final'!$A$49),"")</f>
        <v/>
      </c>
      <c r="AK10" s="316"/>
      <c r="AL10" s="316" t="str">
        <f ca="1">IF(AND('Mapa final'!$J$55="Muy Alta",'Mapa final'!$N$55="Catastrófico"),CONCATENATE("R",'Mapa final'!$A$55),"")</f>
        <v/>
      </c>
      <c r="AM10" s="317"/>
      <c r="AN10" s="83"/>
      <c r="AO10" s="262"/>
      <c r="AP10" s="263"/>
      <c r="AQ10" s="263"/>
      <c r="AR10" s="263"/>
      <c r="AS10" s="263"/>
      <c r="AT10" s="26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57"/>
      <c r="C11" s="257"/>
      <c r="D11" s="258"/>
      <c r="E11" s="298"/>
      <c r="F11" s="299"/>
      <c r="G11" s="299"/>
      <c r="H11" s="299"/>
      <c r="I11" s="300"/>
      <c r="J11" s="308"/>
      <c r="K11" s="304"/>
      <c r="L11" s="304"/>
      <c r="M11" s="304"/>
      <c r="N11" s="304"/>
      <c r="O11" s="305"/>
      <c r="P11" s="308"/>
      <c r="Q11" s="304"/>
      <c r="R11" s="304"/>
      <c r="S11" s="304"/>
      <c r="T11" s="304"/>
      <c r="U11" s="305"/>
      <c r="V11" s="308"/>
      <c r="W11" s="304"/>
      <c r="X11" s="304"/>
      <c r="Y11" s="304"/>
      <c r="Z11" s="304"/>
      <c r="AA11" s="305"/>
      <c r="AB11" s="308"/>
      <c r="AC11" s="304"/>
      <c r="AD11" s="304"/>
      <c r="AE11" s="304"/>
      <c r="AF11" s="304"/>
      <c r="AG11" s="305"/>
      <c r="AH11" s="315"/>
      <c r="AI11" s="316"/>
      <c r="AJ11" s="316"/>
      <c r="AK11" s="316"/>
      <c r="AL11" s="316"/>
      <c r="AM11" s="317"/>
      <c r="AN11" s="83"/>
      <c r="AO11" s="262"/>
      <c r="AP11" s="263"/>
      <c r="AQ11" s="263"/>
      <c r="AR11" s="263"/>
      <c r="AS11" s="263"/>
      <c r="AT11" s="26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57"/>
      <c r="C12" s="257"/>
      <c r="D12" s="258"/>
      <c r="E12" s="298"/>
      <c r="F12" s="299"/>
      <c r="G12" s="299"/>
      <c r="H12" s="299"/>
      <c r="I12" s="300"/>
      <c r="J12" s="308" t="str">
        <f ca="1">IF(AND('Mapa final'!$J$61="Muy Alta",'Mapa final'!$N$61="Leve"),CONCATENATE("R",'Mapa final'!$A$61),"")</f>
        <v/>
      </c>
      <c r="K12" s="304"/>
      <c r="L12" s="304" t="str">
        <f>IF(AND('Mapa final'!$J$67="Muy Alta",'Mapa final'!$N$67="Leve"),CONCATENATE("R",'Mapa final'!$A$67),"")</f>
        <v/>
      </c>
      <c r="M12" s="304"/>
      <c r="N12" s="304" t="str">
        <f>IF(AND('Mapa final'!$J$73="Muy Alta",'Mapa final'!$N$73="Leve"),CONCATENATE("R",'Mapa final'!$A$73),"")</f>
        <v/>
      </c>
      <c r="O12" s="305"/>
      <c r="P12" s="308" t="str">
        <f ca="1">IF(AND('Mapa final'!$J$61="Muy Alta",'Mapa final'!$N$61="Menor"),CONCATENATE("R",'Mapa final'!$A$61),"")</f>
        <v/>
      </c>
      <c r="Q12" s="304"/>
      <c r="R12" s="304" t="str">
        <f>IF(AND('Mapa final'!$J$67="Muy Alta",'Mapa final'!$N$67="Menor"),CONCATENATE("R",'Mapa final'!$A$67),"")</f>
        <v/>
      </c>
      <c r="S12" s="304"/>
      <c r="T12" s="304" t="str">
        <f>IF(AND('Mapa final'!$J$73="Muy Alta",'Mapa final'!$N$73="Menor"),CONCATENATE("R",'Mapa final'!$A$73),"")</f>
        <v/>
      </c>
      <c r="U12" s="305"/>
      <c r="V12" s="308" t="str">
        <f ca="1">IF(AND('Mapa final'!$J$61="Muy Alta",'Mapa final'!$N$61="Moderado"),CONCATENATE("R",'Mapa final'!$A$61),"")</f>
        <v/>
      </c>
      <c r="W12" s="304"/>
      <c r="X12" s="304" t="str">
        <f>IF(AND('Mapa final'!$J$67="Muy Alta",'Mapa final'!$N$67="Moderado"),CONCATENATE("R",'Mapa final'!$A$67),"")</f>
        <v/>
      </c>
      <c r="Y12" s="304"/>
      <c r="Z12" s="304" t="str">
        <f>IF(AND('Mapa final'!$J$73="Muy Alta",'Mapa final'!$N$73="Moderado"),CONCATENATE("R",'Mapa final'!$A$73),"")</f>
        <v/>
      </c>
      <c r="AA12" s="305"/>
      <c r="AB12" s="308" t="str">
        <f ca="1">IF(AND('Mapa final'!$J$61="Muy Alta",'Mapa final'!$N$61="Mayor"),CONCATENATE("R",'Mapa final'!$A$61),"")</f>
        <v/>
      </c>
      <c r="AC12" s="304"/>
      <c r="AD12" s="304" t="str">
        <f>IF(AND('Mapa final'!$J$67="Muy Alta",'Mapa final'!$N$67="Mayor"),CONCATENATE("R",'Mapa final'!$A$67),"")</f>
        <v/>
      </c>
      <c r="AE12" s="304"/>
      <c r="AF12" s="304" t="str">
        <f>IF(AND('Mapa final'!$J$73="Muy Alta",'Mapa final'!$N$73="Mayor"),CONCATENATE("R",'Mapa final'!$A$73),"")</f>
        <v/>
      </c>
      <c r="AG12" s="305"/>
      <c r="AH12" s="315" t="str">
        <f ca="1">IF(AND('Mapa final'!$J$61="Muy Alta",'Mapa final'!$N$61="Catastrófico"),CONCATENATE("R",'Mapa final'!$A$61),"")</f>
        <v/>
      </c>
      <c r="AI12" s="316"/>
      <c r="AJ12" s="316" t="str">
        <f>IF(AND('Mapa final'!$J$67="Muy Alta",'Mapa final'!$N$67="Catastrófico"),CONCATENATE("R",'Mapa final'!$A$67),"")</f>
        <v/>
      </c>
      <c r="AK12" s="316"/>
      <c r="AL12" s="316" t="str">
        <f>IF(AND('Mapa final'!$J$73="Muy Alta",'Mapa final'!$N$73="Catastrófico"),CONCATENATE("R",'Mapa final'!$A$73),"")</f>
        <v/>
      </c>
      <c r="AM12" s="317"/>
      <c r="AN12" s="83"/>
      <c r="AO12" s="262"/>
      <c r="AP12" s="263"/>
      <c r="AQ12" s="263"/>
      <c r="AR12" s="263"/>
      <c r="AS12" s="263"/>
      <c r="AT12" s="26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57"/>
      <c r="C13" s="257"/>
      <c r="D13" s="258"/>
      <c r="E13" s="301"/>
      <c r="F13" s="302"/>
      <c r="G13" s="302"/>
      <c r="H13" s="302"/>
      <c r="I13" s="303"/>
      <c r="J13" s="308"/>
      <c r="K13" s="304"/>
      <c r="L13" s="304"/>
      <c r="M13" s="304"/>
      <c r="N13" s="304"/>
      <c r="O13" s="305"/>
      <c r="P13" s="308"/>
      <c r="Q13" s="304"/>
      <c r="R13" s="304"/>
      <c r="S13" s="304"/>
      <c r="T13" s="304"/>
      <c r="U13" s="305"/>
      <c r="V13" s="308"/>
      <c r="W13" s="304"/>
      <c r="X13" s="304"/>
      <c r="Y13" s="304"/>
      <c r="Z13" s="304"/>
      <c r="AA13" s="305"/>
      <c r="AB13" s="308"/>
      <c r="AC13" s="304"/>
      <c r="AD13" s="304"/>
      <c r="AE13" s="304"/>
      <c r="AF13" s="304"/>
      <c r="AG13" s="305"/>
      <c r="AH13" s="318"/>
      <c r="AI13" s="319"/>
      <c r="AJ13" s="319"/>
      <c r="AK13" s="319"/>
      <c r="AL13" s="319"/>
      <c r="AM13" s="320"/>
      <c r="AN13" s="83"/>
      <c r="AO13" s="265"/>
      <c r="AP13" s="266"/>
      <c r="AQ13" s="266"/>
      <c r="AR13" s="266"/>
      <c r="AS13" s="266"/>
      <c r="AT13" s="26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57"/>
      <c r="C14" s="257"/>
      <c r="D14" s="258"/>
      <c r="E14" s="295" t="s">
        <v>115</v>
      </c>
      <c r="F14" s="296"/>
      <c r="G14" s="296"/>
      <c r="H14" s="296"/>
      <c r="I14" s="296"/>
      <c r="J14" s="330" t="str">
        <f ca="1">IF(AND('Mapa final'!$J$10="Alta",'Mapa final'!$N$10="Leve"),CONCATENATE("R",'Mapa final'!$A$10),"")</f>
        <v/>
      </c>
      <c r="K14" s="331"/>
      <c r="L14" s="331" t="str">
        <f>IF(AND([1]Hoja1!$G$2="Alta",[1]Hoja1!$K$3="Leve"),CONCATENATE("R",'Mapa final'!$A$13),"")</f>
        <v/>
      </c>
      <c r="M14" s="331"/>
      <c r="N14" s="331" t="str">
        <f ca="1">IF(AND('Mapa final'!$J$19="Alta",'Mapa final'!$N$19="Leve"),CONCATENATE("R",'Mapa final'!$A$19),"")</f>
        <v/>
      </c>
      <c r="O14" s="332"/>
      <c r="P14" s="330" t="str">
        <f ca="1">IF(AND('Mapa final'!$J$10="Alta",'Mapa final'!$N$10="Menor"),CONCATENATE("R",'Mapa final'!$A$10),"")</f>
        <v/>
      </c>
      <c r="Q14" s="331"/>
      <c r="R14" s="331" t="str">
        <f>IF(AND([1]Hoja1!$G$2="Alta",[1]Hoja1!$K$3="Menor"),CONCATENATE("R",'Mapa final'!$A$13),"")</f>
        <v/>
      </c>
      <c r="S14" s="331"/>
      <c r="T14" s="331" t="str">
        <f ca="1">IF(AND('Mapa final'!$J$19="Alta",'Mapa final'!$N$19="Menor"),CONCATENATE("R",'Mapa final'!$A$19),"")</f>
        <v/>
      </c>
      <c r="U14" s="332"/>
      <c r="V14" s="306" t="str">
        <f ca="1">IF(AND('Mapa final'!$J$10="Alta",'Mapa final'!$N$10="Moderado"),CONCATENATE("R",'Mapa final'!$A$10),"")</f>
        <v/>
      </c>
      <c r="W14" s="307"/>
      <c r="X14" s="307" t="str">
        <f>IF(AND([1]Hoja1!$G$2="Alta",[1]Hoja1!$K$3="Moderado"),CONCATENATE("R",'Mapa final'!$A$13),"")</f>
        <v/>
      </c>
      <c r="Y14" s="307"/>
      <c r="Z14" s="307" t="str">
        <f ca="1">IF(AND('Mapa final'!$J$19="Alta",'Mapa final'!$N$19="Moderado"),CONCATENATE("R",'Mapa final'!$A$19),"")</f>
        <v/>
      </c>
      <c r="AA14" s="309"/>
      <c r="AB14" s="306" t="str">
        <f ca="1">IF(AND('Mapa final'!$J$10="Alta",'Mapa final'!$N$10="Mayor"),CONCATENATE("R",'Mapa final'!$A$10),"")</f>
        <v/>
      </c>
      <c r="AC14" s="307"/>
      <c r="AD14" s="307" t="str">
        <f>IF(AND([1]Hoja1!$G$2="Alta",[1]Hoja1!$K$3="Mayor"),CONCATENATE("R",'Mapa final'!$A$13),"")</f>
        <v/>
      </c>
      <c r="AE14" s="307"/>
      <c r="AF14" s="307" t="str">
        <f ca="1">IF(AND('Mapa final'!$J$19="Alta",'Mapa final'!$N$19="Mayor"),CONCATENATE("R",'Mapa final'!$A$19),"")</f>
        <v/>
      </c>
      <c r="AG14" s="309"/>
      <c r="AH14" s="321" t="str">
        <f ca="1">IF(AND('Mapa final'!$J$10="Alta",'Mapa final'!$N$10="Catastrófico"),CONCATENATE("R",'Mapa final'!$A$10),"")</f>
        <v/>
      </c>
      <c r="AI14" s="322"/>
      <c r="AJ14" s="322" t="str">
        <f>IF(AND([1]Hoja1!$G$2="Alta",[1]Hoja1!$K$3="Catastrófico"),CONCATENATE("R",'Mapa final'!$A$13),"")</f>
        <v/>
      </c>
      <c r="AK14" s="322"/>
      <c r="AL14" s="322" t="str">
        <f ca="1">IF(AND('Mapa final'!$J$19="Alta",'Mapa final'!$N$19="Catastrófico"),CONCATENATE("R",'Mapa final'!$A$19),"")</f>
        <v/>
      </c>
      <c r="AM14" s="323"/>
      <c r="AN14" s="83"/>
      <c r="AO14" s="268" t="s">
        <v>80</v>
      </c>
      <c r="AP14" s="269"/>
      <c r="AQ14" s="269"/>
      <c r="AR14" s="269"/>
      <c r="AS14" s="269"/>
      <c r="AT14" s="270"/>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57"/>
      <c r="C15" s="257"/>
      <c r="D15" s="258"/>
      <c r="E15" s="298"/>
      <c r="F15" s="299"/>
      <c r="G15" s="299"/>
      <c r="H15" s="299"/>
      <c r="I15" s="299"/>
      <c r="J15" s="324"/>
      <c r="K15" s="325"/>
      <c r="L15" s="325"/>
      <c r="M15" s="325"/>
      <c r="N15" s="325"/>
      <c r="O15" s="326"/>
      <c r="P15" s="324"/>
      <c r="Q15" s="325"/>
      <c r="R15" s="325"/>
      <c r="S15" s="325"/>
      <c r="T15" s="325"/>
      <c r="U15" s="326"/>
      <c r="V15" s="308"/>
      <c r="W15" s="304"/>
      <c r="X15" s="304"/>
      <c r="Y15" s="304"/>
      <c r="Z15" s="304"/>
      <c r="AA15" s="305"/>
      <c r="AB15" s="308"/>
      <c r="AC15" s="304"/>
      <c r="AD15" s="304"/>
      <c r="AE15" s="304"/>
      <c r="AF15" s="304"/>
      <c r="AG15" s="305"/>
      <c r="AH15" s="315"/>
      <c r="AI15" s="316"/>
      <c r="AJ15" s="316"/>
      <c r="AK15" s="316"/>
      <c r="AL15" s="316"/>
      <c r="AM15" s="317"/>
      <c r="AN15" s="83"/>
      <c r="AO15" s="271"/>
      <c r="AP15" s="272"/>
      <c r="AQ15" s="272"/>
      <c r="AR15" s="272"/>
      <c r="AS15" s="272"/>
      <c r="AT15" s="273"/>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57"/>
      <c r="C16" s="257"/>
      <c r="D16" s="258"/>
      <c r="E16" s="298"/>
      <c r="F16" s="299"/>
      <c r="G16" s="299"/>
      <c r="H16" s="299"/>
      <c r="I16" s="299"/>
      <c r="J16" s="324" t="str">
        <f ca="1">IF(AND('Mapa final'!$J$25="Alta",'Mapa final'!$N$25="Leve"),CONCATENATE("R",'Mapa final'!$A$25),"")</f>
        <v/>
      </c>
      <c r="K16" s="325"/>
      <c r="L16" s="325" t="str">
        <f ca="1">IF(AND('Mapa final'!$J$31="Alta",'Mapa final'!$N$31="Leve"),CONCATENATE("R",'Mapa final'!$A$31),"")</f>
        <v/>
      </c>
      <c r="M16" s="325"/>
      <c r="N16" s="325" t="str">
        <f ca="1">IF(AND('Mapa final'!$J$37="Alta",'Mapa final'!$N$37="Leve"),CONCATENATE("R",'Mapa final'!$A$37),"")</f>
        <v/>
      </c>
      <c r="O16" s="326"/>
      <c r="P16" s="324" t="str">
        <f ca="1">IF(AND('Mapa final'!$J$25="Alta",'Mapa final'!$N$25="Menor"),CONCATENATE("R",'Mapa final'!$A$25),"")</f>
        <v/>
      </c>
      <c r="Q16" s="325"/>
      <c r="R16" s="325" t="str">
        <f ca="1">IF(AND('Mapa final'!$J$31="Alta",'Mapa final'!$N$31="Menor"),CONCATENATE("R",'Mapa final'!$A$31),"")</f>
        <v/>
      </c>
      <c r="S16" s="325"/>
      <c r="T16" s="325" t="str">
        <f ca="1">IF(AND('Mapa final'!$J$37="Alta",'Mapa final'!$N$37="Menor"),CONCATENATE("R",'Mapa final'!$A$37),"")</f>
        <v/>
      </c>
      <c r="U16" s="326"/>
      <c r="V16" s="308" t="str">
        <f ca="1">IF(AND('Mapa final'!$J$25="Alta",'Mapa final'!$N$25="Moderado"),CONCATENATE("R",'Mapa final'!$A$25),"")</f>
        <v/>
      </c>
      <c r="W16" s="304"/>
      <c r="X16" s="304" t="str">
        <f ca="1">IF(AND('Mapa final'!$J$31="Alta",'Mapa final'!$N$31="Moderado"),CONCATENATE("R",'Mapa final'!$A$31),"")</f>
        <v/>
      </c>
      <c r="Y16" s="304"/>
      <c r="Z16" s="304" t="str">
        <f ca="1">IF(AND('Mapa final'!$J$37="Alta",'Mapa final'!$N$37="Moderado"),CONCATENATE("R",'Mapa final'!$A$37),"")</f>
        <v/>
      </c>
      <c r="AA16" s="305"/>
      <c r="AB16" s="308" t="str">
        <f ca="1">IF(AND('Mapa final'!$J$25="Alta",'Mapa final'!$N$25="Mayor"),CONCATENATE("R",'Mapa final'!$A$25),"")</f>
        <v/>
      </c>
      <c r="AC16" s="304"/>
      <c r="AD16" s="304" t="str">
        <f ca="1">IF(AND('Mapa final'!$J$31="Alta",'Mapa final'!$N$31="Mayor"),CONCATENATE("R",'Mapa final'!$A$31),"")</f>
        <v/>
      </c>
      <c r="AE16" s="304"/>
      <c r="AF16" s="304" t="str">
        <f ca="1">IF(AND('Mapa final'!$J$37="Alta",'Mapa final'!$N$37="Mayor"),CONCATENATE("R",'Mapa final'!$A$37),"")</f>
        <v/>
      </c>
      <c r="AG16" s="305"/>
      <c r="AH16" s="315" t="str">
        <f ca="1">IF(AND('Mapa final'!$J$25="Alta",'Mapa final'!$N$25="Catastrófico"),CONCATENATE("R",'Mapa final'!$A$25),"")</f>
        <v/>
      </c>
      <c r="AI16" s="316"/>
      <c r="AJ16" s="316" t="str">
        <f ca="1">IF(AND('Mapa final'!$J$31="Alta",'Mapa final'!$N$31="Catastrófico"),CONCATENATE("R",'Mapa final'!$A$31),"")</f>
        <v/>
      </c>
      <c r="AK16" s="316"/>
      <c r="AL16" s="316" t="str">
        <f ca="1">IF(AND('Mapa final'!$J$37="Alta",'Mapa final'!$N$37="Catastrófico"),CONCATENATE("R",'Mapa final'!$A$37),"")</f>
        <v/>
      </c>
      <c r="AM16" s="317"/>
      <c r="AN16" s="83"/>
      <c r="AO16" s="271"/>
      <c r="AP16" s="272"/>
      <c r="AQ16" s="272"/>
      <c r="AR16" s="272"/>
      <c r="AS16" s="272"/>
      <c r="AT16" s="273"/>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57"/>
      <c r="C17" s="257"/>
      <c r="D17" s="258"/>
      <c r="E17" s="298"/>
      <c r="F17" s="299"/>
      <c r="G17" s="299"/>
      <c r="H17" s="299"/>
      <c r="I17" s="299"/>
      <c r="J17" s="324"/>
      <c r="K17" s="325"/>
      <c r="L17" s="325"/>
      <c r="M17" s="325"/>
      <c r="N17" s="325"/>
      <c r="O17" s="326"/>
      <c r="P17" s="324"/>
      <c r="Q17" s="325"/>
      <c r="R17" s="325"/>
      <c r="S17" s="325"/>
      <c r="T17" s="325"/>
      <c r="U17" s="326"/>
      <c r="V17" s="308"/>
      <c r="W17" s="304"/>
      <c r="X17" s="304"/>
      <c r="Y17" s="304"/>
      <c r="Z17" s="304"/>
      <c r="AA17" s="305"/>
      <c r="AB17" s="308"/>
      <c r="AC17" s="304"/>
      <c r="AD17" s="304"/>
      <c r="AE17" s="304"/>
      <c r="AF17" s="304"/>
      <c r="AG17" s="305"/>
      <c r="AH17" s="315"/>
      <c r="AI17" s="316"/>
      <c r="AJ17" s="316"/>
      <c r="AK17" s="316"/>
      <c r="AL17" s="316"/>
      <c r="AM17" s="317"/>
      <c r="AN17" s="83"/>
      <c r="AO17" s="271"/>
      <c r="AP17" s="272"/>
      <c r="AQ17" s="272"/>
      <c r="AR17" s="272"/>
      <c r="AS17" s="272"/>
      <c r="AT17" s="273"/>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57"/>
      <c r="C18" s="257"/>
      <c r="D18" s="258"/>
      <c r="E18" s="298"/>
      <c r="F18" s="299"/>
      <c r="G18" s="299"/>
      <c r="H18" s="299"/>
      <c r="I18" s="299"/>
      <c r="J18" s="324" t="str">
        <f ca="1">IF(AND('Mapa final'!$J$43="Alta",'Mapa final'!$N$43="Leve"),CONCATENATE("R",'Mapa final'!$A$43),"")</f>
        <v/>
      </c>
      <c r="K18" s="325"/>
      <c r="L18" s="325" t="str">
        <f ca="1">IF(AND('Mapa final'!$J$49="Alta",'Mapa final'!$N$49="Leve"),CONCATENATE("R",'Mapa final'!$A$49),"")</f>
        <v/>
      </c>
      <c r="M18" s="325"/>
      <c r="N18" s="325" t="str">
        <f ca="1">IF(AND('Mapa final'!$J$55="Alta",'Mapa final'!$N$55="Leve"),CONCATENATE("R",'Mapa final'!$A$55),"")</f>
        <v/>
      </c>
      <c r="O18" s="326"/>
      <c r="P18" s="324" t="str">
        <f ca="1">IF(AND('Mapa final'!$J$43="Alta",'Mapa final'!$N$43="Menor"),CONCATENATE("R",'Mapa final'!$A$43),"")</f>
        <v/>
      </c>
      <c r="Q18" s="325"/>
      <c r="R18" s="325" t="str">
        <f ca="1">IF(AND('Mapa final'!$J$49="Alta",'Mapa final'!$N$49="Menor"),CONCATENATE("R",'Mapa final'!$A$49),"")</f>
        <v/>
      </c>
      <c r="S18" s="325"/>
      <c r="T18" s="325" t="str">
        <f ca="1">IF(AND('Mapa final'!$J$55="Alta",'Mapa final'!$N$55="Menor"),CONCATENATE("R",'Mapa final'!$A$55),"")</f>
        <v/>
      </c>
      <c r="U18" s="326"/>
      <c r="V18" s="308" t="str">
        <f ca="1">IF(AND('Mapa final'!$J$43="Alta",'Mapa final'!$N$43="Moderado"),CONCATENATE("R",'Mapa final'!$A$43),"")</f>
        <v/>
      </c>
      <c r="W18" s="304"/>
      <c r="X18" s="304" t="str">
        <f ca="1">IF(AND('Mapa final'!$J$49="Alta",'Mapa final'!$N$49="Moderado"),CONCATENATE("R",'Mapa final'!$A$49),"")</f>
        <v/>
      </c>
      <c r="Y18" s="304"/>
      <c r="Z18" s="304" t="str">
        <f ca="1">IF(AND('Mapa final'!$J$55="Alta",'Mapa final'!$N$55="Moderado"),CONCATENATE("R",'Mapa final'!$A$55),"")</f>
        <v/>
      </c>
      <c r="AA18" s="305"/>
      <c r="AB18" s="308" t="str">
        <f ca="1">IF(AND('Mapa final'!$J$43="Alta",'Mapa final'!$N$43="Mayor"),CONCATENATE("R",'Mapa final'!$A$43),"")</f>
        <v/>
      </c>
      <c r="AC18" s="304"/>
      <c r="AD18" s="304" t="str">
        <f ca="1">IF(AND('Mapa final'!$J$49="Alta",'Mapa final'!$N$49="Mayor"),CONCATENATE("R",'Mapa final'!$A$49),"")</f>
        <v/>
      </c>
      <c r="AE18" s="304"/>
      <c r="AF18" s="304" t="str">
        <f ca="1">IF(AND('Mapa final'!$J$55="Alta",'Mapa final'!$N$55="Mayor"),CONCATENATE("R",'Mapa final'!$A$55),"")</f>
        <v/>
      </c>
      <c r="AG18" s="305"/>
      <c r="AH18" s="315" t="str">
        <f ca="1">IF(AND('Mapa final'!$J$43="Alta",'Mapa final'!$N$43="Catastrófico"),CONCATENATE("R",'Mapa final'!$A$43),"")</f>
        <v/>
      </c>
      <c r="AI18" s="316"/>
      <c r="AJ18" s="316" t="str">
        <f ca="1">IF(AND('Mapa final'!$J$49="Alta",'Mapa final'!$N$49="Catastrófico"),CONCATENATE("R",'Mapa final'!$A$49),"")</f>
        <v/>
      </c>
      <c r="AK18" s="316"/>
      <c r="AL18" s="316" t="str">
        <f ca="1">IF(AND('Mapa final'!$J$55="Alta",'Mapa final'!$N$55="Catastrófico"),CONCATENATE("R",'Mapa final'!$A$55),"")</f>
        <v/>
      </c>
      <c r="AM18" s="317"/>
      <c r="AN18" s="83"/>
      <c r="AO18" s="271"/>
      <c r="AP18" s="272"/>
      <c r="AQ18" s="272"/>
      <c r="AR18" s="272"/>
      <c r="AS18" s="272"/>
      <c r="AT18" s="273"/>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57"/>
      <c r="C19" s="257"/>
      <c r="D19" s="258"/>
      <c r="E19" s="298"/>
      <c r="F19" s="299"/>
      <c r="G19" s="299"/>
      <c r="H19" s="299"/>
      <c r="I19" s="299"/>
      <c r="J19" s="324"/>
      <c r="K19" s="325"/>
      <c r="L19" s="325"/>
      <c r="M19" s="325"/>
      <c r="N19" s="325"/>
      <c r="O19" s="326"/>
      <c r="P19" s="324"/>
      <c r="Q19" s="325"/>
      <c r="R19" s="325"/>
      <c r="S19" s="325"/>
      <c r="T19" s="325"/>
      <c r="U19" s="326"/>
      <c r="V19" s="308"/>
      <c r="W19" s="304"/>
      <c r="X19" s="304"/>
      <c r="Y19" s="304"/>
      <c r="Z19" s="304"/>
      <c r="AA19" s="305"/>
      <c r="AB19" s="308"/>
      <c r="AC19" s="304"/>
      <c r="AD19" s="304"/>
      <c r="AE19" s="304"/>
      <c r="AF19" s="304"/>
      <c r="AG19" s="305"/>
      <c r="AH19" s="315"/>
      <c r="AI19" s="316"/>
      <c r="AJ19" s="316"/>
      <c r="AK19" s="316"/>
      <c r="AL19" s="316"/>
      <c r="AM19" s="317"/>
      <c r="AN19" s="83"/>
      <c r="AO19" s="271"/>
      <c r="AP19" s="272"/>
      <c r="AQ19" s="272"/>
      <c r="AR19" s="272"/>
      <c r="AS19" s="272"/>
      <c r="AT19" s="273"/>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57"/>
      <c r="C20" s="257"/>
      <c r="D20" s="258"/>
      <c r="E20" s="298"/>
      <c r="F20" s="299"/>
      <c r="G20" s="299"/>
      <c r="H20" s="299"/>
      <c r="I20" s="299"/>
      <c r="J20" s="324" t="str">
        <f ca="1">IF(AND('Mapa final'!$J$61="Alta",'Mapa final'!$N$61="Leve"),CONCATENATE("R",'Mapa final'!$A$61),"")</f>
        <v/>
      </c>
      <c r="K20" s="325"/>
      <c r="L20" s="325" t="str">
        <f>IF(AND('Mapa final'!$J$67="Alta",'Mapa final'!$N$67="Leve"),CONCATENATE("R",'Mapa final'!$A$67),"")</f>
        <v/>
      </c>
      <c r="M20" s="325"/>
      <c r="N20" s="325" t="str">
        <f>IF(AND('Mapa final'!$J$73="Alta",'Mapa final'!$N$73="Leve"),CONCATENATE("R",'Mapa final'!$A$73),"")</f>
        <v/>
      </c>
      <c r="O20" s="326"/>
      <c r="P20" s="324" t="str">
        <f ca="1">IF(AND('Mapa final'!$J$61="Alta",'Mapa final'!$N$61="Menor"),CONCATENATE("R",'Mapa final'!$A$61),"")</f>
        <v/>
      </c>
      <c r="Q20" s="325"/>
      <c r="R20" s="325" t="str">
        <f>IF(AND('Mapa final'!$J$67="Alta",'Mapa final'!$N$67="Menor"),CONCATENATE("R",'Mapa final'!$A$67),"")</f>
        <v/>
      </c>
      <c r="S20" s="325"/>
      <c r="T20" s="325" t="str">
        <f>IF(AND('Mapa final'!$J$73="Alta",'Mapa final'!$N$73="Menor"),CONCATENATE("R",'Mapa final'!$A$73),"")</f>
        <v/>
      </c>
      <c r="U20" s="326"/>
      <c r="V20" s="308" t="str">
        <f ca="1">IF(AND('Mapa final'!$J$61="Alta",'Mapa final'!$N$61="Moderado"),CONCATENATE("R",'Mapa final'!$A$61),"")</f>
        <v/>
      </c>
      <c r="W20" s="304"/>
      <c r="X20" s="304" t="str">
        <f>IF(AND('Mapa final'!$J$67="Alta",'Mapa final'!$N$67="Moderado"),CONCATENATE("R",'Mapa final'!$A$67),"")</f>
        <v/>
      </c>
      <c r="Y20" s="304"/>
      <c r="Z20" s="304" t="str">
        <f>IF(AND('Mapa final'!$J$73="Alta",'Mapa final'!$N$73="Moderado"),CONCATENATE("R",'Mapa final'!$A$73),"")</f>
        <v/>
      </c>
      <c r="AA20" s="305"/>
      <c r="AB20" s="308" t="str">
        <f ca="1">IF(AND('Mapa final'!$J$61="Alta",'Mapa final'!$N$61="Mayor"),CONCATENATE("R",'Mapa final'!$A$61),"")</f>
        <v/>
      </c>
      <c r="AC20" s="304"/>
      <c r="AD20" s="304" t="str">
        <f>IF(AND('Mapa final'!$J$67="Alta",'Mapa final'!$N$67="Mayor"),CONCATENATE("R",'Mapa final'!$A$67),"")</f>
        <v/>
      </c>
      <c r="AE20" s="304"/>
      <c r="AF20" s="304" t="str">
        <f>IF(AND('Mapa final'!$J$73="Alta",'Mapa final'!$N$73="Mayor"),CONCATENATE("R",'Mapa final'!$A$73),"")</f>
        <v/>
      </c>
      <c r="AG20" s="305"/>
      <c r="AH20" s="315" t="str">
        <f ca="1">IF(AND('Mapa final'!$J$61="Alta",'Mapa final'!$N$61="Catastrófico"),CONCATENATE("R",'Mapa final'!$A$61),"")</f>
        <v/>
      </c>
      <c r="AI20" s="316"/>
      <c r="AJ20" s="316" t="str">
        <f>IF(AND('Mapa final'!$J$67="Alta",'Mapa final'!$N$67="Catastrófico"),CONCATENATE("R",'Mapa final'!$A$67),"")</f>
        <v/>
      </c>
      <c r="AK20" s="316"/>
      <c r="AL20" s="316" t="str">
        <f>IF(AND('Mapa final'!$J$73="Alta",'Mapa final'!$N$73="Catastrófico"),CONCATENATE("R",'Mapa final'!$A$73),"")</f>
        <v/>
      </c>
      <c r="AM20" s="317"/>
      <c r="AN20" s="83"/>
      <c r="AO20" s="271"/>
      <c r="AP20" s="272"/>
      <c r="AQ20" s="272"/>
      <c r="AR20" s="272"/>
      <c r="AS20" s="272"/>
      <c r="AT20" s="273"/>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57"/>
      <c r="C21" s="257"/>
      <c r="D21" s="258"/>
      <c r="E21" s="301"/>
      <c r="F21" s="302"/>
      <c r="G21" s="302"/>
      <c r="H21" s="302"/>
      <c r="I21" s="302"/>
      <c r="J21" s="327"/>
      <c r="K21" s="328"/>
      <c r="L21" s="328"/>
      <c r="M21" s="328"/>
      <c r="N21" s="328"/>
      <c r="O21" s="329"/>
      <c r="P21" s="327"/>
      <c r="Q21" s="328"/>
      <c r="R21" s="328"/>
      <c r="S21" s="328"/>
      <c r="T21" s="328"/>
      <c r="U21" s="329"/>
      <c r="V21" s="312"/>
      <c r="W21" s="313"/>
      <c r="X21" s="313"/>
      <c r="Y21" s="313"/>
      <c r="Z21" s="313"/>
      <c r="AA21" s="314"/>
      <c r="AB21" s="312"/>
      <c r="AC21" s="313"/>
      <c r="AD21" s="313"/>
      <c r="AE21" s="313"/>
      <c r="AF21" s="313"/>
      <c r="AG21" s="314"/>
      <c r="AH21" s="318"/>
      <c r="AI21" s="319"/>
      <c r="AJ21" s="319"/>
      <c r="AK21" s="319"/>
      <c r="AL21" s="319"/>
      <c r="AM21" s="320"/>
      <c r="AN21" s="83"/>
      <c r="AO21" s="274"/>
      <c r="AP21" s="275"/>
      <c r="AQ21" s="275"/>
      <c r="AR21" s="275"/>
      <c r="AS21" s="275"/>
      <c r="AT21" s="276"/>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57"/>
      <c r="C22" s="257"/>
      <c r="D22" s="258"/>
      <c r="E22" s="295" t="s">
        <v>117</v>
      </c>
      <c r="F22" s="296"/>
      <c r="G22" s="296"/>
      <c r="H22" s="296"/>
      <c r="I22" s="297"/>
      <c r="J22" s="330" t="str">
        <f ca="1">IF(AND('Mapa final'!$J$10="Media",'Mapa final'!$N$10="Leve"),CONCATENATE("R",'Mapa final'!$A$10),"")</f>
        <v/>
      </c>
      <c r="K22" s="331"/>
      <c r="L22" s="331" t="str">
        <f>IF(AND([1]Hoja1!$G$2="Media",[1]Hoja1!$K$3="Leve"),CONCATENATE("R",'Mapa final'!$A$13),"")</f>
        <v/>
      </c>
      <c r="M22" s="331"/>
      <c r="N22" s="331" t="str">
        <f ca="1">IF(AND('Mapa final'!$J$19="Media",'Mapa final'!$N$19="Leve"),CONCATENATE("R",'Mapa final'!$A$19),"")</f>
        <v/>
      </c>
      <c r="O22" s="332"/>
      <c r="P22" s="330" t="str">
        <f ca="1">IF(AND('Mapa final'!$J$10="Media",'Mapa final'!$N$10="Menor"),CONCATENATE("R",'Mapa final'!$A$10),"")</f>
        <v/>
      </c>
      <c r="Q22" s="331"/>
      <c r="R22" s="331" t="str">
        <f>IF(AND([1]Hoja1!$G$2="Media",[1]Hoja1!$K$3="Menor"),CONCATENATE("R",'Mapa final'!$A$13),"")</f>
        <v/>
      </c>
      <c r="S22" s="331"/>
      <c r="T22" s="331" t="str">
        <f ca="1">IF(AND('Mapa final'!$J$19="Media",'Mapa final'!$N$19="Menor"),CONCATENATE("R",'Mapa final'!$A$19),"")</f>
        <v/>
      </c>
      <c r="U22" s="332"/>
      <c r="V22" s="330" t="str">
        <f ca="1">IF(AND('Mapa final'!$J$10="Media",'Mapa final'!$N$10="Moderado"),CONCATENATE("R",'Mapa final'!$A$10),"")</f>
        <v/>
      </c>
      <c r="W22" s="331"/>
      <c r="X22" s="331" t="str">
        <f>IF(AND([1]Hoja1!$G$2="Media",[1]Hoja1!$K$3="Moderado"),CONCATENATE("R",'Mapa final'!$A$13),"")</f>
        <v/>
      </c>
      <c r="Y22" s="331"/>
      <c r="Z22" s="331" t="str">
        <f ca="1">IF(AND('Mapa final'!$J$19="Media",'Mapa final'!$N$19="Moderado"),CONCATENATE("R",'Mapa final'!$A$19),"")</f>
        <v/>
      </c>
      <c r="AA22" s="332"/>
      <c r="AB22" s="306" t="str">
        <f ca="1">IF(AND('Mapa final'!$J$10="Media",'Mapa final'!$N$10="Mayor"),CONCATENATE("R",'Mapa final'!$A$10),"")</f>
        <v/>
      </c>
      <c r="AC22" s="307"/>
      <c r="AD22" s="307" t="str">
        <f>IF(AND([1]Hoja1!$G$2="Media",[1]Hoja1!$K$3="Mayor"),CONCATENATE("R",'Mapa final'!$A$13),"")</f>
        <v>R2</v>
      </c>
      <c r="AE22" s="307"/>
      <c r="AF22" s="307" t="str">
        <f ca="1">IF(AND('Mapa final'!$J$19="Media",'Mapa final'!$N$19="Mayor"),CONCATENATE("R",'Mapa final'!$A$19),"")</f>
        <v/>
      </c>
      <c r="AG22" s="309"/>
      <c r="AH22" s="321" t="str">
        <f ca="1">IF(AND('Mapa final'!$J$10="Media",'Mapa final'!$N$10="Catastrófico"),CONCATENATE("R",'Mapa final'!$A$10),"")</f>
        <v/>
      </c>
      <c r="AI22" s="322"/>
      <c r="AJ22" s="322" t="str">
        <f>IF(AND([1]Hoja1!$G$2="Media",[1]Hoja1!$K$3="Catastrófico"),CONCATENATE("R",'Mapa final'!$A$13),"")</f>
        <v/>
      </c>
      <c r="AK22" s="322"/>
      <c r="AL22" s="322" t="str">
        <f ca="1">IF(AND('Mapa final'!$J$19="Media",'Mapa final'!$N$19="Catastrófico"),CONCATENATE("R",'Mapa final'!$A$19),"")</f>
        <v/>
      </c>
      <c r="AM22" s="323"/>
      <c r="AN22" s="83"/>
      <c r="AO22" s="277" t="s">
        <v>81</v>
      </c>
      <c r="AP22" s="278"/>
      <c r="AQ22" s="278"/>
      <c r="AR22" s="278"/>
      <c r="AS22" s="278"/>
      <c r="AT22" s="279"/>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57"/>
      <c r="C23" s="257"/>
      <c r="D23" s="258"/>
      <c r="E23" s="298"/>
      <c r="F23" s="299"/>
      <c r="G23" s="299"/>
      <c r="H23" s="299"/>
      <c r="I23" s="300"/>
      <c r="J23" s="324"/>
      <c r="K23" s="325"/>
      <c r="L23" s="325"/>
      <c r="M23" s="325"/>
      <c r="N23" s="325"/>
      <c r="O23" s="326"/>
      <c r="P23" s="324"/>
      <c r="Q23" s="325"/>
      <c r="R23" s="325"/>
      <c r="S23" s="325"/>
      <c r="T23" s="325"/>
      <c r="U23" s="326"/>
      <c r="V23" s="324"/>
      <c r="W23" s="325"/>
      <c r="X23" s="325"/>
      <c r="Y23" s="325"/>
      <c r="Z23" s="325"/>
      <c r="AA23" s="326"/>
      <c r="AB23" s="308"/>
      <c r="AC23" s="304"/>
      <c r="AD23" s="304"/>
      <c r="AE23" s="304"/>
      <c r="AF23" s="304"/>
      <c r="AG23" s="305"/>
      <c r="AH23" s="315"/>
      <c r="AI23" s="316"/>
      <c r="AJ23" s="316"/>
      <c r="AK23" s="316"/>
      <c r="AL23" s="316"/>
      <c r="AM23" s="317"/>
      <c r="AN23" s="83"/>
      <c r="AO23" s="280"/>
      <c r="AP23" s="281"/>
      <c r="AQ23" s="281"/>
      <c r="AR23" s="281"/>
      <c r="AS23" s="281"/>
      <c r="AT23" s="282"/>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57"/>
      <c r="C24" s="257"/>
      <c r="D24" s="258"/>
      <c r="E24" s="298"/>
      <c r="F24" s="299"/>
      <c r="G24" s="299"/>
      <c r="H24" s="299"/>
      <c r="I24" s="300"/>
      <c r="J24" s="324" t="str">
        <f ca="1">IF(AND('Mapa final'!$J$25="Media",'Mapa final'!$N$25="Leve"),CONCATENATE("R",'Mapa final'!$A$25),"")</f>
        <v/>
      </c>
      <c r="K24" s="325"/>
      <c r="L24" s="325" t="str">
        <f ca="1">IF(AND('Mapa final'!$J$31="Media",'Mapa final'!$N$31="Leve"),CONCATENATE("R",'Mapa final'!$A$31),"")</f>
        <v/>
      </c>
      <c r="M24" s="325"/>
      <c r="N24" s="325" t="str">
        <f ca="1">IF(AND('Mapa final'!$J$37="Media",'Mapa final'!$N$37="Leve"),CONCATENATE("R",'Mapa final'!$A$37),"")</f>
        <v/>
      </c>
      <c r="O24" s="326"/>
      <c r="P24" s="324" t="str">
        <f ca="1">IF(AND('Mapa final'!$J$25="Media",'Mapa final'!$N$25="Menor"),CONCATENATE("R",'Mapa final'!$A$25),"")</f>
        <v/>
      </c>
      <c r="Q24" s="325"/>
      <c r="R24" s="325" t="str">
        <f ca="1">IF(AND('Mapa final'!$J$31="Media",'Mapa final'!$N$31="Menor"),CONCATENATE("R",'Mapa final'!$A$31),"")</f>
        <v/>
      </c>
      <c r="S24" s="325"/>
      <c r="T24" s="325" t="str">
        <f ca="1">IF(AND('Mapa final'!$J$37="Media",'Mapa final'!$N$37="Menor"),CONCATENATE("R",'Mapa final'!$A$37),"")</f>
        <v/>
      </c>
      <c r="U24" s="326"/>
      <c r="V24" s="324" t="str">
        <f ca="1">IF(AND('Mapa final'!$J$25="Media",'Mapa final'!$N$25="Moderado"),CONCATENATE("R",'Mapa final'!$A$25),"")</f>
        <v/>
      </c>
      <c r="W24" s="325"/>
      <c r="X24" s="325" t="str">
        <f ca="1">IF(AND('Mapa final'!$J$31="Media",'Mapa final'!$N$31="Moderado"),CONCATENATE("R",'Mapa final'!$A$31),"")</f>
        <v/>
      </c>
      <c r="Y24" s="325"/>
      <c r="Z24" s="325" t="str">
        <f ca="1">IF(AND('Mapa final'!$J$37="Media",'Mapa final'!$N$37="Moderado"),CONCATENATE("R",'Mapa final'!$A$37),"")</f>
        <v/>
      </c>
      <c r="AA24" s="326"/>
      <c r="AB24" s="308" t="str">
        <f ca="1">IF(AND('Mapa final'!$J$25="Media",'Mapa final'!$N$25="Mayor"),CONCATENATE("R",'Mapa final'!$A$25),"")</f>
        <v/>
      </c>
      <c r="AC24" s="304"/>
      <c r="AD24" s="304" t="str">
        <f ca="1">IF(AND('Mapa final'!$J$31="Media",'Mapa final'!$N$31="Mayor"),CONCATENATE("R",'Mapa final'!$A$31),"")</f>
        <v/>
      </c>
      <c r="AE24" s="304"/>
      <c r="AF24" s="304" t="str">
        <f ca="1">IF(AND('Mapa final'!$J$37="Media",'Mapa final'!$N$37="Mayor"),CONCATENATE("R",'Mapa final'!$A$37),"")</f>
        <v/>
      </c>
      <c r="AG24" s="305"/>
      <c r="AH24" s="315" t="str">
        <f ca="1">IF(AND('Mapa final'!$J$25="Media",'Mapa final'!$N$25="Catastrófico"),CONCATENATE("R",'Mapa final'!$A$25),"")</f>
        <v/>
      </c>
      <c r="AI24" s="316"/>
      <c r="AJ24" s="316" t="str">
        <f ca="1">IF(AND('Mapa final'!$J$31="Media",'Mapa final'!$N$31="Catastrófico"),CONCATENATE("R",'Mapa final'!$A$31),"")</f>
        <v/>
      </c>
      <c r="AK24" s="316"/>
      <c r="AL24" s="316" t="str">
        <f ca="1">IF(AND('Mapa final'!$J$37="Media",'Mapa final'!$N$37="Catastrófico"),CONCATENATE("R",'Mapa final'!$A$37),"")</f>
        <v/>
      </c>
      <c r="AM24" s="317"/>
      <c r="AN24" s="83"/>
      <c r="AO24" s="280"/>
      <c r="AP24" s="281"/>
      <c r="AQ24" s="281"/>
      <c r="AR24" s="281"/>
      <c r="AS24" s="281"/>
      <c r="AT24" s="282"/>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57"/>
      <c r="C25" s="257"/>
      <c r="D25" s="258"/>
      <c r="E25" s="298"/>
      <c r="F25" s="299"/>
      <c r="G25" s="299"/>
      <c r="H25" s="299"/>
      <c r="I25" s="300"/>
      <c r="J25" s="324"/>
      <c r="K25" s="325"/>
      <c r="L25" s="325"/>
      <c r="M25" s="325"/>
      <c r="N25" s="325"/>
      <c r="O25" s="326"/>
      <c r="P25" s="324"/>
      <c r="Q25" s="325"/>
      <c r="R25" s="325"/>
      <c r="S25" s="325"/>
      <c r="T25" s="325"/>
      <c r="U25" s="326"/>
      <c r="V25" s="324"/>
      <c r="W25" s="325"/>
      <c r="X25" s="325"/>
      <c r="Y25" s="325"/>
      <c r="Z25" s="325"/>
      <c r="AA25" s="326"/>
      <c r="AB25" s="308"/>
      <c r="AC25" s="304"/>
      <c r="AD25" s="304"/>
      <c r="AE25" s="304"/>
      <c r="AF25" s="304"/>
      <c r="AG25" s="305"/>
      <c r="AH25" s="315"/>
      <c r="AI25" s="316"/>
      <c r="AJ25" s="316"/>
      <c r="AK25" s="316"/>
      <c r="AL25" s="316"/>
      <c r="AM25" s="317"/>
      <c r="AN25" s="83"/>
      <c r="AO25" s="280"/>
      <c r="AP25" s="281"/>
      <c r="AQ25" s="281"/>
      <c r="AR25" s="281"/>
      <c r="AS25" s="281"/>
      <c r="AT25" s="282"/>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57"/>
      <c r="C26" s="257"/>
      <c r="D26" s="258"/>
      <c r="E26" s="298"/>
      <c r="F26" s="299"/>
      <c r="G26" s="299"/>
      <c r="H26" s="299"/>
      <c r="I26" s="300"/>
      <c r="J26" s="324" t="str">
        <f ca="1">IF(AND('Mapa final'!$J$43="Media",'Mapa final'!$N$43="Leve"),CONCATENATE("R",'Mapa final'!$A$43),"")</f>
        <v/>
      </c>
      <c r="K26" s="325"/>
      <c r="L26" s="325" t="str">
        <f ca="1">IF(AND('Mapa final'!$J$49="Media",'Mapa final'!$N$49="Leve"),CONCATENATE("R",'Mapa final'!$A$49),"")</f>
        <v/>
      </c>
      <c r="M26" s="325"/>
      <c r="N26" s="325" t="str">
        <f ca="1">IF(AND('Mapa final'!$J$55="Media",'Mapa final'!$N$55="Leve"),CONCATENATE("R",'Mapa final'!$A$55),"")</f>
        <v/>
      </c>
      <c r="O26" s="326"/>
      <c r="P26" s="324" t="str">
        <f ca="1">IF(AND('Mapa final'!$J$43="Media",'Mapa final'!$N$43="Menor"),CONCATENATE("R",'Mapa final'!$A$43),"")</f>
        <v/>
      </c>
      <c r="Q26" s="325"/>
      <c r="R26" s="325" t="str">
        <f ca="1">IF(AND('Mapa final'!$J$49="Media",'Mapa final'!$N$49="Menor"),CONCATENATE("R",'Mapa final'!$A$49),"")</f>
        <v/>
      </c>
      <c r="S26" s="325"/>
      <c r="T26" s="325" t="str">
        <f ca="1">IF(AND('Mapa final'!$J$55="Media",'Mapa final'!$N$55="Menor"),CONCATENATE("R",'Mapa final'!$A$55),"")</f>
        <v/>
      </c>
      <c r="U26" s="326"/>
      <c r="V26" s="324" t="str">
        <f ca="1">IF(AND('Mapa final'!$J$43="Media",'Mapa final'!$N$43="Moderado"),CONCATENATE("R",'Mapa final'!$A$43),"")</f>
        <v/>
      </c>
      <c r="W26" s="325"/>
      <c r="X26" s="325" t="str">
        <f ca="1">IF(AND('Mapa final'!$J$49="Media",'Mapa final'!$N$49="Moderado"),CONCATENATE("R",'Mapa final'!$A$49),"")</f>
        <v/>
      </c>
      <c r="Y26" s="325"/>
      <c r="Z26" s="325" t="str">
        <f ca="1">IF(AND('Mapa final'!$J$55="Media",'Mapa final'!$N$55="Moderado"),CONCATENATE("R",'Mapa final'!$A$55),"")</f>
        <v/>
      </c>
      <c r="AA26" s="326"/>
      <c r="AB26" s="308" t="str">
        <f ca="1">IF(AND('Mapa final'!$J$43="Media",'Mapa final'!$N$43="Mayor"),CONCATENATE("R",'Mapa final'!$A$43),"")</f>
        <v/>
      </c>
      <c r="AC26" s="304"/>
      <c r="AD26" s="304" t="str">
        <f ca="1">IF(AND('Mapa final'!$J$49="Media",'Mapa final'!$N$49="Mayor"),CONCATENATE("R",'Mapa final'!$A$49),"")</f>
        <v/>
      </c>
      <c r="AE26" s="304"/>
      <c r="AF26" s="304" t="str">
        <f ca="1">IF(AND('Mapa final'!$J$55="Media",'Mapa final'!$N$55="Mayor"),CONCATENATE("R",'Mapa final'!$A$55),"")</f>
        <v/>
      </c>
      <c r="AG26" s="305"/>
      <c r="AH26" s="315" t="str">
        <f ca="1">IF(AND('Mapa final'!$J$43="Media",'Mapa final'!$N$43="Catastrófico"),CONCATENATE("R",'Mapa final'!$A$43),"")</f>
        <v/>
      </c>
      <c r="AI26" s="316"/>
      <c r="AJ26" s="316" t="str">
        <f ca="1">IF(AND('Mapa final'!$J$49="Media",'Mapa final'!$N$49="Catastrófico"),CONCATENATE("R",'Mapa final'!$A$49),"")</f>
        <v/>
      </c>
      <c r="AK26" s="316"/>
      <c r="AL26" s="316" t="str">
        <f ca="1">IF(AND('Mapa final'!$J$55="Media",'Mapa final'!$N$55="Catastrófico"),CONCATENATE("R",'Mapa final'!$A$55),"")</f>
        <v/>
      </c>
      <c r="AM26" s="317"/>
      <c r="AN26" s="83"/>
      <c r="AO26" s="280"/>
      <c r="AP26" s="281"/>
      <c r="AQ26" s="281"/>
      <c r="AR26" s="281"/>
      <c r="AS26" s="281"/>
      <c r="AT26" s="282"/>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57"/>
      <c r="C27" s="257"/>
      <c r="D27" s="258"/>
      <c r="E27" s="298"/>
      <c r="F27" s="299"/>
      <c r="G27" s="299"/>
      <c r="H27" s="299"/>
      <c r="I27" s="300"/>
      <c r="J27" s="324"/>
      <c r="K27" s="325"/>
      <c r="L27" s="325"/>
      <c r="M27" s="325"/>
      <c r="N27" s="325"/>
      <c r="O27" s="326"/>
      <c r="P27" s="324"/>
      <c r="Q27" s="325"/>
      <c r="R27" s="325"/>
      <c r="S27" s="325"/>
      <c r="T27" s="325"/>
      <c r="U27" s="326"/>
      <c r="V27" s="324"/>
      <c r="W27" s="325"/>
      <c r="X27" s="325"/>
      <c r="Y27" s="325"/>
      <c r="Z27" s="325"/>
      <c r="AA27" s="326"/>
      <c r="AB27" s="308"/>
      <c r="AC27" s="304"/>
      <c r="AD27" s="304"/>
      <c r="AE27" s="304"/>
      <c r="AF27" s="304"/>
      <c r="AG27" s="305"/>
      <c r="AH27" s="315"/>
      <c r="AI27" s="316"/>
      <c r="AJ27" s="316"/>
      <c r="AK27" s="316"/>
      <c r="AL27" s="316"/>
      <c r="AM27" s="317"/>
      <c r="AN27" s="83"/>
      <c r="AO27" s="280"/>
      <c r="AP27" s="281"/>
      <c r="AQ27" s="281"/>
      <c r="AR27" s="281"/>
      <c r="AS27" s="281"/>
      <c r="AT27" s="282"/>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57"/>
      <c r="C28" s="257"/>
      <c r="D28" s="258"/>
      <c r="E28" s="298"/>
      <c r="F28" s="299"/>
      <c r="G28" s="299"/>
      <c r="H28" s="299"/>
      <c r="I28" s="300"/>
      <c r="J28" s="324" t="str">
        <f ca="1">IF(AND('Mapa final'!$J$61="Media",'Mapa final'!$N$61="Leve"),CONCATENATE("R",'Mapa final'!$A$61),"")</f>
        <v/>
      </c>
      <c r="K28" s="325"/>
      <c r="L28" s="325" t="str">
        <f>IF(AND('Mapa final'!$J$67="Media",'Mapa final'!$N$67="Leve"),CONCATENATE("R",'Mapa final'!$A$67),"")</f>
        <v/>
      </c>
      <c r="M28" s="325"/>
      <c r="N28" s="325" t="str">
        <f>IF(AND('Mapa final'!$J$73="Media",'Mapa final'!$N$73="Leve"),CONCATENATE("R",'Mapa final'!$A$73),"")</f>
        <v/>
      </c>
      <c r="O28" s="326"/>
      <c r="P28" s="324" t="str">
        <f ca="1">IF(AND('Mapa final'!$J$61="Media",'Mapa final'!$N$61="Menor"),CONCATENATE("R",'Mapa final'!$A$61),"")</f>
        <v/>
      </c>
      <c r="Q28" s="325"/>
      <c r="R28" s="325" t="str">
        <f>IF(AND('Mapa final'!$J$67="Media",'Mapa final'!$N$67="Menor"),CONCATENATE("R",'Mapa final'!$A$67),"")</f>
        <v/>
      </c>
      <c r="S28" s="325"/>
      <c r="T28" s="325" t="str">
        <f>IF(AND('Mapa final'!$J$73="Media",'Mapa final'!$N$73="Menor"),CONCATENATE("R",'Mapa final'!$A$73),"")</f>
        <v/>
      </c>
      <c r="U28" s="326"/>
      <c r="V28" s="324" t="str">
        <f ca="1">IF(AND('Mapa final'!$J$61="Media",'Mapa final'!$N$61="Moderado"),CONCATENATE("R",'Mapa final'!$A$61),"")</f>
        <v/>
      </c>
      <c r="W28" s="325"/>
      <c r="X28" s="325" t="str">
        <f>IF(AND('Mapa final'!$J$67="Media",'Mapa final'!$N$67="Moderado"),CONCATENATE("R",'Mapa final'!$A$67),"")</f>
        <v/>
      </c>
      <c r="Y28" s="325"/>
      <c r="Z28" s="325" t="str">
        <f>IF(AND('Mapa final'!$J$73="Media",'Mapa final'!$N$73="Moderado"),CONCATENATE("R",'Mapa final'!$A$73),"")</f>
        <v/>
      </c>
      <c r="AA28" s="326"/>
      <c r="AB28" s="308" t="str">
        <f ca="1">IF(AND('Mapa final'!$J$61="Media",'Mapa final'!$N$61="Mayor"),CONCATENATE("R",'Mapa final'!$A$61),"")</f>
        <v/>
      </c>
      <c r="AC28" s="304"/>
      <c r="AD28" s="304" t="str">
        <f>IF(AND('Mapa final'!$J$67="Media",'Mapa final'!$N$67="Mayor"),CONCATENATE("R",'Mapa final'!$A$67),"")</f>
        <v/>
      </c>
      <c r="AE28" s="304"/>
      <c r="AF28" s="304" t="str">
        <f>IF(AND('Mapa final'!$J$73="Media",'Mapa final'!$N$73="Mayor"),CONCATENATE("R",'Mapa final'!$A$73),"")</f>
        <v/>
      </c>
      <c r="AG28" s="305"/>
      <c r="AH28" s="315" t="str">
        <f ca="1">IF(AND('Mapa final'!$J$61="Media",'Mapa final'!$N$61="Catastrófico"),CONCATENATE("R",'Mapa final'!$A$61),"")</f>
        <v/>
      </c>
      <c r="AI28" s="316"/>
      <c r="AJ28" s="316" t="str">
        <f>IF(AND('Mapa final'!$J$67="Media",'Mapa final'!$N$67="Catastrófico"),CONCATENATE("R",'Mapa final'!$A$67),"")</f>
        <v/>
      </c>
      <c r="AK28" s="316"/>
      <c r="AL28" s="316" t="str">
        <f>IF(AND('Mapa final'!$J$73="Media",'Mapa final'!$N$73="Catastrófico"),CONCATENATE("R",'Mapa final'!$A$73),"")</f>
        <v/>
      </c>
      <c r="AM28" s="317"/>
      <c r="AN28" s="83"/>
      <c r="AO28" s="280"/>
      <c r="AP28" s="281"/>
      <c r="AQ28" s="281"/>
      <c r="AR28" s="281"/>
      <c r="AS28" s="281"/>
      <c r="AT28" s="282"/>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57"/>
      <c r="C29" s="257"/>
      <c r="D29" s="258"/>
      <c r="E29" s="301"/>
      <c r="F29" s="302"/>
      <c r="G29" s="302"/>
      <c r="H29" s="302"/>
      <c r="I29" s="303"/>
      <c r="J29" s="324"/>
      <c r="K29" s="325"/>
      <c r="L29" s="325"/>
      <c r="M29" s="325"/>
      <c r="N29" s="325"/>
      <c r="O29" s="326"/>
      <c r="P29" s="327"/>
      <c r="Q29" s="328"/>
      <c r="R29" s="328"/>
      <c r="S29" s="328"/>
      <c r="T29" s="328"/>
      <c r="U29" s="329"/>
      <c r="V29" s="327"/>
      <c r="W29" s="328"/>
      <c r="X29" s="328"/>
      <c r="Y29" s="328"/>
      <c r="Z29" s="328"/>
      <c r="AA29" s="329"/>
      <c r="AB29" s="312"/>
      <c r="AC29" s="313"/>
      <c r="AD29" s="313"/>
      <c r="AE29" s="313"/>
      <c r="AF29" s="313"/>
      <c r="AG29" s="314"/>
      <c r="AH29" s="318"/>
      <c r="AI29" s="319"/>
      <c r="AJ29" s="319"/>
      <c r="AK29" s="319"/>
      <c r="AL29" s="319"/>
      <c r="AM29" s="320"/>
      <c r="AN29" s="83"/>
      <c r="AO29" s="283"/>
      <c r="AP29" s="284"/>
      <c r="AQ29" s="284"/>
      <c r="AR29" s="284"/>
      <c r="AS29" s="284"/>
      <c r="AT29" s="285"/>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57"/>
      <c r="C30" s="257"/>
      <c r="D30" s="258"/>
      <c r="E30" s="295" t="s">
        <v>114</v>
      </c>
      <c r="F30" s="296"/>
      <c r="G30" s="296"/>
      <c r="H30" s="296"/>
      <c r="I30" s="296"/>
      <c r="J30" s="339" t="str">
        <f ca="1">IF(AND('Mapa final'!$J$10="Baja",'Mapa final'!$N$10="Leve"),CONCATENATE("R",'Mapa final'!$A$10),"")</f>
        <v/>
      </c>
      <c r="K30" s="340"/>
      <c r="L30" s="340" t="str">
        <f>IF(AND([1]Hoja1!$G$2="Baja",[1]Hoja1!$K$3="Leve"),CONCATENATE("R",'Mapa final'!$A$13),"")</f>
        <v/>
      </c>
      <c r="M30" s="340"/>
      <c r="N30" s="340" t="str">
        <f ca="1">IF(AND('Mapa final'!$J$19="Baja",'Mapa final'!$N$19="Leve"),CONCATENATE("R",'Mapa final'!$A$19),"")</f>
        <v/>
      </c>
      <c r="O30" s="341"/>
      <c r="P30" s="331" t="str">
        <f ca="1">IF(AND('Mapa final'!$J$10="Baja",'Mapa final'!$N$10="Menor"),CONCATENATE("R",'Mapa final'!$A$10),"")</f>
        <v/>
      </c>
      <c r="Q30" s="331"/>
      <c r="R30" s="331" t="str">
        <f>IF(AND([1]Hoja1!$G$2="Baja",[1]Hoja1!$K$3="Menor"),CONCATENATE("R",'Mapa final'!$A$13),"")</f>
        <v/>
      </c>
      <c r="S30" s="331"/>
      <c r="T30" s="331" t="str">
        <f ca="1">IF(AND('Mapa final'!$J$19="Baja",'Mapa final'!$N$19="Menor"),CONCATENATE("R",'Mapa final'!$A$19),"")</f>
        <v/>
      </c>
      <c r="U30" s="332"/>
      <c r="V30" s="330" t="str">
        <f ca="1">IF(AND('Mapa final'!$J$10="Baja",'Mapa final'!$N$10="Moderado"),CONCATENATE("R",'Mapa final'!$A$10),"")</f>
        <v/>
      </c>
      <c r="W30" s="331"/>
      <c r="X30" s="331" t="str">
        <f>IF(AND([1]Hoja1!$G$2="Baja",[1]Hoja1!$K$3="Moderado"),CONCATENATE("R",'Mapa final'!$A$13),"")</f>
        <v/>
      </c>
      <c r="Y30" s="331"/>
      <c r="Z30" s="331" t="str">
        <f ca="1">IF(AND('Mapa final'!$J$19="Baja",'Mapa final'!$N$19="Moderado"),CONCATENATE("R",'Mapa final'!$A$19),"")</f>
        <v/>
      </c>
      <c r="AA30" s="332"/>
      <c r="AB30" s="306" t="str">
        <f ca="1">IF(AND('Mapa final'!$J$10="Baja",'Mapa final'!$N$10="Mayor"),CONCATENATE("R",'Mapa final'!$A$10),"")</f>
        <v>R1</v>
      </c>
      <c r="AC30" s="307"/>
      <c r="AD30" s="307" t="str">
        <f>IF(AND([1]Hoja1!$G$2="Baja",[1]Hoja1!$K$3="Mayor"),CONCATENATE("R",'Mapa final'!$A$13),"")</f>
        <v/>
      </c>
      <c r="AE30" s="307"/>
      <c r="AF30" s="307" t="str">
        <f ca="1">IF(AND('Mapa final'!$J$19="Baja",'Mapa final'!$N$19="Mayor"),CONCATENATE("R",'Mapa final'!$A$19),"")</f>
        <v/>
      </c>
      <c r="AG30" s="309"/>
      <c r="AH30" s="321" t="str">
        <f ca="1">IF(AND('Mapa final'!$J$10="Baja",'Mapa final'!$N$10="Catastrófico"),CONCATENATE("R",'Mapa final'!$A$10),"")</f>
        <v/>
      </c>
      <c r="AI30" s="322"/>
      <c r="AJ30" s="322" t="str">
        <f>IF(AND([1]Hoja1!$G$2="Baja",[1]Hoja1!$K$3="Catastrófico"),CONCATENATE("R",'Mapa final'!$A$13),"")</f>
        <v/>
      </c>
      <c r="AK30" s="322"/>
      <c r="AL30" s="322" t="str">
        <f ca="1">IF(AND('Mapa final'!$J$19="Baja",'Mapa final'!$N$19="Catastrófico"),CONCATENATE("R",'Mapa final'!$A$19),"")</f>
        <v/>
      </c>
      <c r="AM30" s="323"/>
      <c r="AN30" s="83"/>
      <c r="AO30" s="286" t="s">
        <v>82</v>
      </c>
      <c r="AP30" s="287"/>
      <c r="AQ30" s="287"/>
      <c r="AR30" s="287"/>
      <c r="AS30" s="287"/>
      <c r="AT30" s="288"/>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57"/>
      <c r="C31" s="257"/>
      <c r="D31" s="258"/>
      <c r="E31" s="298"/>
      <c r="F31" s="299"/>
      <c r="G31" s="299"/>
      <c r="H31" s="299"/>
      <c r="I31" s="299"/>
      <c r="J31" s="335"/>
      <c r="K31" s="333"/>
      <c r="L31" s="333"/>
      <c r="M31" s="333"/>
      <c r="N31" s="333"/>
      <c r="O31" s="334"/>
      <c r="P31" s="325"/>
      <c r="Q31" s="325"/>
      <c r="R31" s="325"/>
      <c r="S31" s="325"/>
      <c r="T31" s="325"/>
      <c r="U31" s="326"/>
      <c r="V31" s="324"/>
      <c r="W31" s="325"/>
      <c r="X31" s="325"/>
      <c r="Y31" s="325"/>
      <c r="Z31" s="325"/>
      <c r="AA31" s="326"/>
      <c r="AB31" s="308"/>
      <c r="AC31" s="304"/>
      <c r="AD31" s="304"/>
      <c r="AE31" s="304"/>
      <c r="AF31" s="304"/>
      <c r="AG31" s="305"/>
      <c r="AH31" s="315"/>
      <c r="AI31" s="316"/>
      <c r="AJ31" s="316"/>
      <c r="AK31" s="316"/>
      <c r="AL31" s="316"/>
      <c r="AM31" s="317"/>
      <c r="AN31" s="83"/>
      <c r="AO31" s="289"/>
      <c r="AP31" s="290"/>
      <c r="AQ31" s="290"/>
      <c r="AR31" s="290"/>
      <c r="AS31" s="290"/>
      <c r="AT31" s="291"/>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57"/>
      <c r="C32" s="257"/>
      <c r="D32" s="258"/>
      <c r="E32" s="298"/>
      <c r="F32" s="299"/>
      <c r="G32" s="299"/>
      <c r="H32" s="299"/>
      <c r="I32" s="299"/>
      <c r="J32" s="335" t="str">
        <f ca="1">IF(AND('Mapa final'!$J$25="Baja",'Mapa final'!$N$25="Leve"),CONCATENATE("R",'Mapa final'!$A$25),"")</f>
        <v/>
      </c>
      <c r="K32" s="333"/>
      <c r="L32" s="333" t="str">
        <f ca="1">IF(AND('Mapa final'!$J$31="Baja",'Mapa final'!$N$31="Leve"),CONCATENATE("R",'Mapa final'!$A$31),"")</f>
        <v/>
      </c>
      <c r="M32" s="333"/>
      <c r="N32" s="333" t="str">
        <f ca="1">IF(AND('Mapa final'!$J$37="Baja",'Mapa final'!$N$37="Leve"),CONCATENATE("R",'Mapa final'!$A$37),"")</f>
        <v/>
      </c>
      <c r="O32" s="334"/>
      <c r="P32" s="325" t="str">
        <f ca="1">IF(AND('Mapa final'!$J$25="Baja",'Mapa final'!$N$25="Menor"),CONCATENATE("R",'Mapa final'!$A$25),"")</f>
        <v/>
      </c>
      <c r="Q32" s="325"/>
      <c r="R32" s="325" t="str">
        <f ca="1">IF(AND('Mapa final'!$J$31="Baja",'Mapa final'!$N$31="Menor"),CONCATENATE("R",'Mapa final'!$A$31),"")</f>
        <v/>
      </c>
      <c r="S32" s="325"/>
      <c r="T32" s="325" t="str">
        <f ca="1">IF(AND('Mapa final'!$J$37="Baja",'Mapa final'!$N$37="Menor"),CONCATENATE("R",'Mapa final'!$A$37),"")</f>
        <v/>
      </c>
      <c r="U32" s="326"/>
      <c r="V32" s="324" t="str">
        <f ca="1">IF(AND('Mapa final'!$J$25="Baja",'Mapa final'!$N$25="Moderado"),CONCATENATE("R",'Mapa final'!$A$25),"")</f>
        <v/>
      </c>
      <c r="W32" s="325"/>
      <c r="X32" s="325" t="str">
        <f ca="1">IF(AND('Mapa final'!$J$31="Baja",'Mapa final'!$N$31="Moderado"),CONCATENATE("R",'Mapa final'!$A$31),"")</f>
        <v/>
      </c>
      <c r="Y32" s="325"/>
      <c r="Z32" s="325" t="str">
        <f ca="1">IF(AND('Mapa final'!$J$37="Baja",'Mapa final'!$N$37="Moderado"),CONCATENATE("R",'Mapa final'!$A$37),"")</f>
        <v/>
      </c>
      <c r="AA32" s="326"/>
      <c r="AB32" s="308" t="str">
        <f ca="1">IF(AND('Mapa final'!$J$25="Baja",'Mapa final'!$N$25="Mayor"),CONCATENATE("R",'Mapa final'!$A$25),"")</f>
        <v/>
      </c>
      <c r="AC32" s="304"/>
      <c r="AD32" s="304" t="str">
        <f ca="1">IF(AND('Mapa final'!$J$31="Baja",'Mapa final'!$N$31="Mayor"),CONCATENATE("R",'Mapa final'!$A$31),"")</f>
        <v/>
      </c>
      <c r="AE32" s="304"/>
      <c r="AF32" s="304" t="str">
        <f ca="1">IF(AND('Mapa final'!$J$37="Baja",'Mapa final'!$N$37="Mayor"),CONCATENATE("R",'Mapa final'!$A$37),"")</f>
        <v/>
      </c>
      <c r="AG32" s="305"/>
      <c r="AH32" s="315" t="str">
        <f ca="1">IF(AND('Mapa final'!$J$25="Baja",'Mapa final'!$N$25="Catastrófico"),CONCATENATE("R",'Mapa final'!$A$25),"")</f>
        <v/>
      </c>
      <c r="AI32" s="316"/>
      <c r="AJ32" s="316" t="str">
        <f ca="1">IF(AND('Mapa final'!$J$31="Baja",'Mapa final'!$N$31="Catastrófico"),CONCATENATE("R",'Mapa final'!$A$31),"")</f>
        <v/>
      </c>
      <c r="AK32" s="316"/>
      <c r="AL32" s="316" t="str">
        <f ca="1">IF(AND('Mapa final'!$J$37="Baja",'Mapa final'!$N$37="Catastrófico"),CONCATENATE("R",'Mapa final'!$A$37),"")</f>
        <v/>
      </c>
      <c r="AM32" s="317"/>
      <c r="AN32" s="83"/>
      <c r="AO32" s="289"/>
      <c r="AP32" s="290"/>
      <c r="AQ32" s="290"/>
      <c r="AR32" s="290"/>
      <c r="AS32" s="290"/>
      <c r="AT32" s="291"/>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57"/>
      <c r="C33" s="257"/>
      <c r="D33" s="258"/>
      <c r="E33" s="298"/>
      <c r="F33" s="299"/>
      <c r="G33" s="299"/>
      <c r="H33" s="299"/>
      <c r="I33" s="299"/>
      <c r="J33" s="335"/>
      <c r="K33" s="333"/>
      <c r="L33" s="333"/>
      <c r="M33" s="333"/>
      <c r="N33" s="333"/>
      <c r="O33" s="334"/>
      <c r="P33" s="325"/>
      <c r="Q33" s="325"/>
      <c r="R33" s="325"/>
      <c r="S33" s="325"/>
      <c r="T33" s="325"/>
      <c r="U33" s="326"/>
      <c r="V33" s="324"/>
      <c r="W33" s="325"/>
      <c r="X33" s="325"/>
      <c r="Y33" s="325"/>
      <c r="Z33" s="325"/>
      <c r="AA33" s="326"/>
      <c r="AB33" s="308"/>
      <c r="AC33" s="304"/>
      <c r="AD33" s="304"/>
      <c r="AE33" s="304"/>
      <c r="AF33" s="304"/>
      <c r="AG33" s="305"/>
      <c r="AH33" s="315"/>
      <c r="AI33" s="316"/>
      <c r="AJ33" s="316"/>
      <c r="AK33" s="316"/>
      <c r="AL33" s="316"/>
      <c r="AM33" s="317"/>
      <c r="AN33" s="83"/>
      <c r="AO33" s="289"/>
      <c r="AP33" s="290"/>
      <c r="AQ33" s="290"/>
      <c r="AR33" s="290"/>
      <c r="AS33" s="290"/>
      <c r="AT33" s="291"/>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57"/>
      <c r="C34" s="257"/>
      <c r="D34" s="258"/>
      <c r="E34" s="298"/>
      <c r="F34" s="299"/>
      <c r="G34" s="299"/>
      <c r="H34" s="299"/>
      <c r="I34" s="299"/>
      <c r="J34" s="335" t="str">
        <f ca="1">IF(AND('Mapa final'!$J$43="Baja",'Mapa final'!$N$43="Leve"),CONCATENATE("R",'Mapa final'!$A$43),"")</f>
        <v/>
      </c>
      <c r="K34" s="333"/>
      <c r="L34" s="333" t="str">
        <f ca="1">IF(AND('Mapa final'!$J$49="Baja",'Mapa final'!$N$49="Leve"),CONCATENATE("R",'Mapa final'!$A$49),"")</f>
        <v/>
      </c>
      <c r="M34" s="333"/>
      <c r="N34" s="333" t="str">
        <f ca="1">IF(AND('Mapa final'!$J$55="Baja",'Mapa final'!$N$55="Leve"),CONCATENATE("R",'Mapa final'!$A$55),"")</f>
        <v/>
      </c>
      <c r="O34" s="334"/>
      <c r="P34" s="325" t="str">
        <f ca="1">IF(AND('Mapa final'!$J$43="Baja",'Mapa final'!$N$43="Menor"),CONCATENATE("R",'Mapa final'!$A$43),"")</f>
        <v/>
      </c>
      <c r="Q34" s="325"/>
      <c r="R34" s="325" t="str">
        <f ca="1">IF(AND('Mapa final'!$J$49="Baja",'Mapa final'!$N$49="Menor"),CONCATENATE("R",'Mapa final'!$A$49),"")</f>
        <v/>
      </c>
      <c r="S34" s="325"/>
      <c r="T34" s="325" t="str">
        <f ca="1">IF(AND('Mapa final'!$J$55="Baja",'Mapa final'!$N$55="Menor"),CONCATENATE("R",'Mapa final'!$A$55),"")</f>
        <v/>
      </c>
      <c r="U34" s="326"/>
      <c r="V34" s="324" t="str">
        <f ca="1">IF(AND('Mapa final'!$J$43="Baja",'Mapa final'!$N$43="Moderado"),CONCATENATE("R",'Mapa final'!$A$43),"")</f>
        <v/>
      </c>
      <c r="W34" s="325"/>
      <c r="X34" s="325" t="str">
        <f ca="1">IF(AND('Mapa final'!$J$49="Baja",'Mapa final'!$N$49="Moderado"),CONCATENATE("R",'Mapa final'!$A$49),"")</f>
        <v/>
      </c>
      <c r="Y34" s="325"/>
      <c r="Z34" s="325" t="str">
        <f ca="1">IF(AND('Mapa final'!$J$55="Baja",'Mapa final'!$N$55="Moderado"),CONCATENATE("R",'Mapa final'!$A$55),"")</f>
        <v/>
      </c>
      <c r="AA34" s="326"/>
      <c r="AB34" s="308" t="str">
        <f ca="1">IF(AND('Mapa final'!$J$43="Baja",'Mapa final'!$N$43="Mayor"),CONCATENATE("R",'Mapa final'!$A$43),"")</f>
        <v/>
      </c>
      <c r="AC34" s="304"/>
      <c r="AD34" s="304" t="str">
        <f ca="1">IF(AND('Mapa final'!$J$49="Baja",'Mapa final'!$N$49="Mayor"),CONCATENATE("R",'Mapa final'!$A$49),"")</f>
        <v/>
      </c>
      <c r="AE34" s="304"/>
      <c r="AF34" s="304" t="str">
        <f ca="1">IF(AND('Mapa final'!$J$55="Baja",'Mapa final'!$N$55="Mayor"),CONCATENATE("R",'Mapa final'!$A$55),"")</f>
        <v/>
      </c>
      <c r="AG34" s="305"/>
      <c r="AH34" s="315" t="str">
        <f ca="1">IF(AND('Mapa final'!$J$43="Baja",'Mapa final'!$N$43="Catastrófico"),CONCATENATE("R",'Mapa final'!$A$43),"")</f>
        <v/>
      </c>
      <c r="AI34" s="316"/>
      <c r="AJ34" s="316" t="str">
        <f ca="1">IF(AND('Mapa final'!$J$49="Baja",'Mapa final'!$N$49="Catastrófico"),CONCATENATE("R",'Mapa final'!$A$49),"")</f>
        <v/>
      </c>
      <c r="AK34" s="316"/>
      <c r="AL34" s="316" t="str">
        <f ca="1">IF(AND('Mapa final'!$J$55="Baja",'Mapa final'!$N$55="Catastrófico"),CONCATENATE("R",'Mapa final'!$A$55),"")</f>
        <v/>
      </c>
      <c r="AM34" s="317"/>
      <c r="AN34" s="83"/>
      <c r="AO34" s="289"/>
      <c r="AP34" s="290"/>
      <c r="AQ34" s="290"/>
      <c r="AR34" s="290"/>
      <c r="AS34" s="290"/>
      <c r="AT34" s="291"/>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57"/>
      <c r="C35" s="257"/>
      <c r="D35" s="258"/>
      <c r="E35" s="298"/>
      <c r="F35" s="299"/>
      <c r="G35" s="299"/>
      <c r="H35" s="299"/>
      <c r="I35" s="299"/>
      <c r="J35" s="335"/>
      <c r="K35" s="333"/>
      <c r="L35" s="333"/>
      <c r="M35" s="333"/>
      <c r="N35" s="333"/>
      <c r="O35" s="334"/>
      <c r="P35" s="325"/>
      <c r="Q35" s="325"/>
      <c r="R35" s="325"/>
      <c r="S35" s="325"/>
      <c r="T35" s="325"/>
      <c r="U35" s="326"/>
      <c r="V35" s="324"/>
      <c r="W35" s="325"/>
      <c r="X35" s="325"/>
      <c r="Y35" s="325"/>
      <c r="Z35" s="325"/>
      <c r="AA35" s="326"/>
      <c r="AB35" s="308"/>
      <c r="AC35" s="304"/>
      <c r="AD35" s="304"/>
      <c r="AE35" s="304"/>
      <c r="AF35" s="304"/>
      <c r="AG35" s="305"/>
      <c r="AH35" s="315"/>
      <c r="AI35" s="316"/>
      <c r="AJ35" s="316"/>
      <c r="AK35" s="316"/>
      <c r="AL35" s="316"/>
      <c r="AM35" s="317"/>
      <c r="AN35" s="83"/>
      <c r="AO35" s="289"/>
      <c r="AP35" s="290"/>
      <c r="AQ35" s="290"/>
      <c r="AR35" s="290"/>
      <c r="AS35" s="290"/>
      <c r="AT35" s="291"/>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57"/>
      <c r="C36" s="257"/>
      <c r="D36" s="258"/>
      <c r="E36" s="298"/>
      <c r="F36" s="299"/>
      <c r="G36" s="299"/>
      <c r="H36" s="299"/>
      <c r="I36" s="299"/>
      <c r="J36" s="335" t="str">
        <f ca="1">IF(AND('Mapa final'!$J$61="Baja",'Mapa final'!$N$61="Leve"),CONCATENATE("R",'Mapa final'!$A$61),"")</f>
        <v/>
      </c>
      <c r="K36" s="333"/>
      <c r="L36" s="333" t="str">
        <f>IF(AND('Mapa final'!$J$67="Baja",'Mapa final'!$N$67="Leve"),CONCATENATE("R",'Mapa final'!$A$67),"")</f>
        <v/>
      </c>
      <c r="M36" s="333"/>
      <c r="N36" s="333" t="str">
        <f>IF(AND('Mapa final'!$J$73="Baja",'Mapa final'!$N$73="Leve"),CONCATENATE("R",'Mapa final'!$A$73),"")</f>
        <v/>
      </c>
      <c r="O36" s="334"/>
      <c r="P36" s="325" t="str">
        <f ca="1">IF(AND('Mapa final'!$J$61="Baja",'Mapa final'!$N$61="Menor"),CONCATENATE("R",'Mapa final'!$A$61),"")</f>
        <v/>
      </c>
      <c r="Q36" s="325"/>
      <c r="R36" s="325" t="str">
        <f>IF(AND('Mapa final'!$J$67="Baja",'Mapa final'!$N$67="Menor"),CONCATENATE("R",'Mapa final'!$A$67),"")</f>
        <v/>
      </c>
      <c r="S36" s="325"/>
      <c r="T36" s="325" t="str">
        <f>IF(AND('Mapa final'!$J$73="Baja",'Mapa final'!$N$73="Menor"),CONCATENATE("R",'Mapa final'!$A$73),"")</f>
        <v/>
      </c>
      <c r="U36" s="326"/>
      <c r="V36" s="324" t="str">
        <f ca="1">IF(AND('Mapa final'!$J$61="Baja",'Mapa final'!$N$61="Moderado"),CONCATENATE("R",'Mapa final'!$A$61),"")</f>
        <v/>
      </c>
      <c r="W36" s="325"/>
      <c r="X36" s="325" t="str">
        <f>IF(AND('Mapa final'!$J$67="Baja",'Mapa final'!$N$67="Moderado"),CONCATENATE("R",'Mapa final'!$A$67),"")</f>
        <v/>
      </c>
      <c r="Y36" s="325"/>
      <c r="Z36" s="325" t="str">
        <f>IF(AND('Mapa final'!$J$73="Baja",'Mapa final'!$N$73="Moderado"),CONCATENATE("R",'Mapa final'!$A$73),"")</f>
        <v/>
      </c>
      <c r="AA36" s="326"/>
      <c r="AB36" s="308" t="str">
        <f ca="1">IF(AND('Mapa final'!$J$61="Baja",'Mapa final'!$N$61="Mayor"),CONCATENATE("R",'Mapa final'!$A$61),"")</f>
        <v/>
      </c>
      <c r="AC36" s="304"/>
      <c r="AD36" s="304" t="str">
        <f>IF(AND('Mapa final'!$J$67="Baja",'Mapa final'!$N$67="Mayor"),CONCATENATE("R",'Mapa final'!$A$67),"")</f>
        <v/>
      </c>
      <c r="AE36" s="304"/>
      <c r="AF36" s="304" t="str">
        <f>IF(AND('Mapa final'!$J$73="Baja",'Mapa final'!$N$73="Mayor"),CONCATENATE("R",'Mapa final'!$A$73),"")</f>
        <v/>
      </c>
      <c r="AG36" s="305"/>
      <c r="AH36" s="315" t="str">
        <f ca="1">IF(AND('Mapa final'!$J$61="Baja",'Mapa final'!$N$61="Catastrófico"),CONCATENATE("R",'Mapa final'!$A$61),"")</f>
        <v/>
      </c>
      <c r="AI36" s="316"/>
      <c r="AJ36" s="316" t="str">
        <f>IF(AND('Mapa final'!$J$67="Baja",'Mapa final'!$N$67="Catastrófico"),CONCATENATE("R",'Mapa final'!$A$67),"")</f>
        <v/>
      </c>
      <c r="AK36" s="316"/>
      <c r="AL36" s="316" t="str">
        <f>IF(AND('Mapa final'!$J$73="Baja",'Mapa final'!$N$73="Catastrófico"),CONCATENATE("R",'Mapa final'!$A$73),"")</f>
        <v/>
      </c>
      <c r="AM36" s="317"/>
      <c r="AN36" s="83"/>
      <c r="AO36" s="289"/>
      <c r="AP36" s="290"/>
      <c r="AQ36" s="290"/>
      <c r="AR36" s="290"/>
      <c r="AS36" s="290"/>
      <c r="AT36" s="291"/>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57"/>
      <c r="C37" s="257"/>
      <c r="D37" s="258"/>
      <c r="E37" s="301"/>
      <c r="F37" s="302"/>
      <c r="G37" s="302"/>
      <c r="H37" s="302"/>
      <c r="I37" s="302"/>
      <c r="J37" s="336"/>
      <c r="K37" s="337"/>
      <c r="L37" s="337"/>
      <c r="M37" s="337"/>
      <c r="N37" s="337"/>
      <c r="O37" s="338"/>
      <c r="P37" s="328"/>
      <c r="Q37" s="328"/>
      <c r="R37" s="328"/>
      <c r="S37" s="328"/>
      <c r="T37" s="328"/>
      <c r="U37" s="329"/>
      <c r="V37" s="327"/>
      <c r="W37" s="328"/>
      <c r="X37" s="328"/>
      <c r="Y37" s="328"/>
      <c r="Z37" s="328"/>
      <c r="AA37" s="329"/>
      <c r="AB37" s="312"/>
      <c r="AC37" s="313"/>
      <c r="AD37" s="313"/>
      <c r="AE37" s="313"/>
      <c r="AF37" s="313"/>
      <c r="AG37" s="314"/>
      <c r="AH37" s="318"/>
      <c r="AI37" s="319"/>
      <c r="AJ37" s="319"/>
      <c r="AK37" s="319"/>
      <c r="AL37" s="319"/>
      <c r="AM37" s="320"/>
      <c r="AN37" s="83"/>
      <c r="AO37" s="292"/>
      <c r="AP37" s="293"/>
      <c r="AQ37" s="293"/>
      <c r="AR37" s="293"/>
      <c r="AS37" s="293"/>
      <c r="AT37" s="294"/>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57"/>
      <c r="C38" s="257"/>
      <c r="D38" s="258"/>
      <c r="E38" s="295" t="s">
        <v>113</v>
      </c>
      <c r="F38" s="296"/>
      <c r="G38" s="296"/>
      <c r="H38" s="296"/>
      <c r="I38" s="297"/>
      <c r="J38" s="339" t="str">
        <f ca="1">IF(AND('Mapa final'!$J$10="Muy Baja",'Mapa final'!$N$10="Leve"),CONCATENATE("R",'Mapa final'!$A$10),"")</f>
        <v/>
      </c>
      <c r="K38" s="340"/>
      <c r="L38" s="340" t="str">
        <f>IF(AND([1]Hoja1!$G$2="Muy Baja",[1]Hoja1!$K$3="Leve"),CONCATENATE("R",'Mapa final'!$A$13),"")</f>
        <v/>
      </c>
      <c r="M38" s="340"/>
      <c r="N38" s="340" t="str">
        <f ca="1">IF(AND('Mapa final'!$J$19="Muy Baja",'Mapa final'!$N$19="Leve"),CONCATENATE("R",'Mapa final'!$A$19),"")</f>
        <v/>
      </c>
      <c r="O38" s="341"/>
      <c r="P38" s="339" t="str">
        <f ca="1">IF(AND('Mapa final'!$J$10="Muy Baja",'Mapa final'!$N$10="Menor"),CONCATENATE("R",'Mapa final'!$A$10),"")</f>
        <v/>
      </c>
      <c r="Q38" s="340"/>
      <c r="R38" s="340" t="str">
        <f>IF(AND([1]Hoja1!$G$2="Muy Baja",[1]Hoja1!$K$3="Menor"),CONCATENATE("R",'Mapa final'!$A$13),"")</f>
        <v/>
      </c>
      <c r="S38" s="340"/>
      <c r="T38" s="340" t="str">
        <f ca="1">IF(AND('Mapa final'!$J$19="Muy Baja",'Mapa final'!$N$19="Menor"),CONCATENATE("R",'Mapa final'!$A$19),"")</f>
        <v/>
      </c>
      <c r="U38" s="341"/>
      <c r="V38" s="330" t="str">
        <f ca="1">IF(AND('Mapa final'!$J$10="Muy Baja",'Mapa final'!$N$10="Moderado"),CONCATENATE("R",'Mapa final'!$A$10),"")</f>
        <v/>
      </c>
      <c r="W38" s="331"/>
      <c r="X38" s="331" t="str">
        <f>IF(AND([1]Hoja1!$G$2="Muy Baja",[1]Hoja1!$K$3="Moderado"),CONCATENATE("R",'Mapa final'!$A$13),"")</f>
        <v/>
      </c>
      <c r="Y38" s="331"/>
      <c r="Z38" s="331" t="str">
        <f ca="1">IF(AND('Mapa final'!$J$19="Muy Baja",'Mapa final'!$N$19="Moderado"),CONCATENATE("R",'Mapa final'!$A$19),"")</f>
        <v/>
      </c>
      <c r="AA38" s="332"/>
      <c r="AB38" s="306" t="str">
        <f ca="1">IF(AND('Mapa final'!$J$10="Muy Baja",'Mapa final'!$N$10="Mayor"),CONCATENATE("R",'Mapa final'!$A$10),"")</f>
        <v/>
      </c>
      <c r="AC38" s="307"/>
      <c r="AD38" s="307" t="str">
        <f>IF(AND([1]Hoja1!$G$2="Muy Baja",[1]Hoja1!$K$3="Mayor"),CONCATENATE("R",'Mapa final'!$A$13),"")</f>
        <v/>
      </c>
      <c r="AE38" s="307"/>
      <c r="AF38" s="307" t="str">
        <f ca="1">IF(AND('Mapa final'!$J$19="Muy Baja",'Mapa final'!$N$19="Mayor"),CONCATENATE("R",'Mapa final'!$A$19),"")</f>
        <v/>
      </c>
      <c r="AG38" s="309"/>
      <c r="AH38" s="321" t="str">
        <f ca="1">IF(AND('Mapa final'!$J$10="Muy Baja",'Mapa final'!$N$10="Catastrófico"),CONCATENATE("R",'Mapa final'!$A$10),"")</f>
        <v/>
      </c>
      <c r="AI38" s="322"/>
      <c r="AJ38" s="322" t="str">
        <f>IF(AND([1]Hoja1!$G$2="Muy Baja",[1]Hoja1!$K$3="Catastrófico"),CONCATENATE("R",'Mapa final'!$A$13),"")</f>
        <v/>
      </c>
      <c r="AK38" s="322"/>
      <c r="AL38" s="322" t="str">
        <f ca="1">IF(AND('Mapa final'!$J$19="Muy Baja",'Mapa final'!$N$19="Catastrófico"),CONCATENATE("R",'Mapa final'!$A$19),"")</f>
        <v/>
      </c>
      <c r="AM38" s="32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57"/>
      <c r="C39" s="257"/>
      <c r="D39" s="258"/>
      <c r="E39" s="298"/>
      <c r="F39" s="299"/>
      <c r="G39" s="299"/>
      <c r="H39" s="299"/>
      <c r="I39" s="300"/>
      <c r="J39" s="335"/>
      <c r="K39" s="333"/>
      <c r="L39" s="333"/>
      <c r="M39" s="333"/>
      <c r="N39" s="333"/>
      <c r="O39" s="334"/>
      <c r="P39" s="335"/>
      <c r="Q39" s="333"/>
      <c r="R39" s="333"/>
      <c r="S39" s="333"/>
      <c r="T39" s="333"/>
      <c r="U39" s="334"/>
      <c r="V39" s="324"/>
      <c r="W39" s="325"/>
      <c r="X39" s="325"/>
      <c r="Y39" s="325"/>
      <c r="Z39" s="325"/>
      <c r="AA39" s="326"/>
      <c r="AB39" s="308"/>
      <c r="AC39" s="304"/>
      <c r="AD39" s="304"/>
      <c r="AE39" s="304"/>
      <c r="AF39" s="304"/>
      <c r="AG39" s="305"/>
      <c r="AH39" s="315"/>
      <c r="AI39" s="316"/>
      <c r="AJ39" s="316"/>
      <c r="AK39" s="316"/>
      <c r="AL39" s="316"/>
      <c r="AM39" s="31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57"/>
      <c r="C40" s="257"/>
      <c r="D40" s="258"/>
      <c r="E40" s="298"/>
      <c r="F40" s="299"/>
      <c r="G40" s="299"/>
      <c r="H40" s="299"/>
      <c r="I40" s="300"/>
      <c r="J40" s="335" t="str">
        <f ca="1">IF(AND('Mapa final'!$J$25="Muy Baja",'Mapa final'!$N$25="Leve"),CONCATENATE("R",'Mapa final'!$A$25),"")</f>
        <v/>
      </c>
      <c r="K40" s="333"/>
      <c r="L40" s="333" t="str">
        <f ca="1">IF(AND('Mapa final'!$J$31="Muy Baja",'Mapa final'!$N$31="Leve"),CONCATENATE("R",'Mapa final'!$A$31),"")</f>
        <v/>
      </c>
      <c r="M40" s="333"/>
      <c r="N40" s="333" t="str">
        <f ca="1">IF(AND('Mapa final'!$J$37="Muy Baja",'Mapa final'!$N$37="Leve"),CONCATENATE("R",'Mapa final'!$A$37),"")</f>
        <v/>
      </c>
      <c r="O40" s="334"/>
      <c r="P40" s="335" t="str">
        <f ca="1">IF(AND('Mapa final'!$J$25="Muy Baja",'Mapa final'!$N$25="Menor"),CONCATENATE("R",'Mapa final'!$A$25),"")</f>
        <v/>
      </c>
      <c r="Q40" s="333"/>
      <c r="R40" s="333" t="str">
        <f ca="1">IF(AND('Mapa final'!$J$31="Muy Baja",'Mapa final'!$N$31="Menor"),CONCATENATE("R",'Mapa final'!$A$31),"")</f>
        <v/>
      </c>
      <c r="S40" s="333"/>
      <c r="T40" s="333" t="str">
        <f ca="1">IF(AND('Mapa final'!$J$37="Muy Baja",'Mapa final'!$N$37="Menor"),CONCATENATE("R",'Mapa final'!$A$37),"")</f>
        <v/>
      </c>
      <c r="U40" s="334"/>
      <c r="V40" s="324" t="str">
        <f ca="1">IF(AND('Mapa final'!$J$25="Muy Baja",'Mapa final'!$N$25="Moderado"),CONCATENATE("R",'Mapa final'!$A$25),"")</f>
        <v/>
      </c>
      <c r="W40" s="325"/>
      <c r="X40" s="325" t="str">
        <f ca="1">IF(AND('Mapa final'!$J$31="Muy Baja",'Mapa final'!$N$31="Moderado"),CONCATENATE("R",'Mapa final'!$A$31),"")</f>
        <v/>
      </c>
      <c r="Y40" s="325"/>
      <c r="Z40" s="325" t="str">
        <f ca="1">IF(AND('Mapa final'!$J$37="Muy Baja",'Mapa final'!$N$37="Moderado"),CONCATENATE("R",'Mapa final'!$A$37),"")</f>
        <v/>
      </c>
      <c r="AA40" s="326"/>
      <c r="AB40" s="308" t="str">
        <f ca="1">IF(AND('Mapa final'!$J$25="Muy Baja",'Mapa final'!$N$25="Mayor"),CONCATENATE("R",'Mapa final'!$A$25),"")</f>
        <v/>
      </c>
      <c r="AC40" s="304"/>
      <c r="AD40" s="304" t="str">
        <f ca="1">IF(AND('Mapa final'!$J$31="Muy Baja",'Mapa final'!$N$31="Mayor"),CONCATENATE("R",'Mapa final'!$A$31),"")</f>
        <v/>
      </c>
      <c r="AE40" s="304"/>
      <c r="AF40" s="304" t="str">
        <f ca="1">IF(AND('Mapa final'!$J$37="Muy Baja",'Mapa final'!$N$37="Mayor"),CONCATENATE("R",'Mapa final'!$A$37),"")</f>
        <v/>
      </c>
      <c r="AG40" s="305"/>
      <c r="AH40" s="315" t="str">
        <f ca="1">IF(AND('Mapa final'!$J$25="Muy Baja",'Mapa final'!$N$25="Catastrófico"),CONCATENATE("R",'Mapa final'!$A$25),"")</f>
        <v/>
      </c>
      <c r="AI40" s="316"/>
      <c r="AJ40" s="316" t="str">
        <f ca="1">IF(AND('Mapa final'!$J$31="Muy Baja",'Mapa final'!$N$31="Catastrófico"),CONCATENATE("R",'Mapa final'!$A$31),"")</f>
        <v/>
      </c>
      <c r="AK40" s="316"/>
      <c r="AL40" s="316" t="str">
        <f ca="1">IF(AND('Mapa final'!$J$37="Muy Baja",'Mapa final'!$N$37="Catastrófico"),CONCATENATE("R",'Mapa final'!$A$37),"")</f>
        <v/>
      </c>
      <c r="AM40" s="31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57"/>
      <c r="C41" s="257"/>
      <c r="D41" s="258"/>
      <c r="E41" s="298"/>
      <c r="F41" s="299"/>
      <c r="G41" s="299"/>
      <c r="H41" s="299"/>
      <c r="I41" s="300"/>
      <c r="J41" s="335"/>
      <c r="K41" s="333"/>
      <c r="L41" s="333"/>
      <c r="M41" s="333"/>
      <c r="N41" s="333"/>
      <c r="O41" s="334"/>
      <c r="P41" s="335"/>
      <c r="Q41" s="333"/>
      <c r="R41" s="333"/>
      <c r="S41" s="333"/>
      <c r="T41" s="333"/>
      <c r="U41" s="334"/>
      <c r="V41" s="324"/>
      <c r="W41" s="325"/>
      <c r="X41" s="325"/>
      <c r="Y41" s="325"/>
      <c r="Z41" s="325"/>
      <c r="AA41" s="326"/>
      <c r="AB41" s="308"/>
      <c r="AC41" s="304"/>
      <c r="AD41" s="304"/>
      <c r="AE41" s="304"/>
      <c r="AF41" s="304"/>
      <c r="AG41" s="305"/>
      <c r="AH41" s="315"/>
      <c r="AI41" s="316"/>
      <c r="AJ41" s="316"/>
      <c r="AK41" s="316"/>
      <c r="AL41" s="316"/>
      <c r="AM41" s="31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57"/>
      <c r="C42" s="257"/>
      <c r="D42" s="258"/>
      <c r="E42" s="298"/>
      <c r="F42" s="299"/>
      <c r="G42" s="299"/>
      <c r="H42" s="299"/>
      <c r="I42" s="300"/>
      <c r="J42" s="335" t="str">
        <f ca="1">IF(AND('Mapa final'!$J$43="Muy Baja",'Mapa final'!$N$43="Leve"),CONCATENATE("R",'Mapa final'!$A$43),"")</f>
        <v/>
      </c>
      <c r="K42" s="333"/>
      <c r="L42" s="333" t="str">
        <f ca="1">IF(AND('Mapa final'!$J$49="Muy Baja",'Mapa final'!$N$49="Leve"),CONCATENATE("R",'Mapa final'!$A$49),"")</f>
        <v/>
      </c>
      <c r="M42" s="333"/>
      <c r="N42" s="333" t="str">
        <f ca="1">IF(AND('Mapa final'!$J$55="Muy Baja",'Mapa final'!$N$55="Leve"),CONCATENATE("R",'Mapa final'!$A$55),"")</f>
        <v/>
      </c>
      <c r="O42" s="334"/>
      <c r="P42" s="335" t="str">
        <f ca="1">IF(AND('Mapa final'!$J$43="Muy Baja",'Mapa final'!$N$43="Menor"),CONCATENATE("R",'Mapa final'!$A$43),"")</f>
        <v/>
      </c>
      <c r="Q42" s="333"/>
      <c r="R42" s="333" t="str">
        <f ca="1">IF(AND('Mapa final'!$J$49="Muy Baja",'Mapa final'!$N$49="Menor"),CONCATENATE("R",'Mapa final'!$A$49),"")</f>
        <v/>
      </c>
      <c r="S42" s="333"/>
      <c r="T42" s="333" t="str">
        <f ca="1">IF(AND('Mapa final'!$J$55="Muy Baja",'Mapa final'!$N$55="Menor"),CONCATENATE("R",'Mapa final'!$A$55),"")</f>
        <v/>
      </c>
      <c r="U42" s="334"/>
      <c r="V42" s="324" t="str">
        <f ca="1">IF(AND('Mapa final'!$J$43="Muy Baja",'Mapa final'!$N$43="Moderado"),CONCATENATE("R",'Mapa final'!$A$43),"")</f>
        <v/>
      </c>
      <c r="W42" s="325"/>
      <c r="X42" s="325" t="str">
        <f ca="1">IF(AND('Mapa final'!$J$49="Muy Baja",'Mapa final'!$N$49="Moderado"),CONCATENATE("R",'Mapa final'!$A$49),"")</f>
        <v/>
      </c>
      <c r="Y42" s="325"/>
      <c r="Z42" s="325" t="str">
        <f ca="1">IF(AND('Mapa final'!$J$55="Muy Baja",'Mapa final'!$N$55="Moderado"),CONCATENATE("R",'Mapa final'!$A$55),"")</f>
        <v/>
      </c>
      <c r="AA42" s="326"/>
      <c r="AB42" s="308" t="str">
        <f ca="1">IF(AND('Mapa final'!$J$43="Muy Baja",'Mapa final'!$N$43="Mayor"),CONCATENATE("R",'Mapa final'!$A$43),"")</f>
        <v/>
      </c>
      <c r="AC42" s="304"/>
      <c r="AD42" s="304" t="str">
        <f ca="1">IF(AND('Mapa final'!$J$49="Muy Baja",'Mapa final'!$N$49="Mayor"),CONCATENATE("R",'Mapa final'!$A$49),"")</f>
        <v/>
      </c>
      <c r="AE42" s="304"/>
      <c r="AF42" s="304" t="str">
        <f ca="1">IF(AND('Mapa final'!$J$55="Muy Baja",'Mapa final'!$N$55="Mayor"),CONCATENATE("R",'Mapa final'!$A$55),"")</f>
        <v/>
      </c>
      <c r="AG42" s="305"/>
      <c r="AH42" s="315" t="str">
        <f ca="1">IF(AND('Mapa final'!$J$43="Muy Baja",'Mapa final'!$N$43="Catastrófico"),CONCATENATE("R",'Mapa final'!$A$43),"")</f>
        <v/>
      </c>
      <c r="AI42" s="316"/>
      <c r="AJ42" s="316" t="str">
        <f ca="1">IF(AND('Mapa final'!$J$49="Muy Baja",'Mapa final'!$N$49="Catastrófico"),CONCATENATE("R",'Mapa final'!$A$49),"")</f>
        <v/>
      </c>
      <c r="AK42" s="316"/>
      <c r="AL42" s="316" t="str">
        <f ca="1">IF(AND('Mapa final'!$J$55="Muy Baja",'Mapa final'!$N$55="Catastrófico"),CONCATENATE("R",'Mapa final'!$A$55),"")</f>
        <v/>
      </c>
      <c r="AM42" s="31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57"/>
      <c r="C43" s="257"/>
      <c r="D43" s="258"/>
      <c r="E43" s="298"/>
      <c r="F43" s="299"/>
      <c r="G43" s="299"/>
      <c r="H43" s="299"/>
      <c r="I43" s="300"/>
      <c r="J43" s="335"/>
      <c r="K43" s="333"/>
      <c r="L43" s="333"/>
      <c r="M43" s="333"/>
      <c r="N43" s="333"/>
      <c r="O43" s="334"/>
      <c r="P43" s="335"/>
      <c r="Q43" s="333"/>
      <c r="R43" s="333"/>
      <c r="S43" s="333"/>
      <c r="T43" s="333"/>
      <c r="U43" s="334"/>
      <c r="V43" s="324"/>
      <c r="W43" s="325"/>
      <c r="X43" s="325"/>
      <c r="Y43" s="325"/>
      <c r="Z43" s="325"/>
      <c r="AA43" s="326"/>
      <c r="AB43" s="308"/>
      <c r="AC43" s="304"/>
      <c r="AD43" s="304"/>
      <c r="AE43" s="304"/>
      <c r="AF43" s="304"/>
      <c r="AG43" s="305"/>
      <c r="AH43" s="315"/>
      <c r="AI43" s="316"/>
      <c r="AJ43" s="316"/>
      <c r="AK43" s="316"/>
      <c r="AL43" s="316"/>
      <c r="AM43" s="31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57"/>
      <c r="C44" s="257"/>
      <c r="D44" s="258"/>
      <c r="E44" s="298"/>
      <c r="F44" s="299"/>
      <c r="G44" s="299"/>
      <c r="H44" s="299"/>
      <c r="I44" s="300"/>
      <c r="J44" s="335" t="str">
        <f ca="1">IF(AND('Mapa final'!$J$61="Muy Baja",'Mapa final'!$N$61="Leve"),CONCATENATE("R",'Mapa final'!$A$61),"")</f>
        <v/>
      </c>
      <c r="K44" s="333"/>
      <c r="L44" s="333" t="str">
        <f>IF(AND('Mapa final'!$J$67="Muy Baja",'Mapa final'!$N$67="Leve"),CONCATENATE("R",'Mapa final'!$A$67),"")</f>
        <v/>
      </c>
      <c r="M44" s="333"/>
      <c r="N44" s="333" t="str">
        <f>IF(AND('Mapa final'!$J$73="Muy Baja",'Mapa final'!$N$73="Leve"),CONCATENATE("R",'Mapa final'!$A$73),"")</f>
        <v/>
      </c>
      <c r="O44" s="334"/>
      <c r="P44" s="335" t="str">
        <f ca="1">IF(AND('Mapa final'!$J$61="Muy Baja",'Mapa final'!$N$61="Menor"),CONCATENATE("R",'Mapa final'!$A$61),"")</f>
        <v/>
      </c>
      <c r="Q44" s="333"/>
      <c r="R44" s="333" t="str">
        <f>IF(AND('Mapa final'!$J$67="Muy Baja",'Mapa final'!$N$67="Menor"),CONCATENATE("R",'Mapa final'!$A$67),"")</f>
        <v/>
      </c>
      <c r="S44" s="333"/>
      <c r="T44" s="333" t="str">
        <f>IF(AND('Mapa final'!$J$73="Muy Baja",'Mapa final'!$N$73="Menor"),CONCATENATE("R",'Mapa final'!$A$73),"")</f>
        <v/>
      </c>
      <c r="U44" s="334"/>
      <c r="V44" s="324" t="str">
        <f ca="1">IF(AND('Mapa final'!$J$61="Muy Baja",'Mapa final'!$N$61="Moderado"),CONCATENATE("R",'Mapa final'!$A$61),"")</f>
        <v/>
      </c>
      <c r="W44" s="325"/>
      <c r="X44" s="325" t="str">
        <f>IF(AND('Mapa final'!$J$67="Muy Baja",'Mapa final'!$N$67="Moderado"),CONCATENATE("R",'Mapa final'!$A$67),"")</f>
        <v/>
      </c>
      <c r="Y44" s="325"/>
      <c r="Z44" s="325" t="str">
        <f>IF(AND('Mapa final'!$J$73="Muy Baja",'Mapa final'!$N$73="Moderado"),CONCATENATE("R",'Mapa final'!$A$73),"")</f>
        <v/>
      </c>
      <c r="AA44" s="326"/>
      <c r="AB44" s="308" t="str">
        <f ca="1">IF(AND('Mapa final'!$J$61="Muy Baja",'Mapa final'!$N$61="Mayor"),CONCATENATE("R",'Mapa final'!$A$61),"")</f>
        <v/>
      </c>
      <c r="AC44" s="304"/>
      <c r="AD44" s="304" t="str">
        <f>IF(AND('Mapa final'!$J$67="Muy Baja",'Mapa final'!$N$67="Mayor"),CONCATENATE("R",'Mapa final'!$A$67),"")</f>
        <v/>
      </c>
      <c r="AE44" s="304"/>
      <c r="AF44" s="304" t="str">
        <f>IF(AND('Mapa final'!$J$73="Muy Baja",'Mapa final'!$N$73="Mayor"),CONCATENATE("R",'Mapa final'!$A$73),"")</f>
        <v/>
      </c>
      <c r="AG44" s="305"/>
      <c r="AH44" s="315" t="str">
        <f ca="1">IF(AND('Mapa final'!$J$61="Muy Baja",'Mapa final'!$N$61="Catastrófico"),CONCATENATE("R",'Mapa final'!$A$61),"")</f>
        <v/>
      </c>
      <c r="AI44" s="316"/>
      <c r="AJ44" s="316" t="str">
        <f>IF(AND('Mapa final'!$J$67="Muy Baja",'Mapa final'!$N$67="Catastrófico"),CONCATENATE("R",'Mapa final'!$A$67),"")</f>
        <v/>
      </c>
      <c r="AK44" s="316"/>
      <c r="AL44" s="316" t="str">
        <f>IF(AND('Mapa final'!$J$73="Muy Baja",'Mapa final'!$N$73="Catastrófico"),CONCATENATE("R",'Mapa final'!$A$73),"")</f>
        <v/>
      </c>
      <c r="AM44" s="31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57"/>
      <c r="C45" s="257"/>
      <c r="D45" s="258"/>
      <c r="E45" s="301"/>
      <c r="F45" s="302"/>
      <c r="G45" s="302"/>
      <c r="H45" s="302"/>
      <c r="I45" s="303"/>
      <c r="J45" s="336"/>
      <c r="K45" s="337"/>
      <c r="L45" s="337"/>
      <c r="M45" s="337"/>
      <c r="N45" s="337"/>
      <c r="O45" s="338"/>
      <c r="P45" s="336"/>
      <c r="Q45" s="337"/>
      <c r="R45" s="337"/>
      <c r="S45" s="337"/>
      <c r="T45" s="337"/>
      <c r="U45" s="338"/>
      <c r="V45" s="327"/>
      <c r="W45" s="328"/>
      <c r="X45" s="328"/>
      <c r="Y45" s="328"/>
      <c r="Z45" s="328"/>
      <c r="AA45" s="329"/>
      <c r="AB45" s="312"/>
      <c r="AC45" s="313"/>
      <c r="AD45" s="313"/>
      <c r="AE45" s="313"/>
      <c r="AF45" s="313"/>
      <c r="AG45" s="314"/>
      <c r="AH45" s="318"/>
      <c r="AI45" s="319"/>
      <c r="AJ45" s="319"/>
      <c r="AK45" s="319"/>
      <c r="AL45" s="319"/>
      <c r="AM45" s="32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95" t="s">
        <v>112</v>
      </c>
      <c r="K46" s="296"/>
      <c r="L46" s="296"/>
      <c r="M46" s="296"/>
      <c r="N46" s="296"/>
      <c r="O46" s="297"/>
      <c r="P46" s="295" t="s">
        <v>111</v>
      </c>
      <c r="Q46" s="296"/>
      <c r="R46" s="296"/>
      <c r="S46" s="296"/>
      <c r="T46" s="296"/>
      <c r="U46" s="297"/>
      <c r="V46" s="295" t="s">
        <v>110</v>
      </c>
      <c r="W46" s="296"/>
      <c r="X46" s="296"/>
      <c r="Y46" s="296"/>
      <c r="Z46" s="296"/>
      <c r="AA46" s="297"/>
      <c r="AB46" s="295" t="s">
        <v>109</v>
      </c>
      <c r="AC46" s="311"/>
      <c r="AD46" s="296"/>
      <c r="AE46" s="296"/>
      <c r="AF46" s="296"/>
      <c r="AG46" s="297"/>
      <c r="AH46" s="295" t="s">
        <v>108</v>
      </c>
      <c r="AI46" s="296"/>
      <c r="AJ46" s="296"/>
      <c r="AK46" s="296"/>
      <c r="AL46" s="296"/>
      <c r="AM46" s="297"/>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98"/>
      <c r="K47" s="299"/>
      <c r="L47" s="299"/>
      <c r="M47" s="299"/>
      <c r="N47" s="299"/>
      <c r="O47" s="300"/>
      <c r="P47" s="298"/>
      <c r="Q47" s="299"/>
      <c r="R47" s="299"/>
      <c r="S47" s="299"/>
      <c r="T47" s="299"/>
      <c r="U47" s="300"/>
      <c r="V47" s="298"/>
      <c r="W47" s="299"/>
      <c r="X47" s="299"/>
      <c r="Y47" s="299"/>
      <c r="Z47" s="299"/>
      <c r="AA47" s="300"/>
      <c r="AB47" s="298"/>
      <c r="AC47" s="299"/>
      <c r="AD47" s="299"/>
      <c r="AE47" s="299"/>
      <c r="AF47" s="299"/>
      <c r="AG47" s="300"/>
      <c r="AH47" s="298"/>
      <c r="AI47" s="299"/>
      <c r="AJ47" s="299"/>
      <c r="AK47" s="299"/>
      <c r="AL47" s="299"/>
      <c r="AM47" s="300"/>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98"/>
      <c r="K48" s="299"/>
      <c r="L48" s="299"/>
      <c r="M48" s="299"/>
      <c r="N48" s="299"/>
      <c r="O48" s="300"/>
      <c r="P48" s="298"/>
      <c r="Q48" s="299"/>
      <c r="R48" s="299"/>
      <c r="S48" s="299"/>
      <c r="T48" s="299"/>
      <c r="U48" s="300"/>
      <c r="V48" s="298"/>
      <c r="W48" s="299"/>
      <c r="X48" s="299"/>
      <c r="Y48" s="299"/>
      <c r="Z48" s="299"/>
      <c r="AA48" s="300"/>
      <c r="AB48" s="298"/>
      <c r="AC48" s="299"/>
      <c r="AD48" s="299"/>
      <c r="AE48" s="299"/>
      <c r="AF48" s="299"/>
      <c r="AG48" s="300"/>
      <c r="AH48" s="298"/>
      <c r="AI48" s="299"/>
      <c r="AJ48" s="299"/>
      <c r="AK48" s="299"/>
      <c r="AL48" s="299"/>
      <c r="AM48" s="300"/>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98"/>
      <c r="K49" s="299"/>
      <c r="L49" s="299"/>
      <c r="M49" s="299"/>
      <c r="N49" s="299"/>
      <c r="O49" s="300"/>
      <c r="P49" s="298"/>
      <c r="Q49" s="299"/>
      <c r="R49" s="299"/>
      <c r="S49" s="299"/>
      <c r="T49" s="299"/>
      <c r="U49" s="300"/>
      <c r="V49" s="298"/>
      <c r="W49" s="299"/>
      <c r="X49" s="299"/>
      <c r="Y49" s="299"/>
      <c r="Z49" s="299"/>
      <c r="AA49" s="300"/>
      <c r="AB49" s="298"/>
      <c r="AC49" s="299"/>
      <c r="AD49" s="299"/>
      <c r="AE49" s="299"/>
      <c r="AF49" s="299"/>
      <c r="AG49" s="300"/>
      <c r="AH49" s="298"/>
      <c r="AI49" s="299"/>
      <c r="AJ49" s="299"/>
      <c r="AK49" s="299"/>
      <c r="AL49" s="299"/>
      <c r="AM49" s="300"/>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98"/>
      <c r="K50" s="299"/>
      <c r="L50" s="299"/>
      <c r="M50" s="299"/>
      <c r="N50" s="299"/>
      <c r="O50" s="300"/>
      <c r="P50" s="298"/>
      <c r="Q50" s="299"/>
      <c r="R50" s="299"/>
      <c r="S50" s="299"/>
      <c r="T50" s="299"/>
      <c r="U50" s="300"/>
      <c r="V50" s="298"/>
      <c r="W50" s="299"/>
      <c r="X50" s="299"/>
      <c r="Y50" s="299"/>
      <c r="Z50" s="299"/>
      <c r="AA50" s="300"/>
      <c r="AB50" s="298"/>
      <c r="AC50" s="299"/>
      <c r="AD50" s="299"/>
      <c r="AE50" s="299"/>
      <c r="AF50" s="299"/>
      <c r="AG50" s="300"/>
      <c r="AH50" s="298"/>
      <c r="AI50" s="299"/>
      <c r="AJ50" s="299"/>
      <c r="AK50" s="299"/>
      <c r="AL50" s="299"/>
      <c r="AM50" s="300"/>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301"/>
      <c r="K51" s="302"/>
      <c r="L51" s="302"/>
      <c r="M51" s="302"/>
      <c r="N51" s="302"/>
      <c r="O51" s="303"/>
      <c r="P51" s="301"/>
      <c r="Q51" s="302"/>
      <c r="R51" s="302"/>
      <c r="S51" s="302"/>
      <c r="T51" s="302"/>
      <c r="U51" s="303"/>
      <c r="V51" s="301"/>
      <c r="W51" s="302"/>
      <c r="X51" s="302"/>
      <c r="Y51" s="302"/>
      <c r="Z51" s="302"/>
      <c r="AA51" s="303"/>
      <c r="AB51" s="301"/>
      <c r="AC51" s="302"/>
      <c r="AD51" s="302"/>
      <c r="AE51" s="302"/>
      <c r="AF51" s="302"/>
      <c r="AG51" s="303"/>
      <c r="AH51" s="301"/>
      <c r="AI51" s="302"/>
      <c r="AJ51" s="302"/>
      <c r="AK51" s="302"/>
      <c r="AL51" s="302"/>
      <c r="AM51" s="303"/>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68" t="s">
        <v>160</v>
      </c>
      <c r="C2" s="369"/>
      <c r="D2" s="369"/>
      <c r="E2" s="369"/>
      <c r="F2" s="369"/>
      <c r="G2" s="369"/>
      <c r="H2" s="369"/>
      <c r="I2" s="369"/>
      <c r="J2" s="310" t="s">
        <v>2</v>
      </c>
      <c r="K2" s="310"/>
      <c r="L2" s="310"/>
      <c r="M2" s="310"/>
      <c r="N2" s="310"/>
      <c r="O2" s="310"/>
      <c r="P2" s="310"/>
      <c r="Q2" s="310"/>
      <c r="R2" s="310"/>
      <c r="S2" s="310"/>
      <c r="T2" s="310"/>
      <c r="U2" s="310"/>
      <c r="V2" s="310"/>
      <c r="W2" s="310"/>
      <c r="X2" s="310"/>
      <c r="Y2" s="310"/>
      <c r="Z2" s="310"/>
      <c r="AA2" s="310"/>
      <c r="AB2" s="310"/>
      <c r="AC2" s="310"/>
      <c r="AD2" s="310"/>
      <c r="AE2" s="310"/>
      <c r="AF2" s="310"/>
      <c r="AG2" s="310"/>
      <c r="AH2" s="310"/>
      <c r="AI2" s="310"/>
      <c r="AJ2" s="310"/>
      <c r="AK2" s="310"/>
      <c r="AL2" s="310"/>
      <c r="AM2" s="310"/>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69"/>
      <c r="C3" s="369"/>
      <c r="D3" s="369"/>
      <c r="E3" s="369"/>
      <c r="F3" s="369"/>
      <c r="G3" s="369"/>
      <c r="H3" s="369"/>
      <c r="I3" s="369"/>
      <c r="J3" s="310"/>
      <c r="K3" s="310"/>
      <c r="L3" s="310"/>
      <c r="M3" s="310"/>
      <c r="N3" s="310"/>
      <c r="O3" s="310"/>
      <c r="P3" s="310"/>
      <c r="Q3" s="310"/>
      <c r="R3" s="310"/>
      <c r="S3" s="310"/>
      <c r="T3" s="310"/>
      <c r="U3" s="310"/>
      <c r="V3" s="310"/>
      <c r="W3" s="310"/>
      <c r="X3" s="310"/>
      <c r="Y3" s="310"/>
      <c r="Z3" s="310"/>
      <c r="AA3" s="310"/>
      <c r="AB3" s="310"/>
      <c r="AC3" s="310"/>
      <c r="AD3" s="310"/>
      <c r="AE3" s="310"/>
      <c r="AF3" s="310"/>
      <c r="AG3" s="310"/>
      <c r="AH3" s="310"/>
      <c r="AI3" s="310"/>
      <c r="AJ3" s="310"/>
      <c r="AK3" s="310"/>
      <c r="AL3" s="310"/>
      <c r="AM3" s="310"/>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69"/>
      <c r="C4" s="369"/>
      <c r="D4" s="369"/>
      <c r="E4" s="369"/>
      <c r="F4" s="369"/>
      <c r="G4" s="369"/>
      <c r="H4" s="369"/>
      <c r="I4" s="369"/>
      <c r="J4" s="310"/>
      <c r="K4" s="310"/>
      <c r="L4" s="310"/>
      <c r="M4" s="310"/>
      <c r="N4" s="310"/>
      <c r="O4" s="310"/>
      <c r="P4" s="310"/>
      <c r="Q4" s="310"/>
      <c r="R4" s="310"/>
      <c r="S4" s="310"/>
      <c r="T4" s="310"/>
      <c r="U4" s="310"/>
      <c r="V4" s="310"/>
      <c r="W4" s="310"/>
      <c r="X4" s="310"/>
      <c r="Y4" s="310"/>
      <c r="Z4" s="310"/>
      <c r="AA4" s="310"/>
      <c r="AB4" s="310"/>
      <c r="AC4" s="310"/>
      <c r="AD4" s="310"/>
      <c r="AE4" s="310"/>
      <c r="AF4" s="310"/>
      <c r="AG4" s="310"/>
      <c r="AH4" s="310"/>
      <c r="AI4" s="310"/>
      <c r="AJ4" s="310"/>
      <c r="AK4" s="310"/>
      <c r="AL4" s="310"/>
      <c r="AM4" s="310"/>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57" t="s">
        <v>4</v>
      </c>
      <c r="C6" s="257"/>
      <c r="D6" s="258"/>
      <c r="E6" s="352" t="s">
        <v>116</v>
      </c>
      <c r="F6" s="353"/>
      <c r="G6" s="353"/>
      <c r="H6" s="353"/>
      <c r="I6" s="370"/>
      <c r="J6" s="46" t="str">
        <f ca="1">IF(AND('Mapa final'!$AA$10="Muy Alta",'Mapa final'!$AC$10="Leve"),CONCATENATE("R1C",'Mapa final'!$Q$10),"")</f>
        <v/>
      </c>
      <c r="K6" s="47" t="str">
        <f ca="1">IF(AND('Mapa final'!$AA$11="Muy Alta",'Mapa final'!$AC$11="Leve"),CONCATENATE("R1C",'Mapa final'!$Q$11),"")</f>
        <v/>
      </c>
      <c r="L6" s="47" t="str">
        <f ca="1">IF(AND('Mapa final'!$AA$12="Muy Alta",'Mapa final'!$AC$12="Leve"),CONCATENATE("R1C",'Mapa final'!$Q$12),"")</f>
        <v/>
      </c>
      <c r="M6" s="47" t="e">
        <f>IF(AND('Mapa final'!#REF!="Muy Alta",'Mapa final'!#REF!="Leve"),CONCATENATE("R1C",'Mapa final'!#REF!),"")</f>
        <v>#REF!</v>
      </c>
      <c r="N6" s="47" t="e">
        <f>IF(AND('Mapa final'!#REF!="Muy Alta",'Mapa final'!#REF!="Leve"),CONCATENATE("R1C",'Mapa final'!#REF!),"")</f>
        <v>#REF!</v>
      </c>
      <c r="O6" s="48" t="e">
        <f>IF(AND('Mapa final'!#REF!="Muy Alta",'Mapa final'!#REF!="Leve"),CONCATENATE("R1C",'Mapa final'!#REF!),"")</f>
        <v>#REF!</v>
      </c>
      <c r="P6" s="46" t="str">
        <f ca="1">IF(AND('Mapa final'!$AA$10="Muy Alta",'Mapa final'!$AC$10="Menor"),CONCATENATE("R1C",'Mapa final'!$Q$10),"")</f>
        <v/>
      </c>
      <c r="Q6" s="47" t="str">
        <f ca="1">IF(AND('Mapa final'!$AA$11="Muy Alta",'Mapa final'!$AC$11="Menor"),CONCATENATE("R1C",'Mapa final'!$Q$11),"")</f>
        <v/>
      </c>
      <c r="R6" s="47" t="str">
        <f ca="1">IF(AND('Mapa final'!$AA$12="Muy Alta",'Mapa final'!$AC$12="Menor"),CONCATENATE("R1C",'Mapa final'!$Q$12),"")</f>
        <v/>
      </c>
      <c r="S6" s="47" t="e">
        <f>IF(AND('Mapa final'!#REF!="Muy Alta",'Mapa final'!#REF!="Menor"),CONCATENATE("R1C",'Mapa final'!#REF!),"")</f>
        <v>#REF!</v>
      </c>
      <c r="T6" s="47" t="e">
        <f>IF(AND('Mapa final'!#REF!="Muy Alta",'Mapa final'!#REF!="Menor"),CONCATENATE("R1C",'Mapa final'!#REF!),"")</f>
        <v>#REF!</v>
      </c>
      <c r="U6" s="48" t="e">
        <f>IF(AND('Mapa final'!#REF!="Muy Alta",'Mapa final'!#REF!="Menor"),CONCATENATE("R1C",'Mapa final'!#REF!),"")</f>
        <v>#REF!</v>
      </c>
      <c r="V6" s="46" t="str">
        <f ca="1">IF(AND('Mapa final'!$AA$10="Muy Alta",'Mapa final'!$AC$10="Moderado"),CONCATENATE("R1C",'Mapa final'!$Q$10),"")</f>
        <v/>
      </c>
      <c r="W6" s="47" t="str">
        <f ca="1">IF(AND('Mapa final'!$AA$11="Muy Alta",'Mapa final'!$AC$11="Moderado"),CONCATENATE("R1C",'Mapa final'!$Q$11),"")</f>
        <v/>
      </c>
      <c r="X6" s="47" t="str">
        <f ca="1">IF(AND('Mapa final'!$AA$12="Muy Alta",'Mapa final'!$AC$12="Moderado"),CONCATENATE("R1C",'Mapa final'!$Q$12),"")</f>
        <v/>
      </c>
      <c r="Y6" s="47" t="e">
        <f>IF(AND('Mapa final'!#REF!="Muy Alta",'Mapa final'!#REF!="Moderado"),CONCATENATE("R1C",'Mapa final'!#REF!),"")</f>
        <v>#REF!</v>
      </c>
      <c r="Z6" s="47" t="e">
        <f>IF(AND('Mapa final'!#REF!="Muy Alta",'Mapa final'!#REF!="Moderado"),CONCATENATE("R1C",'Mapa final'!#REF!),"")</f>
        <v>#REF!</v>
      </c>
      <c r="AA6" s="48" t="e">
        <f>IF(AND('Mapa final'!#REF!="Muy Alta",'Mapa final'!#REF!="Moderado"),CONCATENATE("R1C",'Mapa final'!#REF!),"")</f>
        <v>#REF!</v>
      </c>
      <c r="AB6" s="46" t="str">
        <f ca="1">IF(AND('Mapa final'!$AA$10="Muy Alta",'Mapa final'!$AC$10="Mayor"),CONCATENATE("R1C",'Mapa final'!$Q$10),"")</f>
        <v/>
      </c>
      <c r="AC6" s="47" t="str">
        <f ca="1">IF(AND('Mapa final'!$AA$11="Muy Alta",'Mapa final'!$AC$11="Mayor"),CONCATENATE("R1C",'Mapa final'!$Q$11),"")</f>
        <v/>
      </c>
      <c r="AD6" s="47" t="str">
        <f ca="1">IF(AND('Mapa final'!$AA$12="Muy Alta",'Mapa final'!$AC$12="Mayor"),CONCATENATE("R1C",'Mapa final'!$Q$12),"")</f>
        <v/>
      </c>
      <c r="AE6" s="47" t="e">
        <f>IF(AND('Mapa final'!#REF!="Muy Alta",'Mapa final'!#REF!="Mayor"),CONCATENATE("R1C",'Mapa final'!#REF!),"")</f>
        <v>#REF!</v>
      </c>
      <c r="AF6" s="47" t="e">
        <f>IF(AND('Mapa final'!#REF!="Muy Alta",'Mapa final'!#REF!="Mayor"),CONCATENATE("R1C",'Mapa final'!#REF!),"")</f>
        <v>#REF!</v>
      </c>
      <c r="AG6" s="48" t="e">
        <f>IF(AND('Mapa final'!#REF!="Muy Alta",'Mapa final'!#REF!="Mayor"),CONCATENATE("R1C",'Mapa final'!#REF!),"")</f>
        <v>#REF!</v>
      </c>
      <c r="AH6" s="49" t="str">
        <f ca="1">IF(AND('Mapa final'!$AA$10="Muy Alta",'Mapa final'!$AC$10="Catastrófico"),CONCATENATE("R1C",'Mapa final'!$Q$10),"")</f>
        <v/>
      </c>
      <c r="AI6" s="50" t="str">
        <f ca="1">IF(AND('Mapa final'!$AA$11="Muy Alta",'Mapa final'!$AC$11="Catastrófico"),CONCATENATE("R1C",'Mapa final'!$Q$11),"")</f>
        <v/>
      </c>
      <c r="AJ6" s="50" t="str">
        <f ca="1">IF(AND('Mapa final'!$AA$12="Muy Alta",'Mapa final'!$AC$12="Catastrófico"),CONCATENATE("R1C",'Mapa final'!$Q$12),"")</f>
        <v/>
      </c>
      <c r="AK6" s="50" t="e">
        <f>IF(AND('Mapa final'!#REF!="Muy Alta",'Mapa final'!#REF!="Catastrófico"),CONCATENATE("R1C",'Mapa final'!#REF!),"")</f>
        <v>#REF!</v>
      </c>
      <c r="AL6" s="50" t="e">
        <f>IF(AND('Mapa final'!#REF!="Muy Alta",'Mapa final'!#REF!="Catastrófico"),CONCATENATE("R1C",'Mapa final'!#REF!),"")</f>
        <v>#REF!</v>
      </c>
      <c r="AM6" s="51" t="e">
        <f>IF(AND('Mapa final'!#REF!="Muy Alta",'Mapa final'!#REF!="Catastrófico"),CONCATENATE("R1C",'Mapa final'!#REF!),"")</f>
        <v>#REF!</v>
      </c>
      <c r="AN6" s="83"/>
      <c r="AO6" s="359" t="s">
        <v>79</v>
      </c>
      <c r="AP6" s="360"/>
      <c r="AQ6" s="360"/>
      <c r="AR6" s="360"/>
      <c r="AS6" s="360"/>
      <c r="AT6" s="361"/>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57"/>
      <c r="C7" s="257"/>
      <c r="D7" s="258"/>
      <c r="E7" s="356"/>
      <c r="F7" s="355"/>
      <c r="G7" s="355"/>
      <c r="H7" s="355"/>
      <c r="I7" s="371"/>
      <c r="J7" s="52" t="str">
        <f>IF(AND([1]Hoja1!$X$2="Muy Alta",[1]Hoja1!$Z$2="Leve"),CONCATENATE("R2C",[1]Hoja1!$N$2),"")</f>
        <v/>
      </c>
      <c r="K7" s="53" t="str">
        <f>IF(AND([1]Hoja1!$X$3="Muy Alta",[1]Hoja1!$Z$3="Leve"),CONCATENATE("R2C",[1]Hoja1!$N$3),"")</f>
        <v/>
      </c>
      <c r="L7" s="53" t="str">
        <f>IF(AND([1]Hoja1!$X$4="Muy Alta",[1]Hoja1!$Z$4="Leve"),CONCATENATE("R2C",[1]Hoja1!$N$4),"")</f>
        <v/>
      </c>
      <c r="M7" s="53" t="str">
        <f>IF(AND([1]Hoja1!$X$5="Muy Alta",[1]Hoja1!$Z$5="Leve"),CONCATENATE("R2C",[1]Hoja1!$N$5),"")</f>
        <v/>
      </c>
      <c r="N7" s="53" t="str">
        <f>IF(AND([1]Hoja1!$X$6="Muy Alta",[1]Hoja1!$Z$6="Leve"),CONCATENATE("R2C",[1]Hoja1!$N$6),"")</f>
        <v/>
      </c>
      <c r="O7" s="54" t="str">
        <f>IF(AND([1]Hoja1!$X$7="Muy Alta",[1]Hoja1!$Z$7="Leve"),CONCATENATE("R2C",[1]Hoja1!$N$7),"")</f>
        <v/>
      </c>
      <c r="P7" s="52" t="str">
        <f>IF(AND([1]Hoja1!$X$2="Muy Alta",[1]Hoja1!$Z$2="Menor"),CONCATENATE("R2C",[1]Hoja1!$N$2),"")</f>
        <v/>
      </c>
      <c r="Q7" s="53" t="str">
        <f>IF(AND([1]Hoja1!$X$3="Muy Alta",[1]Hoja1!$Z$3="Menor"),CONCATENATE("R2C",[1]Hoja1!$N$3),"")</f>
        <v/>
      </c>
      <c r="R7" s="53" t="str">
        <f>IF(AND([1]Hoja1!$X$4="Muy Alta",[1]Hoja1!$Z$4="Menor"),CONCATENATE("R2C",[1]Hoja1!$N$4),"")</f>
        <v/>
      </c>
      <c r="S7" s="53" t="str">
        <f>IF(AND([1]Hoja1!$X$5="Muy Alta",[1]Hoja1!$Z$5="Menor"),CONCATENATE("R2C",[1]Hoja1!$N$5),"")</f>
        <v/>
      </c>
      <c r="T7" s="53" t="str">
        <f>IF(AND([1]Hoja1!$X$6="Muy Alta",[1]Hoja1!$Z$6="Menor"),CONCATENATE("R2C",[1]Hoja1!$N$6),"")</f>
        <v/>
      </c>
      <c r="U7" s="54" t="str">
        <f>IF(AND([1]Hoja1!$X$7="Muy Alta",[1]Hoja1!$Z$7="Menor"),CONCATENATE("R2C",[1]Hoja1!$N$7),"")</f>
        <v/>
      </c>
      <c r="V7" s="52" t="str">
        <f>IF(AND([1]Hoja1!$X$2="Muy Alta",[1]Hoja1!$Z$2="Moderado"),CONCATENATE("R2C",[1]Hoja1!$N$2),"")</f>
        <v/>
      </c>
      <c r="W7" s="53" t="str">
        <f>IF(AND([1]Hoja1!$X$3="Muy Alta",[1]Hoja1!$Z$3="Moderado"),CONCATENATE("R2C",[1]Hoja1!$N$3),"")</f>
        <v/>
      </c>
      <c r="X7" s="53" t="str">
        <f>IF(AND([1]Hoja1!$X$4="Muy Alta",[1]Hoja1!$Z$4="Moderado"),CONCATENATE("R2C",[1]Hoja1!$N$4),"")</f>
        <v/>
      </c>
      <c r="Y7" s="53" t="str">
        <f>IF(AND([1]Hoja1!$X$5="Muy Alta",[1]Hoja1!$Z$5="Moderado"),CONCATENATE("R2C",[1]Hoja1!$N$5),"")</f>
        <v/>
      </c>
      <c r="Z7" s="53" t="str">
        <f>IF(AND([1]Hoja1!$X$6="Muy Alta",[1]Hoja1!$Z$6="Moderado"),CONCATENATE("R2C",[1]Hoja1!$N$6),"")</f>
        <v/>
      </c>
      <c r="AA7" s="54" t="str">
        <f>IF(AND([1]Hoja1!$X$7="Muy Alta",[1]Hoja1!$Z$7="Moderado"),CONCATENATE("R2C",[1]Hoja1!$N$7),"")</f>
        <v/>
      </c>
      <c r="AB7" s="52" t="str">
        <f>IF(AND([1]Hoja1!$X$2="Muy Alta",[1]Hoja1!$Z$2="Mayor"),CONCATENATE("R2C",[1]Hoja1!$N$2),"")</f>
        <v/>
      </c>
      <c r="AC7" s="53" t="str">
        <f>IF(AND([1]Hoja1!$X$3="Muy Alta",[1]Hoja1!$Z$3="Mayor"),CONCATENATE("R2C",[1]Hoja1!$N$3),"")</f>
        <v/>
      </c>
      <c r="AD7" s="53" t="str">
        <f>IF(AND([1]Hoja1!$X$4="Muy Alta",[1]Hoja1!$Z$4="Mayor"),CONCATENATE("R2C",[1]Hoja1!$N$4),"")</f>
        <v/>
      </c>
      <c r="AE7" s="53" t="str">
        <f>IF(AND([1]Hoja1!$X$5="Muy Alta",[1]Hoja1!$Z$5="Mayor"),CONCATENATE("R2C",[1]Hoja1!$N$5),"")</f>
        <v/>
      </c>
      <c r="AF7" s="53" t="str">
        <f>IF(AND([1]Hoja1!$X$6="Muy Alta",[1]Hoja1!$Z$6="Mayor"),CONCATENATE("R2C",[1]Hoja1!$N$6),"")</f>
        <v/>
      </c>
      <c r="AG7" s="54" t="str">
        <f>IF(AND([1]Hoja1!$X$7="Muy Alta",[1]Hoja1!$Z$7="Mayor"),CONCATENATE("R2C",[1]Hoja1!$N$7),"")</f>
        <v/>
      </c>
      <c r="AH7" s="55" t="str">
        <f>IF(AND([1]Hoja1!$X$2="Muy Alta",[1]Hoja1!$Z$2="Catastrófico"),CONCATENATE("R2C",[1]Hoja1!$N$2),"")</f>
        <v/>
      </c>
      <c r="AI7" s="56" t="str">
        <f>IF(AND([1]Hoja1!$X$3="Muy Alta",[1]Hoja1!$Z$3="Catastrófico"),CONCATENATE("R2C",[1]Hoja1!$N$3),"")</f>
        <v/>
      </c>
      <c r="AJ7" s="56" t="str">
        <f>IF(AND([1]Hoja1!$X$4="Muy Alta",[1]Hoja1!$Z$4="Catastrófico"),CONCATENATE("R2C",[1]Hoja1!$N$4),"")</f>
        <v/>
      </c>
      <c r="AK7" s="56" t="str">
        <f>IF(AND([1]Hoja1!$X$5="Muy Alta",[1]Hoja1!$Z$5="Catastrófico"),CONCATENATE("R2C",[1]Hoja1!$N$5),"")</f>
        <v/>
      </c>
      <c r="AL7" s="56" t="str">
        <f>IF(AND([1]Hoja1!$X$6="Muy Alta",[1]Hoja1!$Z$6="Catastrófico"),CONCATENATE("R2C",[1]Hoja1!$N$6),"")</f>
        <v/>
      </c>
      <c r="AM7" s="57" t="str">
        <f>IF(AND([1]Hoja1!$X$7="Muy Alta",[1]Hoja1!$Z$7="Catastrófico"),CONCATENATE("R2C",[1]Hoja1!$N$7),"")</f>
        <v/>
      </c>
      <c r="AN7" s="83"/>
      <c r="AO7" s="362"/>
      <c r="AP7" s="363"/>
      <c r="AQ7" s="363"/>
      <c r="AR7" s="363"/>
      <c r="AS7" s="363"/>
      <c r="AT7" s="364"/>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57"/>
      <c r="C8" s="257"/>
      <c r="D8" s="258"/>
      <c r="E8" s="356"/>
      <c r="F8" s="355"/>
      <c r="G8" s="355"/>
      <c r="H8" s="355"/>
      <c r="I8" s="371"/>
      <c r="J8" s="52" t="str">
        <f>IF(AND('Mapa final'!$AA$19="Muy Alta",'Mapa final'!$AC$19="Leve"),CONCATENATE("R3C",'Mapa final'!$Q$19),"")</f>
        <v/>
      </c>
      <c r="K8" s="53" t="str">
        <f>IF(AND('Mapa final'!$AA$20="Muy Alta",'Mapa final'!$AC$20="Leve"),CONCATENATE("R3C",'Mapa final'!$Q$20),"")</f>
        <v/>
      </c>
      <c r="L8" s="53" t="str">
        <f>IF(AND('Mapa final'!$AA$21="Muy Alta",'Mapa final'!$AC$21="Leve"),CONCATENATE("R3C",'Mapa final'!$Q$21),"")</f>
        <v/>
      </c>
      <c r="M8" s="53" t="str">
        <f>IF(AND('Mapa final'!$AA$22="Muy Alta",'Mapa final'!$AC$22="Leve"),CONCATENATE("R3C",'Mapa final'!$Q$22),"")</f>
        <v/>
      </c>
      <c r="N8" s="53" t="str">
        <f>IF(AND('Mapa final'!$AA$23="Muy Alta",'Mapa final'!$AC$23="Leve"),CONCATENATE("R3C",'Mapa final'!$Q$23),"")</f>
        <v/>
      </c>
      <c r="O8" s="54" t="str">
        <f>IF(AND('Mapa final'!$AA$24="Muy Alta",'Mapa final'!$AC$24="Leve"),CONCATENATE("R3C",'Mapa final'!$Q$24),"")</f>
        <v/>
      </c>
      <c r="P8" s="52" t="str">
        <f>IF(AND('Mapa final'!$AA$19="Muy Alta",'Mapa final'!$AC$19="Menor"),CONCATENATE("R3C",'Mapa final'!$Q$19),"")</f>
        <v/>
      </c>
      <c r="Q8" s="53" t="str">
        <f>IF(AND('Mapa final'!$AA$20="Muy Alta",'Mapa final'!$AC$20="Menor"),CONCATENATE("R3C",'Mapa final'!$Q$20),"")</f>
        <v/>
      </c>
      <c r="R8" s="53" t="str">
        <f>IF(AND('Mapa final'!$AA$21="Muy Alta",'Mapa final'!$AC$21="Menor"),CONCATENATE("R3C",'Mapa final'!$Q$21),"")</f>
        <v/>
      </c>
      <c r="S8" s="53" t="str">
        <f>IF(AND('Mapa final'!$AA$22="Muy Alta",'Mapa final'!$AC$22="Menor"),CONCATENATE("R3C",'Mapa final'!$Q$22),"")</f>
        <v/>
      </c>
      <c r="T8" s="53" t="str">
        <f>IF(AND('Mapa final'!$AA$23="Muy Alta",'Mapa final'!$AC$23="Menor"),CONCATENATE("R3C",'Mapa final'!$Q$23),"")</f>
        <v/>
      </c>
      <c r="U8" s="54" t="str">
        <f>IF(AND('Mapa final'!$AA$24="Muy Alta",'Mapa final'!$AC$24="Menor"),CONCATENATE("R3C",'Mapa final'!$Q$24),"")</f>
        <v/>
      </c>
      <c r="V8" s="52" t="str">
        <f>IF(AND('Mapa final'!$AA$19="Muy Alta",'Mapa final'!$AC$19="Moderado"),CONCATENATE("R3C",'Mapa final'!$Q$19),"")</f>
        <v/>
      </c>
      <c r="W8" s="53" t="str">
        <f>IF(AND('Mapa final'!$AA$20="Muy Alta",'Mapa final'!$AC$20="Moderado"),CONCATENATE("R3C",'Mapa final'!$Q$20),"")</f>
        <v/>
      </c>
      <c r="X8" s="53" t="str">
        <f>IF(AND('Mapa final'!$AA$21="Muy Alta",'Mapa final'!$AC$21="Moderado"),CONCATENATE("R3C",'Mapa final'!$Q$21),"")</f>
        <v/>
      </c>
      <c r="Y8" s="53" t="str">
        <f>IF(AND('Mapa final'!$AA$22="Muy Alta",'Mapa final'!$AC$22="Moderado"),CONCATENATE("R3C",'Mapa final'!$Q$22),"")</f>
        <v/>
      </c>
      <c r="Z8" s="53" t="str">
        <f>IF(AND('Mapa final'!$AA$23="Muy Alta",'Mapa final'!$AC$23="Moderado"),CONCATENATE("R3C",'Mapa final'!$Q$23),"")</f>
        <v/>
      </c>
      <c r="AA8" s="54" t="str">
        <f>IF(AND('Mapa final'!$AA$24="Muy Alta",'Mapa final'!$AC$24="Moderado"),CONCATENATE("R3C",'Mapa final'!$Q$24),"")</f>
        <v/>
      </c>
      <c r="AB8" s="52" t="str">
        <f>IF(AND('Mapa final'!$AA$19="Muy Alta",'Mapa final'!$AC$19="Mayor"),CONCATENATE("R3C",'Mapa final'!$Q$19),"")</f>
        <v/>
      </c>
      <c r="AC8" s="53" t="str">
        <f>IF(AND('Mapa final'!$AA$20="Muy Alta",'Mapa final'!$AC$20="Mayor"),CONCATENATE("R3C",'Mapa final'!$Q$20),"")</f>
        <v/>
      </c>
      <c r="AD8" s="53" t="str">
        <f>IF(AND('Mapa final'!$AA$21="Muy Alta",'Mapa final'!$AC$21="Mayor"),CONCATENATE("R3C",'Mapa final'!$Q$21),"")</f>
        <v/>
      </c>
      <c r="AE8" s="53" t="str">
        <f>IF(AND('Mapa final'!$AA$22="Muy Alta",'Mapa final'!$AC$22="Mayor"),CONCATENATE("R3C",'Mapa final'!$Q$22),"")</f>
        <v/>
      </c>
      <c r="AF8" s="53" t="str">
        <f>IF(AND('Mapa final'!$AA$23="Muy Alta",'Mapa final'!$AC$23="Mayor"),CONCATENATE("R3C",'Mapa final'!$Q$23),"")</f>
        <v/>
      </c>
      <c r="AG8" s="54" t="str">
        <f>IF(AND('Mapa final'!$AA$24="Muy Alta",'Mapa final'!$AC$24="Mayor"),CONCATENATE("R3C",'Mapa final'!$Q$24),"")</f>
        <v/>
      </c>
      <c r="AH8" s="55" t="str">
        <f>IF(AND('Mapa final'!$AA$19="Muy Alta",'Mapa final'!$AC$19="Catastrófico"),CONCATENATE("R3C",'Mapa final'!$Q$19),"")</f>
        <v/>
      </c>
      <c r="AI8" s="56" t="str">
        <f>IF(AND('Mapa final'!$AA$20="Muy Alta",'Mapa final'!$AC$20="Catastrófico"),CONCATENATE("R3C",'Mapa final'!$Q$20),"")</f>
        <v/>
      </c>
      <c r="AJ8" s="56" t="str">
        <f>IF(AND('Mapa final'!$AA$21="Muy Alta",'Mapa final'!$AC$21="Catastrófico"),CONCATENATE("R3C",'Mapa final'!$Q$21),"")</f>
        <v/>
      </c>
      <c r="AK8" s="56" t="str">
        <f>IF(AND('Mapa final'!$AA$22="Muy Alta",'Mapa final'!$AC$22="Catastrófico"),CONCATENATE("R3C",'Mapa final'!$Q$22),"")</f>
        <v/>
      </c>
      <c r="AL8" s="56" t="str">
        <f>IF(AND('Mapa final'!$AA$23="Muy Alta",'Mapa final'!$AC$23="Catastrófico"),CONCATENATE("R3C",'Mapa final'!$Q$23),"")</f>
        <v/>
      </c>
      <c r="AM8" s="57" t="str">
        <f>IF(AND('Mapa final'!$AA$24="Muy Alta",'Mapa final'!$AC$24="Catastrófico"),CONCATENATE("R3C",'Mapa final'!$Q$24),"")</f>
        <v/>
      </c>
      <c r="AN8" s="83"/>
      <c r="AO8" s="362"/>
      <c r="AP8" s="363"/>
      <c r="AQ8" s="363"/>
      <c r="AR8" s="363"/>
      <c r="AS8" s="363"/>
      <c r="AT8" s="364"/>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57"/>
      <c r="C9" s="257"/>
      <c r="D9" s="258"/>
      <c r="E9" s="356"/>
      <c r="F9" s="355"/>
      <c r="G9" s="355"/>
      <c r="H9" s="355"/>
      <c r="I9" s="371"/>
      <c r="J9" s="52" t="str">
        <f>IF(AND('Mapa final'!$AA$25="Muy Alta",'Mapa final'!$AC$25="Leve"),CONCATENATE("R4C",'Mapa final'!$Q$25),"")</f>
        <v/>
      </c>
      <c r="K9" s="53" t="str">
        <f>IF(AND('Mapa final'!$AA$26="Muy Alta",'Mapa final'!$AC$26="Leve"),CONCATENATE("R4C",'Mapa final'!$Q$26),"")</f>
        <v/>
      </c>
      <c r="L9" s="53" t="str">
        <f>IF(AND('Mapa final'!$AA$27="Muy Alta",'Mapa final'!$AC$27="Leve"),CONCATENATE("R4C",'Mapa final'!$Q$27),"")</f>
        <v/>
      </c>
      <c r="M9" s="53" t="str">
        <f>IF(AND('Mapa final'!$AA$28="Muy Alta",'Mapa final'!$AC$28="Leve"),CONCATENATE("R4C",'Mapa final'!$Q$28),"")</f>
        <v/>
      </c>
      <c r="N9" s="53" t="str">
        <f>IF(AND('Mapa final'!$AA$29="Muy Alta",'Mapa final'!$AC$29="Leve"),CONCATENATE("R4C",'Mapa final'!$Q$29),"")</f>
        <v/>
      </c>
      <c r="O9" s="54" t="str">
        <f>IF(AND('Mapa final'!$AA$30="Muy Alta",'Mapa final'!$AC$30="Leve"),CONCATENATE("R4C",'Mapa final'!$Q$30),"")</f>
        <v/>
      </c>
      <c r="P9" s="52" t="str">
        <f>IF(AND('Mapa final'!$AA$25="Muy Alta",'Mapa final'!$AC$25="Menor"),CONCATENATE("R4C",'Mapa final'!$Q$25),"")</f>
        <v/>
      </c>
      <c r="Q9" s="53" t="str">
        <f>IF(AND('Mapa final'!$AA$26="Muy Alta",'Mapa final'!$AC$26="Menor"),CONCATENATE("R4C",'Mapa final'!$Q$26),"")</f>
        <v/>
      </c>
      <c r="R9" s="53" t="str">
        <f>IF(AND('Mapa final'!$AA$27="Muy Alta",'Mapa final'!$AC$27="Menor"),CONCATENATE("R4C",'Mapa final'!$Q$27),"")</f>
        <v/>
      </c>
      <c r="S9" s="53" t="str">
        <f>IF(AND('Mapa final'!$AA$28="Muy Alta",'Mapa final'!$AC$28="Menor"),CONCATENATE("R4C",'Mapa final'!$Q$28),"")</f>
        <v/>
      </c>
      <c r="T9" s="53" t="str">
        <f>IF(AND('Mapa final'!$AA$29="Muy Alta",'Mapa final'!$AC$29="Menor"),CONCATENATE("R4C",'Mapa final'!$Q$29),"")</f>
        <v/>
      </c>
      <c r="U9" s="54" t="str">
        <f>IF(AND('Mapa final'!$AA$30="Muy Alta",'Mapa final'!$AC$30="Menor"),CONCATENATE("R4C",'Mapa final'!$Q$30),"")</f>
        <v/>
      </c>
      <c r="V9" s="52" t="str">
        <f>IF(AND('Mapa final'!$AA$25="Muy Alta",'Mapa final'!$AC$25="Moderado"),CONCATENATE("R4C",'Mapa final'!$Q$25),"")</f>
        <v/>
      </c>
      <c r="W9" s="53" t="str">
        <f>IF(AND('Mapa final'!$AA$26="Muy Alta",'Mapa final'!$AC$26="Moderado"),CONCATENATE("R4C",'Mapa final'!$Q$26),"")</f>
        <v/>
      </c>
      <c r="X9" s="53" t="str">
        <f>IF(AND('Mapa final'!$AA$27="Muy Alta",'Mapa final'!$AC$27="Moderado"),CONCATENATE("R4C",'Mapa final'!$Q$27),"")</f>
        <v/>
      </c>
      <c r="Y9" s="53" t="str">
        <f>IF(AND('Mapa final'!$AA$28="Muy Alta",'Mapa final'!$AC$28="Moderado"),CONCATENATE("R4C",'Mapa final'!$Q$28),"")</f>
        <v/>
      </c>
      <c r="Z9" s="53" t="str">
        <f>IF(AND('Mapa final'!$AA$29="Muy Alta",'Mapa final'!$AC$29="Moderado"),CONCATENATE("R4C",'Mapa final'!$Q$29),"")</f>
        <v/>
      </c>
      <c r="AA9" s="54" t="str">
        <f>IF(AND('Mapa final'!$AA$30="Muy Alta",'Mapa final'!$AC$30="Moderado"),CONCATENATE("R4C",'Mapa final'!$Q$30),"")</f>
        <v/>
      </c>
      <c r="AB9" s="52" t="str">
        <f>IF(AND('Mapa final'!$AA$25="Muy Alta",'Mapa final'!$AC$25="Mayor"),CONCATENATE("R4C",'Mapa final'!$Q$25),"")</f>
        <v/>
      </c>
      <c r="AC9" s="53" t="str">
        <f>IF(AND('Mapa final'!$AA$26="Muy Alta",'Mapa final'!$AC$26="Mayor"),CONCATENATE("R4C",'Mapa final'!$Q$26),"")</f>
        <v/>
      </c>
      <c r="AD9" s="53" t="str">
        <f>IF(AND('Mapa final'!$AA$27="Muy Alta",'Mapa final'!$AC$27="Mayor"),CONCATENATE("R4C",'Mapa final'!$Q$27),"")</f>
        <v/>
      </c>
      <c r="AE9" s="53" t="str">
        <f>IF(AND('Mapa final'!$AA$28="Muy Alta",'Mapa final'!$AC$28="Mayor"),CONCATENATE("R4C",'Mapa final'!$Q$28),"")</f>
        <v/>
      </c>
      <c r="AF9" s="53" t="str">
        <f>IF(AND('Mapa final'!$AA$29="Muy Alta",'Mapa final'!$AC$29="Mayor"),CONCATENATE("R4C",'Mapa final'!$Q$29),"")</f>
        <v/>
      </c>
      <c r="AG9" s="54" t="str">
        <f>IF(AND('Mapa final'!$AA$30="Muy Alta",'Mapa final'!$AC$30="Mayor"),CONCATENATE("R4C",'Mapa final'!$Q$30),"")</f>
        <v/>
      </c>
      <c r="AH9" s="55" t="str">
        <f>IF(AND('Mapa final'!$AA$25="Muy Alta",'Mapa final'!$AC$25="Catastrófico"),CONCATENATE("R4C",'Mapa final'!$Q$25),"")</f>
        <v/>
      </c>
      <c r="AI9" s="56" t="str">
        <f>IF(AND('Mapa final'!$AA$26="Muy Alta",'Mapa final'!$AC$26="Catastrófico"),CONCATENATE("R4C",'Mapa final'!$Q$26),"")</f>
        <v/>
      </c>
      <c r="AJ9" s="56" t="str">
        <f>IF(AND('Mapa final'!$AA$27="Muy Alta",'Mapa final'!$AC$27="Catastrófico"),CONCATENATE("R4C",'Mapa final'!$Q$27),"")</f>
        <v/>
      </c>
      <c r="AK9" s="56" t="str">
        <f>IF(AND('Mapa final'!$AA$28="Muy Alta",'Mapa final'!$AC$28="Catastrófico"),CONCATENATE("R4C",'Mapa final'!$Q$28),"")</f>
        <v/>
      </c>
      <c r="AL9" s="56" t="str">
        <f>IF(AND('Mapa final'!$AA$29="Muy Alta",'Mapa final'!$AC$29="Catastrófico"),CONCATENATE("R4C",'Mapa final'!$Q$29),"")</f>
        <v/>
      </c>
      <c r="AM9" s="57" t="str">
        <f>IF(AND('Mapa final'!$AA$30="Muy Alta",'Mapa final'!$AC$30="Catastrófico"),CONCATENATE("R4C",'Mapa final'!$Q$30),"")</f>
        <v/>
      </c>
      <c r="AN9" s="83"/>
      <c r="AO9" s="362"/>
      <c r="AP9" s="363"/>
      <c r="AQ9" s="363"/>
      <c r="AR9" s="363"/>
      <c r="AS9" s="363"/>
      <c r="AT9" s="364"/>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57"/>
      <c r="C10" s="257"/>
      <c r="D10" s="258"/>
      <c r="E10" s="356"/>
      <c r="F10" s="355"/>
      <c r="G10" s="355"/>
      <c r="H10" s="355"/>
      <c r="I10" s="371"/>
      <c r="J10" s="52" t="str">
        <f>IF(AND('Mapa final'!$AA$31="Muy Alta",'Mapa final'!$AC$31="Leve"),CONCATENATE("R5C",'Mapa final'!$Q$31),"")</f>
        <v/>
      </c>
      <c r="K10" s="53" t="str">
        <f>IF(AND('Mapa final'!$AA$32="Muy Alta",'Mapa final'!$AC$32="Leve"),CONCATENATE("R5C",'Mapa final'!$Q$32),"")</f>
        <v/>
      </c>
      <c r="L10" s="53" t="str">
        <f>IF(AND('Mapa final'!$AA$33="Muy Alta",'Mapa final'!$AC$33="Leve"),CONCATENATE("R5C",'Mapa final'!$Q$33),"")</f>
        <v/>
      </c>
      <c r="M10" s="53" t="str">
        <f>IF(AND('Mapa final'!$AA$34="Muy Alta",'Mapa final'!$AC$34="Leve"),CONCATENATE("R5C",'Mapa final'!$Q$34),"")</f>
        <v/>
      </c>
      <c r="N10" s="53" t="str">
        <f>IF(AND('Mapa final'!$AA$35="Muy Alta",'Mapa final'!$AC$35="Leve"),CONCATENATE("R5C",'Mapa final'!$Q$35),"")</f>
        <v/>
      </c>
      <c r="O10" s="54" t="str">
        <f>IF(AND('Mapa final'!$AA$36="Muy Alta",'Mapa final'!$AC$36="Leve"),CONCATENATE("R5C",'Mapa final'!$Q$36),"")</f>
        <v/>
      </c>
      <c r="P10" s="52" t="str">
        <f>IF(AND('Mapa final'!$AA$31="Muy Alta",'Mapa final'!$AC$31="Menor"),CONCATENATE("R5C",'Mapa final'!$Q$31),"")</f>
        <v/>
      </c>
      <c r="Q10" s="53" t="str">
        <f>IF(AND('Mapa final'!$AA$32="Muy Alta",'Mapa final'!$AC$32="Menor"),CONCATENATE("R5C",'Mapa final'!$Q$32),"")</f>
        <v/>
      </c>
      <c r="R10" s="53" t="str">
        <f>IF(AND('Mapa final'!$AA$33="Muy Alta",'Mapa final'!$AC$33="Menor"),CONCATENATE("R5C",'Mapa final'!$Q$33),"")</f>
        <v/>
      </c>
      <c r="S10" s="53" t="str">
        <f>IF(AND('Mapa final'!$AA$34="Muy Alta",'Mapa final'!$AC$34="Menor"),CONCATENATE("R5C",'Mapa final'!$Q$34),"")</f>
        <v/>
      </c>
      <c r="T10" s="53" t="str">
        <f>IF(AND('Mapa final'!$AA$35="Muy Alta",'Mapa final'!$AC$35="Menor"),CONCATENATE("R5C",'Mapa final'!$Q$35),"")</f>
        <v/>
      </c>
      <c r="U10" s="54" t="str">
        <f>IF(AND('Mapa final'!$AA$36="Muy Alta",'Mapa final'!$AC$36="Menor"),CONCATENATE("R5C",'Mapa final'!$Q$36),"")</f>
        <v/>
      </c>
      <c r="V10" s="52" t="str">
        <f>IF(AND('Mapa final'!$AA$31="Muy Alta",'Mapa final'!$AC$31="Moderado"),CONCATENATE("R5C",'Mapa final'!$Q$31),"")</f>
        <v/>
      </c>
      <c r="W10" s="53" t="str">
        <f>IF(AND('Mapa final'!$AA$32="Muy Alta",'Mapa final'!$AC$32="Moderado"),CONCATENATE("R5C",'Mapa final'!$Q$32),"")</f>
        <v/>
      </c>
      <c r="X10" s="53" t="str">
        <f>IF(AND('Mapa final'!$AA$33="Muy Alta",'Mapa final'!$AC$33="Moderado"),CONCATENATE("R5C",'Mapa final'!$Q$33),"")</f>
        <v/>
      </c>
      <c r="Y10" s="53" t="str">
        <f>IF(AND('Mapa final'!$AA$34="Muy Alta",'Mapa final'!$AC$34="Moderado"),CONCATENATE("R5C",'Mapa final'!$Q$34),"")</f>
        <v/>
      </c>
      <c r="Z10" s="53" t="str">
        <f>IF(AND('Mapa final'!$AA$35="Muy Alta",'Mapa final'!$AC$35="Moderado"),CONCATENATE("R5C",'Mapa final'!$Q$35),"")</f>
        <v/>
      </c>
      <c r="AA10" s="54" t="str">
        <f>IF(AND('Mapa final'!$AA$36="Muy Alta",'Mapa final'!$AC$36="Moderado"),CONCATENATE("R5C",'Mapa final'!$Q$36),"")</f>
        <v/>
      </c>
      <c r="AB10" s="52" t="str">
        <f>IF(AND('Mapa final'!$AA$31="Muy Alta",'Mapa final'!$AC$31="Mayor"),CONCATENATE("R5C",'Mapa final'!$Q$31),"")</f>
        <v/>
      </c>
      <c r="AC10" s="53" t="str">
        <f>IF(AND('Mapa final'!$AA$32="Muy Alta",'Mapa final'!$AC$32="Mayor"),CONCATENATE("R5C",'Mapa final'!$Q$32),"")</f>
        <v/>
      </c>
      <c r="AD10" s="53" t="str">
        <f>IF(AND('Mapa final'!$AA$33="Muy Alta",'Mapa final'!$AC$33="Mayor"),CONCATENATE("R5C",'Mapa final'!$Q$33),"")</f>
        <v/>
      </c>
      <c r="AE10" s="53" t="str">
        <f>IF(AND('Mapa final'!$AA$34="Muy Alta",'Mapa final'!$AC$34="Mayor"),CONCATENATE("R5C",'Mapa final'!$Q$34),"")</f>
        <v/>
      </c>
      <c r="AF10" s="53" t="str">
        <f>IF(AND('Mapa final'!$AA$35="Muy Alta",'Mapa final'!$AC$35="Mayor"),CONCATENATE("R5C",'Mapa final'!$Q$35),"")</f>
        <v/>
      </c>
      <c r="AG10" s="54" t="str">
        <f>IF(AND('Mapa final'!$AA$36="Muy Alta",'Mapa final'!$AC$36="Mayor"),CONCATENATE("R5C",'Mapa final'!$Q$36),"")</f>
        <v/>
      </c>
      <c r="AH10" s="55" t="str">
        <f>IF(AND('Mapa final'!$AA$31="Muy Alta",'Mapa final'!$AC$31="Catastrófico"),CONCATENATE("R5C",'Mapa final'!$Q$31),"")</f>
        <v/>
      </c>
      <c r="AI10" s="56" t="str">
        <f>IF(AND('Mapa final'!$AA$32="Muy Alta",'Mapa final'!$AC$32="Catastrófico"),CONCATENATE("R5C",'Mapa final'!$Q$32),"")</f>
        <v/>
      </c>
      <c r="AJ10" s="56" t="str">
        <f>IF(AND('Mapa final'!$AA$33="Muy Alta",'Mapa final'!$AC$33="Catastrófico"),CONCATENATE("R5C",'Mapa final'!$Q$33),"")</f>
        <v/>
      </c>
      <c r="AK10" s="56" t="str">
        <f>IF(AND('Mapa final'!$AA$34="Muy Alta",'Mapa final'!$AC$34="Catastrófico"),CONCATENATE("R5C",'Mapa final'!$Q$34),"")</f>
        <v/>
      </c>
      <c r="AL10" s="56" t="str">
        <f>IF(AND('Mapa final'!$AA$35="Muy Alta",'Mapa final'!$AC$35="Catastrófico"),CONCATENATE("R5C",'Mapa final'!$Q$35),"")</f>
        <v/>
      </c>
      <c r="AM10" s="57" t="str">
        <f>IF(AND('Mapa final'!$AA$36="Muy Alta",'Mapa final'!$AC$36="Catastrófico"),CONCATENATE("R5C",'Mapa final'!$Q$36),"")</f>
        <v/>
      </c>
      <c r="AN10" s="83"/>
      <c r="AO10" s="362"/>
      <c r="AP10" s="363"/>
      <c r="AQ10" s="363"/>
      <c r="AR10" s="363"/>
      <c r="AS10" s="363"/>
      <c r="AT10" s="364"/>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57"/>
      <c r="C11" s="257"/>
      <c r="D11" s="258"/>
      <c r="E11" s="356"/>
      <c r="F11" s="355"/>
      <c r="G11" s="355"/>
      <c r="H11" s="355"/>
      <c r="I11" s="371"/>
      <c r="J11" s="52" t="str">
        <f>IF(AND('Mapa final'!$AA$37="Muy Alta",'Mapa final'!$AC$37="Leve"),CONCATENATE("R6C",'Mapa final'!$Q$37),"")</f>
        <v/>
      </c>
      <c r="K11" s="53" t="str">
        <f>IF(AND('Mapa final'!$AA$38="Muy Alta",'Mapa final'!$AC$38="Leve"),CONCATENATE("R6C",'Mapa final'!$Q$38),"")</f>
        <v/>
      </c>
      <c r="L11" s="53" t="str">
        <f>IF(AND('Mapa final'!$AA$39="Muy Alta",'Mapa final'!$AC$39="Leve"),CONCATENATE("R6C",'Mapa final'!$Q$39),"")</f>
        <v/>
      </c>
      <c r="M11" s="53" t="str">
        <f>IF(AND('Mapa final'!$AA$40="Muy Alta",'Mapa final'!$AC$40="Leve"),CONCATENATE("R6C",'Mapa final'!$Q$40),"")</f>
        <v/>
      </c>
      <c r="N11" s="53" t="str">
        <f>IF(AND('Mapa final'!$AA$41="Muy Alta",'Mapa final'!$AC$41="Leve"),CONCATENATE("R6C",'Mapa final'!$Q$41),"")</f>
        <v/>
      </c>
      <c r="O11" s="54" t="str">
        <f>IF(AND('Mapa final'!$AA$42="Muy Alta",'Mapa final'!$AC$42="Leve"),CONCATENATE("R6C",'Mapa final'!$Q$42),"")</f>
        <v/>
      </c>
      <c r="P11" s="52" t="str">
        <f>IF(AND('Mapa final'!$AA$37="Muy Alta",'Mapa final'!$AC$37="Menor"),CONCATENATE("R6C",'Mapa final'!$Q$37),"")</f>
        <v/>
      </c>
      <c r="Q11" s="53" t="str">
        <f>IF(AND('Mapa final'!$AA$38="Muy Alta",'Mapa final'!$AC$38="Menor"),CONCATENATE("R6C",'Mapa final'!$Q$38),"")</f>
        <v/>
      </c>
      <c r="R11" s="53" t="str">
        <f>IF(AND('Mapa final'!$AA$39="Muy Alta",'Mapa final'!$AC$39="Menor"),CONCATENATE("R6C",'Mapa final'!$Q$39),"")</f>
        <v/>
      </c>
      <c r="S11" s="53" t="str">
        <f>IF(AND('Mapa final'!$AA$40="Muy Alta",'Mapa final'!$AC$40="Menor"),CONCATENATE("R6C",'Mapa final'!$Q$40),"")</f>
        <v/>
      </c>
      <c r="T11" s="53" t="str">
        <f>IF(AND('Mapa final'!$AA$41="Muy Alta",'Mapa final'!$AC$41="Menor"),CONCATENATE("R6C",'Mapa final'!$Q$41),"")</f>
        <v/>
      </c>
      <c r="U11" s="54" t="str">
        <f>IF(AND('Mapa final'!$AA$42="Muy Alta",'Mapa final'!$AC$42="Menor"),CONCATENATE("R6C",'Mapa final'!$Q$42),"")</f>
        <v/>
      </c>
      <c r="V11" s="52" t="str">
        <f>IF(AND('Mapa final'!$AA$37="Muy Alta",'Mapa final'!$AC$37="Moderado"),CONCATENATE("R6C",'Mapa final'!$Q$37),"")</f>
        <v/>
      </c>
      <c r="W11" s="53" t="str">
        <f>IF(AND('Mapa final'!$AA$38="Muy Alta",'Mapa final'!$AC$38="Moderado"),CONCATENATE("R6C",'Mapa final'!$Q$38),"")</f>
        <v/>
      </c>
      <c r="X11" s="53" t="str">
        <f>IF(AND('Mapa final'!$AA$39="Muy Alta",'Mapa final'!$AC$39="Moderado"),CONCATENATE("R6C",'Mapa final'!$Q$39),"")</f>
        <v/>
      </c>
      <c r="Y11" s="53" t="str">
        <f>IF(AND('Mapa final'!$AA$40="Muy Alta",'Mapa final'!$AC$40="Moderado"),CONCATENATE("R6C",'Mapa final'!$Q$40),"")</f>
        <v/>
      </c>
      <c r="Z11" s="53" t="str">
        <f>IF(AND('Mapa final'!$AA$41="Muy Alta",'Mapa final'!$AC$41="Moderado"),CONCATENATE("R6C",'Mapa final'!$Q$41),"")</f>
        <v/>
      </c>
      <c r="AA11" s="54" t="str">
        <f>IF(AND('Mapa final'!$AA$42="Muy Alta",'Mapa final'!$AC$42="Moderado"),CONCATENATE("R6C",'Mapa final'!$Q$42),"")</f>
        <v/>
      </c>
      <c r="AB11" s="52" t="str">
        <f>IF(AND('Mapa final'!$AA$37="Muy Alta",'Mapa final'!$AC$37="Mayor"),CONCATENATE("R6C",'Mapa final'!$Q$37),"")</f>
        <v/>
      </c>
      <c r="AC11" s="53" t="str">
        <f>IF(AND('Mapa final'!$AA$38="Muy Alta",'Mapa final'!$AC$38="Mayor"),CONCATENATE("R6C",'Mapa final'!$Q$38),"")</f>
        <v/>
      </c>
      <c r="AD11" s="53" t="str">
        <f>IF(AND('Mapa final'!$AA$39="Muy Alta",'Mapa final'!$AC$39="Mayor"),CONCATENATE("R6C",'Mapa final'!$Q$39),"")</f>
        <v/>
      </c>
      <c r="AE11" s="53" t="str">
        <f>IF(AND('Mapa final'!$AA$40="Muy Alta",'Mapa final'!$AC$40="Mayor"),CONCATENATE("R6C",'Mapa final'!$Q$40),"")</f>
        <v/>
      </c>
      <c r="AF11" s="53" t="str">
        <f>IF(AND('Mapa final'!$AA$41="Muy Alta",'Mapa final'!$AC$41="Mayor"),CONCATENATE("R6C",'Mapa final'!$Q$41),"")</f>
        <v/>
      </c>
      <c r="AG11" s="54" t="str">
        <f>IF(AND('Mapa final'!$AA$42="Muy Alta",'Mapa final'!$AC$42="Mayor"),CONCATENATE("R6C",'Mapa final'!$Q$42),"")</f>
        <v/>
      </c>
      <c r="AH11" s="55" t="str">
        <f>IF(AND('Mapa final'!$AA$37="Muy Alta",'Mapa final'!$AC$37="Catastrófico"),CONCATENATE("R6C",'Mapa final'!$Q$37),"")</f>
        <v/>
      </c>
      <c r="AI11" s="56" t="str">
        <f>IF(AND('Mapa final'!$AA$38="Muy Alta",'Mapa final'!$AC$38="Catastrófico"),CONCATENATE("R6C",'Mapa final'!$Q$38),"")</f>
        <v/>
      </c>
      <c r="AJ11" s="56" t="str">
        <f>IF(AND('Mapa final'!$AA$39="Muy Alta",'Mapa final'!$AC$39="Catastrófico"),CONCATENATE("R6C",'Mapa final'!$Q$39),"")</f>
        <v/>
      </c>
      <c r="AK11" s="56" t="str">
        <f>IF(AND('Mapa final'!$AA$40="Muy Alta",'Mapa final'!$AC$40="Catastrófico"),CONCATENATE("R6C",'Mapa final'!$Q$40),"")</f>
        <v/>
      </c>
      <c r="AL11" s="56" t="str">
        <f>IF(AND('Mapa final'!$AA$41="Muy Alta",'Mapa final'!$AC$41="Catastrófico"),CONCATENATE("R6C",'Mapa final'!$Q$41),"")</f>
        <v/>
      </c>
      <c r="AM11" s="57" t="str">
        <f>IF(AND('Mapa final'!$AA$42="Muy Alta",'Mapa final'!$AC$42="Catastrófico"),CONCATENATE("R6C",'Mapa final'!$Q$42),"")</f>
        <v/>
      </c>
      <c r="AN11" s="83"/>
      <c r="AO11" s="362"/>
      <c r="AP11" s="363"/>
      <c r="AQ11" s="363"/>
      <c r="AR11" s="363"/>
      <c r="AS11" s="363"/>
      <c r="AT11" s="364"/>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57"/>
      <c r="C12" s="257"/>
      <c r="D12" s="258"/>
      <c r="E12" s="356"/>
      <c r="F12" s="355"/>
      <c r="G12" s="355"/>
      <c r="H12" s="355"/>
      <c r="I12" s="371"/>
      <c r="J12" s="52" t="str">
        <f>IF(AND('Mapa final'!$AA$43="Muy Alta",'Mapa final'!$AC$43="Leve"),CONCATENATE("R7C",'Mapa final'!$Q$43),"")</f>
        <v/>
      </c>
      <c r="K12" s="53" t="str">
        <f>IF(AND('Mapa final'!$AA$44="Muy Alta",'Mapa final'!$AC$44="Leve"),CONCATENATE("R7C",'Mapa final'!$Q$44),"")</f>
        <v/>
      </c>
      <c r="L12" s="53" t="str">
        <f>IF(AND('Mapa final'!$AA$45="Muy Alta",'Mapa final'!$AC$45="Leve"),CONCATENATE("R7C",'Mapa final'!$Q$45),"")</f>
        <v/>
      </c>
      <c r="M12" s="53" t="str">
        <f>IF(AND('Mapa final'!$AA$46="Muy Alta",'Mapa final'!$AC$46="Leve"),CONCATENATE("R7C",'Mapa final'!$Q$46),"")</f>
        <v/>
      </c>
      <c r="N12" s="53" t="str">
        <f>IF(AND('Mapa final'!$AA$47="Muy Alta",'Mapa final'!$AC$47="Leve"),CONCATENATE("R7C",'Mapa final'!$Q$47),"")</f>
        <v/>
      </c>
      <c r="O12" s="54" t="str">
        <f>IF(AND('Mapa final'!$AA$48="Muy Alta",'Mapa final'!$AC$48="Leve"),CONCATENATE("R7C",'Mapa final'!$Q$48),"")</f>
        <v/>
      </c>
      <c r="P12" s="52" t="str">
        <f>IF(AND('Mapa final'!$AA$43="Muy Alta",'Mapa final'!$AC$43="Menor"),CONCATENATE("R7C",'Mapa final'!$Q$43),"")</f>
        <v/>
      </c>
      <c r="Q12" s="53" t="str">
        <f>IF(AND('Mapa final'!$AA$44="Muy Alta",'Mapa final'!$AC$44="Menor"),CONCATENATE("R7C",'Mapa final'!$Q$44),"")</f>
        <v/>
      </c>
      <c r="R12" s="53" t="str">
        <f>IF(AND('Mapa final'!$AA$45="Muy Alta",'Mapa final'!$AC$45="Menor"),CONCATENATE("R7C",'Mapa final'!$Q$45),"")</f>
        <v/>
      </c>
      <c r="S12" s="53" t="str">
        <f>IF(AND('Mapa final'!$AA$46="Muy Alta",'Mapa final'!$AC$46="Menor"),CONCATENATE("R7C",'Mapa final'!$Q$46),"")</f>
        <v/>
      </c>
      <c r="T12" s="53" t="str">
        <f>IF(AND('Mapa final'!$AA$47="Muy Alta",'Mapa final'!$AC$47="Menor"),CONCATENATE("R7C",'Mapa final'!$Q$47),"")</f>
        <v/>
      </c>
      <c r="U12" s="54" t="str">
        <f>IF(AND('Mapa final'!$AA$48="Muy Alta",'Mapa final'!$AC$48="Menor"),CONCATENATE("R7C",'Mapa final'!$Q$48),"")</f>
        <v/>
      </c>
      <c r="V12" s="52" t="str">
        <f>IF(AND('Mapa final'!$AA$43="Muy Alta",'Mapa final'!$AC$43="Moderado"),CONCATENATE("R7C",'Mapa final'!$Q$43),"")</f>
        <v/>
      </c>
      <c r="W12" s="53" t="str">
        <f>IF(AND('Mapa final'!$AA$44="Muy Alta",'Mapa final'!$AC$44="Moderado"),CONCATENATE("R7C",'Mapa final'!$Q$44),"")</f>
        <v/>
      </c>
      <c r="X12" s="53" t="str">
        <f>IF(AND('Mapa final'!$AA$45="Muy Alta",'Mapa final'!$AC$45="Moderado"),CONCATENATE("R7C",'Mapa final'!$Q$45),"")</f>
        <v/>
      </c>
      <c r="Y12" s="53" t="str">
        <f>IF(AND('Mapa final'!$AA$46="Muy Alta",'Mapa final'!$AC$46="Moderado"),CONCATENATE("R7C",'Mapa final'!$Q$46),"")</f>
        <v/>
      </c>
      <c r="Z12" s="53" t="str">
        <f>IF(AND('Mapa final'!$AA$47="Muy Alta",'Mapa final'!$AC$47="Moderado"),CONCATENATE("R7C",'Mapa final'!$Q$47),"")</f>
        <v/>
      </c>
      <c r="AA12" s="54" t="str">
        <f>IF(AND('Mapa final'!$AA$48="Muy Alta",'Mapa final'!$AC$48="Moderado"),CONCATENATE("R7C",'Mapa final'!$Q$48),"")</f>
        <v/>
      </c>
      <c r="AB12" s="52" t="str">
        <f>IF(AND('Mapa final'!$AA$43="Muy Alta",'Mapa final'!$AC$43="Mayor"),CONCATENATE("R7C",'Mapa final'!$Q$43),"")</f>
        <v/>
      </c>
      <c r="AC12" s="53" t="str">
        <f>IF(AND('Mapa final'!$AA$44="Muy Alta",'Mapa final'!$AC$44="Mayor"),CONCATENATE("R7C",'Mapa final'!$Q$44),"")</f>
        <v/>
      </c>
      <c r="AD12" s="53" t="str">
        <f>IF(AND('Mapa final'!$AA$45="Muy Alta",'Mapa final'!$AC$45="Mayor"),CONCATENATE("R7C",'Mapa final'!$Q$45),"")</f>
        <v/>
      </c>
      <c r="AE12" s="53" t="str">
        <f>IF(AND('Mapa final'!$AA$46="Muy Alta",'Mapa final'!$AC$46="Mayor"),CONCATENATE("R7C",'Mapa final'!$Q$46),"")</f>
        <v/>
      </c>
      <c r="AF12" s="53" t="str">
        <f>IF(AND('Mapa final'!$AA$47="Muy Alta",'Mapa final'!$AC$47="Mayor"),CONCATENATE("R7C",'Mapa final'!$Q$47),"")</f>
        <v/>
      </c>
      <c r="AG12" s="54" t="str">
        <f>IF(AND('Mapa final'!$AA$48="Muy Alta",'Mapa final'!$AC$48="Mayor"),CONCATENATE("R7C",'Mapa final'!$Q$48),"")</f>
        <v/>
      </c>
      <c r="AH12" s="55" t="str">
        <f>IF(AND('Mapa final'!$AA$43="Muy Alta",'Mapa final'!$AC$43="Catastrófico"),CONCATENATE("R7C",'Mapa final'!$Q$43),"")</f>
        <v/>
      </c>
      <c r="AI12" s="56" t="str">
        <f>IF(AND('Mapa final'!$AA$44="Muy Alta",'Mapa final'!$AC$44="Catastrófico"),CONCATENATE("R7C",'Mapa final'!$Q$44),"")</f>
        <v/>
      </c>
      <c r="AJ12" s="56" t="str">
        <f>IF(AND('Mapa final'!$AA$45="Muy Alta",'Mapa final'!$AC$45="Catastrófico"),CONCATENATE("R7C",'Mapa final'!$Q$45),"")</f>
        <v/>
      </c>
      <c r="AK12" s="56" t="str">
        <f>IF(AND('Mapa final'!$AA$46="Muy Alta",'Mapa final'!$AC$46="Catastrófico"),CONCATENATE("R7C",'Mapa final'!$Q$46),"")</f>
        <v/>
      </c>
      <c r="AL12" s="56" t="str">
        <f>IF(AND('Mapa final'!$AA$47="Muy Alta",'Mapa final'!$AC$47="Catastrófico"),CONCATENATE("R7C",'Mapa final'!$Q$47),"")</f>
        <v/>
      </c>
      <c r="AM12" s="57" t="str">
        <f>IF(AND('Mapa final'!$AA$48="Muy Alta",'Mapa final'!$AC$48="Catastrófico"),CONCATENATE("R7C",'Mapa final'!$Q$48),"")</f>
        <v/>
      </c>
      <c r="AN12" s="83"/>
      <c r="AO12" s="362"/>
      <c r="AP12" s="363"/>
      <c r="AQ12" s="363"/>
      <c r="AR12" s="363"/>
      <c r="AS12" s="363"/>
      <c r="AT12" s="364"/>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57"/>
      <c r="C13" s="257"/>
      <c r="D13" s="258"/>
      <c r="E13" s="356"/>
      <c r="F13" s="355"/>
      <c r="G13" s="355"/>
      <c r="H13" s="355"/>
      <c r="I13" s="371"/>
      <c r="J13" s="52" t="str">
        <f>IF(AND('Mapa final'!$AA$49="Muy Alta",'Mapa final'!$AC$49="Leve"),CONCATENATE("R8C",'Mapa final'!$Q$49),"")</f>
        <v/>
      </c>
      <c r="K13" s="53" t="str">
        <f>IF(AND('Mapa final'!$AA$50="Muy Alta",'Mapa final'!$AC$50="Leve"),CONCATENATE("R8C",'Mapa final'!$Q$50),"")</f>
        <v/>
      </c>
      <c r="L13" s="53" t="str">
        <f>IF(AND('Mapa final'!$AA$51="Muy Alta",'Mapa final'!$AC$51="Leve"),CONCATENATE("R8C",'Mapa final'!$Q$51),"")</f>
        <v/>
      </c>
      <c r="M13" s="53" t="str">
        <f>IF(AND('Mapa final'!$AA$52="Muy Alta",'Mapa final'!$AC$52="Leve"),CONCATENATE("R8C",'Mapa final'!$Q$52),"")</f>
        <v/>
      </c>
      <c r="N13" s="53" t="str">
        <f>IF(AND('Mapa final'!$AA$53="Muy Alta",'Mapa final'!$AC$53="Leve"),CONCATENATE("R8C",'Mapa final'!$Q$53),"")</f>
        <v/>
      </c>
      <c r="O13" s="54" t="str">
        <f>IF(AND('Mapa final'!$AA$54="Muy Alta",'Mapa final'!$AC$54="Leve"),CONCATENATE("R8C",'Mapa final'!$Q$54),"")</f>
        <v/>
      </c>
      <c r="P13" s="52" t="str">
        <f>IF(AND('Mapa final'!$AA$49="Muy Alta",'Mapa final'!$AC$49="Menor"),CONCATENATE("R8C",'Mapa final'!$Q$49),"")</f>
        <v/>
      </c>
      <c r="Q13" s="53" t="str">
        <f>IF(AND('Mapa final'!$AA$50="Muy Alta",'Mapa final'!$AC$50="Menor"),CONCATENATE("R8C",'Mapa final'!$Q$50),"")</f>
        <v/>
      </c>
      <c r="R13" s="53" t="str">
        <f>IF(AND('Mapa final'!$AA$51="Muy Alta",'Mapa final'!$AC$51="Menor"),CONCATENATE("R8C",'Mapa final'!$Q$51),"")</f>
        <v/>
      </c>
      <c r="S13" s="53" t="str">
        <f>IF(AND('Mapa final'!$AA$52="Muy Alta",'Mapa final'!$AC$52="Menor"),CONCATENATE("R8C",'Mapa final'!$Q$52),"")</f>
        <v/>
      </c>
      <c r="T13" s="53" t="str">
        <f>IF(AND('Mapa final'!$AA$53="Muy Alta",'Mapa final'!$AC$53="Menor"),CONCATENATE("R8C",'Mapa final'!$Q$53),"")</f>
        <v/>
      </c>
      <c r="U13" s="54" t="str">
        <f>IF(AND('Mapa final'!$AA$54="Muy Alta",'Mapa final'!$AC$54="Menor"),CONCATENATE("R8C",'Mapa final'!$Q$54),"")</f>
        <v/>
      </c>
      <c r="V13" s="52" t="str">
        <f>IF(AND('Mapa final'!$AA$49="Muy Alta",'Mapa final'!$AC$49="Moderado"),CONCATENATE("R8C",'Mapa final'!$Q$49),"")</f>
        <v/>
      </c>
      <c r="W13" s="53" t="str">
        <f>IF(AND('Mapa final'!$AA$50="Muy Alta",'Mapa final'!$AC$50="Moderado"),CONCATENATE("R8C",'Mapa final'!$Q$50),"")</f>
        <v/>
      </c>
      <c r="X13" s="53" t="str">
        <f>IF(AND('Mapa final'!$AA$51="Muy Alta",'Mapa final'!$AC$51="Moderado"),CONCATENATE("R8C",'Mapa final'!$Q$51),"")</f>
        <v/>
      </c>
      <c r="Y13" s="53" t="str">
        <f>IF(AND('Mapa final'!$AA$52="Muy Alta",'Mapa final'!$AC$52="Moderado"),CONCATENATE("R8C",'Mapa final'!$Q$52),"")</f>
        <v/>
      </c>
      <c r="Z13" s="53" t="str">
        <f>IF(AND('Mapa final'!$AA$53="Muy Alta",'Mapa final'!$AC$53="Moderado"),CONCATENATE("R8C",'Mapa final'!$Q$53),"")</f>
        <v/>
      </c>
      <c r="AA13" s="54" t="str">
        <f>IF(AND('Mapa final'!$AA$54="Muy Alta",'Mapa final'!$AC$54="Moderado"),CONCATENATE("R8C",'Mapa final'!$Q$54),"")</f>
        <v/>
      </c>
      <c r="AB13" s="52" t="str">
        <f>IF(AND('Mapa final'!$AA$49="Muy Alta",'Mapa final'!$AC$49="Mayor"),CONCATENATE("R8C",'Mapa final'!$Q$49),"")</f>
        <v/>
      </c>
      <c r="AC13" s="53" t="str">
        <f>IF(AND('Mapa final'!$AA$50="Muy Alta",'Mapa final'!$AC$50="Mayor"),CONCATENATE("R8C",'Mapa final'!$Q$50),"")</f>
        <v/>
      </c>
      <c r="AD13" s="53" t="str">
        <f>IF(AND('Mapa final'!$AA$51="Muy Alta",'Mapa final'!$AC$51="Mayor"),CONCATENATE("R8C",'Mapa final'!$Q$51),"")</f>
        <v/>
      </c>
      <c r="AE13" s="53" t="str">
        <f>IF(AND('Mapa final'!$AA$52="Muy Alta",'Mapa final'!$AC$52="Mayor"),CONCATENATE("R8C",'Mapa final'!$Q$52),"")</f>
        <v/>
      </c>
      <c r="AF13" s="53" t="str">
        <f>IF(AND('Mapa final'!$AA$53="Muy Alta",'Mapa final'!$AC$53="Mayor"),CONCATENATE("R8C",'Mapa final'!$Q$53),"")</f>
        <v/>
      </c>
      <c r="AG13" s="54" t="str">
        <f>IF(AND('Mapa final'!$AA$54="Muy Alta",'Mapa final'!$AC$54="Mayor"),CONCATENATE("R8C",'Mapa final'!$Q$54),"")</f>
        <v/>
      </c>
      <c r="AH13" s="55" t="str">
        <f>IF(AND('Mapa final'!$AA$49="Muy Alta",'Mapa final'!$AC$49="Catastrófico"),CONCATENATE("R8C",'Mapa final'!$Q$49),"")</f>
        <v/>
      </c>
      <c r="AI13" s="56" t="str">
        <f>IF(AND('Mapa final'!$AA$50="Muy Alta",'Mapa final'!$AC$50="Catastrófico"),CONCATENATE("R8C",'Mapa final'!$Q$50),"")</f>
        <v/>
      </c>
      <c r="AJ13" s="56" t="str">
        <f>IF(AND('Mapa final'!$AA$51="Muy Alta",'Mapa final'!$AC$51="Catastrófico"),CONCATENATE("R8C",'Mapa final'!$Q$51),"")</f>
        <v/>
      </c>
      <c r="AK13" s="56" t="str">
        <f>IF(AND('Mapa final'!$AA$52="Muy Alta",'Mapa final'!$AC$52="Catastrófico"),CONCATENATE("R8C",'Mapa final'!$Q$52),"")</f>
        <v/>
      </c>
      <c r="AL13" s="56" t="str">
        <f>IF(AND('Mapa final'!$AA$53="Muy Alta",'Mapa final'!$AC$53="Catastrófico"),CONCATENATE("R8C",'Mapa final'!$Q$53),"")</f>
        <v/>
      </c>
      <c r="AM13" s="57" t="str">
        <f>IF(AND('Mapa final'!$AA$54="Muy Alta",'Mapa final'!$AC$54="Catastrófico"),CONCATENATE("R8C",'Mapa final'!$Q$54),"")</f>
        <v/>
      </c>
      <c r="AN13" s="83"/>
      <c r="AO13" s="362"/>
      <c r="AP13" s="363"/>
      <c r="AQ13" s="363"/>
      <c r="AR13" s="363"/>
      <c r="AS13" s="363"/>
      <c r="AT13" s="36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57"/>
      <c r="C14" s="257"/>
      <c r="D14" s="258"/>
      <c r="E14" s="356"/>
      <c r="F14" s="355"/>
      <c r="G14" s="355"/>
      <c r="H14" s="355"/>
      <c r="I14" s="371"/>
      <c r="J14" s="52" t="str">
        <f>IF(AND('Mapa final'!$AA$55="Muy Alta",'Mapa final'!$AC$55="Leve"),CONCATENATE("R9C",'Mapa final'!$Q$55),"")</f>
        <v/>
      </c>
      <c r="K14" s="53" t="str">
        <f>IF(AND('Mapa final'!$AA$56="Muy Alta",'Mapa final'!$AC$56="Leve"),CONCATENATE("R9C",'Mapa final'!$Q$56),"")</f>
        <v/>
      </c>
      <c r="L14" s="53" t="str">
        <f>IF(AND('Mapa final'!$AA$57="Muy Alta",'Mapa final'!$AC$57="Leve"),CONCATENATE("R9C",'Mapa final'!$Q$57),"")</f>
        <v/>
      </c>
      <c r="M14" s="53" t="str">
        <f>IF(AND('Mapa final'!$AA$58="Muy Alta",'Mapa final'!$AC$58="Leve"),CONCATENATE("R9C",'Mapa final'!$Q$58),"")</f>
        <v/>
      </c>
      <c r="N14" s="53" t="str">
        <f>IF(AND('Mapa final'!$AA$59="Muy Alta",'Mapa final'!$AC$59="Leve"),CONCATENATE("R9C",'Mapa final'!$Q$59),"")</f>
        <v/>
      </c>
      <c r="O14" s="54" t="str">
        <f>IF(AND('Mapa final'!$AA$60="Muy Alta",'Mapa final'!$AC$60="Leve"),CONCATENATE("R9C",'Mapa final'!$Q$60),"")</f>
        <v/>
      </c>
      <c r="P14" s="52" t="str">
        <f>IF(AND('Mapa final'!$AA$55="Muy Alta",'Mapa final'!$AC$55="Menor"),CONCATENATE("R9C",'Mapa final'!$Q$55),"")</f>
        <v/>
      </c>
      <c r="Q14" s="53" t="str">
        <f>IF(AND('Mapa final'!$AA$56="Muy Alta",'Mapa final'!$AC$56="Menor"),CONCATENATE("R9C",'Mapa final'!$Q$56),"")</f>
        <v/>
      </c>
      <c r="R14" s="53" t="str">
        <f>IF(AND('Mapa final'!$AA$57="Muy Alta",'Mapa final'!$AC$57="Menor"),CONCATENATE("R9C",'Mapa final'!$Q$57),"")</f>
        <v/>
      </c>
      <c r="S14" s="53" t="str">
        <f>IF(AND('Mapa final'!$AA$58="Muy Alta",'Mapa final'!$AC$58="Menor"),CONCATENATE("R9C",'Mapa final'!$Q$58),"")</f>
        <v/>
      </c>
      <c r="T14" s="53" t="str">
        <f>IF(AND('Mapa final'!$AA$59="Muy Alta",'Mapa final'!$AC$59="Menor"),CONCATENATE("R9C",'Mapa final'!$Q$59),"")</f>
        <v/>
      </c>
      <c r="U14" s="54" t="str">
        <f>IF(AND('Mapa final'!$AA$60="Muy Alta",'Mapa final'!$AC$60="Menor"),CONCATENATE("R9C",'Mapa final'!$Q$60),"")</f>
        <v/>
      </c>
      <c r="V14" s="52" t="str">
        <f>IF(AND('Mapa final'!$AA$55="Muy Alta",'Mapa final'!$AC$55="Moderado"),CONCATENATE("R9C",'Mapa final'!$Q$55),"")</f>
        <v/>
      </c>
      <c r="W14" s="53" t="str">
        <f>IF(AND('Mapa final'!$AA$56="Muy Alta",'Mapa final'!$AC$56="Moderado"),CONCATENATE("R9C",'Mapa final'!$Q$56),"")</f>
        <v/>
      </c>
      <c r="X14" s="53" t="str">
        <f>IF(AND('Mapa final'!$AA$57="Muy Alta",'Mapa final'!$AC$57="Moderado"),CONCATENATE("R9C",'Mapa final'!$Q$57),"")</f>
        <v/>
      </c>
      <c r="Y14" s="53" t="str">
        <f>IF(AND('Mapa final'!$AA$58="Muy Alta",'Mapa final'!$AC$58="Moderado"),CONCATENATE("R9C",'Mapa final'!$Q$58),"")</f>
        <v/>
      </c>
      <c r="Z14" s="53" t="str">
        <f>IF(AND('Mapa final'!$AA$59="Muy Alta",'Mapa final'!$AC$59="Moderado"),CONCATENATE("R9C",'Mapa final'!$Q$59),"")</f>
        <v/>
      </c>
      <c r="AA14" s="54" t="str">
        <f>IF(AND('Mapa final'!$AA$60="Muy Alta",'Mapa final'!$AC$60="Moderado"),CONCATENATE("R9C",'Mapa final'!$Q$60),"")</f>
        <v/>
      </c>
      <c r="AB14" s="52" t="str">
        <f>IF(AND('Mapa final'!$AA$55="Muy Alta",'Mapa final'!$AC$55="Mayor"),CONCATENATE("R9C",'Mapa final'!$Q$55),"")</f>
        <v/>
      </c>
      <c r="AC14" s="53" t="str">
        <f>IF(AND('Mapa final'!$AA$56="Muy Alta",'Mapa final'!$AC$56="Mayor"),CONCATENATE("R9C",'Mapa final'!$Q$56),"")</f>
        <v/>
      </c>
      <c r="AD14" s="53" t="str">
        <f>IF(AND('Mapa final'!$AA$57="Muy Alta",'Mapa final'!$AC$57="Mayor"),CONCATENATE("R9C",'Mapa final'!$Q$57),"")</f>
        <v/>
      </c>
      <c r="AE14" s="53" t="str">
        <f>IF(AND('Mapa final'!$AA$58="Muy Alta",'Mapa final'!$AC$58="Mayor"),CONCATENATE("R9C",'Mapa final'!$Q$58),"")</f>
        <v/>
      </c>
      <c r="AF14" s="53" t="str">
        <f>IF(AND('Mapa final'!$AA$59="Muy Alta",'Mapa final'!$AC$59="Mayor"),CONCATENATE("R9C",'Mapa final'!$Q$59),"")</f>
        <v/>
      </c>
      <c r="AG14" s="54" t="str">
        <f>IF(AND('Mapa final'!$AA$60="Muy Alta",'Mapa final'!$AC$60="Mayor"),CONCATENATE("R9C",'Mapa final'!$Q$60),"")</f>
        <v/>
      </c>
      <c r="AH14" s="55" t="str">
        <f>IF(AND('Mapa final'!$AA$55="Muy Alta",'Mapa final'!$AC$55="Catastrófico"),CONCATENATE("R9C",'Mapa final'!$Q$55),"")</f>
        <v/>
      </c>
      <c r="AI14" s="56" t="str">
        <f>IF(AND('Mapa final'!$AA$56="Muy Alta",'Mapa final'!$AC$56="Catastrófico"),CONCATENATE("R9C",'Mapa final'!$Q$56),"")</f>
        <v/>
      </c>
      <c r="AJ14" s="56" t="str">
        <f>IF(AND('Mapa final'!$AA$57="Muy Alta",'Mapa final'!$AC$57="Catastrófico"),CONCATENATE("R9C",'Mapa final'!$Q$57),"")</f>
        <v/>
      </c>
      <c r="AK14" s="56" t="str">
        <f>IF(AND('Mapa final'!$AA$58="Muy Alta",'Mapa final'!$AC$58="Catastrófico"),CONCATENATE("R9C",'Mapa final'!$Q$58),"")</f>
        <v/>
      </c>
      <c r="AL14" s="56" t="str">
        <f>IF(AND('Mapa final'!$AA$59="Muy Alta",'Mapa final'!$AC$59="Catastrófico"),CONCATENATE("R9C",'Mapa final'!$Q$59),"")</f>
        <v/>
      </c>
      <c r="AM14" s="57" t="str">
        <f>IF(AND('Mapa final'!$AA$60="Muy Alta",'Mapa final'!$AC$60="Catastrófico"),CONCATENATE("R9C",'Mapa final'!$Q$60),"")</f>
        <v/>
      </c>
      <c r="AN14" s="83"/>
      <c r="AO14" s="362"/>
      <c r="AP14" s="363"/>
      <c r="AQ14" s="363"/>
      <c r="AR14" s="363"/>
      <c r="AS14" s="363"/>
      <c r="AT14" s="364"/>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57"/>
      <c r="C15" s="257"/>
      <c r="D15" s="258"/>
      <c r="E15" s="357"/>
      <c r="F15" s="358"/>
      <c r="G15" s="358"/>
      <c r="H15" s="358"/>
      <c r="I15" s="372"/>
      <c r="J15" s="58" t="str">
        <f>IF(AND('Mapa final'!$AA$61="Muy Alta",'Mapa final'!$AC$61="Leve"),CONCATENATE("R10C",'Mapa final'!$Q$61),"")</f>
        <v/>
      </c>
      <c r="K15" s="59" t="str">
        <f>IF(AND('Mapa final'!$AA$62="Muy Alta",'Mapa final'!$AC$62="Leve"),CONCATENATE("R10C",'Mapa final'!$Q$62),"")</f>
        <v/>
      </c>
      <c r="L15" s="59" t="str">
        <f>IF(AND('Mapa final'!$AA$63="Muy Alta",'Mapa final'!$AC$63="Leve"),CONCATENATE("R10C",'Mapa final'!$Q$63),"")</f>
        <v/>
      </c>
      <c r="M15" s="59" t="str">
        <f>IF(AND('Mapa final'!$AA$64="Muy Alta",'Mapa final'!$AC$64="Leve"),CONCATENATE("R10C",'Mapa final'!$Q$64),"")</f>
        <v/>
      </c>
      <c r="N15" s="59" t="str">
        <f>IF(AND('Mapa final'!$AA$65="Muy Alta",'Mapa final'!$AC$65="Leve"),CONCATENATE("R10C",'Mapa final'!$Q$65),"")</f>
        <v/>
      </c>
      <c r="O15" s="60" t="str">
        <f>IF(AND('Mapa final'!$AA$66="Muy Alta",'Mapa final'!$AC$66="Leve"),CONCATENATE("R10C",'Mapa final'!$Q$66),"")</f>
        <v/>
      </c>
      <c r="P15" s="52" t="str">
        <f>IF(AND('Mapa final'!$AA$61="Muy Alta",'Mapa final'!$AC$61="Menor"),CONCATENATE("R10C",'Mapa final'!$Q$61),"")</f>
        <v/>
      </c>
      <c r="Q15" s="53" t="str">
        <f>IF(AND('Mapa final'!$AA$62="Muy Alta",'Mapa final'!$AC$62="Menor"),CONCATENATE("R10C",'Mapa final'!$Q$62),"")</f>
        <v/>
      </c>
      <c r="R15" s="53" t="str">
        <f>IF(AND('Mapa final'!$AA$63="Muy Alta",'Mapa final'!$AC$63="Menor"),CONCATENATE("R10C",'Mapa final'!$Q$63),"")</f>
        <v/>
      </c>
      <c r="S15" s="53" t="str">
        <f>IF(AND('Mapa final'!$AA$64="Muy Alta",'Mapa final'!$AC$64="Menor"),CONCATENATE("R10C",'Mapa final'!$Q$64),"")</f>
        <v/>
      </c>
      <c r="T15" s="53" t="str">
        <f>IF(AND('Mapa final'!$AA$65="Muy Alta",'Mapa final'!$AC$65="Menor"),CONCATENATE("R10C",'Mapa final'!$Q$65),"")</f>
        <v/>
      </c>
      <c r="U15" s="54" t="str">
        <f>IF(AND('Mapa final'!$AA$66="Muy Alta",'Mapa final'!$AC$66="Menor"),CONCATENATE("R10C",'Mapa final'!$Q$66),"")</f>
        <v/>
      </c>
      <c r="V15" s="58" t="str">
        <f>IF(AND('Mapa final'!$AA$61="Muy Alta",'Mapa final'!$AC$61="Moderado"),CONCATENATE("R10C",'Mapa final'!$Q$61),"")</f>
        <v/>
      </c>
      <c r="W15" s="59" t="str">
        <f>IF(AND('Mapa final'!$AA$62="Muy Alta",'Mapa final'!$AC$62="Moderado"),CONCATENATE("R10C",'Mapa final'!$Q$62),"")</f>
        <v/>
      </c>
      <c r="X15" s="59" t="str">
        <f>IF(AND('Mapa final'!$AA$63="Muy Alta",'Mapa final'!$AC$63="Moderado"),CONCATENATE("R10C",'Mapa final'!$Q$63),"")</f>
        <v/>
      </c>
      <c r="Y15" s="59" t="str">
        <f>IF(AND('Mapa final'!$AA$64="Muy Alta",'Mapa final'!$AC$64="Moderado"),CONCATENATE("R10C",'Mapa final'!$Q$64),"")</f>
        <v/>
      </c>
      <c r="Z15" s="59" t="str">
        <f>IF(AND('Mapa final'!$AA$65="Muy Alta",'Mapa final'!$AC$65="Moderado"),CONCATENATE("R10C",'Mapa final'!$Q$65),"")</f>
        <v/>
      </c>
      <c r="AA15" s="60" t="str">
        <f>IF(AND('Mapa final'!$AA$66="Muy Alta",'Mapa final'!$AC$66="Moderado"),CONCATENATE("R10C",'Mapa final'!$Q$66),"")</f>
        <v/>
      </c>
      <c r="AB15" s="52" t="str">
        <f>IF(AND('Mapa final'!$AA$61="Muy Alta",'Mapa final'!$AC$61="Mayor"),CONCATENATE("R10C",'Mapa final'!$Q$61),"")</f>
        <v/>
      </c>
      <c r="AC15" s="53" t="str">
        <f>IF(AND('Mapa final'!$AA$62="Muy Alta",'Mapa final'!$AC$62="Mayor"),CONCATENATE("R10C",'Mapa final'!$Q$62),"")</f>
        <v/>
      </c>
      <c r="AD15" s="53" t="str">
        <f>IF(AND('Mapa final'!$AA$63="Muy Alta",'Mapa final'!$AC$63="Mayor"),CONCATENATE("R10C",'Mapa final'!$Q$63),"")</f>
        <v/>
      </c>
      <c r="AE15" s="53" t="str">
        <f>IF(AND('Mapa final'!$AA$64="Muy Alta",'Mapa final'!$AC$64="Mayor"),CONCATENATE("R10C",'Mapa final'!$Q$64),"")</f>
        <v/>
      </c>
      <c r="AF15" s="53" t="str">
        <f>IF(AND('Mapa final'!$AA$65="Muy Alta",'Mapa final'!$AC$65="Mayor"),CONCATENATE("R10C",'Mapa final'!$Q$65),"")</f>
        <v/>
      </c>
      <c r="AG15" s="54" t="str">
        <f>IF(AND('Mapa final'!$AA$66="Muy Alta",'Mapa final'!$AC$66="Mayor"),CONCATENATE("R10C",'Mapa final'!$Q$66),"")</f>
        <v/>
      </c>
      <c r="AH15" s="61" t="str">
        <f>IF(AND('Mapa final'!$AA$61="Muy Alta",'Mapa final'!$AC$61="Catastrófico"),CONCATENATE("R10C",'Mapa final'!$Q$61),"")</f>
        <v/>
      </c>
      <c r="AI15" s="62" t="str">
        <f>IF(AND('Mapa final'!$AA$62="Muy Alta",'Mapa final'!$AC$62="Catastrófico"),CONCATENATE("R10C",'Mapa final'!$Q$62),"")</f>
        <v/>
      </c>
      <c r="AJ15" s="62" t="str">
        <f>IF(AND('Mapa final'!$AA$63="Muy Alta",'Mapa final'!$AC$63="Catastrófico"),CONCATENATE("R10C",'Mapa final'!$Q$63),"")</f>
        <v/>
      </c>
      <c r="AK15" s="62" t="str">
        <f>IF(AND('Mapa final'!$AA$64="Muy Alta",'Mapa final'!$AC$64="Catastrófico"),CONCATENATE("R10C",'Mapa final'!$Q$64),"")</f>
        <v/>
      </c>
      <c r="AL15" s="62" t="str">
        <f>IF(AND('Mapa final'!$AA$65="Muy Alta",'Mapa final'!$AC$65="Catastrófico"),CONCATENATE("R10C",'Mapa final'!$Q$65),"")</f>
        <v/>
      </c>
      <c r="AM15" s="63" t="str">
        <f>IF(AND('Mapa final'!$AA$66="Muy Alta",'Mapa final'!$AC$66="Catastrófico"),CONCATENATE("R10C",'Mapa final'!$Q$66),"")</f>
        <v/>
      </c>
      <c r="AN15" s="83"/>
      <c r="AO15" s="365"/>
      <c r="AP15" s="366"/>
      <c r="AQ15" s="366"/>
      <c r="AR15" s="366"/>
      <c r="AS15" s="366"/>
      <c r="AT15" s="367"/>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57"/>
      <c r="C16" s="257"/>
      <c r="D16" s="258"/>
      <c r="E16" s="352" t="s">
        <v>115</v>
      </c>
      <c r="F16" s="353"/>
      <c r="G16" s="353"/>
      <c r="H16" s="353"/>
      <c r="I16" s="353"/>
      <c r="J16" s="64" t="str">
        <f ca="1">IF(AND('Mapa final'!$AA$10="Alta",'Mapa final'!$AC$10="Leve"),CONCATENATE("R1C",'Mapa final'!$Q$10),"")</f>
        <v/>
      </c>
      <c r="K16" s="65" t="str">
        <f ca="1">IF(AND('Mapa final'!$AA$11="Alta",'Mapa final'!$AC$11="Leve"),CONCATENATE("R1C",'Mapa final'!$Q$11),"")</f>
        <v/>
      </c>
      <c r="L16" s="65" t="str">
        <f ca="1">IF(AND('Mapa final'!$AA$12="Alta",'Mapa final'!$AC$12="Leve"),CONCATENATE("R1C",'Mapa final'!$Q$12),"")</f>
        <v/>
      </c>
      <c r="M16" s="65" t="e">
        <f>IF(AND('Mapa final'!#REF!="Alta",'Mapa final'!#REF!="Leve"),CONCATENATE("R1C",'Mapa final'!#REF!),"")</f>
        <v>#REF!</v>
      </c>
      <c r="N16" s="65" t="e">
        <f>IF(AND('Mapa final'!#REF!="Alta",'Mapa final'!#REF!="Leve"),CONCATENATE("R1C",'Mapa final'!#REF!),"")</f>
        <v>#REF!</v>
      </c>
      <c r="O16" s="66" t="e">
        <f>IF(AND('Mapa final'!#REF!="Alta",'Mapa final'!#REF!="Leve"),CONCATENATE("R1C",'Mapa final'!#REF!),"")</f>
        <v>#REF!</v>
      </c>
      <c r="P16" s="64" t="str">
        <f ca="1">IF(AND('Mapa final'!$AA$10="Alta",'Mapa final'!$AC$10="Menor"),CONCATENATE("R1C",'Mapa final'!$Q$10),"")</f>
        <v/>
      </c>
      <c r="Q16" s="65" t="str">
        <f ca="1">IF(AND('Mapa final'!$AA$11="Alta",'Mapa final'!$AC$11="Menor"),CONCATENATE("R1C",'Mapa final'!$Q$11),"")</f>
        <v/>
      </c>
      <c r="R16" s="65" t="str">
        <f ca="1">IF(AND('Mapa final'!$AA$12="Alta",'Mapa final'!$AC$12="Menor"),CONCATENATE("R1C",'Mapa final'!$Q$12),"")</f>
        <v/>
      </c>
      <c r="S16" s="65" t="e">
        <f>IF(AND('Mapa final'!#REF!="Alta",'Mapa final'!#REF!="Menor"),CONCATENATE("R1C",'Mapa final'!#REF!),"")</f>
        <v>#REF!</v>
      </c>
      <c r="T16" s="65" t="e">
        <f>IF(AND('Mapa final'!#REF!="Alta",'Mapa final'!#REF!="Menor"),CONCATENATE("R1C",'Mapa final'!#REF!),"")</f>
        <v>#REF!</v>
      </c>
      <c r="U16" s="66" t="e">
        <f>IF(AND('Mapa final'!#REF!="Alta",'Mapa final'!#REF!="Menor"),CONCATENATE("R1C",'Mapa final'!#REF!),"")</f>
        <v>#REF!</v>
      </c>
      <c r="V16" s="46" t="str">
        <f ca="1">IF(AND('Mapa final'!$AA$10="Alta",'Mapa final'!$AC$10="Moderado"),CONCATENATE("R1C",'Mapa final'!$Q$10),"")</f>
        <v/>
      </c>
      <c r="W16" s="47" t="str">
        <f ca="1">IF(AND('Mapa final'!$AA$11="Alta",'Mapa final'!$AC$11="Moderado"),CONCATENATE("R1C",'Mapa final'!$Q$11),"")</f>
        <v/>
      </c>
      <c r="X16" s="47" t="str">
        <f ca="1">IF(AND('Mapa final'!$AA$12="Alta",'Mapa final'!$AC$12="Moderado"),CONCATENATE("R1C",'Mapa final'!$Q$12),"")</f>
        <v/>
      </c>
      <c r="Y16" s="47" t="e">
        <f>IF(AND('Mapa final'!#REF!="Alta",'Mapa final'!#REF!="Moderado"),CONCATENATE("R1C",'Mapa final'!#REF!),"")</f>
        <v>#REF!</v>
      </c>
      <c r="Z16" s="47" t="e">
        <f>IF(AND('Mapa final'!#REF!="Alta",'Mapa final'!#REF!="Moderado"),CONCATENATE("R1C",'Mapa final'!#REF!),"")</f>
        <v>#REF!</v>
      </c>
      <c r="AA16" s="48" t="e">
        <f>IF(AND('Mapa final'!#REF!="Alta",'Mapa final'!#REF!="Moderado"),CONCATENATE("R1C",'Mapa final'!#REF!),"")</f>
        <v>#REF!</v>
      </c>
      <c r="AB16" s="46" t="str">
        <f ca="1">IF(AND('Mapa final'!$AA$10="Alta",'Mapa final'!$AC$10="Mayor"),CONCATENATE("R1C",'Mapa final'!$Q$10),"")</f>
        <v/>
      </c>
      <c r="AC16" s="47" t="str">
        <f ca="1">IF(AND('Mapa final'!$AA$11="Alta",'Mapa final'!$AC$11="Mayor"),CONCATENATE("R1C",'Mapa final'!$Q$11),"")</f>
        <v/>
      </c>
      <c r="AD16" s="47" t="str">
        <f ca="1">IF(AND('Mapa final'!$AA$12="Alta",'Mapa final'!$AC$12="Mayor"),CONCATENATE("R1C",'Mapa final'!$Q$12),"")</f>
        <v/>
      </c>
      <c r="AE16" s="47" t="e">
        <f>IF(AND('Mapa final'!#REF!="Alta",'Mapa final'!#REF!="Mayor"),CONCATENATE("R1C",'Mapa final'!#REF!),"")</f>
        <v>#REF!</v>
      </c>
      <c r="AF16" s="47" t="e">
        <f>IF(AND('Mapa final'!#REF!="Alta",'Mapa final'!#REF!="Mayor"),CONCATENATE("R1C",'Mapa final'!#REF!),"")</f>
        <v>#REF!</v>
      </c>
      <c r="AG16" s="48" t="e">
        <f>IF(AND('Mapa final'!#REF!="Alta",'Mapa final'!#REF!="Mayor"),CONCATENATE("R1C",'Mapa final'!#REF!),"")</f>
        <v>#REF!</v>
      </c>
      <c r="AH16" s="49" t="str">
        <f ca="1">IF(AND('Mapa final'!$AA$10="Alta",'Mapa final'!$AC$10="Catastrófico"),CONCATENATE("R1C",'Mapa final'!$Q$10),"")</f>
        <v/>
      </c>
      <c r="AI16" s="50" t="str">
        <f ca="1">IF(AND('Mapa final'!$AA$11="Alta",'Mapa final'!$AC$11="Catastrófico"),CONCATENATE("R1C",'Mapa final'!$Q$11),"")</f>
        <v/>
      </c>
      <c r="AJ16" s="50" t="str">
        <f ca="1">IF(AND('Mapa final'!$AA$12="Alta",'Mapa final'!$AC$12="Catastrófico"),CONCATENATE("R1C",'Mapa final'!$Q$12),"")</f>
        <v/>
      </c>
      <c r="AK16" s="50" t="e">
        <f>IF(AND('Mapa final'!#REF!="Alta",'Mapa final'!#REF!="Catastrófico"),CONCATENATE("R1C",'Mapa final'!#REF!),"")</f>
        <v>#REF!</v>
      </c>
      <c r="AL16" s="50" t="e">
        <f>IF(AND('Mapa final'!#REF!="Alta",'Mapa final'!#REF!="Catastrófico"),CONCATENATE("R1C",'Mapa final'!#REF!),"")</f>
        <v>#REF!</v>
      </c>
      <c r="AM16" s="51" t="e">
        <f>IF(AND('Mapa final'!#REF!="Alta",'Mapa final'!#REF!="Catastrófico"),CONCATENATE("R1C",'Mapa final'!#REF!),"")</f>
        <v>#REF!</v>
      </c>
      <c r="AN16" s="83"/>
      <c r="AO16" s="343" t="s">
        <v>80</v>
      </c>
      <c r="AP16" s="344"/>
      <c r="AQ16" s="344"/>
      <c r="AR16" s="344"/>
      <c r="AS16" s="344"/>
      <c r="AT16" s="345"/>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57"/>
      <c r="C17" s="257"/>
      <c r="D17" s="258"/>
      <c r="E17" s="354"/>
      <c r="F17" s="355"/>
      <c r="G17" s="355"/>
      <c r="H17" s="355"/>
      <c r="I17" s="355"/>
      <c r="J17" s="67" t="str">
        <f>IF(AND([1]Hoja1!$X$2="Alta",[1]Hoja1!$Z$2="Leve"),CONCATENATE("R2C",[1]Hoja1!$N$2),"")</f>
        <v/>
      </c>
      <c r="K17" s="68" t="str">
        <f>IF(AND([1]Hoja1!$X$3="Alta",[1]Hoja1!$Z$3="Leve"),CONCATENATE("R2C",[1]Hoja1!$N$3),"")</f>
        <v/>
      </c>
      <c r="L17" s="68" t="str">
        <f>IF(AND([1]Hoja1!$X$4="Alta",[1]Hoja1!$Z$4="Leve"),CONCATENATE("R2C",[1]Hoja1!$N$4),"")</f>
        <v/>
      </c>
      <c r="M17" s="68" t="str">
        <f>IF(AND([1]Hoja1!$X$5="Alta",[1]Hoja1!$Z$5="Leve"),CONCATENATE("R2C",[1]Hoja1!$N$5),"")</f>
        <v/>
      </c>
      <c r="N17" s="68" t="str">
        <f>IF(AND([1]Hoja1!$X$6="Alta",[1]Hoja1!$Z$6="Leve"),CONCATENATE("R2C",[1]Hoja1!$N$6),"")</f>
        <v/>
      </c>
      <c r="O17" s="69" t="str">
        <f>IF(AND([1]Hoja1!$X$7="Alta",[1]Hoja1!$Z$7="Leve"),CONCATENATE("R2C",[1]Hoja1!$N$7),"")</f>
        <v/>
      </c>
      <c r="P17" s="67" t="str">
        <f>IF(AND([1]Hoja1!$X$2="Alta",[1]Hoja1!$Z$2="Menor"),CONCATENATE("R2C",[1]Hoja1!$N$2),"")</f>
        <v/>
      </c>
      <c r="Q17" s="68" t="str">
        <f>IF(AND([1]Hoja1!$X$3="Alta",[1]Hoja1!$Z$3="Menor"),CONCATENATE("R2C",[1]Hoja1!$N$3),"")</f>
        <v/>
      </c>
      <c r="R17" s="68" t="str">
        <f>IF(AND([1]Hoja1!$X$4="Alta",[1]Hoja1!$Z$4="Menor"),CONCATENATE("R2C",[1]Hoja1!$N$4),"")</f>
        <v/>
      </c>
      <c r="S17" s="68" t="str">
        <f>IF(AND([1]Hoja1!$X$5="Alta",[1]Hoja1!$Z$5="Menor"),CONCATENATE("R2C",[1]Hoja1!$N$5),"")</f>
        <v/>
      </c>
      <c r="T17" s="68" t="str">
        <f>IF(AND([1]Hoja1!$X$6="Alta",[1]Hoja1!$Z$6="Menor"),CONCATENATE("R2C",[1]Hoja1!$N$6),"")</f>
        <v/>
      </c>
      <c r="U17" s="69" t="str">
        <f>IF(AND([1]Hoja1!$X$7="Alta",[1]Hoja1!$Z$7="Menor"),CONCATENATE("R2C",[1]Hoja1!$N$7),"")</f>
        <v/>
      </c>
      <c r="V17" s="52" t="str">
        <f>IF(AND([1]Hoja1!$X$2="Alta",[1]Hoja1!$Z$2="Moderado"),CONCATENATE("R2C",[1]Hoja1!$N$2),"")</f>
        <v/>
      </c>
      <c r="W17" s="53" t="str">
        <f>IF(AND([1]Hoja1!$X$3="Alta",[1]Hoja1!$Z$3="Moderado"),CONCATENATE("R2C",[1]Hoja1!$N$3),"")</f>
        <v/>
      </c>
      <c r="X17" s="53" t="str">
        <f>IF(AND([1]Hoja1!$X$4="Alta",[1]Hoja1!$Z$4="Moderado"),CONCATENATE("R2C",[1]Hoja1!$N$4),"")</f>
        <v/>
      </c>
      <c r="Y17" s="53" t="str">
        <f>IF(AND([1]Hoja1!$X$5="Alta",[1]Hoja1!$Z$5="Moderado"),CONCATENATE("R2C",[1]Hoja1!$N$5),"")</f>
        <v/>
      </c>
      <c r="Z17" s="53" t="str">
        <f>IF(AND([1]Hoja1!$X$6="Alta",[1]Hoja1!$Z$6="Moderado"),CONCATENATE("R2C",[1]Hoja1!$N$6),"")</f>
        <v/>
      </c>
      <c r="AA17" s="54" t="str">
        <f>IF(AND([1]Hoja1!$X$7="Alta",[1]Hoja1!$Z$7="Moderado"),CONCATENATE("R2C",[1]Hoja1!$N$7),"")</f>
        <v/>
      </c>
      <c r="AB17" s="52" t="str">
        <f>IF(AND([1]Hoja1!$X$2="Alta",[1]Hoja1!$Z$2="Mayor"),CONCATENATE("R2C",[1]Hoja1!$N$2),"")</f>
        <v/>
      </c>
      <c r="AC17" s="53" t="str">
        <f>IF(AND([1]Hoja1!$X$3="Alta",[1]Hoja1!$Z$3="Mayor"),CONCATENATE("R2C",[1]Hoja1!$N$3),"")</f>
        <v/>
      </c>
      <c r="AD17" s="53" t="str">
        <f>IF(AND([1]Hoja1!$X$4="Alta",[1]Hoja1!$Z$4="Mayor"),CONCATENATE("R2C",[1]Hoja1!$N$4),"")</f>
        <v/>
      </c>
      <c r="AE17" s="53" t="str">
        <f>IF(AND([1]Hoja1!$X$5="Alta",[1]Hoja1!$Z$5="Mayor"),CONCATENATE("R2C",[1]Hoja1!$N$5),"")</f>
        <v/>
      </c>
      <c r="AF17" s="53" t="str">
        <f>IF(AND([1]Hoja1!$X$6="Alta",[1]Hoja1!$Z$6="Mayor"),CONCATENATE("R2C",[1]Hoja1!$N$6),"")</f>
        <v/>
      </c>
      <c r="AG17" s="54" t="str">
        <f>IF(AND([1]Hoja1!$X$7="Alta",[1]Hoja1!$Z$7="Mayor"),CONCATENATE("R2C",[1]Hoja1!$N$7),"")</f>
        <v/>
      </c>
      <c r="AH17" s="55" t="str">
        <f>IF(AND([1]Hoja1!$X$2="Alta",[1]Hoja1!$Z$2="Catastrófico"),CONCATENATE("R2C",[1]Hoja1!$N$2),"")</f>
        <v/>
      </c>
      <c r="AI17" s="56" t="str">
        <f>IF(AND([1]Hoja1!$X$3="Alta",[1]Hoja1!$Z$3="Catastrófico"),CONCATENATE("R2C",[1]Hoja1!$N$3),"")</f>
        <v/>
      </c>
      <c r="AJ17" s="56" t="str">
        <f>IF(AND([1]Hoja1!$X$4="Alta",[1]Hoja1!$Z$4="Catastrófico"),CONCATENATE("R2C",[1]Hoja1!$N$4),"")</f>
        <v/>
      </c>
      <c r="AK17" s="56" t="str">
        <f>IF(AND([1]Hoja1!$X$5="Alta",[1]Hoja1!$Z$5="Catastrófico"),CONCATENATE("R2C",[1]Hoja1!$N$5),"")</f>
        <v/>
      </c>
      <c r="AL17" s="56" t="str">
        <f>IF(AND([1]Hoja1!$X$6="Alta",[1]Hoja1!$Z$6="Catastrófico"),CONCATENATE("R2C",[1]Hoja1!$N$6),"")</f>
        <v/>
      </c>
      <c r="AM17" s="57" t="str">
        <f>IF(AND([1]Hoja1!$X$7="Alta",[1]Hoja1!$Z$7="Catastrófico"),CONCATENATE("R2C",[1]Hoja1!$N$7),"")</f>
        <v/>
      </c>
      <c r="AN17" s="83"/>
      <c r="AO17" s="346"/>
      <c r="AP17" s="347"/>
      <c r="AQ17" s="347"/>
      <c r="AR17" s="347"/>
      <c r="AS17" s="347"/>
      <c r="AT17" s="348"/>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57"/>
      <c r="C18" s="257"/>
      <c r="D18" s="258"/>
      <c r="E18" s="356"/>
      <c r="F18" s="355"/>
      <c r="G18" s="355"/>
      <c r="H18" s="355"/>
      <c r="I18" s="355"/>
      <c r="J18" s="67" t="str">
        <f>IF(AND('Mapa final'!$AA$19="Alta",'Mapa final'!$AC$19="Leve"),CONCATENATE("R3C",'Mapa final'!$Q$19),"")</f>
        <v/>
      </c>
      <c r="K18" s="68" t="str">
        <f>IF(AND('Mapa final'!$AA$20="Alta",'Mapa final'!$AC$20="Leve"),CONCATENATE("R3C",'Mapa final'!$Q$20),"")</f>
        <v/>
      </c>
      <c r="L18" s="68" t="str">
        <f>IF(AND('Mapa final'!$AA$21="Alta",'Mapa final'!$AC$21="Leve"),CONCATENATE("R3C",'Mapa final'!$Q$21),"")</f>
        <v/>
      </c>
      <c r="M18" s="68" t="str">
        <f>IF(AND('Mapa final'!$AA$22="Alta",'Mapa final'!$AC$22="Leve"),CONCATENATE("R3C",'Mapa final'!$Q$22),"")</f>
        <v/>
      </c>
      <c r="N18" s="68" t="str">
        <f>IF(AND('Mapa final'!$AA$23="Alta",'Mapa final'!$AC$23="Leve"),CONCATENATE("R3C",'Mapa final'!$Q$23),"")</f>
        <v/>
      </c>
      <c r="O18" s="69" t="str">
        <f>IF(AND('Mapa final'!$AA$24="Alta",'Mapa final'!$AC$24="Leve"),CONCATENATE("R3C",'Mapa final'!$Q$24),"")</f>
        <v/>
      </c>
      <c r="P18" s="67" t="str">
        <f>IF(AND('Mapa final'!$AA$19="Alta",'Mapa final'!$AC$19="Menor"),CONCATENATE("R3C",'Mapa final'!$Q$19),"")</f>
        <v/>
      </c>
      <c r="Q18" s="68" t="str">
        <f>IF(AND('Mapa final'!$AA$20="Alta",'Mapa final'!$AC$20="Menor"),CONCATENATE("R3C",'Mapa final'!$Q$20),"")</f>
        <v/>
      </c>
      <c r="R18" s="68" t="str">
        <f>IF(AND('Mapa final'!$AA$21="Alta",'Mapa final'!$AC$21="Menor"),CONCATENATE("R3C",'Mapa final'!$Q$21),"")</f>
        <v/>
      </c>
      <c r="S18" s="68" t="str">
        <f>IF(AND('Mapa final'!$AA$22="Alta",'Mapa final'!$AC$22="Menor"),CONCATENATE("R3C",'Mapa final'!$Q$22),"")</f>
        <v/>
      </c>
      <c r="T18" s="68" t="str">
        <f>IF(AND('Mapa final'!$AA$23="Alta",'Mapa final'!$AC$23="Menor"),CONCATENATE("R3C",'Mapa final'!$Q$23),"")</f>
        <v/>
      </c>
      <c r="U18" s="69" t="str">
        <f>IF(AND('Mapa final'!$AA$24="Alta",'Mapa final'!$AC$24="Menor"),CONCATENATE("R3C",'Mapa final'!$Q$24),"")</f>
        <v/>
      </c>
      <c r="V18" s="52" t="str">
        <f>IF(AND('Mapa final'!$AA$19="Alta",'Mapa final'!$AC$19="Moderado"),CONCATENATE("R3C",'Mapa final'!$Q$19),"")</f>
        <v/>
      </c>
      <c r="W18" s="53" t="str">
        <f>IF(AND('Mapa final'!$AA$20="Alta",'Mapa final'!$AC$20="Moderado"),CONCATENATE("R3C",'Mapa final'!$Q$20),"")</f>
        <v/>
      </c>
      <c r="X18" s="53" t="str">
        <f>IF(AND('Mapa final'!$AA$21="Alta",'Mapa final'!$AC$21="Moderado"),CONCATENATE("R3C",'Mapa final'!$Q$21),"")</f>
        <v/>
      </c>
      <c r="Y18" s="53" t="str">
        <f>IF(AND('Mapa final'!$AA$22="Alta",'Mapa final'!$AC$22="Moderado"),CONCATENATE("R3C",'Mapa final'!$Q$22),"")</f>
        <v/>
      </c>
      <c r="Z18" s="53" t="str">
        <f>IF(AND('Mapa final'!$AA$23="Alta",'Mapa final'!$AC$23="Moderado"),CONCATENATE("R3C",'Mapa final'!$Q$23),"")</f>
        <v/>
      </c>
      <c r="AA18" s="54" t="str">
        <f>IF(AND('Mapa final'!$AA$24="Alta",'Mapa final'!$AC$24="Moderado"),CONCATENATE("R3C",'Mapa final'!$Q$24),"")</f>
        <v/>
      </c>
      <c r="AB18" s="52" t="str">
        <f>IF(AND('Mapa final'!$AA$19="Alta",'Mapa final'!$AC$19="Mayor"),CONCATENATE("R3C",'Mapa final'!$Q$19),"")</f>
        <v/>
      </c>
      <c r="AC18" s="53" t="str">
        <f>IF(AND('Mapa final'!$AA$20="Alta",'Mapa final'!$AC$20="Mayor"),CONCATENATE("R3C",'Mapa final'!$Q$20),"")</f>
        <v/>
      </c>
      <c r="AD18" s="53" t="str">
        <f>IF(AND('Mapa final'!$AA$21="Alta",'Mapa final'!$AC$21="Mayor"),CONCATENATE("R3C",'Mapa final'!$Q$21),"")</f>
        <v/>
      </c>
      <c r="AE18" s="53" t="str">
        <f>IF(AND('Mapa final'!$AA$22="Alta",'Mapa final'!$AC$22="Mayor"),CONCATENATE("R3C",'Mapa final'!$Q$22),"")</f>
        <v/>
      </c>
      <c r="AF18" s="53" t="str">
        <f>IF(AND('Mapa final'!$AA$23="Alta",'Mapa final'!$AC$23="Mayor"),CONCATENATE("R3C",'Mapa final'!$Q$23),"")</f>
        <v/>
      </c>
      <c r="AG18" s="54" t="str">
        <f>IF(AND('Mapa final'!$AA$24="Alta",'Mapa final'!$AC$24="Mayor"),CONCATENATE("R3C",'Mapa final'!$Q$24),"")</f>
        <v/>
      </c>
      <c r="AH18" s="55" t="str">
        <f>IF(AND('Mapa final'!$AA$19="Alta",'Mapa final'!$AC$19="Catastrófico"),CONCATENATE("R3C",'Mapa final'!$Q$19),"")</f>
        <v/>
      </c>
      <c r="AI18" s="56" t="str">
        <f>IF(AND('Mapa final'!$AA$20="Alta",'Mapa final'!$AC$20="Catastrófico"),CONCATENATE("R3C",'Mapa final'!$Q$20),"")</f>
        <v/>
      </c>
      <c r="AJ18" s="56" t="str">
        <f>IF(AND('Mapa final'!$AA$21="Alta",'Mapa final'!$AC$21="Catastrófico"),CONCATENATE("R3C",'Mapa final'!$Q$21),"")</f>
        <v/>
      </c>
      <c r="AK18" s="56" t="str">
        <f>IF(AND('Mapa final'!$AA$22="Alta",'Mapa final'!$AC$22="Catastrófico"),CONCATENATE("R3C",'Mapa final'!$Q$22),"")</f>
        <v/>
      </c>
      <c r="AL18" s="56" t="str">
        <f>IF(AND('Mapa final'!$AA$23="Alta",'Mapa final'!$AC$23="Catastrófico"),CONCATENATE("R3C",'Mapa final'!$Q$23),"")</f>
        <v/>
      </c>
      <c r="AM18" s="57" t="str">
        <f>IF(AND('Mapa final'!$AA$24="Alta",'Mapa final'!$AC$24="Catastrófico"),CONCATENATE("R3C",'Mapa final'!$Q$24),"")</f>
        <v/>
      </c>
      <c r="AN18" s="83"/>
      <c r="AO18" s="346"/>
      <c r="AP18" s="347"/>
      <c r="AQ18" s="347"/>
      <c r="AR18" s="347"/>
      <c r="AS18" s="347"/>
      <c r="AT18" s="348"/>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57"/>
      <c r="C19" s="257"/>
      <c r="D19" s="258"/>
      <c r="E19" s="356"/>
      <c r="F19" s="355"/>
      <c r="G19" s="355"/>
      <c r="H19" s="355"/>
      <c r="I19" s="355"/>
      <c r="J19" s="67" t="str">
        <f>IF(AND('Mapa final'!$AA$25="Alta",'Mapa final'!$AC$25="Leve"),CONCATENATE("R4C",'Mapa final'!$Q$25),"")</f>
        <v/>
      </c>
      <c r="K19" s="68" t="str">
        <f>IF(AND('Mapa final'!$AA$26="Alta",'Mapa final'!$AC$26="Leve"),CONCATENATE("R4C",'Mapa final'!$Q$26),"")</f>
        <v/>
      </c>
      <c r="L19" s="68" t="str">
        <f>IF(AND('Mapa final'!$AA$27="Alta",'Mapa final'!$AC$27="Leve"),CONCATENATE("R4C",'Mapa final'!$Q$27),"")</f>
        <v/>
      </c>
      <c r="M19" s="68" t="str">
        <f>IF(AND('Mapa final'!$AA$28="Alta",'Mapa final'!$AC$28="Leve"),CONCATENATE("R4C",'Mapa final'!$Q$28),"")</f>
        <v/>
      </c>
      <c r="N19" s="68" t="str">
        <f>IF(AND('Mapa final'!$AA$29="Alta",'Mapa final'!$AC$29="Leve"),CONCATENATE("R4C",'Mapa final'!$Q$29),"")</f>
        <v/>
      </c>
      <c r="O19" s="69" t="str">
        <f>IF(AND('Mapa final'!$AA$30="Alta",'Mapa final'!$AC$30="Leve"),CONCATENATE("R4C",'Mapa final'!$Q$30),"")</f>
        <v/>
      </c>
      <c r="P19" s="67" t="str">
        <f>IF(AND('Mapa final'!$AA$25="Alta",'Mapa final'!$AC$25="Menor"),CONCATENATE("R4C",'Mapa final'!$Q$25),"")</f>
        <v/>
      </c>
      <c r="Q19" s="68" t="str">
        <f>IF(AND('Mapa final'!$AA$26="Alta",'Mapa final'!$AC$26="Menor"),CONCATENATE("R4C",'Mapa final'!$Q$26),"")</f>
        <v/>
      </c>
      <c r="R19" s="68" t="str">
        <f>IF(AND('Mapa final'!$AA$27="Alta",'Mapa final'!$AC$27="Menor"),CONCATENATE("R4C",'Mapa final'!$Q$27),"")</f>
        <v/>
      </c>
      <c r="S19" s="68" t="str">
        <f>IF(AND('Mapa final'!$AA$28="Alta",'Mapa final'!$AC$28="Menor"),CONCATENATE("R4C",'Mapa final'!$Q$28),"")</f>
        <v/>
      </c>
      <c r="T19" s="68" t="str">
        <f>IF(AND('Mapa final'!$AA$29="Alta",'Mapa final'!$AC$29="Menor"),CONCATENATE("R4C",'Mapa final'!$Q$29),"")</f>
        <v/>
      </c>
      <c r="U19" s="69" t="str">
        <f>IF(AND('Mapa final'!$AA$30="Alta",'Mapa final'!$AC$30="Menor"),CONCATENATE("R4C",'Mapa final'!$Q$30),"")</f>
        <v/>
      </c>
      <c r="V19" s="52" t="str">
        <f>IF(AND('Mapa final'!$AA$25="Alta",'Mapa final'!$AC$25="Moderado"),CONCATENATE("R4C",'Mapa final'!$Q$25),"")</f>
        <v/>
      </c>
      <c r="W19" s="53" t="str">
        <f>IF(AND('Mapa final'!$AA$26="Alta",'Mapa final'!$AC$26="Moderado"),CONCATENATE("R4C",'Mapa final'!$Q$26),"")</f>
        <v/>
      </c>
      <c r="X19" s="53" t="str">
        <f>IF(AND('Mapa final'!$AA$27="Alta",'Mapa final'!$AC$27="Moderado"),CONCATENATE("R4C",'Mapa final'!$Q$27),"")</f>
        <v/>
      </c>
      <c r="Y19" s="53" t="str">
        <f>IF(AND('Mapa final'!$AA$28="Alta",'Mapa final'!$AC$28="Moderado"),CONCATENATE("R4C",'Mapa final'!$Q$28),"")</f>
        <v/>
      </c>
      <c r="Z19" s="53" t="str">
        <f>IF(AND('Mapa final'!$AA$29="Alta",'Mapa final'!$AC$29="Moderado"),CONCATENATE("R4C",'Mapa final'!$Q$29),"")</f>
        <v/>
      </c>
      <c r="AA19" s="54" t="str">
        <f>IF(AND('Mapa final'!$AA$30="Alta",'Mapa final'!$AC$30="Moderado"),CONCATENATE("R4C",'Mapa final'!$Q$30),"")</f>
        <v/>
      </c>
      <c r="AB19" s="52" t="str">
        <f>IF(AND('Mapa final'!$AA$25="Alta",'Mapa final'!$AC$25="Mayor"),CONCATENATE("R4C",'Mapa final'!$Q$25),"")</f>
        <v/>
      </c>
      <c r="AC19" s="53" t="str">
        <f>IF(AND('Mapa final'!$AA$26="Alta",'Mapa final'!$AC$26="Mayor"),CONCATENATE("R4C",'Mapa final'!$Q$26),"")</f>
        <v/>
      </c>
      <c r="AD19" s="53" t="str">
        <f>IF(AND('Mapa final'!$AA$27="Alta",'Mapa final'!$AC$27="Mayor"),CONCATENATE("R4C",'Mapa final'!$Q$27),"")</f>
        <v/>
      </c>
      <c r="AE19" s="53" t="str">
        <f>IF(AND('Mapa final'!$AA$28="Alta",'Mapa final'!$AC$28="Mayor"),CONCATENATE("R4C",'Mapa final'!$Q$28),"")</f>
        <v/>
      </c>
      <c r="AF19" s="53" t="str">
        <f>IF(AND('Mapa final'!$AA$29="Alta",'Mapa final'!$AC$29="Mayor"),CONCATENATE("R4C",'Mapa final'!$Q$29),"")</f>
        <v/>
      </c>
      <c r="AG19" s="54" t="str">
        <f>IF(AND('Mapa final'!$AA$30="Alta",'Mapa final'!$AC$30="Mayor"),CONCATENATE("R4C",'Mapa final'!$Q$30),"")</f>
        <v/>
      </c>
      <c r="AH19" s="55" t="str">
        <f>IF(AND('Mapa final'!$AA$25="Alta",'Mapa final'!$AC$25="Catastrófico"),CONCATENATE("R4C",'Mapa final'!$Q$25),"")</f>
        <v/>
      </c>
      <c r="AI19" s="56" t="str">
        <f>IF(AND('Mapa final'!$AA$26="Alta",'Mapa final'!$AC$26="Catastrófico"),CONCATENATE("R4C",'Mapa final'!$Q$26),"")</f>
        <v/>
      </c>
      <c r="AJ19" s="56" t="str">
        <f>IF(AND('Mapa final'!$AA$27="Alta",'Mapa final'!$AC$27="Catastrófico"),CONCATENATE("R4C",'Mapa final'!$Q$27),"")</f>
        <v/>
      </c>
      <c r="AK19" s="56" t="str">
        <f>IF(AND('Mapa final'!$AA$28="Alta",'Mapa final'!$AC$28="Catastrófico"),CONCATENATE("R4C",'Mapa final'!$Q$28),"")</f>
        <v/>
      </c>
      <c r="AL19" s="56" t="str">
        <f>IF(AND('Mapa final'!$AA$29="Alta",'Mapa final'!$AC$29="Catastrófico"),CONCATENATE("R4C",'Mapa final'!$Q$29),"")</f>
        <v/>
      </c>
      <c r="AM19" s="57" t="str">
        <f>IF(AND('Mapa final'!$AA$30="Alta",'Mapa final'!$AC$30="Catastrófico"),CONCATENATE("R4C",'Mapa final'!$Q$30),"")</f>
        <v/>
      </c>
      <c r="AN19" s="83"/>
      <c r="AO19" s="346"/>
      <c r="AP19" s="347"/>
      <c r="AQ19" s="347"/>
      <c r="AR19" s="347"/>
      <c r="AS19" s="347"/>
      <c r="AT19" s="348"/>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57"/>
      <c r="C20" s="257"/>
      <c r="D20" s="258"/>
      <c r="E20" s="356"/>
      <c r="F20" s="355"/>
      <c r="G20" s="355"/>
      <c r="H20" s="355"/>
      <c r="I20" s="355"/>
      <c r="J20" s="67" t="str">
        <f>IF(AND('Mapa final'!$AA$31="Alta",'Mapa final'!$AC$31="Leve"),CONCATENATE("R5C",'Mapa final'!$Q$31),"")</f>
        <v/>
      </c>
      <c r="K20" s="68" t="str">
        <f>IF(AND('Mapa final'!$AA$32="Alta",'Mapa final'!$AC$32="Leve"),CONCATENATE("R5C",'Mapa final'!$Q$32),"")</f>
        <v/>
      </c>
      <c r="L20" s="68" t="str">
        <f>IF(AND('Mapa final'!$AA$33="Alta",'Mapa final'!$AC$33="Leve"),CONCATENATE("R5C",'Mapa final'!$Q$33),"")</f>
        <v/>
      </c>
      <c r="M20" s="68" t="str">
        <f>IF(AND('Mapa final'!$AA$34="Alta",'Mapa final'!$AC$34="Leve"),CONCATENATE("R5C",'Mapa final'!$Q$34),"")</f>
        <v/>
      </c>
      <c r="N20" s="68" t="str">
        <f>IF(AND('Mapa final'!$AA$35="Alta",'Mapa final'!$AC$35="Leve"),CONCATENATE("R5C",'Mapa final'!$Q$35),"")</f>
        <v/>
      </c>
      <c r="O20" s="69" t="str">
        <f>IF(AND('Mapa final'!$AA$36="Alta",'Mapa final'!$AC$36="Leve"),CONCATENATE("R5C",'Mapa final'!$Q$36),"")</f>
        <v/>
      </c>
      <c r="P20" s="67" t="str">
        <f>IF(AND('Mapa final'!$AA$31="Alta",'Mapa final'!$AC$31="Menor"),CONCATENATE("R5C",'Mapa final'!$Q$31),"")</f>
        <v/>
      </c>
      <c r="Q20" s="68" t="str">
        <f>IF(AND('Mapa final'!$AA$32="Alta",'Mapa final'!$AC$32="Menor"),CONCATENATE("R5C",'Mapa final'!$Q$32),"")</f>
        <v/>
      </c>
      <c r="R20" s="68" t="str">
        <f>IF(AND('Mapa final'!$AA$33="Alta",'Mapa final'!$AC$33="Menor"),CONCATENATE("R5C",'Mapa final'!$Q$33),"")</f>
        <v/>
      </c>
      <c r="S20" s="68" t="str">
        <f>IF(AND('Mapa final'!$AA$34="Alta",'Mapa final'!$AC$34="Menor"),CONCATENATE("R5C",'Mapa final'!$Q$34),"")</f>
        <v/>
      </c>
      <c r="T20" s="68" t="str">
        <f>IF(AND('Mapa final'!$AA$35="Alta",'Mapa final'!$AC$35="Menor"),CONCATENATE("R5C",'Mapa final'!$Q$35),"")</f>
        <v/>
      </c>
      <c r="U20" s="69" t="str">
        <f>IF(AND('Mapa final'!$AA$36="Alta",'Mapa final'!$AC$36="Menor"),CONCATENATE("R5C",'Mapa final'!$Q$36),"")</f>
        <v/>
      </c>
      <c r="V20" s="52" t="str">
        <f>IF(AND('Mapa final'!$AA$31="Alta",'Mapa final'!$AC$31="Moderado"),CONCATENATE("R5C",'Mapa final'!$Q$31),"")</f>
        <v/>
      </c>
      <c r="W20" s="53" t="str">
        <f>IF(AND('Mapa final'!$AA$32="Alta",'Mapa final'!$AC$32="Moderado"),CONCATENATE("R5C",'Mapa final'!$Q$32),"")</f>
        <v/>
      </c>
      <c r="X20" s="53" t="str">
        <f>IF(AND('Mapa final'!$AA$33="Alta",'Mapa final'!$AC$33="Moderado"),CONCATENATE("R5C",'Mapa final'!$Q$33),"")</f>
        <v/>
      </c>
      <c r="Y20" s="53" t="str">
        <f>IF(AND('Mapa final'!$AA$34="Alta",'Mapa final'!$AC$34="Moderado"),CONCATENATE("R5C",'Mapa final'!$Q$34),"")</f>
        <v/>
      </c>
      <c r="Z20" s="53" t="str">
        <f>IF(AND('Mapa final'!$AA$35="Alta",'Mapa final'!$AC$35="Moderado"),CONCATENATE("R5C",'Mapa final'!$Q$35),"")</f>
        <v/>
      </c>
      <c r="AA20" s="54" t="str">
        <f>IF(AND('Mapa final'!$AA$36="Alta",'Mapa final'!$AC$36="Moderado"),CONCATENATE("R5C",'Mapa final'!$Q$36),"")</f>
        <v/>
      </c>
      <c r="AB20" s="52" t="str">
        <f>IF(AND('Mapa final'!$AA$31="Alta",'Mapa final'!$AC$31="Mayor"),CONCATENATE("R5C",'Mapa final'!$Q$31),"")</f>
        <v/>
      </c>
      <c r="AC20" s="53" t="str">
        <f>IF(AND('Mapa final'!$AA$32="Alta",'Mapa final'!$AC$32="Mayor"),CONCATENATE("R5C",'Mapa final'!$Q$32),"")</f>
        <v/>
      </c>
      <c r="AD20" s="53" t="str">
        <f>IF(AND('Mapa final'!$AA$33="Alta",'Mapa final'!$AC$33="Mayor"),CONCATENATE("R5C",'Mapa final'!$Q$33),"")</f>
        <v/>
      </c>
      <c r="AE20" s="53" t="str">
        <f>IF(AND('Mapa final'!$AA$34="Alta",'Mapa final'!$AC$34="Mayor"),CONCATENATE("R5C",'Mapa final'!$Q$34),"")</f>
        <v/>
      </c>
      <c r="AF20" s="53" t="str">
        <f>IF(AND('Mapa final'!$AA$35="Alta",'Mapa final'!$AC$35="Mayor"),CONCATENATE("R5C",'Mapa final'!$Q$35),"")</f>
        <v/>
      </c>
      <c r="AG20" s="54" t="str">
        <f>IF(AND('Mapa final'!$AA$36="Alta",'Mapa final'!$AC$36="Mayor"),CONCATENATE("R5C",'Mapa final'!$Q$36),"")</f>
        <v/>
      </c>
      <c r="AH20" s="55" t="str">
        <f>IF(AND('Mapa final'!$AA$31="Alta",'Mapa final'!$AC$31="Catastrófico"),CONCATENATE("R5C",'Mapa final'!$Q$31),"")</f>
        <v/>
      </c>
      <c r="AI20" s="56" t="str">
        <f>IF(AND('Mapa final'!$AA$32="Alta",'Mapa final'!$AC$32="Catastrófico"),CONCATENATE("R5C",'Mapa final'!$Q$32),"")</f>
        <v/>
      </c>
      <c r="AJ20" s="56" t="str">
        <f>IF(AND('Mapa final'!$AA$33="Alta",'Mapa final'!$AC$33="Catastrófico"),CONCATENATE("R5C",'Mapa final'!$Q$33),"")</f>
        <v/>
      </c>
      <c r="AK20" s="56" t="str">
        <f>IF(AND('Mapa final'!$AA$34="Alta",'Mapa final'!$AC$34="Catastrófico"),CONCATENATE("R5C",'Mapa final'!$Q$34),"")</f>
        <v/>
      </c>
      <c r="AL20" s="56" t="str">
        <f>IF(AND('Mapa final'!$AA$35="Alta",'Mapa final'!$AC$35="Catastrófico"),CONCATENATE("R5C",'Mapa final'!$Q$35),"")</f>
        <v/>
      </c>
      <c r="AM20" s="57" t="str">
        <f>IF(AND('Mapa final'!$AA$36="Alta",'Mapa final'!$AC$36="Catastrófico"),CONCATENATE("R5C",'Mapa final'!$Q$36),"")</f>
        <v/>
      </c>
      <c r="AN20" s="83"/>
      <c r="AO20" s="346"/>
      <c r="AP20" s="347"/>
      <c r="AQ20" s="347"/>
      <c r="AR20" s="347"/>
      <c r="AS20" s="347"/>
      <c r="AT20" s="348"/>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57"/>
      <c r="C21" s="257"/>
      <c r="D21" s="258"/>
      <c r="E21" s="356"/>
      <c r="F21" s="355"/>
      <c r="G21" s="355"/>
      <c r="H21" s="355"/>
      <c r="I21" s="355"/>
      <c r="J21" s="67" t="str">
        <f>IF(AND('Mapa final'!$AA$37="Alta",'Mapa final'!$AC$37="Leve"),CONCATENATE("R6C",'Mapa final'!$Q$37),"")</f>
        <v/>
      </c>
      <c r="K21" s="68" t="str">
        <f>IF(AND('Mapa final'!$AA$38="Alta",'Mapa final'!$AC$38="Leve"),CONCATENATE("R6C",'Mapa final'!$Q$38),"")</f>
        <v/>
      </c>
      <c r="L21" s="68" t="str">
        <f>IF(AND('Mapa final'!$AA$39="Alta",'Mapa final'!$AC$39="Leve"),CONCATENATE("R6C",'Mapa final'!$Q$39),"")</f>
        <v/>
      </c>
      <c r="M21" s="68" t="str">
        <f>IF(AND('Mapa final'!$AA$40="Alta",'Mapa final'!$AC$40="Leve"),CONCATENATE("R6C",'Mapa final'!$Q$40),"")</f>
        <v/>
      </c>
      <c r="N21" s="68" t="str">
        <f>IF(AND('Mapa final'!$AA$41="Alta",'Mapa final'!$AC$41="Leve"),CONCATENATE("R6C",'Mapa final'!$Q$41),"")</f>
        <v/>
      </c>
      <c r="O21" s="69" t="str">
        <f>IF(AND('Mapa final'!$AA$42="Alta",'Mapa final'!$AC$42="Leve"),CONCATENATE("R6C",'Mapa final'!$Q$42),"")</f>
        <v/>
      </c>
      <c r="P21" s="67" t="str">
        <f>IF(AND('Mapa final'!$AA$37="Alta",'Mapa final'!$AC$37="Menor"),CONCATENATE("R6C",'Mapa final'!$Q$37),"")</f>
        <v/>
      </c>
      <c r="Q21" s="68" t="str">
        <f>IF(AND('Mapa final'!$AA$38="Alta",'Mapa final'!$AC$38="Menor"),CONCATENATE("R6C",'Mapa final'!$Q$38),"")</f>
        <v/>
      </c>
      <c r="R21" s="68" t="str">
        <f>IF(AND('Mapa final'!$AA$39="Alta",'Mapa final'!$AC$39="Menor"),CONCATENATE("R6C",'Mapa final'!$Q$39),"")</f>
        <v/>
      </c>
      <c r="S21" s="68" t="str">
        <f>IF(AND('Mapa final'!$AA$40="Alta",'Mapa final'!$AC$40="Menor"),CONCATENATE("R6C",'Mapa final'!$Q$40),"")</f>
        <v/>
      </c>
      <c r="T21" s="68" t="str">
        <f>IF(AND('Mapa final'!$AA$41="Alta",'Mapa final'!$AC$41="Menor"),CONCATENATE("R6C",'Mapa final'!$Q$41),"")</f>
        <v/>
      </c>
      <c r="U21" s="69" t="str">
        <f>IF(AND('Mapa final'!$AA$42="Alta",'Mapa final'!$AC$42="Menor"),CONCATENATE("R6C",'Mapa final'!$Q$42),"")</f>
        <v/>
      </c>
      <c r="V21" s="52" t="str">
        <f>IF(AND('Mapa final'!$AA$37="Alta",'Mapa final'!$AC$37="Moderado"),CONCATENATE("R6C",'Mapa final'!$Q$37),"")</f>
        <v/>
      </c>
      <c r="W21" s="53" t="str">
        <f>IF(AND('Mapa final'!$AA$38="Alta",'Mapa final'!$AC$38="Moderado"),CONCATENATE("R6C",'Mapa final'!$Q$38),"")</f>
        <v/>
      </c>
      <c r="X21" s="53" t="str">
        <f>IF(AND('Mapa final'!$AA$39="Alta",'Mapa final'!$AC$39="Moderado"),CONCATENATE("R6C",'Mapa final'!$Q$39),"")</f>
        <v/>
      </c>
      <c r="Y21" s="53" t="str">
        <f>IF(AND('Mapa final'!$AA$40="Alta",'Mapa final'!$AC$40="Moderado"),CONCATENATE("R6C",'Mapa final'!$Q$40),"")</f>
        <v/>
      </c>
      <c r="Z21" s="53" t="str">
        <f>IF(AND('Mapa final'!$AA$41="Alta",'Mapa final'!$AC$41="Moderado"),CONCATENATE("R6C",'Mapa final'!$Q$41),"")</f>
        <v/>
      </c>
      <c r="AA21" s="54" t="str">
        <f>IF(AND('Mapa final'!$AA$42="Alta",'Mapa final'!$AC$42="Moderado"),CONCATENATE("R6C",'Mapa final'!$Q$42),"")</f>
        <v/>
      </c>
      <c r="AB21" s="52" t="str">
        <f>IF(AND('Mapa final'!$AA$37="Alta",'Mapa final'!$AC$37="Mayor"),CONCATENATE("R6C",'Mapa final'!$Q$37),"")</f>
        <v/>
      </c>
      <c r="AC21" s="53" t="str">
        <f>IF(AND('Mapa final'!$AA$38="Alta",'Mapa final'!$AC$38="Mayor"),CONCATENATE("R6C",'Mapa final'!$Q$38),"")</f>
        <v/>
      </c>
      <c r="AD21" s="53" t="str">
        <f>IF(AND('Mapa final'!$AA$39="Alta",'Mapa final'!$AC$39="Mayor"),CONCATENATE("R6C",'Mapa final'!$Q$39),"")</f>
        <v/>
      </c>
      <c r="AE21" s="53" t="str">
        <f>IF(AND('Mapa final'!$AA$40="Alta",'Mapa final'!$AC$40="Mayor"),CONCATENATE("R6C",'Mapa final'!$Q$40),"")</f>
        <v/>
      </c>
      <c r="AF21" s="53" t="str">
        <f>IF(AND('Mapa final'!$AA$41="Alta",'Mapa final'!$AC$41="Mayor"),CONCATENATE("R6C",'Mapa final'!$Q$41),"")</f>
        <v/>
      </c>
      <c r="AG21" s="54" t="str">
        <f>IF(AND('Mapa final'!$AA$42="Alta",'Mapa final'!$AC$42="Mayor"),CONCATENATE("R6C",'Mapa final'!$Q$42),"")</f>
        <v/>
      </c>
      <c r="AH21" s="55" t="str">
        <f>IF(AND('Mapa final'!$AA$37="Alta",'Mapa final'!$AC$37="Catastrófico"),CONCATENATE("R6C",'Mapa final'!$Q$37),"")</f>
        <v/>
      </c>
      <c r="AI21" s="56" t="str">
        <f>IF(AND('Mapa final'!$AA$38="Alta",'Mapa final'!$AC$38="Catastrófico"),CONCATENATE("R6C",'Mapa final'!$Q$38),"")</f>
        <v/>
      </c>
      <c r="AJ21" s="56" t="str">
        <f>IF(AND('Mapa final'!$AA$39="Alta",'Mapa final'!$AC$39="Catastrófico"),CONCATENATE("R6C",'Mapa final'!$Q$39),"")</f>
        <v/>
      </c>
      <c r="AK21" s="56" t="str">
        <f>IF(AND('Mapa final'!$AA$40="Alta",'Mapa final'!$AC$40="Catastrófico"),CONCATENATE("R6C",'Mapa final'!$Q$40),"")</f>
        <v/>
      </c>
      <c r="AL21" s="56" t="str">
        <f>IF(AND('Mapa final'!$AA$41="Alta",'Mapa final'!$AC$41="Catastrófico"),CONCATENATE("R6C",'Mapa final'!$Q$41),"")</f>
        <v/>
      </c>
      <c r="AM21" s="57" t="str">
        <f>IF(AND('Mapa final'!$AA$42="Alta",'Mapa final'!$AC$42="Catastrófico"),CONCATENATE("R6C",'Mapa final'!$Q$42),"")</f>
        <v/>
      </c>
      <c r="AN21" s="83"/>
      <c r="AO21" s="346"/>
      <c r="AP21" s="347"/>
      <c r="AQ21" s="347"/>
      <c r="AR21" s="347"/>
      <c r="AS21" s="347"/>
      <c r="AT21" s="348"/>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57"/>
      <c r="C22" s="257"/>
      <c r="D22" s="258"/>
      <c r="E22" s="356"/>
      <c r="F22" s="355"/>
      <c r="G22" s="355"/>
      <c r="H22" s="355"/>
      <c r="I22" s="355"/>
      <c r="J22" s="67" t="str">
        <f>IF(AND('Mapa final'!$AA$43="Alta",'Mapa final'!$AC$43="Leve"),CONCATENATE("R7C",'Mapa final'!$Q$43),"")</f>
        <v/>
      </c>
      <c r="K22" s="68" t="str">
        <f>IF(AND('Mapa final'!$AA$44="Alta",'Mapa final'!$AC$44="Leve"),CONCATENATE("R7C",'Mapa final'!$Q$44),"")</f>
        <v/>
      </c>
      <c r="L22" s="68" t="str">
        <f>IF(AND('Mapa final'!$AA$45="Alta",'Mapa final'!$AC$45="Leve"),CONCATENATE("R7C",'Mapa final'!$Q$45),"")</f>
        <v/>
      </c>
      <c r="M22" s="68" t="str">
        <f>IF(AND('Mapa final'!$AA$46="Alta",'Mapa final'!$AC$46="Leve"),CONCATENATE("R7C",'Mapa final'!$Q$46),"")</f>
        <v/>
      </c>
      <c r="N22" s="68" t="str">
        <f>IF(AND('Mapa final'!$AA$47="Alta",'Mapa final'!$AC$47="Leve"),CONCATENATE("R7C",'Mapa final'!$Q$47),"")</f>
        <v/>
      </c>
      <c r="O22" s="69" t="str">
        <f>IF(AND('Mapa final'!$AA$48="Alta",'Mapa final'!$AC$48="Leve"),CONCATENATE("R7C",'Mapa final'!$Q$48),"")</f>
        <v/>
      </c>
      <c r="P22" s="67" t="str">
        <f>IF(AND('Mapa final'!$AA$43="Alta",'Mapa final'!$AC$43="Menor"),CONCATENATE("R7C",'Mapa final'!$Q$43),"")</f>
        <v/>
      </c>
      <c r="Q22" s="68" t="str">
        <f>IF(AND('Mapa final'!$AA$44="Alta",'Mapa final'!$AC$44="Menor"),CONCATENATE("R7C",'Mapa final'!$Q$44),"")</f>
        <v/>
      </c>
      <c r="R22" s="68" t="str">
        <f>IF(AND('Mapa final'!$AA$45="Alta",'Mapa final'!$AC$45="Menor"),CONCATENATE("R7C",'Mapa final'!$Q$45),"")</f>
        <v/>
      </c>
      <c r="S22" s="68" t="str">
        <f>IF(AND('Mapa final'!$AA$46="Alta",'Mapa final'!$AC$46="Menor"),CONCATENATE("R7C",'Mapa final'!$Q$46),"")</f>
        <v/>
      </c>
      <c r="T22" s="68" t="str">
        <f>IF(AND('Mapa final'!$AA$47="Alta",'Mapa final'!$AC$47="Menor"),CONCATENATE("R7C",'Mapa final'!$Q$47),"")</f>
        <v/>
      </c>
      <c r="U22" s="69" t="str">
        <f>IF(AND('Mapa final'!$AA$48="Alta",'Mapa final'!$AC$48="Menor"),CONCATENATE("R7C",'Mapa final'!$Q$48),"")</f>
        <v/>
      </c>
      <c r="V22" s="52" t="str">
        <f>IF(AND('Mapa final'!$AA$43="Alta",'Mapa final'!$AC$43="Moderado"),CONCATENATE("R7C",'Mapa final'!$Q$43),"")</f>
        <v/>
      </c>
      <c r="W22" s="53" t="str">
        <f>IF(AND('Mapa final'!$AA$44="Alta",'Mapa final'!$AC$44="Moderado"),CONCATENATE("R7C",'Mapa final'!$Q$44),"")</f>
        <v/>
      </c>
      <c r="X22" s="53" t="str">
        <f>IF(AND('Mapa final'!$AA$45="Alta",'Mapa final'!$AC$45="Moderado"),CONCATENATE("R7C",'Mapa final'!$Q$45),"")</f>
        <v/>
      </c>
      <c r="Y22" s="53" t="str">
        <f>IF(AND('Mapa final'!$AA$46="Alta",'Mapa final'!$AC$46="Moderado"),CONCATENATE("R7C",'Mapa final'!$Q$46),"")</f>
        <v/>
      </c>
      <c r="Z22" s="53" t="str">
        <f>IF(AND('Mapa final'!$AA$47="Alta",'Mapa final'!$AC$47="Moderado"),CONCATENATE("R7C",'Mapa final'!$Q$47),"")</f>
        <v/>
      </c>
      <c r="AA22" s="54" t="str">
        <f>IF(AND('Mapa final'!$AA$48="Alta",'Mapa final'!$AC$48="Moderado"),CONCATENATE("R7C",'Mapa final'!$Q$48),"")</f>
        <v/>
      </c>
      <c r="AB22" s="52" t="str">
        <f>IF(AND('Mapa final'!$AA$43="Alta",'Mapa final'!$AC$43="Mayor"),CONCATENATE("R7C",'Mapa final'!$Q$43),"")</f>
        <v/>
      </c>
      <c r="AC22" s="53" t="str">
        <f>IF(AND('Mapa final'!$AA$44="Alta",'Mapa final'!$AC$44="Mayor"),CONCATENATE("R7C",'Mapa final'!$Q$44),"")</f>
        <v/>
      </c>
      <c r="AD22" s="53" t="str">
        <f>IF(AND('Mapa final'!$AA$45="Alta",'Mapa final'!$AC$45="Mayor"),CONCATENATE("R7C",'Mapa final'!$Q$45),"")</f>
        <v/>
      </c>
      <c r="AE22" s="53" t="str">
        <f>IF(AND('Mapa final'!$AA$46="Alta",'Mapa final'!$AC$46="Mayor"),CONCATENATE("R7C",'Mapa final'!$Q$46),"")</f>
        <v/>
      </c>
      <c r="AF22" s="53" t="str">
        <f>IF(AND('Mapa final'!$AA$47="Alta",'Mapa final'!$AC$47="Mayor"),CONCATENATE("R7C",'Mapa final'!$Q$47),"")</f>
        <v/>
      </c>
      <c r="AG22" s="54" t="str">
        <f>IF(AND('Mapa final'!$AA$48="Alta",'Mapa final'!$AC$48="Mayor"),CONCATENATE("R7C",'Mapa final'!$Q$48),"")</f>
        <v/>
      </c>
      <c r="AH22" s="55" t="str">
        <f>IF(AND('Mapa final'!$AA$43="Alta",'Mapa final'!$AC$43="Catastrófico"),CONCATENATE("R7C",'Mapa final'!$Q$43),"")</f>
        <v/>
      </c>
      <c r="AI22" s="56" t="str">
        <f>IF(AND('Mapa final'!$AA$44="Alta",'Mapa final'!$AC$44="Catastrófico"),CONCATENATE("R7C",'Mapa final'!$Q$44),"")</f>
        <v/>
      </c>
      <c r="AJ22" s="56" t="str">
        <f>IF(AND('Mapa final'!$AA$45="Alta",'Mapa final'!$AC$45="Catastrófico"),CONCATENATE("R7C",'Mapa final'!$Q$45),"")</f>
        <v/>
      </c>
      <c r="AK22" s="56" t="str">
        <f>IF(AND('Mapa final'!$AA$46="Alta",'Mapa final'!$AC$46="Catastrófico"),CONCATENATE("R7C",'Mapa final'!$Q$46),"")</f>
        <v/>
      </c>
      <c r="AL22" s="56" t="str">
        <f>IF(AND('Mapa final'!$AA$47="Alta",'Mapa final'!$AC$47="Catastrófico"),CONCATENATE("R7C",'Mapa final'!$Q$47),"")</f>
        <v/>
      </c>
      <c r="AM22" s="57" t="str">
        <f>IF(AND('Mapa final'!$AA$48="Alta",'Mapa final'!$AC$48="Catastrófico"),CONCATENATE("R7C",'Mapa final'!$Q$48),"")</f>
        <v/>
      </c>
      <c r="AN22" s="83"/>
      <c r="AO22" s="346"/>
      <c r="AP22" s="347"/>
      <c r="AQ22" s="347"/>
      <c r="AR22" s="347"/>
      <c r="AS22" s="347"/>
      <c r="AT22" s="34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57"/>
      <c r="C23" s="257"/>
      <c r="D23" s="258"/>
      <c r="E23" s="356"/>
      <c r="F23" s="355"/>
      <c r="G23" s="355"/>
      <c r="H23" s="355"/>
      <c r="I23" s="355"/>
      <c r="J23" s="67" t="str">
        <f>IF(AND('Mapa final'!$AA$49="Alta",'Mapa final'!$AC$49="Leve"),CONCATENATE("R8C",'Mapa final'!$Q$49),"")</f>
        <v/>
      </c>
      <c r="K23" s="68" t="str">
        <f>IF(AND('Mapa final'!$AA$50="Alta",'Mapa final'!$AC$50="Leve"),CONCATENATE("R8C",'Mapa final'!$Q$50),"")</f>
        <v/>
      </c>
      <c r="L23" s="68" t="str">
        <f>IF(AND('Mapa final'!$AA$51="Alta",'Mapa final'!$AC$51="Leve"),CONCATENATE("R8C",'Mapa final'!$Q$51),"")</f>
        <v/>
      </c>
      <c r="M23" s="68" t="str">
        <f>IF(AND('Mapa final'!$AA$52="Alta",'Mapa final'!$AC$52="Leve"),CONCATENATE("R8C",'Mapa final'!$Q$52),"")</f>
        <v/>
      </c>
      <c r="N23" s="68" t="str">
        <f>IF(AND('Mapa final'!$AA$53="Alta",'Mapa final'!$AC$53="Leve"),CONCATENATE("R8C",'Mapa final'!$Q$53),"")</f>
        <v/>
      </c>
      <c r="O23" s="69" t="str">
        <f>IF(AND('Mapa final'!$AA$54="Alta",'Mapa final'!$AC$54="Leve"),CONCATENATE("R8C",'Mapa final'!$Q$54),"")</f>
        <v/>
      </c>
      <c r="P23" s="67" t="str">
        <f>IF(AND('Mapa final'!$AA$49="Alta",'Mapa final'!$AC$49="Menor"),CONCATENATE("R8C",'Mapa final'!$Q$49),"")</f>
        <v/>
      </c>
      <c r="Q23" s="68" t="str">
        <f>IF(AND('Mapa final'!$AA$50="Alta",'Mapa final'!$AC$50="Menor"),CONCATENATE("R8C",'Mapa final'!$Q$50),"")</f>
        <v/>
      </c>
      <c r="R23" s="68" t="str">
        <f>IF(AND('Mapa final'!$AA$51="Alta",'Mapa final'!$AC$51="Menor"),CONCATENATE("R8C",'Mapa final'!$Q$51),"")</f>
        <v/>
      </c>
      <c r="S23" s="68" t="str">
        <f>IF(AND('Mapa final'!$AA$52="Alta",'Mapa final'!$AC$52="Menor"),CONCATENATE("R8C",'Mapa final'!$Q$52),"")</f>
        <v/>
      </c>
      <c r="T23" s="68" t="str">
        <f>IF(AND('Mapa final'!$AA$53="Alta",'Mapa final'!$AC$53="Menor"),CONCATENATE("R8C",'Mapa final'!$Q$53),"")</f>
        <v/>
      </c>
      <c r="U23" s="69" t="str">
        <f>IF(AND('Mapa final'!$AA$54="Alta",'Mapa final'!$AC$54="Menor"),CONCATENATE("R8C",'Mapa final'!$Q$54),"")</f>
        <v/>
      </c>
      <c r="V23" s="52" t="str">
        <f>IF(AND('Mapa final'!$AA$49="Alta",'Mapa final'!$AC$49="Moderado"),CONCATENATE("R8C",'Mapa final'!$Q$49),"")</f>
        <v/>
      </c>
      <c r="W23" s="53" t="str">
        <f>IF(AND('Mapa final'!$AA$50="Alta",'Mapa final'!$AC$50="Moderado"),CONCATENATE("R8C",'Mapa final'!$Q$50),"")</f>
        <v/>
      </c>
      <c r="X23" s="53" t="str">
        <f>IF(AND('Mapa final'!$AA$51="Alta",'Mapa final'!$AC$51="Moderado"),CONCATENATE("R8C",'Mapa final'!$Q$51),"")</f>
        <v/>
      </c>
      <c r="Y23" s="53" t="str">
        <f>IF(AND('Mapa final'!$AA$52="Alta",'Mapa final'!$AC$52="Moderado"),CONCATENATE("R8C",'Mapa final'!$Q$52),"")</f>
        <v/>
      </c>
      <c r="Z23" s="53" t="str">
        <f>IF(AND('Mapa final'!$AA$53="Alta",'Mapa final'!$AC$53="Moderado"),CONCATENATE("R8C",'Mapa final'!$Q$53),"")</f>
        <v/>
      </c>
      <c r="AA23" s="54" t="str">
        <f>IF(AND('Mapa final'!$AA$54="Alta",'Mapa final'!$AC$54="Moderado"),CONCATENATE("R8C",'Mapa final'!$Q$54),"")</f>
        <v/>
      </c>
      <c r="AB23" s="52" t="str">
        <f>IF(AND('Mapa final'!$AA$49="Alta",'Mapa final'!$AC$49="Mayor"),CONCATENATE("R8C",'Mapa final'!$Q$49),"")</f>
        <v/>
      </c>
      <c r="AC23" s="53" t="str">
        <f>IF(AND('Mapa final'!$AA$50="Alta",'Mapa final'!$AC$50="Mayor"),CONCATENATE("R8C",'Mapa final'!$Q$50),"")</f>
        <v/>
      </c>
      <c r="AD23" s="53" t="str">
        <f>IF(AND('Mapa final'!$AA$51="Alta",'Mapa final'!$AC$51="Mayor"),CONCATENATE("R8C",'Mapa final'!$Q$51),"")</f>
        <v/>
      </c>
      <c r="AE23" s="53" t="str">
        <f>IF(AND('Mapa final'!$AA$52="Alta",'Mapa final'!$AC$52="Mayor"),CONCATENATE("R8C",'Mapa final'!$Q$52),"")</f>
        <v/>
      </c>
      <c r="AF23" s="53" t="str">
        <f>IF(AND('Mapa final'!$AA$53="Alta",'Mapa final'!$AC$53="Mayor"),CONCATENATE("R8C",'Mapa final'!$Q$53),"")</f>
        <v/>
      </c>
      <c r="AG23" s="54" t="str">
        <f>IF(AND('Mapa final'!$AA$54="Alta",'Mapa final'!$AC$54="Mayor"),CONCATENATE("R8C",'Mapa final'!$Q$54),"")</f>
        <v/>
      </c>
      <c r="AH23" s="55" t="str">
        <f>IF(AND('Mapa final'!$AA$49="Alta",'Mapa final'!$AC$49="Catastrófico"),CONCATENATE("R8C",'Mapa final'!$Q$49),"")</f>
        <v/>
      </c>
      <c r="AI23" s="56" t="str">
        <f>IF(AND('Mapa final'!$AA$50="Alta",'Mapa final'!$AC$50="Catastrófico"),CONCATENATE("R8C",'Mapa final'!$Q$50),"")</f>
        <v/>
      </c>
      <c r="AJ23" s="56" t="str">
        <f>IF(AND('Mapa final'!$AA$51="Alta",'Mapa final'!$AC$51="Catastrófico"),CONCATENATE("R8C",'Mapa final'!$Q$51),"")</f>
        <v/>
      </c>
      <c r="AK23" s="56" t="str">
        <f>IF(AND('Mapa final'!$AA$52="Alta",'Mapa final'!$AC$52="Catastrófico"),CONCATENATE("R8C",'Mapa final'!$Q$52),"")</f>
        <v/>
      </c>
      <c r="AL23" s="56" t="str">
        <f>IF(AND('Mapa final'!$AA$53="Alta",'Mapa final'!$AC$53="Catastrófico"),CONCATENATE("R8C",'Mapa final'!$Q$53),"")</f>
        <v/>
      </c>
      <c r="AM23" s="57" t="str">
        <f>IF(AND('Mapa final'!$AA$54="Alta",'Mapa final'!$AC$54="Catastrófico"),CONCATENATE("R8C",'Mapa final'!$Q$54),"")</f>
        <v/>
      </c>
      <c r="AN23" s="83"/>
      <c r="AO23" s="346"/>
      <c r="AP23" s="347"/>
      <c r="AQ23" s="347"/>
      <c r="AR23" s="347"/>
      <c r="AS23" s="347"/>
      <c r="AT23" s="348"/>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57"/>
      <c r="C24" s="257"/>
      <c r="D24" s="258"/>
      <c r="E24" s="356"/>
      <c r="F24" s="355"/>
      <c r="G24" s="355"/>
      <c r="H24" s="355"/>
      <c r="I24" s="355"/>
      <c r="J24" s="67" t="str">
        <f>IF(AND('Mapa final'!$AA$55="Alta",'Mapa final'!$AC$55="Leve"),CONCATENATE("R9C",'Mapa final'!$Q$55),"")</f>
        <v/>
      </c>
      <c r="K24" s="68" t="str">
        <f>IF(AND('Mapa final'!$AA$56="Alta",'Mapa final'!$AC$56="Leve"),CONCATENATE("R9C",'Mapa final'!$Q$56),"")</f>
        <v/>
      </c>
      <c r="L24" s="68" t="str">
        <f>IF(AND('Mapa final'!$AA$57="Alta",'Mapa final'!$AC$57="Leve"),CONCATENATE("R9C",'Mapa final'!$Q$57),"")</f>
        <v/>
      </c>
      <c r="M24" s="68" t="str">
        <f>IF(AND('Mapa final'!$AA$58="Alta",'Mapa final'!$AC$58="Leve"),CONCATENATE("R9C",'Mapa final'!$Q$58),"")</f>
        <v/>
      </c>
      <c r="N24" s="68" t="str">
        <f>IF(AND('Mapa final'!$AA$59="Alta",'Mapa final'!$AC$59="Leve"),CONCATENATE("R9C",'Mapa final'!$Q$59),"")</f>
        <v/>
      </c>
      <c r="O24" s="69" t="str">
        <f>IF(AND('Mapa final'!$AA$60="Alta",'Mapa final'!$AC$60="Leve"),CONCATENATE("R9C",'Mapa final'!$Q$60),"")</f>
        <v/>
      </c>
      <c r="P24" s="67" t="str">
        <f>IF(AND('Mapa final'!$AA$55="Alta",'Mapa final'!$AC$55="Menor"),CONCATENATE("R9C",'Mapa final'!$Q$55),"")</f>
        <v/>
      </c>
      <c r="Q24" s="68" t="str">
        <f>IF(AND('Mapa final'!$AA$56="Alta",'Mapa final'!$AC$56="Menor"),CONCATENATE("R9C",'Mapa final'!$Q$56),"")</f>
        <v/>
      </c>
      <c r="R24" s="68" t="str">
        <f>IF(AND('Mapa final'!$AA$57="Alta",'Mapa final'!$AC$57="Menor"),CONCATENATE("R9C",'Mapa final'!$Q$57),"")</f>
        <v/>
      </c>
      <c r="S24" s="68" t="str">
        <f>IF(AND('Mapa final'!$AA$58="Alta",'Mapa final'!$AC$58="Menor"),CONCATENATE("R9C",'Mapa final'!$Q$58),"")</f>
        <v/>
      </c>
      <c r="T24" s="68" t="str">
        <f>IF(AND('Mapa final'!$AA$59="Alta",'Mapa final'!$AC$59="Menor"),CONCATENATE("R9C",'Mapa final'!$Q$59),"")</f>
        <v/>
      </c>
      <c r="U24" s="69" t="str">
        <f>IF(AND('Mapa final'!$AA$60="Alta",'Mapa final'!$AC$60="Menor"),CONCATENATE("R9C",'Mapa final'!$Q$60),"")</f>
        <v/>
      </c>
      <c r="V24" s="52" t="str">
        <f>IF(AND('Mapa final'!$AA$55="Alta",'Mapa final'!$AC$55="Moderado"),CONCATENATE("R9C",'Mapa final'!$Q$55),"")</f>
        <v/>
      </c>
      <c r="W24" s="53" t="str">
        <f>IF(AND('Mapa final'!$AA$56="Alta",'Mapa final'!$AC$56="Moderado"),CONCATENATE("R9C",'Mapa final'!$Q$56),"")</f>
        <v/>
      </c>
      <c r="X24" s="53" t="str">
        <f>IF(AND('Mapa final'!$AA$57="Alta",'Mapa final'!$AC$57="Moderado"),CONCATENATE("R9C",'Mapa final'!$Q$57),"")</f>
        <v/>
      </c>
      <c r="Y24" s="53" t="str">
        <f>IF(AND('Mapa final'!$AA$58="Alta",'Mapa final'!$AC$58="Moderado"),CONCATENATE("R9C",'Mapa final'!$Q$58),"")</f>
        <v/>
      </c>
      <c r="Z24" s="53" t="str">
        <f>IF(AND('Mapa final'!$AA$59="Alta",'Mapa final'!$AC$59="Moderado"),CONCATENATE("R9C",'Mapa final'!$Q$59),"")</f>
        <v/>
      </c>
      <c r="AA24" s="54" t="str">
        <f>IF(AND('Mapa final'!$AA$60="Alta",'Mapa final'!$AC$60="Moderado"),CONCATENATE("R9C",'Mapa final'!$Q$60),"")</f>
        <v/>
      </c>
      <c r="AB24" s="52" t="str">
        <f>IF(AND('Mapa final'!$AA$55="Alta",'Mapa final'!$AC$55="Mayor"),CONCATENATE("R9C",'Mapa final'!$Q$55),"")</f>
        <v/>
      </c>
      <c r="AC24" s="53" t="str">
        <f>IF(AND('Mapa final'!$AA$56="Alta",'Mapa final'!$AC$56="Mayor"),CONCATENATE("R9C",'Mapa final'!$Q$56),"")</f>
        <v/>
      </c>
      <c r="AD24" s="53" t="str">
        <f>IF(AND('Mapa final'!$AA$57="Alta",'Mapa final'!$AC$57="Mayor"),CONCATENATE("R9C",'Mapa final'!$Q$57),"")</f>
        <v/>
      </c>
      <c r="AE24" s="53" t="str">
        <f>IF(AND('Mapa final'!$AA$58="Alta",'Mapa final'!$AC$58="Mayor"),CONCATENATE("R9C",'Mapa final'!$Q$58),"")</f>
        <v/>
      </c>
      <c r="AF24" s="53" t="str">
        <f>IF(AND('Mapa final'!$AA$59="Alta",'Mapa final'!$AC$59="Mayor"),CONCATENATE("R9C",'Mapa final'!$Q$59),"")</f>
        <v/>
      </c>
      <c r="AG24" s="54" t="str">
        <f>IF(AND('Mapa final'!$AA$60="Alta",'Mapa final'!$AC$60="Mayor"),CONCATENATE("R9C",'Mapa final'!$Q$60),"")</f>
        <v/>
      </c>
      <c r="AH24" s="55" t="str">
        <f>IF(AND('Mapa final'!$AA$55="Alta",'Mapa final'!$AC$55="Catastrófico"),CONCATENATE("R9C",'Mapa final'!$Q$55),"")</f>
        <v/>
      </c>
      <c r="AI24" s="56" t="str">
        <f>IF(AND('Mapa final'!$AA$56="Alta",'Mapa final'!$AC$56="Catastrófico"),CONCATENATE("R9C",'Mapa final'!$Q$56),"")</f>
        <v/>
      </c>
      <c r="AJ24" s="56" t="str">
        <f>IF(AND('Mapa final'!$AA$57="Alta",'Mapa final'!$AC$57="Catastrófico"),CONCATENATE("R9C",'Mapa final'!$Q$57),"")</f>
        <v/>
      </c>
      <c r="AK24" s="56" t="str">
        <f>IF(AND('Mapa final'!$AA$58="Alta",'Mapa final'!$AC$58="Catastrófico"),CONCATENATE("R9C",'Mapa final'!$Q$58),"")</f>
        <v/>
      </c>
      <c r="AL24" s="56" t="str">
        <f>IF(AND('Mapa final'!$AA$59="Alta",'Mapa final'!$AC$59="Catastrófico"),CONCATENATE("R9C",'Mapa final'!$Q$59),"")</f>
        <v/>
      </c>
      <c r="AM24" s="57" t="str">
        <f>IF(AND('Mapa final'!$AA$60="Alta",'Mapa final'!$AC$60="Catastrófico"),CONCATENATE("R9C",'Mapa final'!$Q$60),"")</f>
        <v/>
      </c>
      <c r="AN24" s="83"/>
      <c r="AO24" s="346"/>
      <c r="AP24" s="347"/>
      <c r="AQ24" s="347"/>
      <c r="AR24" s="347"/>
      <c r="AS24" s="347"/>
      <c r="AT24" s="348"/>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57"/>
      <c r="C25" s="257"/>
      <c r="D25" s="258"/>
      <c r="E25" s="357"/>
      <c r="F25" s="358"/>
      <c r="G25" s="358"/>
      <c r="H25" s="358"/>
      <c r="I25" s="358"/>
      <c r="J25" s="70" t="str">
        <f>IF(AND('Mapa final'!$AA$61="Alta",'Mapa final'!$AC$61="Leve"),CONCATENATE("R10C",'Mapa final'!$Q$61),"")</f>
        <v/>
      </c>
      <c r="K25" s="71" t="str">
        <f>IF(AND('Mapa final'!$AA$62="Alta",'Mapa final'!$AC$62="Leve"),CONCATENATE("R10C",'Mapa final'!$Q$62),"")</f>
        <v/>
      </c>
      <c r="L25" s="71" t="str">
        <f>IF(AND('Mapa final'!$AA$63="Alta",'Mapa final'!$AC$63="Leve"),CONCATENATE("R10C",'Mapa final'!$Q$63),"")</f>
        <v/>
      </c>
      <c r="M25" s="71" t="str">
        <f>IF(AND('Mapa final'!$AA$64="Alta",'Mapa final'!$AC$64="Leve"),CONCATENATE("R10C",'Mapa final'!$Q$64),"")</f>
        <v/>
      </c>
      <c r="N25" s="71" t="str">
        <f>IF(AND('Mapa final'!$AA$65="Alta",'Mapa final'!$AC$65="Leve"),CONCATENATE("R10C",'Mapa final'!$Q$65),"")</f>
        <v/>
      </c>
      <c r="O25" s="72" t="str">
        <f>IF(AND('Mapa final'!$AA$66="Alta",'Mapa final'!$AC$66="Leve"),CONCATENATE("R10C",'Mapa final'!$Q$66),"")</f>
        <v/>
      </c>
      <c r="P25" s="70" t="str">
        <f>IF(AND('Mapa final'!$AA$61="Alta",'Mapa final'!$AC$61="Menor"),CONCATENATE("R10C",'Mapa final'!$Q$61),"")</f>
        <v/>
      </c>
      <c r="Q25" s="71" t="str">
        <f>IF(AND('Mapa final'!$AA$62="Alta",'Mapa final'!$AC$62="Menor"),CONCATENATE("R10C",'Mapa final'!$Q$62),"")</f>
        <v/>
      </c>
      <c r="R25" s="71" t="str">
        <f>IF(AND('Mapa final'!$AA$63="Alta",'Mapa final'!$AC$63="Menor"),CONCATENATE("R10C",'Mapa final'!$Q$63),"")</f>
        <v/>
      </c>
      <c r="S25" s="71" t="str">
        <f>IF(AND('Mapa final'!$AA$64="Alta",'Mapa final'!$AC$64="Menor"),CONCATENATE("R10C",'Mapa final'!$Q$64),"")</f>
        <v/>
      </c>
      <c r="T25" s="71" t="str">
        <f>IF(AND('Mapa final'!$AA$65="Alta",'Mapa final'!$AC$65="Menor"),CONCATENATE("R10C",'Mapa final'!$Q$65),"")</f>
        <v/>
      </c>
      <c r="U25" s="72" t="str">
        <f>IF(AND('Mapa final'!$AA$66="Alta",'Mapa final'!$AC$66="Menor"),CONCATENATE("R10C",'Mapa final'!$Q$66),"")</f>
        <v/>
      </c>
      <c r="V25" s="58" t="str">
        <f>IF(AND('Mapa final'!$AA$61="Alta",'Mapa final'!$AC$61="Moderado"),CONCATENATE("R10C",'Mapa final'!$Q$61),"")</f>
        <v/>
      </c>
      <c r="W25" s="59" t="str">
        <f>IF(AND('Mapa final'!$AA$62="Alta",'Mapa final'!$AC$62="Moderado"),CONCATENATE("R10C",'Mapa final'!$Q$62),"")</f>
        <v/>
      </c>
      <c r="X25" s="59" t="str">
        <f>IF(AND('Mapa final'!$AA$63="Alta",'Mapa final'!$AC$63="Moderado"),CONCATENATE("R10C",'Mapa final'!$Q$63),"")</f>
        <v/>
      </c>
      <c r="Y25" s="59" t="str">
        <f>IF(AND('Mapa final'!$AA$64="Alta",'Mapa final'!$AC$64="Moderado"),CONCATENATE("R10C",'Mapa final'!$Q$64),"")</f>
        <v/>
      </c>
      <c r="Z25" s="59" t="str">
        <f>IF(AND('Mapa final'!$AA$65="Alta",'Mapa final'!$AC$65="Moderado"),CONCATENATE("R10C",'Mapa final'!$Q$65),"")</f>
        <v/>
      </c>
      <c r="AA25" s="60" t="str">
        <f>IF(AND('Mapa final'!$AA$66="Alta",'Mapa final'!$AC$66="Moderado"),CONCATENATE("R10C",'Mapa final'!$Q$66),"")</f>
        <v/>
      </c>
      <c r="AB25" s="58" t="str">
        <f>IF(AND('Mapa final'!$AA$61="Alta",'Mapa final'!$AC$61="Mayor"),CONCATENATE("R10C",'Mapa final'!$Q$61),"")</f>
        <v/>
      </c>
      <c r="AC25" s="59" t="str">
        <f>IF(AND('Mapa final'!$AA$62="Alta",'Mapa final'!$AC$62="Mayor"),CONCATENATE("R10C",'Mapa final'!$Q$62),"")</f>
        <v/>
      </c>
      <c r="AD25" s="59" t="str">
        <f>IF(AND('Mapa final'!$AA$63="Alta",'Mapa final'!$AC$63="Mayor"),CONCATENATE("R10C",'Mapa final'!$Q$63),"")</f>
        <v/>
      </c>
      <c r="AE25" s="59" t="str">
        <f>IF(AND('Mapa final'!$AA$64="Alta",'Mapa final'!$AC$64="Mayor"),CONCATENATE("R10C",'Mapa final'!$Q$64),"")</f>
        <v/>
      </c>
      <c r="AF25" s="59" t="str">
        <f>IF(AND('Mapa final'!$AA$65="Alta",'Mapa final'!$AC$65="Mayor"),CONCATENATE("R10C",'Mapa final'!$Q$65),"")</f>
        <v/>
      </c>
      <c r="AG25" s="60" t="str">
        <f>IF(AND('Mapa final'!$AA$66="Alta",'Mapa final'!$AC$66="Mayor"),CONCATENATE("R10C",'Mapa final'!$Q$66),"")</f>
        <v/>
      </c>
      <c r="AH25" s="61" t="str">
        <f>IF(AND('Mapa final'!$AA$61="Alta",'Mapa final'!$AC$61="Catastrófico"),CONCATENATE("R10C",'Mapa final'!$Q$61),"")</f>
        <v/>
      </c>
      <c r="AI25" s="62" t="str">
        <f>IF(AND('Mapa final'!$AA$62="Alta",'Mapa final'!$AC$62="Catastrófico"),CONCATENATE("R10C",'Mapa final'!$Q$62),"")</f>
        <v/>
      </c>
      <c r="AJ25" s="62" t="str">
        <f>IF(AND('Mapa final'!$AA$63="Alta",'Mapa final'!$AC$63="Catastrófico"),CONCATENATE("R10C",'Mapa final'!$Q$63),"")</f>
        <v/>
      </c>
      <c r="AK25" s="62" t="str">
        <f>IF(AND('Mapa final'!$AA$64="Alta",'Mapa final'!$AC$64="Catastrófico"),CONCATENATE("R10C",'Mapa final'!$Q$64),"")</f>
        <v/>
      </c>
      <c r="AL25" s="62" t="str">
        <f>IF(AND('Mapa final'!$AA$65="Alta",'Mapa final'!$AC$65="Catastrófico"),CONCATENATE("R10C",'Mapa final'!$Q$65),"")</f>
        <v/>
      </c>
      <c r="AM25" s="63" t="str">
        <f>IF(AND('Mapa final'!$AA$66="Alta",'Mapa final'!$AC$66="Catastrófico"),CONCATENATE("R10C",'Mapa final'!$Q$66),"")</f>
        <v/>
      </c>
      <c r="AN25" s="83"/>
      <c r="AO25" s="349"/>
      <c r="AP25" s="350"/>
      <c r="AQ25" s="350"/>
      <c r="AR25" s="350"/>
      <c r="AS25" s="350"/>
      <c r="AT25" s="35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57"/>
      <c r="C26" s="257"/>
      <c r="D26" s="258"/>
      <c r="E26" s="352" t="s">
        <v>117</v>
      </c>
      <c r="F26" s="353"/>
      <c r="G26" s="353"/>
      <c r="H26" s="353"/>
      <c r="I26" s="370"/>
      <c r="J26" s="64" t="str">
        <f ca="1">IF(AND('Mapa final'!$AA$10="Media",'Mapa final'!$AC$10="Leve"),CONCATENATE("R1C",'Mapa final'!$Q$10),"")</f>
        <v/>
      </c>
      <c r="K26" s="65" t="str">
        <f ca="1">IF(AND('Mapa final'!$AA$11="Media",'Mapa final'!$AC$11="Leve"),CONCATENATE("R1C",'Mapa final'!$Q$11),"")</f>
        <v/>
      </c>
      <c r="L26" s="65" t="str">
        <f ca="1">IF(AND('Mapa final'!$AA$12="Media",'Mapa final'!$AC$12="Leve"),CONCATENATE("R1C",'Mapa final'!$Q$12),"")</f>
        <v/>
      </c>
      <c r="M26" s="65" t="e">
        <f>IF(AND('Mapa final'!#REF!="Media",'Mapa final'!#REF!="Leve"),CONCATENATE("R1C",'Mapa final'!#REF!),"")</f>
        <v>#REF!</v>
      </c>
      <c r="N26" s="65" t="e">
        <f>IF(AND('Mapa final'!#REF!="Media",'Mapa final'!#REF!="Leve"),CONCATENATE("R1C",'Mapa final'!#REF!),"")</f>
        <v>#REF!</v>
      </c>
      <c r="O26" s="66" t="e">
        <f>IF(AND('Mapa final'!#REF!="Media",'Mapa final'!#REF!="Leve"),CONCATENATE("R1C",'Mapa final'!#REF!),"")</f>
        <v>#REF!</v>
      </c>
      <c r="P26" s="64" t="str">
        <f ca="1">IF(AND('Mapa final'!$AA$10="Media",'Mapa final'!$AC$10="Menor"),CONCATENATE("R1C",'Mapa final'!$Q$10),"")</f>
        <v/>
      </c>
      <c r="Q26" s="65" t="str">
        <f ca="1">IF(AND('Mapa final'!$AA$11="Media",'Mapa final'!$AC$11="Menor"),CONCATENATE("R1C",'Mapa final'!$Q$11),"")</f>
        <v/>
      </c>
      <c r="R26" s="65" t="str">
        <f ca="1">IF(AND('Mapa final'!$AA$12="Media",'Mapa final'!$AC$12="Menor"),CONCATENATE("R1C",'Mapa final'!$Q$12),"")</f>
        <v/>
      </c>
      <c r="S26" s="65" t="e">
        <f>IF(AND('Mapa final'!#REF!="Media",'Mapa final'!#REF!="Menor"),CONCATENATE("R1C",'Mapa final'!#REF!),"")</f>
        <v>#REF!</v>
      </c>
      <c r="T26" s="65" t="e">
        <f>IF(AND('Mapa final'!#REF!="Media",'Mapa final'!#REF!="Menor"),CONCATENATE("R1C",'Mapa final'!#REF!),"")</f>
        <v>#REF!</v>
      </c>
      <c r="U26" s="66" t="e">
        <f>IF(AND('Mapa final'!#REF!="Media",'Mapa final'!#REF!="Menor"),CONCATENATE("R1C",'Mapa final'!#REF!),"")</f>
        <v>#REF!</v>
      </c>
      <c r="V26" s="64" t="str">
        <f ca="1">IF(AND('Mapa final'!$AA$10="Media",'Mapa final'!$AC$10="Moderado"),CONCATENATE("R1C",'Mapa final'!$Q$10),"")</f>
        <v/>
      </c>
      <c r="W26" s="65" t="str">
        <f ca="1">IF(AND('Mapa final'!$AA$11="Media",'Mapa final'!$AC$11="Moderado"),CONCATENATE("R1C",'Mapa final'!$Q$11),"")</f>
        <v/>
      </c>
      <c r="X26" s="65" t="str">
        <f ca="1">IF(AND('Mapa final'!$AA$12="Media",'Mapa final'!$AC$12="Moderado"),CONCATENATE("R1C",'Mapa final'!$Q$12),"")</f>
        <v/>
      </c>
      <c r="Y26" s="65" t="e">
        <f>IF(AND('Mapa final'!#REF!="Media",'Mapa final'!#REF!="Moderado"),CONCATENATE("R1C",'Mapa final'!#REF!),"")</f>
        <v>#REF!</v>
      </c>
      <c r="Z26" s="65" t="e">
        <f>IF(AND('Mapa final'!#REF!="Media",'Mapa final'!#REF!="Moderado"),CONCATENATE("R1C",'Mapa final'!#REF!),"")</f>
        <v>#REF!</v>
      </c>
      <c r="AA26" s="66" t="e">
        <f>IF(AND('Mapa final'!#REF!="Media",'Mapa final'!#REF!="Moderado"),CONCATENATE("R1C",'Mapa final'!#REF!),"")</f>
        <v>#REF!</v>
      </c>
      <c r="AB26" s="46" t="str">
        <f ca="1">IF(AND('Mapa final'!$AA$10="Media",'Mapa final'!$AC$10="Mayor"),CONCATENATE("R1C",'Mapa final'!$Q$10),"")</f>
        <v/>
      </c>
      <c r="AC26" s="47" t="str">
        <f ca="1">IF(AND('Mapa final'!$AA$11="Media",'Mapa final'!$AC$11="Mayor"),CONCATENATE("R1C",'Mapa final'!$Q$11),"")</f>
        <v/>
      </c>
      <c r="AD26" s="47" t="str">
        <f ca="1">IF(AND('Mapa final'!$AA$12="Media",'Mapa final'!$AC$12="Mayor"),CONCATENATE("R1C",'Mapa final'!$Q$12),"")</f>
        <v/>
      </c>
      <c r="AE26" s="47" t="e">
        <f>IF(AND('Mapa final'!#REF!="Media",'Mapa final'!#REF!="Mayor"),CONCATENATE("R1C",'Mapa final'!#REF!),"")</f>
        <v>#REF!</v>
      </c>
      <c r="AF26" s="47" t="e">
        <f>IF(AND('Mapa final'!#REF!="Media",'Mapa final'!#REF!="Mayor"),CONCATENATE("R1C",'Mapa final'!#REF!),"")</f>
        <v>#REF!</v>
      </c>
      <c r="AG26" s="48" t="e">
        <f>IF(AND('Mapa final'!#REF!="Media",'Mapa final'!#REF!="Mayor"),CONCATENATE("R1C",'Mapa final'!#REF!),"")</f>
        <v>#REF!</v>
      </c>
      <c r="AH26" s="49" t="str">
        <f ca="1">IF(AND('Mapa final'!$AA$10="Media",'Mapa final'!$AC$10="Catastrófico"),CONCATENATE("R1C",'Mapa final'!$Q$10),"")</f>
        <v/>
      </c>
      <c r="AI26" s="50" t="str">
        <f ca="1">IF(AND('Mapa final'!$AA$11="Media",'Mapa final'!$AC$11="Catastrófico"),CONCATENATE("R1C",'Mapa final'!$Q$11),"")</f>
        <v/>
      </c>
      <c r="AJ26" s="50" t="str">
        <f ca="1">IF(AND('Mapa final'!$AA$12="Media",'Mapa final'!$AC$12="Catastrófico"),CONCATENATE("R1C",'Mapa final'!$Q$12),"")</f>
        <v/>
      </c>
      <c r="AK26" s="50" t="e">
        <f>IF(AND('Mapa final'!#REF!="Media",'Mapa final'!#REF!="Catastrófico"),CONCATENATE("R1C",'Mapa final'!#REF!),"")</f>
        <v>#REF!</v>
      </c>
      <c r="AL26" s="50" t="e">
        <f>IF(AND('Mapa final'!#REF!="Media",'Mapa final'!#REF!="Catastrófico"),CONCATENATE("R1C",'Mapa final'!#REF!),"")</f>
        <v>#REF!</v>
      </c>
      <c r="AM26" s="51" t="e">
        <f>IF(AND('Mapa final'!#REF!="Media",'Mapa final'!#REF!="Catastrófico"),CONCATENATE("R1C",'Mapa final'!#REF!),"")</f>
        <v>#REF!</v>
      </c>
      <c r="AN26" s="83"/>
      <c r="AO26" s="382" t="s">
        <v>81</v>
      </c>
      <c r="AP26" s="383"/>
      <c r="AQ26" s="383"/>
      <c r="AR26" s="383"/>
      <c r="AS26" s="383"/>
      <c r="AT26" s="38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57"/>
      <c r="C27" s="257"/>
      <c r="D27" s="258"/>
      <c r="E27" s="354"/>
      <c r="F27" s="355"/>
      <c r="G27" s="355"/>
      <c r="H27" s="355"/>
      <c r="I27" s="371"/>
      <c r="J27" s="67" t="str">
        <f>IF(AND([1]Hoja1!$X$2="Media",[1]Hoja1!$Z$2="Leve"),CONCATENATE("R2C",[1]Hoja1!$N$2),"")</f>
        <v/>
      </c>
      <c r="K27" s="68" t="str">
        <f>IF(AND([1]Hoja1!$X$3="Media",[1]Hoja1!$Z$3="Leve"),CONCATENATE("R2C",[1]Hoja1!$N$3),"")</f>
        <v/>
      </c>
      <c r="L27" s="68" t="str">
        <f>IF(AND([1]Hoja1!$X$4="Media",[1]Hoja1!$Z$4="Leve"),CONCATENATE("R2C",[1]Hoja1!$N$4),"")</f>
        <v/>
      </c>
      <c r="M27" s="68" t="str">
        <f>IF(AND([1]Hoja1!$X$5="Media",[1]Hoja1!$Z$5="Leve"),CONCATENATE("R2C",[1]Hoja1!$N$5),"")</f>
        <v/>
      </c>
      <c r="N27" s="68" t="str">
        <f>IF(AND([1]Hoja1!$X$6="Media",[1]Hoja1!$Z$6="Leve"),CONCATENATE("R2C",[1]Hoja1!$N$6),"")</f>
        <v/>
      </c>
      <c r="O27" s="69" t="str">
        <f>IF(AND([1]Hoja1!$X$7="Media",[1]Hoja1!$Z$7="Leve"),CONCATENATE("R2C",[1]Hoja1!$N$7),"")</f>
        <v/>
      </c>
      <c r="P27" s="67" t="str">
        <f>IF(AND([1]Hoja1!$X$2="Media",[1]Hoja1!$Z$2="Menor"),CONCATENATE("R2C",[1]Hoja1!$N$2),"")</f>
        <v/>
      </c>
      <c r="Q27" s="68" t="str">
        <f>IF(AND([1]Hoja1!$X$3="Media",[1]Hoja1!$Z$3="Menor"),CONCATENATE("R2C",[1]Hoja1!$N$3),"")</f>
        <v/>
      </c>
      <c r="R27" s="68" t="str">
        <f>IF(AND([1]Hoja1!$X$4="Media",[1]Hoja1!$Z$4="Menor"),CONCATENATE("R2C",[1]Hoja1!$N$4),"")</f>
        <v/>
      </c>
      <c r="S27" s="68" t="str">
        <f>IF(AND([1]Hoja1!$X$5="Media",[1]Hoja1!$Z$5="Menor"),CONCATENATE("R2C",[1]Hoja1!$N$5),"")</f>
        <v/>
      </c>
      <c r="T27" s="68" t="str">
        <f>IF(AND([1]Hoja1!$X$6="Media",[1]Hoja1!$Z$6="Menor"),CONCATENATE("R2C",[1]Hoja1!$N$6),"")</f>
        <v/>
      </c>
      <c r="U27" s="69" t="str">
        <f>IF(AND([1]Hoja1!$X$7="Media",[1]Hoja1!$Z$7="Menor"),CONCATENATE("R2C",[1]Hoja1!$N$7),"")</f>
        <v/>
      </c>
      <c r="V27" s="67" t="str">
        <f>IF(AND([1]Hoja1!$X$2="Media",[1]Hoja1!$Z$2="Moderado"),CONCATENATE("R2C",[1]Hoja1!$N$2),"")</f>
        <v/>
      </c>
      <c r="W27" s="68" t="str">
        <f>IF(AND([1]Hoja1!$X$3="Media",[1]Hoja1!$Z$3="Moderado"),CONCATENATE("R2C",[1]Hoja1!$N$3),"")</f>
        <v/>
      </c>
      <c r="X27" s="68" t="str">
        <f>IF(AND([1]Hoja1!$X$4="Media",[1]Hoja1!$Z$4="Moderado"),CONCATENATE("R2C",[1]Hoja1!$N$4),"")</f>
        <v/>
      </c>
      <c r="Y27" s="68" t="str">
        <f>IF(AND([1]Hoja1!$X$5="Media",[1]Hoja1!$Z$5="Moderado"),CONCATENATE("R2C",[1]Hoja1!$N$5),"")</f>
        <v/>
      </c>
      <c r="Z27" s="68" t="str">
        <f>IF(AND([1]Hoja1!$X$6="Media",[1]Hoja1!$Z$6="Moderado"),CONCATENATE("R2C",[1]Hoja1!$N$6),"")</f>
        <v/>
      </c>
      <c r="AA27" s="69" t="str">
        <f>IF(AND([1]Hoja1!$X$7="Media",[1]Hoja1!$Z$7="Moderado"),CONCATENATE("R2C",[1]Hoja1!$N$7),"")</f>
        <v/>
      </c>
      <c r="AB27" s="52" t="str">
        <f>IF(AND([1]Hoja1!$X$2="Media",[1]Hoja1!$Z$2="Mayor"),CONCATENATE("R2C",[1]Hoja1!$N$2),"")</f>
        <v/>
      </c>
      <c r="AC27" s="53" t="str">
        <f>IF(AND([1]Hoja1!$X$3="Media",[1]Hoja1!$Z$3="Mayor"),CONCATENATE("R2C",[1]Hoja1!$N$3),"")</f>
        <v/>
      </c>
      <c r="AD27" s="53" t="str">
        <f>IF(AND([1]Hoja1!$X$4="Media",[1]Hoja1!$Z$4="Mayor"),CONCATENATE("R2C",[1]Hoja1!$N$4),"")</f>
        <v/>
      </c>
      <c r="AE27" s="53" t="str">
        <f>IF(AND([1]Hoja1!$X$5="Media",[1]Hoja1!$Z$5="Mayor"),CONCATENATE("R2C",[1]Hoja1!$N$5),"")</f>
        <v/>
      </c>
      <c r="AF27" s="53" t="str">
        <f>IF(AND([1]Hoja1!$X$6="Media",[1]Hoja1!$Z$6="Mayor"),CONCATENATE("R2C",[1]Hoja1!$N$6),"")</f>
        <v/>
      </c>
      <c r="AG27" s="54" t="str">
        <f>IF(AND([1]Hoja1!$X$7="Media",[1]Hoja1!$Z$7="Mayor"),CONCATENATE("R2C",[1]Hoja1!$N$7),"")</f>
        <v/>
      </c>
      <c r="AH27" s="55" t="str">
        <f>IF(AND([1]Hoja1!$X$2="Media",[1]Hoja1!$Z$2="Catastrófico"),CONCATENATE("R2C",[1]Hoja1!$N$2),"")</f>
        <v/>
      </c>
      <c r="AI27" s="56" t="str">
        <f>IF(AND([1]Hoja1!$X$3="Media",[1]Hoja1!$Z$3="Catastrófico"),CONCATENATE("R2C",[1]Hoja1!$N$3),"")</f>
        <v/>
      </c>
      <c r="AJ27" s="56" t="str">
        <f>IF(AND([1]Hoja1!$X$4="Media",[1]Hoja1!$Z$4="Catastrófico"),CONCATENATE("R2C",[1]Hoja1!$N$4),"")</f>
        <v/>
      </c>
      <c r="AK27" s="56" t="str">
        <f>IF(AND([1]Hoja1!$X$5="Media",[1]Hoja1!$Z$5="Catastrófico"),CONCATENATE("R2C",[1]Hoja1!$N$5),"")</f>
        <v/>
      </c>
      <c r="AL27" s="56" t="str">
        <f>IF(AND([1]Hoja1!$X$6="Media",[1]Hoja1!$Z$6="Catastrófico"),CONCATENATE("R2C",[1]Hoja1!$N$6),"")</f>
        <v/>
      </c>
      <c r="AM27" s="57" t="str">
        <f>IF(AND([1]Hoja1!$X$7="Media",[1]Hoja1!$Z$7="Catastrófico"),CONCATENATE("R2C",[1]Hoja1!$N$7),"")</f>
        <v/>
      </c>
      <c r="AN27" s="83"/>
      <c r="AO27" s="385"/>
      <c r="AP27" s="386"/>
      <c r="AQ27" s="386"/>
      <c r="AR27" s="386"/>
      <c r="AS27" s="386"/>
      <c r="AT27" s="38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57"/>
      <c r="C28" s="257"/>
      <c r="D28" s="258"/>
      <c r="E28" s="356"/>
      <c r="F28" s="355"/>
      <c r="G28" s="355"/>
      <c r="H28" s="355"/>
      <c r="I28" s="371"/>
      <c r="J28" s="67" t="str">
        <f>IF(AND('Mapa final'!$AA$19="Media",'Mapa final'!$AC$19="Leve"),CONCATENATE("R3C",'Mapa final'!$Q$19),"")</f>
        <v/>
      </c>
      <c r="K28" s="68" t="str">
        <f>IF(AND('Mapa final'!$AA$20="Media",'Mapa final'!$AC$20="Leve"),CONCATENATE("R3C",'Mapa final'!$Q$20),"")</f>
        <v/>
      </c>
      <c r="L28" s="68" t="str">
        <f>IF(AND('Mapa final'!$AA$21="Media",'Mapa final'!$AC$21="Leve"),CONCATENATE("R3C",'Mapa final'!$Q$21),"")</f>
        <v/>
      </c>
      <c r="M28" s="68" t="str">
        <f>IF(AND('Mapa final'!$AA$22="Media",'Mapa final'!$AC$22="Leve"),CONCATENATE("R3C",'Mapa final'!$Q$22),"")</f>
        <v/>
      </c>
      <c r="N28" s="68" t="str">
        <f>IF(AND('Mapa final'!$AA$23="Media",'Mapa final'!$AC$23="Leve"),CONCATENATE("R3C",'Mapa final'!$Q$23),"")</f>
        <v/>
      </c>
      <c r="O28" s="69" t="str">
        <f>IF(AND('Mapa final'!$AA$24="Media",'Mapa final'!$AC$24="Leve"),CONCATENATE("R3C",'Mapa final'!$Q$24),"")</f>
        <v/>
      </c>
      <c r="P28" s="67" t="str">
        <f>IF(AND('Mapa final'!$AA$19="Media",'Mapa final'!$AC$19="Menor"),CONCATENATE("R3C",'Mapa final'!$Q$19),"")</f>
        <v/>
      </c>
      <c r="Q28" s="68" t="str">
        <f>IF(AND('Mapa final'!$AA$20="Media",'Mapa final'!$AC$20="Menor"),CONCATENATE("R3C",'Mapa final'!$Q$20),"")</f>
        <v/>
      </c>
      <c r="R28" s="68" t="str">
        <f>IF(AND('Mapa final'!$AA$21="Media",'Mapa final'!$AC$21="Menor"),CONCATENATE("R3C",'Mapa final'!$Q$21),"")</f>
        <v/>
      </c>
      <c r="S28" s="68" t="str">
        <f>IF(AND('Mapa final'!$AA$22="Media",'Mapa final'!$AC$22="Menor"),CONCATENATE("R3C",'Mapa final'!$Q$22),"")</f>
        <v/>
      </c>
      <c r="T28" s="68" t="str">
        <f>IF(AND('Mapa final'!$AA$23="Media",'Mapa final'!$AC$23="Menor"),CONCATENATE("R3C",'Mapa final'!$Q$23),"")</f>
        <v/>
      </c>
      <c r="U28" s="69" t="str">
        <f>IF(AND('Mapa final'!$AA$24="Media",'Mapa final'!$AC$24="Menor"),CONCATENATE("R3C",'Mapa final'!$Q$24),"")</f>
        <v/>
      </c>
      <c r="V28" s="67" t="str">
        <f>IF(AND('Mapa final'!$AA$19="Media",'Mapa final'!$AC$19="Moderado"),CONCATENATE("R3C",'Mapa final'!$Q$19),"")</f>
        <v/>
      </c>
      <c r="W28" s="68" t="str">
        <f>IF(AND('Mapa final'!$AA$20="Media",'Mapa final'!$AC$20="Moderado"),CONCATENATE("R3C",'Mapa final'!$Q$20),"")</f>
        <v/>
      </c>
      <c r="X28" s="68" t="str">
        <f>IF(AND('Mapa final'!$AA$21="Media",'Mapa final'!$AC$21="Moderado"),CONCATENATE("R3C",'Mapa final'!$Q$21),"")</f>
        <v/>
      </c>
      <c r="Y28" s="68" t="str">
        <f>IF(AND('Mapa final'!$AA$22="Media",'Mapa final'!$AC$22="Moderado"),CONCATENATE("R3C",'Mapa final'!$Q$22),"")</f>
        <v/>
      </c>
      <c r="Z28" s="68" t="str">
        <f>IF(AND('Mapa final'!$AA$23="Media",'Mapa final'!$AC$23="Moderado"),CONCATENATE("R3C",'Mapa final'!$Q$23),"")</f>
        <v/>
      </c>
      <c r="AA28" s="69" t="str">
        <f>IF(AND('Mapa final'!$AA$24="Media",'Mapa final'!$AC$24="Moderado"),CONCATENATE("R3C",'Mapa final'!$Q$24),"")</f>
        <v/>
      </c>
      <c r="AB28" s="52" t="str">
        <f>IF(AND('Mapa final'!$AA$19="Media",'Mapa final'!$AC$19="Mayor"),CONCATENATE("R3C",'Mapa final'!$Q$19),"")</f>
        <v/>
      </c>
      <c r="AC28" s="53" t="str">
        <f>IF(AND('Mapa final'!$AA$20="Media",'Mapa final'!$AC$20="Mayor"),CONCATENATE("R3C",'Mapa final'!$Q$20),"")</f>
        <v/>
      </c>
      <c r="AD28" s="53" t="str">
        <f>IF(AND('Mapa final'!$AA$21="Media",'Mapa final'!$AC$21="Mayor"),CONCATENATE("R3C",'Mapa final'!$Q$21),"")</f>
        <v/>
      </c>
      <c r="AE28" s="53" t="str">
        <f>IF(AND('Mapa final'!$AA$22="Media",'Mapa final'!$AC$22="Mayor"),CONCATENATE("R3C",'Mapa final'!$Q$22),"")</f>
        <v/>
      </c>
      <c r="AF28" s="53" t="str">
        <f>IF(AND('Mapa final'!$AA$23="Media",'Mapa final'!$AC$23="Mayor"),CONCATENATE("R3C",'Mapa final'!$Q$23),"")</f>
        <v/>
      </c>
      <c r="AG28" s="54" t="str">
        <f>IF(AND('Mapa final'!$AA$24="Media",'Mapa final'!$AC$24="Mayor"),CONCATENATE("R3C",'Mapa final'!$Q$24),"")</f>
        <v/>
      </c>
      <c r="AH28" s="55" t="str">
        <f>IF(AND('Mapa final'!$AA$19="Media",'Mapa final'!$AC$19="Catastrófico"),CONCATENATE("R3C",'Mapa final'!$Q$19),"")</f>
        <v/>
      </c>
      <c r="AI28" s="56" t="str">
        <f>IF(AND('Mapa final'!$AA$20="Media",'Mapa final'!$AC$20="Catastrófico"),CONCATENATE("R3C",'Mapa final'!$Q$20),"")</f>
        <v/>
      </c>
      <c r="AJ28" s="56" t="str">
        <f>IF(AND('Mapa final'!$AA$21="Media",'Mapa final'!$AC$21="Catastrófico"),CONCATENATE("R3C",'Mapa final'!$Q$21),"")</f>
        <v/>
      </c>
      <c r="AK28" s="56" t="str">
        <f>IF(AND('Mapa final'!$AA$22="Media",'Mapa final'!$AC$22="Catastrófico"),CONCATENATE("R3C",'Mapa final'!$Q$22),"")</f>
        <v/>
      </c>
      <c r="AL28" s="56" t="str">
        <f>IF(AND('Mapa final'!$AA$23="Media",'Mapa final'!$AC$23="Catastrófico"),CONCATENATE("R3C",'Mapa final'!$Q$23),"")</f>
        <v/>
      </c>
      <c r="AM28" s="57" t="str">
        <f>IF(AND('Mapa final'!$AA$24="Media",'Mapa final'!$AC$24="Catastrófico"),CONCATENATE("R3C",'Mapa final'!$Q$24),"")</f>
        <v/>
      </c>
      <c r="AN28" s="83"/>
      <c r="AO28" s="385"/>
      <c r="AP28" s="386"/>
      <c r="AQ28" s="386"/>
      <c r="AR28" s="386"/>
      <c r="AS28" s="386"/>
      <c r="AT28" s="38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57"/>
      <c r="C29" s="257"/>
      <c r="D29" s="258"/>
      <c r="E29" s="356"/>
      <c r="F29" s="355"/>
      <c r="G29" s="355"/>
      <c r="H29" s="355"/>
      <c r="I29" s="371"/>
      <c r="J29" s="67" t="str">
        <f>IF(AND('Mapa final'!$AA$25="Media",'Mapa final'!$AC$25="Leve"),CONCATENATE("R4C",'Mapa final'!$Q$25),"")</f>
        <v/>
      </c>
      <c r="K29" s="68" t="str">
        <f>IF(AND('Mapa final'!$AA$26="Media",'Mapa final'!$AC$26="Leve"),CONCATENATE("R4C",'Mapa final'!$Q$26),"")</f>
        <v/>
      </c>
      <c r="L29" s="68" t="str">
        <f>IF(AND('Mapa final'!$AA$27="Media",'Mapa final'!$AC$27="Leve"),CONCATENATE("R4C",'Mapa final'!$Q$27),"")</f>
        <v/>
      </c>
      <c r="M29" s="68" t="str">
        <f>IF(AND('Mapa final'!$AA$28="Media",'Mapa final'!$AC$28="Leve"),CONCATENATE("R4C",'Mapa final'!$Q$28),"")</f>
        <v/>
      </c>
      <c r="N29" s="68" t="str">
        <f>IF(AND('Mapa final'!$AA$29="Media",'Mapa final'!$AC$29="Leve"),CONCATENATE("R4C",'Mapa final'!$Q$29),"")</f>
        <v/>
      </c>
      <c r="O29" s="69" t="str">
        <f>IF(AND('Mapa final'!$AA$30="Media",'Mapa final'!$AC$30="Leve"),CONCATENATE("R4C",'Mapa final'!$Q$30),"")</f>
        <v/>
      </c>
      <c r="P29" s="67" t="str">
        <f>IF(AND('Mapa final'!$AA$25="Media",'Mapa final'!$AC$25="Menor"),CONCATENATE("R4C",'Mapa final'!$Q$25),"")</f>
        <v/>
      </c>
      <c r="Q29" s="68" t="str">
        <f>IF(AND('Mapa final'!$AA$26="Media",'Mapa final'!$AC$26="Menor"),CONCATENATE("R4C",'Mapa final'!$Q$26),"")</f>
        <v/>
      </c>
      <c r="R29" s="68" t="str">
        <f>IF(AND('Mapa final'!$AA$27="Media",'Mapa final'!$AC$27="Menor"),CONCATENATE("R4C",'Mapa final'!$Q$27),"")</f>
        <v/>
      </c>
      <c r="S29" s="68" t="str">
        <f>IF(AND('Mapa final'!$AA$28="Media",'Mapa final'!$AC$28="Menor"),CONCATENATE("R4C",'Mapa final'!$Q$28),"")</f>
        <v/>
      </c>
      <c r="T29" s="68" t="str">
        <f>IF(AND('Mapa final'!$AA$29="Media",'Mapa final'!$AC$29="Menor"),CONCATENATE("R4C",'Mapa final'!$Q$29),"")</f>
        <v/>
      </c>
      <c r="U29" s="69" t="str">
        <f>IF(AND('Mapa final'!$AA$30="Media",'Mapa final'!$AC$30="Menor"),CONCATENATE("R4C",'Mapa final'!$Q$30),"")</f>
        <v/>
      </c>
      <c r="V29" s="67" t="str">
        <f>IF(AND('Mapa final'!$AA$25="Media",'Mapa final'!$AC$25="Moderado"),CONCATENATE("R4C",'Mapa final'!$Q$25),"")</f>
        <v/>
      </c>
      <c r="W29" s="68" t="str">
        <f>IF(AND('Mapa final'!$AA$26="Media",'Mapa final'!$AC$26="Moderado"),CONCATENATE("R4C",'Mapa final'!$Q$26),"")</f>
        <v/>
      </c>
      <c r="X29" s="68" t="str">
        <f>IF(AND('Mapa final'!$AA$27="Media",'Mapa final'!$AC$27="Moderado"),CONCATENATE("R4C",'Mapa final'!$Q$27),"")</f>
        <v/>
      </c>
      <c r="Y29" s="68" t="str">
        <f>IF(AND('Mapa final'!$AA$28="Media",'Mapa final'!$AC$28="Moderado"),CONCATENATE("R4C",'Mapa final'!$Q$28),"")</f>
        <v/>
      </c>
      <c r="Z29" s="68" t="str">
        <f>IF(AND('Mapa final'!$AA$29="Media",'Mapa final'!$AC$29="Moderado"),CONCATENATE("R4C",'Mapa final'!$Q$29),"")</f>
        <v/>
      </c>
      <c r="AA29" s="69" t="str">
        <f>IF(AND('Mapa final'!$AA$30="Media",'Mapa final'!$AC$30="Moderado"),CONCATENATE("R4C",'Mapa final'!$Q$30),"")</f>
        <v/>
      </c>
      <c r="AB29" s="52" t="str">
        <f>IF(AND('Mapa final'!$AA$25="Media",'Mapa final'!$AC$25="Mayor"),CONCATENATE("R4C",'Mapa final'!$Q$25),"")</f>
        <v/>
      </c>
      <c r="AC29" s="53" t="str">
        <f>IF(AND('Mapa final'!$AA$26="Media",'Mapa final'!$AC$26="Mayor"),CONCATENATE("R4C",'Mapa final'!$Q$26),"")</f>
        <v/>
      </c>
      <c r="AD29" s="53" t="str">
        <f>IF(AND('Mapa final'!$AA$27="Media",'Mapa final'!$AC$27="Mayor"),CONCATENATE("R4C",'Mapa final'!$Q$27),"")</f>
        <v/>
      </c>
      <c r="AE29" s="53" t="str">
        <f>IF(AND('Mapa final'!$AA$28="Media",'Mapa final'!$AC$28="Mayor"),CONCATENATE("R4C",'Mapa final'!$Q$28),"")</f>
        <v/>
      </c>
      <c r="AF29" s="53" t="str">
        <f>IF(AND('Mapa final'!$AA$29="Media",'Mapa final'!$AC$29="Mayor"),CONCATENATE("R4C",'Mapa final'!$Q$29),"")</f>
        <v/>
      </c>
      <c r="AG29" s="54" t="str">
        <f>IF(AND('Mapa final'!$AA$30="Media",'Mapa final'!$AC$30="Mayor"),CONCATENATE("R4C",'Mapa final'!$Q$30),"")</f>
        <v/>
      </c>
      <c r="AH29" s="55" t="str">
        <f>IF(AND('Mapa final'!$AA$25="Media",'Mapa final'!$AC$25="Catastrófico"),CONCATENATE("R4C",'Mapa final'!$Q$25),"")</f>
        <v/>
      </c>
      <c r="AI29" s="56" t="str">
        <f>IF(AND('Mapa final'!$AA$26="Media",'Mapa final'!$AC$26="Catastrófico"),CONCATENATE("R4C",'Mapa final'!$Q$26),"")</f>
        <v/>
      </c>
      <c r="AJ29" s="56" t="str">
        <f>IF(AND('Mapa final'!$AA$27="Media",'Mapa final'!$AC$27="Catastrófico"),CONCATENATE("R4C",'Mapa final'!$Q$27),"")</f>
        <v/>
      </c>
      <c r="AK29" s="56" t="str">
        <f>IF(AND('Mapa final'!$AA$28="Media",'Mapa final'!$AC$28="Catastrófico"),CONCATENATE("R4C",'Mapa final'!$Q$28),"")</f>
        <v/>
      </c>
      <c r="AL29" s="56" t="str">
        <f>IF(AND('Mapa final'!$AA$29="Media",'Mapa final'!$AC$29="Catastrófico"),CONCATENATE("R4C",'Mapa final'!$Q$29),"")</f>
        <v/>
      </c>
      <c r="AM29" s="57" t="str">
        <f>IF(AND('Mapa final'!$AA$30="Media",'Mapa final'!$AC$30="Catastrófico"),CONCATENATE("R4C",'Mapa final'!$Q$30),"")</f>
        <v/>
      </c>
      <c r="AN29" s="83"/>
      <c r="AO29" s="385"/>
      <c r="AP29" s="386"/>
      <c r="AQ29" s="386"/>
      <c r="AR29" s="386"/>
      <c r="AS29" s="386"/>
      <c r="AT29" s="38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57"/>
      <c r="C30" s="257"/>
      <c r="D30" s="258"/>
      <c r="E30" s="356"/>
      <c r="F30" s="355"/>
      <c r="G30" s="355"/>
      <c r="H30" s="355"/>
      <c r="I30" s="371"/>
      <c r="J30" s="67" t="str">
        <f>IF(AND('Mapa final'!$AA$31="Media",'Mapa final'!$AC$31="Leve"),CONCATENATE("R5C",'Mapa final'!$Q$31),"")</f>
        <v/>
      </c>
      <c r="K30" s="68" t="str">
        <f>IF(AND('Mapa final'!$AA$32="Media",'Mapa final'!$AC$32="Leve"),CONCATENATE("R5C",'Mapa final'!$Q$32),"")</f>
        <v/>
      </c>
      <c r="L30" s="68" t="str">
        <f>IF(AND('Mapa final'!$AA$33="Media",'Mapa final'!$AC$33="Leve"),CONCATENATE("R5C",'Mapa final'!$Q$33),"")</f>
        <v/>
      </c>
      <c r="M30" s="68" t="str">
        <f>IF(AND('Mapa final'!$AA$34="Media",'Mapa final'!$AC$34="Leve"),CONCATENATE("R5C",'Mapa final'!$Q$34),"")</f>
        <v/>
      </c>
      <c r="N30" s="68" t="str">
        <f>IF(AND('Mapa final'!$AA$35="Media",'Mapa final'!$AC$35="Leve"),CONCATENATE("R5C",'Mapa final'!$Q$35),"")</f>
        <v/>
      </c>
      <c r="O30" s="69" t="str">
        <f>IF(AND('Mapa final'!$AA$36="Media",'Mapa final'!$AC$36="Leve"),CONCATENATE("R5C",'Mapa final'!$Q$36),"")</f>
        <v/>
      </c>
      <c r="P30" s="67" t="str">
        <f>IF(AND('Mapa final'!$AA$31="Media",'Mapa final'!$AC$31="Menor"),CONCATENATE("R5C",'Mapa final'!$Q$31),"")</f>
        <v/>
      </c>
      <c r="Q30" s="68" t="str">
        <f>IF(AND('Mapa final'!$AA$32="Media",'Mapa final'!$AC$32="Menor"),CONCATENATE("R5C",'Mapa final'!$Q$32),"")</f>
        <v/>
      </c>
      <c r="R30" s="68" t="str">
        <f>IF(AND('Mapa final'!$AA$33="Media",'Mapa final'!$AC$33="Menor"),CONCATENATE("R5C",'Mapa final'!$Q$33),"")</f>
        <v/>
      </c>
      <c r="S30" s="68" t="str">
        <f>IF(AND('Mapa final'!$AA$34="Media",'Mapa final'!$AC$34="Menor"),CONCATENATE("R5C",'Mapa final'!$Q$34),"")</f>
        <v/>
      </c>
      <c r="T30" s="68" t="str">
        <f>IF(AND('Mapa final'!$AA$35="Media",'Mapa final'!$AC$35="Menor"),CONCATENATE("R5C",'Mapa final'!$Q$35),"")</f>
        <v/>
      </c>
      <c r="U30" s="69" t="str">
        <f>IF(AND('Mapa final'!$AA$36="Media",'Mapa final'!$AC$36="Menor"),CONCATENATE("R5C",'Mapa final'!$Q$36),"")</f>
        <v/>
      </c>
      <c r="V30" s="67" t="str">
        <f>IF(AND('Mapa final'!$AA$31="Media",'Mapa final'!$AC$31="Moderado"),CONCATENATE("R5C",'Mapa final'!$Q$31),"")</f>
        <v/>
      </c>
      <c r="W30" s="68" t="str">
        <f>IF(AND('Mapa final'!$AA$32="Media",'Mapa final'!$AC$32="Moderado"),CONCATENATE("R5C",'Mapa final'!$Q$32),"")</f>
        <v/>
      </c>
      <c r="X30" s="68" t="str">
        <f>IF(AND('Mapa final'!$AA$33="Media",'Mapa final'!$AC$33="Moderado"),CONCATENATE("R5C",'Mapa final'!$Q$33),"")</f>
        <v/>
      </c>
      <c r="Y30" s="68" t="str">
        <f>IF(AND('Mapa final'!$AA$34="Media",'Mapa final'!$AC$34="Moderado"),CONCATENATE("R5C",'Mapa final'!$Q$34),"")</f>
        <v/>
      </c>
      <c r="Z30" s="68" t="str">
        <f>IF(AND('Mapa final'!$AA$35="Media",'Mapa final'!$AC$35="Moderado"),CONCATENATE("R5C",'Mapa final'!$Q$35),"")</f>
        <v/>
      </c>
      <c r="AA30" s="69" t="str">
        <f>IF(AND('Mapa final'!$AA$36="Media",'Mapa final'!$AC$36="Moderado"),CONCATENATE("R5C",'Mapa final'!$Q$36),"")</f>
        <v/>
      </c>
      <c r="AB30" s="52" t="str">
        <f>IF(AND('Mapa final'!$AA$31="Media",'Mapa final'!$AC$31="Mayor"),CONCATENATE("R5C",'Mapa final'!$Q$31),"")</f>
        <v/>
      </c>
      <c r="AC30" s="53" t="str">
        <f>IF(AND('Mapa final'!$AA$32="Media",'Mapa final'!$AC$32="Mayor"),CONCATENATE("R5C",'Mapa final'!$Q$32),"")</f>
        <v/>
      </c>
      <c r="AD30" s="53" t="str">
        <f>IF(AND('Mapa final'!$AA$33="Media",'Mapa final'!$AC$33="Mayor"),CONCATENATE("R5C",'Mapa final'!$Q$33),"")</f>
        <v/>
      </c>
      <c r="AE30" s="53" t="str">
        <f>IF(AND('Mapa final'!$AA$34="Media",'Mapa final'!$AC$34="Mayor"),CONCATENATE("R5C",'Mapa final'!$Q$34),"")</f>
        <v/>
      </c>
      <c r="AF30" s="53" t="str">
        <f>IF(AND('Mapa final'!$AA$35="Media",'Mapa final'!$AC$35="Mayor"),CONCATENATE("R5C",'Mapa final'!$Q$35),"")</f>
        <v/>
      </c>
      <c r="AG30" s="54" t="str">
        <f>IF(AND('Mapa final'!$AA$36="Media",'Mapa final'!$AC$36="Mayor"),CONCATENATE("R5C",'Mapa final'!$Q$36),"")</f>
        <v/>
      </c>
      <c r="AH30" s="55" t="str">
        <f>IF(AND('Mapa final'!$AA$31="Media",'Mapa final'!$AC$31="Catastrófico"),CONCATENATE("R5C",'Mapa final'!$Q$31),"")</f>
        <v/>
      </c>
      <c r="AI30" s="56" t="str">
        <f>IF(AND('Mapa final'!$AA$32="Media",'Mapa final'!$AC$32="Catastrófico"),CONCATENATE("R5C",'Mapa final'!$Q$32),"")</f>
        <v/>
      </c>
      <c r="AJ30" s="56" t="str">
        <f>IF(AND('Mapa final'!$AA$33="Media",'Mapa final'!$AC$33="Catastrófico"),CONCATENATE("R5C",'Mapa final'!$Q$33),"")</f>
        <v/>
      </c>
      <c r="AK30" s="56" t="str">
        <f>IF(AND('Mapa final'!$AA$34="Media",'Mapa final'!$AC$34="Catastrófico"),CONCATENATE("R5C",'Mapa final'!$Q$34),"")</f>
        <v/>
      </c>
      <c r="AL30" s="56" t="str">
        <f>IF(AND('Mapa final'!$AA$35="Media",'Mapa final'!$AC$35="Catastrófico"),CONCATENATE("R5C",'Mapa final'!$Q$35),"")</f>
        <v/>
      </c>
      <c r="AM30" s="57" t="str">
        <f>IF(AND('Mapa final'!$AA$36="Media",'Mapa final'!$AC$36="Catastrófico"),CONCATENATE("R5C",'Mapa final'!$Q$36),"")</f>
        <v/>
      </c>
      <c r="AN30" s="83"/>
      <c r="AO30" s="385"/>
      <c r="AP30" s="386"/>
      <c r="AQ30" s="386"/>
      <c r="AR30" s="386"/>
      <c r="AS30" s="386"/>
      <c r="AT30" s="38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57"/>
      <c r="C31" s="257"/>
      <c r="D31" s="258"/>
      <c r="E31" s="356"/>
      <c r="F31" s="355"/>
      <c r="G31" s="355"/>
      <c r="H31" s="355"/>
      <c r="I31" s="371"/>
      <c r="J31" s="67" t="str">
        <f>IF(AND('Mapa final'!$AA$37="Media",'Mapa final'!$AC$37="Leve"),CONCATENATE("R6C",'Mapa final'!$Q$37),"")</f>
        <v/>
      </c>
      <c r="K31" s="68" t="str">
        <f>IF(AND('Mapa final'!$AA$38="Media",'Mapa final'!$AC$38="Leve"),CONCATENATE("R6C",'Mapa final'!$Q$38),"")</f>
        <v/>
      </c>
      <c r="L31" s="68" t="str">
        <f>IF(AND('Mapa final'!$AA$39="Media",'Mapa final'!$AC$39="Leve"),CONCATENATE("R6C",'Mapa final'!$Q$39),"")</f>
        <v/>
      </c>
      <c r="M31" s="68" t="str">
        <f>IF(AND('Mapa final'!$AA$40="Media",'Mapa final'!$AC$40="Leve"),CONCATENATE("R6C",'Mapa final'!$Q$40),"")</f>
        <v/>
      </c>
      <c r="N31" s="68" t="str">
        <f>IF(AND('Mapa final'!$AA$41="Media",'Mapa final'!$AC$41="Leve"),CONCATENATE("R6C",'Mapa final'!$Q$41),"")</f>
        <v/>
      </c>
      <c r="O31" s="69" t="str">
        <f>IF(AND('Mapa final'!$AA$42="Media",'Mapa final'!$AC$42="Leve"),CONCATENATE("R6C",'Mapa final'!$Q$42),"")</f>
        <v/>
      </c>
      <c r="P31" s="67" t="str">
        <f>IF(AND('Mapa final'!$AA$37="Media",'Mapa final'!$AC$37="Menor"),CONCATENATE("R6C",'Mapa final'!$Q$37),"")</f>
        <v/>
      </c>
      <c r="Q31" s="68" t="str">
        <f>IF(AND('Mapa final'!$AA$38="Media",'Mapa final'!$AC$38="Menor"),CONCATENATE("R6C",'Mapa final'!$Q$38),"")</f>
        <v/>
      </c>
      <c r="R31" s="68" t="str">
        <f>IF(AND('Mapa final'!$AA$39="Media",'Mapa final'!$AC$39="Menor"),CONCATENATE("R6C",'Mapa final'!$Q$39),"")</f>
        <v/>
      </c>
      <c r="S31" s="68" t="str">
        <f>IF(AND('Mapa final'!$AA$40="Media",'Mapa final'!$AC$40="Menor"),CONCATENATE("R6C",'Mapa final'!$Q$40),"")</f>
        <v/>
      </c>
      <c r="T31" s="68" t="str">
        <f>IF(AND('Mapa final'!$AA$41="Media",'Mapa final'!$AC$41="Menor"),CONCATENATE("R6C",'Mapa final'!$Q$41),"")</f>
        <v/>
      </c>
      <c r="U31" s="69" t="str">
        <f>IF(AND('Mapa final'!$AA$42="Media",'Mapa final'!$AC$42="Menor"),CONCATENATE("R6C",'Mapa final'!$Q$42),"")</f>
        <v/>
      </c>
      <c r="V31" s="67" t="str">
        <f>IF(AND('Mapa final'!$AA$37="Media",'Mapa final'!$AC$37="Moderado"),CONCATENATE("R6C",'Mapa final'!$Q$37),"")</f>
        <v/>
      </c>
      <c r="W31" s="68" t="str">
        <f>IF(AND('Mapa final'!$AA$38="Media",'Mapa final'!$AC$38="Moderado"),CONCATENATE("R6C",'Mapa final'!$Q$38),"")</f>
        <v/>
      </c>
      <c r="X31" s="68" t="str">
        <f>IF(AND('Mapa final'!$AA$39="Media",'Mapa final'!$AC$39="Moderado"),CONCATENATE("R6C",'Mapa final'!$Q$39),"")</f>
        <v/>
      </c>
      <c r="Y31" s="68" t="str">
        <f>IF(AND('Mapa final'!$AA$40="Media",'Mapa final'!$AC$40="Moderado"),CONCATENATE("R6C",'Mapa final'!$Q$40),"")</f>
        <v/>
      </c>
      <c r="Z31" s="68" t="str">
        <f>IF(AND('Mapa final'!$AA$41="Media",'Mapa final'!$AC$41="Moderado"),CONCATENATE("R6C",'Mapa final'!$Q$41),"")</f>
        <v/>
      </c>
      <c r="AA31" s="69" t="str">
        <f>IF(AND('Mapa final'!$AA$42="Media",'Mapa final'!$AC$42="Moderado"),CONCATENATE("R6C",'Mapa final'!$Q$42),"")</f>
        <v/>
      </c>
      <c r="AB31" s="52" t="str">
        <f>IF(AND('Mapa final'!$AA$37="Media",'Mapa final'!$AC$37="Mayor"),CONCATENATE("R6C",'Mapa final'!$Q$37),"")</f>
        <v/>
      </c>
      <c r="AC31" s="53" t="str">
        <f>IF(AND('Mapa final'!$AA$38="Media",'Mapa final'!$AC$38="Mayor"),CONCATENATE("R6C",'Mapa final'!$Q$38),"")</f>
        <v/>
      </c>
      <c r="AD31" s="53" t="str">
        <f>IF(AND('Mapa final'!$AA$39="Media",'Mapa final'!$AC$39="Mayor"),CONCATENATE("R6C",'Mapa final'!$Q$39),"")</f>
        <v/>
      </c>
      <c r="AE31" s="53" t="str">
        <f>IF(AND('Mapa final'!$AA$40="Media",'Mapa final'!$AC$40="Mayor"),CONCATENATE("R6C",'Mapa final'!$Q$40),"")</f>
        <v/>
      </c>
      <c r="AF31" s="53" t="str">
        <f>IF(AND('Mapa final'!$AA$41="Media",'Mapa final'!$AC$41="Mayor"),CONCATENATE("R6C",'Mapa final'!$Q$41),"")</f>
        <v/>
      </c>
      <c r="AG31" s="54" t="str">
        <f>IF(AND('Mapa final'!$AA$42="Media",'Mapa final'!$AC$42="Mayor"),CONCATENATE("R6C",'Mapa final'!$Q$42),"")</f>
        <v/>
      </c>
      <c r="AH31" s="55" t="str">
        <f>IF(AND('Mapa final'!$AA$37="Media",'Mapa final'!$AC$37="Catastrófico"),CONCATENATE("R6C",'Mapa final'!$Q$37),"")</f>
        <v/>
      </c>
      <c r="AI31" s="56" t="str">
        <f>IF(AND('Mapa final'!$AA$38="Media",'Mapa final'!$AC$38="Catastrófico"),CONCATENATE("R6C",'Mapa final'!$Q$38),"")</f>
        <v/>
      </c>
      <c r="AJ31" s="56" t="str">
        <f>IF(AND('Mapa final'!$AA$39="Media",'Mapa final'!$AC$39="Catastrófico"),CONCATENATE("R6C",'Mapa final'!$Q$39),"")</f>
        <v/>
      </c>
      <c r="AK31" s="56" t="str">
        <f>IF(AND('Mapa final'!$AA$40="Media",'Mapa final'!$AC$40="Catastrófico"),CONCATENATE("R6C",'Mapa final'!$Q$40),"")</f>
        <v/>
      </c>
      <c r="AL31" s="56" t="str">
        <f>IF(AND('Mapa final'!$AA$41="Media",'Mapa final'!$AC$41="Catastrófico"),CONCATENATE("R6C",'Mapa final'!$Q$41),"")</f>
        <v/>
      </c>
      <c r="AM31" s="57" t="str">
        <f>IF(AND('Mapa final'!$AA$42="Media",'Mapa final'!$AC$42="Catastrófico"),CONCATENATE("R6C",'Mapa final'!$Q$42),"")</f>
        <v/>
      </c>
      <c r="AN31" s="83"/>
      <c r="AO31" s="385"/>
      <c r="AP31" s="386"/>
      <c r="AQ31" s="386"/>
      <c r="AR31" s="386"/>
      <c r="AS31" s="386"/>
      <c r="AT31" s="38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57"/>
      <c r="C32" s="257"/>
      <c r="D32" s="258"/>
      <c r="E32" s="356"/>
      <c r="F32" s="355"/>
      <c r="G32" s="355"/>
      <c r="H32" s="355"/>
      <c r="I32" s="371"/>
      <c r="J32" s="67" t="str">
        <f>IF(AND('Mapa final'!$AA$43="Media",'Mapa final'!$AC$43="Leve"),CONCATENATE("R7C",'Mapa final'!$Q$43),"")</f>
        <v/>
      </c>
      <c r="K32" s="68" t="str">
        <f>IF(AND('Mapa final'!$AA$44="Media",'Mapa final'!$AC$44="Leve"),CONCATENATE("R7C",'Mapa final'!$Q$44),"")</f>
        <v/>
      </c>
      <c r="L32" s="68" t="str">
        <f>IF(AND('Mapa final'!$AA$45="Media",'Mapa final'!$AC$45="Leve"),CONCATENATE("R7C",'Mapa final'!$Q$45),"")</f>
        <v/>
      </c>
      <c r="M32" s="68" t="str">
        <f>IF(AND('Mapa final'!$AA$46="Media",'Mapa final'!$AC$46="Leve"),CONCATENATE("R7C",'Mapa final'!$Q$46),"")</f>
        <v/>
      </c>
      <c r="N32" s="68" t="str">
        <f>IF(AND('Mapa final'!$AA$47="Media",'Mapa final'!$AC$47="Leve"),CONCATENATE("R7C",'Mapa final'!$Q$47),"")</f>
        <v/>
      </c>
      <c r="O32" s="69" t="str">
        <f>IF(AND('Mapa final'!$AA$48="Media",'Mapa final'!$AC$48="Leve"),CONCATENATE("R7C",'Mapa final'!$Q$48),"")</f>
        <v/>
      </c>
      <c r="P32" s="67" t="str">
        <f>IF(AND('Mapa final'!$AA$43="Media",'Mapa final'!$AC$43="Menor"),CONCATENATE("R7C",'Mapa final'!$Q$43),"")</f>
        <v/>
      </c>
      <c r="Q32" s="68" t="str">
        <f>IF(AND('Mapa final'!$AA$44="Media",'Mapa final'!$AC$44="Menor"),CONCATENATE("R7C",'Mapa final'!$Q$44),"")</f>
        <v/>
      </c>
      <c r="R32" s="68" t="str">
        <f>IF(AND('Mapa final'!$AA$45="Media",'Mapa final'!$AC$45="Menor"),CONCATENATE("R7C",'Mapa final'!$Q$45),"")</f>
        <v/>
      </c>
      <c r="S32" s="68" t="str">
        <f>IF(AND('Mapa final'!$AA$46="Media",'Mapa final'!$AC$46="Menor"),CONCATENATE("R7C",'Mapa final'!$Q$46),"")</f>
        <v/>
      </c>
      <c r="T32" s="68" t="str">
        <f>IF(AND('Mapa final'!$AA$47="Media",'Mapa final'!$AC$47="Menor"),CONCATENATE("R7C",'Mapa final'!$Q$47),"")</f>
        <v/>
      </c>
      <c r="U32" s="69" t="str">
        <f>IF(AND('Mapa final'!$AA$48="Media",'Mapa final'!$AC$48="Menor"),CONCATENATE("R7C",'Mapa final'!$Q$48),"")</f>
        <v/>
      </c>
      <c r="V32" s="67" t="str">
        <f>IF(AND('Mapa final'!$AA$43="Media",'Mapa final'!$AC$43="Moderado"),CONCATENATE("R7C",'Mapa final'!$Q$43),"")</f>
        <v/>
      </c>
      <c r="W32" s="68" t="str">
        <f>IF(AND('Mapa final'!$AA$44="Media",'Mapa final'!$AC$44="Moderado"),CONCATENATE("R7C",'Mapa final'!$Q$44),"")</f>
        <v/>
      </c>
      <c r="X32" s="68" t="str">
        <f>IF(AND('Mapa final'!$AA$45="Media",'Mapa final'!$AC$45="Moderado"),CONCATENATE("R7C",'Mapa final'!$Q$45),"")</f>
        <v/>
      </c>
      <c r="Y32" s="68" t="str">
        <f>IF(AND('Mapa final'!$AA$46="Media",'Mapa final'!$AC$46="Moderado"),CONCATENATE("R7C",'Mapa final'!$Q$46),"")</f>
        <v/>
      </c>
      <c r="Z32" s="68" t="str">
        <f>IF(AND('Mapa final'!$AA$47="Media",'Mapa final'!$AC$47="Moderado"),CONCATENATE("R7C",'Mapa final'!$Q$47),"")</f>
        <v/>
      </c>
      <c r="AA32" s="69" t="str">
        <f>IF(AND('Mapa final'!$AA$48="Media",'Mapa final'!$AC$48="Moderado"),CONCATENATE("R7C",'Mapa final'!$Q$48),"")</f>
        <v/>
      </c>
      <c r="AB32" s="52" t="str">
        <f>IF(AND('Mapa final'!$AA$43="Media",'Mapa final'!$AC$43="Mayor"),CONCATENATE("R7C",'Mapa final'!$Q$43),"")</f>
        <v/>
      </c>
      <c r="AC32" s="53" t="str">
        <f>IF(AND('Mapa final'!$AA$44="Media",'Mapa final'!$AC$44="Mayor"),CONCATENATE("R7C",'Mapa final'!$Q$44),"")</f>
        <v/>
      </c>
      <c r="AD32" s="53" t="str">
        <f>IF(AND('Mapa final'!$AA$45="Media",'Mapa final'!$AC$45="Mayor"),CONCATENATE("R7C",'Mapa final'!$Q$45),"")</f>
        <v/>
      </c>
      <c r="AE32" s="53" t="str">
        <f>IF(AND('Mapa final'!$AA$46="Media",'Mapa final'!$AC$46="Mayor"),CONCATENATE("R7C",'Mapa final'!$Q$46),"")</f>
        <v/>
      </c>
      <c r="AF32" s="53" t="str">
        <f>IF(AND('Mapa final'!$AA$47="Media",'Mapa final'!$AC$47="Mayor"),CONCATENATE("R7C",'Mapa final'!$Q$47),"")</f>
        <v/>
      </c>
      <c r="AG32" s="54" t="str">
        <f>IF(AND('Mapa final'!$AA$48="Media",'Mapa final'!$AC$48="Mayor"),CONCATENATE("R7C",'Mapa final'!$Q$48),"")</f>
        <v/>
      </c>
      <c r="AH32" s="55" t="str">
        <f>IF(AND('Mapa final'!$AA$43="Media",'Mapa final'!$AC$43="Catastrófico"),CONCATENATE("R7C",'Mapa final'!$Q$43),"")</f>
        <v/>
      </c>
      <c r="AI32" s="56" t="str">
        <f>IF(AND('Mapa final'!$AA$44="Media",'Mapa final'!$AC$44="Catastrófico"),CONCATENATE("R7C",'Mapa final'!$Q$44),"")</f>
        <v/>
      </c>
      <c r="AJ32" s="56" t="str">
        <f>IF(AND('Mapa final'!$AA$45="Media",'Mapa final'!$AC$45="Catastrófico"),CONCATENATE("R7C",'Mapa final'!$Q$45),"")</f>
        <v/>
      </c>
      <c r="AK32" s="56" t="str">
        <f>IF(AND('Mapa final'!$AA$46="Media",'Mapa final'!$AC$46="Catastrófico"),CONCATENATE("R7C",'Mapa final'!$Q$46),"")</f>
        <v/>
      </c>
      <c r="AL32" s="56" t="str">
        <f>IF(AND('Mapa final'!$AA$47="Media",'Mapa final'!$AC$47="Catastrófico"),CONCATENATE("R7C",'Mapa final'!$Q$47),"")</f>
        <v/>
      </c>
      <c r="AM32" s="57" t="str">
        <f>IF(AND('Mapa final'!$AA$48="Media",'Mapa final'!$AC$48="Catastrófico"),CONCATENATE("R7C",'Mapa final'!$Q$48),"")</f>
        <v/>
      </c>
      <c r="AN32" s="83"/>
      <c r="AO32" s="385"/>
      <c r="AP32" s="386"/>
      <c r="AQ32" s="386"/>
      <c r="AR32" s="386"/>
      <c r="AS32" s="386"/>
      <c r="AT32" s="38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57"/>
      <c r="C33" s="257"/>
      <c r="D33" s="258"/>
      <c r="E33" s="356"/>
      <c r="F33" s="355"/>
      <c r="G33" s="355"/>
      <c r="H33" s="355"/>
      <c r="I33" s="371"/>
      <c r="J33" s="67" t="str">
        <f>IF(AND('Mapa final'!$AA$49="Media",'Mapa final'!$AC$49="Leve"),CONCATENATE("R8C",'Mapa final'!$Q$49),"")</f>
        <v/>
      </c>
      <c r="K33" s="68" t="str">
        <f>IF(AND('Mapa final'!$AA$50="Media",'Mapa final'!$AC$50="Leve"),CONCATENATE("R8C",'Mapa final'!$Q$50),"")</f>
        <v/>
      </c>
      <c r="L33" s="68" t="str">
        <f>IF(AND('Mapa final'!$AA$51="Media",'Mapa final'!$AC$51="Leve"),CONCATENATE("R8C",'Mapa final'!$Q$51),"")</f>
        <v/>
      </c>
      <c r="M33" s="68" t="str">
        <f>IF(AND('Mapa final'!$AA$52="Media",'Mapa final'!$AC$52="Leve"),CONCATENATE("R8C",'Mapa final'!$Q$52),"")</f>
        <v/>
      </c>
      <c r="N33" s="68" t="str">
        <f>IF(AND('Mapa final'!$AA$53="Media",'Mapa final'!$AC$53="Leve"),CONCATENATE("R8C",'Mapa final'!$Q$53),"")</f>
        <v/>
      </c>
      <c r="O33" s="69" t="str">
        <f>IF(AND('Mapa final'!$AA$54="Media",'Mapa final'!$AC$54="Leve"),CONCATENATE("R8C",'Mapa final'!$Q$54),"")</f>
        <v/>
      </c>
      <c r="P33" s="67" t="str">
        <f>IF(AND('Mapa final'!$AA$49="Media",'Mapa final'!$AC$49="Menor"),CONCATENATE("R8C",'Mapa final'!$Q$49),"")</f>
        <v/>
      </c>
      <c r="Q33" s="68" t="str">
        <f>IF(AND('Mapa final'!$AA$50="Media",'Mapa final'!$AC$50="Menor"),CONCATENATE("R8C",'Mapa final'!$Q$50),"")</f>
        <v/>
      </c>
      <c r="R33" s="68" t="str">
        <f>IF(AND('Mapa final'!$AA$51="Media",'Mapa final'!$AC$51="Menor"),CONCATENATE("R8C",'Mapa final'!$Q$51),"")</f>
        <v/>
      </c>
      <c r="S33" s="68" t="str">
        <f>IF(AND('Mapa final'!$AA$52="Media",'Mapa final'!$AC$52="Menor"),CONCATENATE("R8C",'Mapa final'!$Q$52),"")</f>
        <v/>
      </c>
      <c r="T33" s="68" t="str">
        <f>IF(AND('Mapa final'!$AA$53="Media",'Mapa final'!$AC$53="Menor"),CONCATENATE("R8C",'Mapa final'!$Q$53),"")</f>
        <v/>
      </c>
      <c r="U33" s="69" t="str">
        <f>IF(AND('Mapa final'!$AA$54="Media",'Mapa final'!$AC$54="Menor"),CONCATENATE("R8C",'Mapa final'!$Q$54),"")</f>
        <v/>
      </c>
      <c r="V33" s="67" t="str">
        <f>IF(AND('Mapa final'!$AA$49="Media",'Mapa final'!$AC$49="Moderado"),CONCATENATE("R8C",'Mapa final'!$Q$49),"")</f>
        <v/>
      </c>
      <c r="W33" s="68" t="str">
        <f>IF(AND('Mapa final'!$AA$50="Media",'Mapa final'!$AC$50="Moderado"),CONCATENATE("R8C",'Mapa final'!$Q$50),"")</f>
        <v/>
      </c>
      <c r="X33" s="68" t="str">
        <f>IF(AND('Mapa final'!$AA$51="Media",'Mapa final'!$AC$51="Moderado"),CONCATENATE("R8C",'Mapa final'!$Q$51),"")</f>
        <v/>
      </c>
      <c r="Y33" s="68" t="str">
        <f>IF(AND('Mapa final'!$AA$52="Media",'Mapa final'!$AC$52="Moderado"),CONCATENATE("R8C",'Mapa final'!$Q$52),"")</f>
        <v/>
      </c>
      <c r="Z33" s="68" t="str">
        <f>IF(AND('Mapa final'!$AA$53="Media",'Mapa final'!$AC$53="Moderado"),CONCATENATE("R8C",'Mapa final'!$Q$53),"")</f>
        <v/>
      </c>
      <c r="AA33" s="69" t="str">
        <f>IF(AND('Mapa final'!$AA$54="Media",'Mapa final'!$AC$54="Moderado"),CONCATENATE("R8C",'Mapa final'!$Q$54),"")</f>
        <v/>
      </c>
      <c r="AB33" s="52" t="str">
        <f>IF(AND('Mapa final'!$AA$49="Media",'Mapa final'!$AC$49="Mayor"),CONCATENATE("R8C",'Mapa final'!$Q$49),"")</f>
        <v/>
      </c>
      <c r="AC33" s="53" t="str">
        <f>IF(AND('Mapa final'!$AA$50="Media",'Mapa final'!$AC$50="Mayor"),CONCATENATE("R8C",'Mapa final'!$Q$50),"")</f>
        <v/>
      </c>
      <c r="AD33" s="53" t="str">
        <f>IF(AND('Mapa final'!$AA$51="Media",'Mapa final'!$AC$51="Mayor"),CONCATENATE("R8C",'Mapa final'!$Q$51),"")</f>
        <v/>
      </c>
      <c r="AE33" s="53" t="str">
        <f>IF(AND('Mapa final'!$AA$52="Media",'Mapa final'!$AC$52="Mayor"),CONCATENATE("R8C",'Mapa final'!$Q$52),"")</f>
        <v/>
      </c>
      <c r="AF33" s="53" t="str">
        <f>IF(AND('Mapa final'!$AA$53="Media",'Mapa final'!$AC$53="Mayor"),CONCATENATE("R8C",'Mapa final'!$Q$53),"")</f>
        <v/>
      </c>
      <c r="AG33" s="54" t="str">
        <f>IF(AND('Mapa final'!$AA$54="Media",'Mapa final'!$AC$54="Mayor"),CONCATENATE("R8C",'Mapa final'!$Q$54),"")</f>
        <v/>
      </c>
      <c r="AH33" s="55" t="str">
        <f>IF(AND('Mapa final'!$AA$49="Media",'Mapa final'!$AC$49="Catastrófico"),CONCATENATE("R8C",'Mapa final'!$Q$49),"")</f>
        <v/>
      </c>
      <c r="AI33" s="56" t="str">
        <f>IF(AND('Mapa final'!$AA$50="Media",'Mapa final'!$AC$50="Catastrófico"),CONCATENATE("R8C",'Mapa final'!$Q$50),"")</f>
        <v/>
      </c>
      <c r="AJ33" s="56" t="str">
        <f>IF(AND('Mapa final'!$AA$51="Media",'Mapa final'!$AC$51="Catastrófico"),CONCATENATE("R8C",'Mapa final'!$Q$51),"")</f>
        <v/>
      </c>
      <c r="AK33" s="56" t="str">
        <f>IF(AND('Mapa final'!$AA$52="Media",'Mapa final'!$AC$52="Catastrófico"),CONCATENATE("R8C",'Mapa final'!$Q$52),"")</f>
        <v/>
      </c>
      <c r="AL33" s="56" t="str">
        <f>IF(AND('Mapa final'!$AA$53="Media",'Mapa final'!$AC$53="Catastrófico"),CONCATENATE("R8C",'Mapa final'!$Q$53),"")</f>
        <v/>
      </c>
      <c r="AM33" s="57" t="str">
        <f>IF(AND('Mapa final'!$AA$54="Media",'Mapa final'!$AC$54="Catastrófico"),CONCATENATE("R8C",'Mapa final'!$Q$54),"")</f>
        <v/>
      </c>
      <c r="AN33" s="83"/>
      <c r="AO33" s="385"/>
      <c r="AP33" s="386"/>
      <c r="AQ33" s="386"/>
      <c r="AR33" s="386"/>
      <c r="AS33" s="386"/>
      <c r="AT33" s="38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57"/>
      <c r="C34" s="257"/>
      <c r="D34" s="258"/>
      <c r="E34" s="356"/>
      <c r="F34" s="355"/>
      <c r="G34" s="355"/>
      <c r="H34" s="355"/>
      <c r="I34" s="371"/>
      <c r="J34" s="67" t="str">
        <f>IF(AND('Mapa final'!$AA$55="Media",'Mapa final'!$AC$55="Leve"),CONCATENATE("R9C",'Mapa final'!$Q$55),"")</f>
        <v/>
      </c>
      <c r="K34" s="68" t="str">
        <f>IF(AND('Mapa final'!$AA$56="Media",'Mapa final'!$AC$56="Leve"),CONCATENATE("R9C",'Mapa final'!$Q$56),"")</f>
        <v/>
      </c>
      <c r="L34" s="68" t="str">
        <f>IF(AND('Mapa final'!$AA$57="Media",'Mapa final'!$AC$57="Leve"),CONCATENATE("R9C",'Mapa final'!$Q$57),"")</f>
        <v/>
      </c>
      <c r="M34" s="68" t="str">
        <f>IF(AND('Mapa final'!$AA$58="Media",'Mapa final'!$AC$58="Leve"),CONCATENATE("R9C",'Mapa final'!$Q$58),"")</f>
        <v/>
      </c>
      <c r="N34" s="68" t="str">
        <f>IF(AND('Mapa final'!$AA$59="Media",'Mapa final'!$AC$59="Leve"),CONCATENATE("R9C",'Mapa final'!$Q$59),"")</f>
        <v/>
      </c>
      <c r="O34" s="69" t="str">
        <f>IF(AND('Mapa final'!$AA$60="Media",'Mapa final'!$AC$60="Leve"),CONCATENATE("R9C",'Mapa final'!$Q$60),"")</f>
        <v/>
      </c>
      <c r="P34" s="67" t="str">
        <f>IF(AND('Mapa final'!$AA$55="Media",'Mapa final'!$AC$55="Menor"),CONCATENATE("R9C",'Mapa final'!$Q$55),"")</f>
        <v/>
      </c>
      <c r="Q34" s="68" t="str">
        <f>IF(AND('Mapa final'!$AA$56="Media",'Mapa final'!$AC$56="Menor"),CONCATENATE("R9C",'Mapa final'!$Q$56),"")</f>
        <v/>
      </c>
      <c r="R34" s="68" t="str">
        <f>IF(AND('Mapa final'!$AA$57="Media",'Mapa final'!$AC$57="Menor"),CONCATENATE("R9C",'Mapa final'!$Q$57),"")</f>
        <v/>
      </c>
      <c r="S34" s="68" t="str">
        <f>IF(AND('Mapa final'!$AA$58="Media",'Mapa final'!$AC$58="Menor"),CONCATENATE("R9C",'Mapa final'!$Q$58),"")</f>
        <v/>
      </c>
      <c r="T34" s="68" t="str">
        <f>IF(AND('Mapa final'!$AA$59="Media",'Mapa final'!$AC$59="Menor"),CONCATENATE("R9C",'Mapa final'!$Q$59),"")</f>
        <v/>
      </c>
      <c r="U34" s="69" t="str">
        <f>IF(AND('Mapa final'!$AA$60="Media",'Mapa final'!$AC$60="Menor"),CONCATENATE("R9C",'Mapa final'!$Q$60),"")</f>
        <v/>
      </c>
      <c r="V34" s="67" t="str">
        <f>IF(AND('Mapa final'!$AA$55="Media",'Mapa final'!$AC$55="Moderado"),CONCATENATE("R9C",'Mapa final'!$Q$55),"")</f>
        <v/>
      </c>
      <c r="W34" s="68" t="str">
        <f>IF(AND('Mapa final'!$AA$56="Media",'Mapa final'!$AC$56="Moderado"),CONCATENATE("R9C",'Mapa final'!$Q$56),"")</f>
        <v/>
      </c>
      <c r="X34" s="68" t="str">
        <f>IF(AND('Mapa final'!$AA$57="Media",'Mapa final'!$AC$57="Moderado"),CONCATENATE("R9C",'Mapa final'!$Q$57),"")</f>
        <v/>
      </c>
      <c r="Y34" s="68" t="str">
        <f>IF(AND('Mapa final'!$AA$58="Media",'Mapa final'!$AC$58="Moderado"),CONCATENATE("R9C",'Mapa final'!$Q$58),"")</f>
        <v/>
      </c>
      <c r="Z34" s="68" t="str">
        <f>IF(AND('Mapa final'!$AA$59="Media",'Mapa final'!$AC$59="Moderado"),CONCATENATE("R9C",'Mapa final'!$Q$59),"")</f>
        <v/>
      </c>
      <c r="AA34" s="69" t="str">
        <f>IF(AND('Mapa final'!$AA$60="Media",'Mapa final'!$AC$60="Moderado"),CONCATENATE("R9C",'Mapa final'!$Q$60),"")</f>
        <v/>
      </c>
      <c r="AB34" s="52" t="str">
        <f>IF(AND('Mapa final'!$AA$55="Media",'Mapa final'!$AC$55="Mayor"),CONCATENATE("R9C",'Mapa final'!$Q$55),"")</f>
        <v/>
      </c>
      <c r="AC34" s="53" t="str">
        <f>IF(AND('Mapa final'!$AA$56="Media",'Mapa final'!$AC$56="Mayor"),CONCATENATE("R9C",'Mapa final'!$Q$56),"")</f>
        <v/>
      </c>
      <c r="AD34" s="53" t="str">
        <f>IF(AND('Mapa final'!$AA$57="Media",'Mapa final'!$AC$57="Mayor"),CONCATENATE("R9C",'Mapa final'!$Q$57),"")</f>
        <v/>
      </c>
      <c r="AE34" s="53" t="str">
        <f>IF(AND('Mapa final'!$AA$58="Media",'Mapa final'!$AC$58="Mayor"),CONCATENATE("R9C",'Mapa final'!$Q$58),"")</f>
        <v/>
      </c>
      <c r="AF34" s="53" t="str">
        <f>IF(AND('Mapa final'!$AA$59="Media",'Mapa final'!$AC$59="Mayor"),CONCATENATE("R9C",'Mapa final'!$Q$59),"")</f>
        <v/>
      </c>
      <c r="AG34" s="54" t="str">
        <f>IF(AND('Mapa final'!$AA$60="Media",'Mapa final'!$AC$60="Mayor"),CONCATENATE("R9C",'Mapa final'!$Q$60),"")</f>
        <v/>
      </c>
      <c r="AH34" s="55" t="str">
        <f>IF(AND('Mapa final'!$AA$55="Media",'Mapa final'!$AC$55="Catastrófico"),CONCATENATE("R9C",'Mapa final'!$Q$55),"")</f>
        <v/>
      </c>
      <c r="AI34" s="56" t="str">
        <f>IF(AND('Mapa final'!$AA$56="Media",'Mapa final'!$AC$56="Catastrófico"),CONCATENATE("R9C",'Mapa final'!$Q$56),"")</f>
        <v/>
      </c>
      <c r="AJ34" s="56" t="str">
        <f>IF(AND('Mapa final'!$AA$57="Media",'Mapa final'!$AC$57="Catastrófico"),CONCATENATE("R9C",'Mapa final'!$Q$57),"")</f>
        <v/>
      </c>
      <c r="AK34" s="56" t="str">
        <f>IF(AND('Mapa final'!$AA$58="Media",'Mapa final'!$AC$58="Catastrófico"),CONCATENATE("R9C",'Mapa final'!$Q$58),"")</f>
        <v/>
      </c>
      <c r="AL34" s="56" t="str">
        <f>IF(AND('Mapa final'!$AA$59="Media",'Mapa final'!$AC$59="Catastrófico"),CONCATENATE("R9C",'Mapa final'!$Q$59),"")</f>
        <v/>
      </c>
      <c r="AM34" s="57" t="str">
        <f>IF(AND('Mapa final'!$AA$60="Media",'Mapa final'!$AC$60="Catastrófico"),CONCATENATE("R9C",'Mapa final'!$Q$60),"")</f>
        <v/>
      </c>
      <c r="AN34" s="83"/>
      <c r="AO34" s="385"/>
      <c r="AP34" s="386"/>
      <c r="AQ34" s="386"/>
      <c r="AR34" s="386"/>
      <c r="AS34" s="386"/>
      <c r="AT34" s="38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57"/>
      <c r="C35" s="257"/>
      <c r="D35" s="258"/>
      <c r="E35" s="357"/>
      <c r="F35" s="358"/>
      <c r="G35" s="358"/>
      <c r="H35" s="358"/>
      <c r="I35" s="372"/>
      <c r="J35" s="67" t="str">
        <f>IF(AND('Mapa final'!$AA$61="Media",'Mapa final'!$AC$61="Leve"),CONCATENATE("R10C",'Mapa final'!$Q$61),"")</f>
        <v/>
      </c>
      <c r="K35" s="68" t="str">
        <f>IF(AND('Mapa final'!$AA$62="Media",'Mapa final'!$AC$62="Leve"),CONCATENATE("R10C",'Mapa final'!$Q$62),"")</f>
        <v/>
      </c>
      <c r="L35" s="68" t="str">
        <f>IF(AND('Mapa final'!$AA$63="Media",'Mapa final'!$AC$63="Leve"),CONCATENATE("R10C",'Mapa final'!$Q$63),"")</f>
        <v/>
      </c>
      <c r="M35" s="68" t="str">
        <f>IF(AND('Mapa final'!$AA$64="Media",'Mapa final'!$AC$64="Leve"),CONCATENATE("R10C",'Mapa final'!$Q$64),"")</f>
        <v/>
      </c>
      <c r="N35" s="68" t="str">
        <f>IF(AND('Mapa final'!$AA$65="Media",'Mapa final'!$AC$65="Leve"),CONCATENATE("R10C",'Mapa final'!$Q$65),"")</f>
        <v/>
      </c>
      <c r="O35" s="69" t="str">
        <f>IF(AND('Mapa final'!$AA$66="Media",'Mapa final'!$AC$66="Leve"),CONCATENATE("R10C",'Mapa final'!$Q$66),"")</f>
        <v/>
      </c>
      <c r="P35" s="67" t="str">
        <f>IF(AND('Mapa final'!$AA$61="Media",'Mapa final'!$AC$61="Menor"),CONCATENATE("R10C",'Mapa final'!$Q$61),"")</f>
        <v/>
      </c>
      <c r="Q35" s="68" t="str">
        <f>IF(AND('Mapa final'!$AA$62="Media",'Mapa final'!$AC$62="Menor"),CONCATENATE("R10C",'Mapa final'!$Q$62),"")</f>
        <v/>
      </c>
      <c r="R35" s="68" t="str">
        <f>IF(AND('Mapa final'!$AA$63="Media",'Mapa final'!$AC$63="Menor"),CONCATENATE("R10C",'Mapa final'!$Q$63),"")</f>
        <v/>
      </c>
      <c r="S35" s="68" t="str">
        <f>IF(AND('Mapa final'!$AA$64="Media",'Mapa final'!$AC$64="Menor"),CONCATENATE("R10C",'Mapa final'!$Q$64),"")</f>
        <v/>
      </c>
      <c r="T35" s="68" t="str">
        <f>IF(AND('Mapa final'!$AA$65="Media",'Mapa final'!$AC$65="Menor"),CONCATENATE("R10C",'Mapa final'!$Q$65),"")</f>
        <v/>
      </c>
      <c r="U35" s="69" t="str">
        <f>IF(AND('Mapa final'!$AA$66="Media",'Mapa final'!$AC$66="Menor"),CONCATENATE("R10C",'Mapa final'!$Q$66),"")</f>
        <v/>
      </c>
      <c r="V35" s="67" t="str">
        <f>IF(AND('Mapa final'!$AA$61="Media",'Mapa final'!$AC$61="Moderado"),CONCATENATE("R10C",'Mapa final'!$Q$61),"")</f>
        <v/>
      </c>
      <c r="W35" s="68" t="str">
        <f>IF(AND('Mapa final'!$AA$62="Media",'Mapa final'!$AC$62="Moderado"),CONCATENATE("R10C",'Mapa final'!$Q$62),"")</f>
        <v/>
      </c>
      <c r="X35" s="68" t="str">
        <f>IF(AND('Mapa final'!$AA$63="Media",'Mapa final'!$AC$63="Moderado"),CONCATENATE("R10C",'Mapa final'!$Q$63),"")</f>
        <v/>
      </c>
      <c r="Y35" s="68" t="str">
        <f>IF(AND('Mapa final'!$AA$64="Media",'Mapa final'!$AC$64="Moderado"),CONCATENATE("R10C",'Mapa final'!$Q$64),"")</f>
        <v/>
      </c>
      <c r="Z35" s="68" t="str">
        <f>IF(AND('Mapa final'!$AA$65="Media",'Mapa final'!$AC$65="Moderado"),CONCATENATE("R10C",'Mapa final'!$Q$65),"")</f>
        <v/>
      </c>
      <c r="AA35" s="69" t="str">
        <f>IF(AND('Mapa final'!$AA$66="Media",'Mapa final'!$AC$66="Moderado"),CONCATENATE("R10C",'Mapa final'!$Q$66),"")</f>
        <v/>
      </c>
      <c r="AB35" s="58" t="str">
        <f>IF(AND('Mapa final'!$AA$61="Media",'Mapa final'!$AC$61="Mayor"),CONCATENATE("R10C",'Mapa final'!$Q$61),"")</f>
        <v/>
      </c>
      <c r="AC35" s="59" t="str">
        <f>IF(AND('Mapa final'!$AA$62="Media",'Mapa final'!$AC$62="Mayor"),CONCATENATE("R10C",'Mapa final'!$Q$62),"")</f>
        <v/>
      </c>
      <c r="AD35" s="59" t="str">
        <f>IF(AND('Mapa final'!$AA$63="Media",'Mapa final'!$AC$63="Mayor"),CONCATENATE("R10C",'Mapa final'!$Q$63),"")</f>
        <v/>
      </c>
      <c r="AE35" s="59" t="str">
        <f>IF(AND('Mapa final'!$AA$64="Media",'Mapa final'!$AC$64="Mayor"),CONCATENATE("R10C",'Mapa final'!$Q$64),"")</f>
        <v/>
      </c>
      <c r="AF35" s="59" t="str">
        <f>IF(AND('Mapa final'!$AA$65="Media",'Mapa final'!$AC$65="Mayor"),CONCATENATE("R10C",'Mapa final'!$Q$65),"")</f>
        <v/>
      </c>
      <c r="AG35" s="60" t="str">
        <f>IF(AND('Mapa final'!$AA$66="Media",'Mapa final'!$AC$66="Mayor"),CONCATENATE("R10C",'Mapa final'!$Q$66),"")</f>
        <v/>
      </c>
      <c r="AH35" s="61" t="str">
        <f>IF(AND('Mapa final'!$AA$61="Media",'Mapa final'!$AC$61="Catastrófico"),CONCATENATE("R10C",'Mapa final'!$Q$61),"")</f>
        <v/>
      </c>
      <c r="AI35" s="62" t="str">
        <f>IF(AND('Mapa final'!$AA$62="Media",'Mapa final'!$AC$62="Catastrófico"),CONCATENATE("R10C",'Mapa final'!$Q$62),"")</f>
        <v/>
      </c>
      <c r="AJ35" s="62" t="str">
        <f>IF(AND('Mapa final'!$AA$63="Media",'Mapa final'!$AC$63="Catastrófico"),CONCATENATE("R10C",'Mapa final'!$Q$63),"")</f>
        <v/>
      </c>
      <c r="AK35" s="62" t="str">
        <f>IF(AND('Mapa final'!$AA$64="Media",'Mapa final'!$AC$64="Catastrófico"),CONCATENATE("R10C",'Mapa final'!$Q$64),"")</f>
        <v/>
      </c>
      <c r="AL35" s="62" t="str">
        <f>IF(AND('Mapa final'!$AA$65="Media",'Mapa final'!$AC$65="Catastrófico"),CONCATENATE("R10C",'Mapa final'!$Q$65),"")</f>
        <v/>
      </c>
      <c r="AM35" s="63" t="str">
        <f>IF(AND('Mapa final'!$AA$66="Media",'Mapa final'!$AC$66="Catastrófico"),CONCATENATE("R10C",'Mapa final'!$Q$66),"")</f>
        <v/>
      </c>
      <c r="AN35" s="83"/>
      <c r="AO35" s="388"/>
      <c r="AP35" s="389"/>
      <c r="AQ35" s="389"/>
      <c r="AR35" s="389"/>
      <c r="AS35" s="389"/>
      <c r="AT35" s="39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57"/>
      <c r="C36" s="257"/>
      <c r="D36" s="258"/>
      <c r="E36" s="352" t="s">
        <v>114</v>
      </c>
      <c r="F36" s="353"/>
      <c r="G36" s="353"/>
      <c r="H36" s="353"/>
      <c r="I36" s="353"/>
      <c r="J36" s="73" t="str">
        <f ca="1">IF(AND('Mapa final'!$AA$10="Baja",'Mapa final'!$AC$10="Leve"),CONCATENATE("R1C",'Mapa final'!$Q$10),"")</f>
        <v/>
      </c>
      <c r="K36" s="74" t="str">
        <f ca="1">IF(AND('Mapa final'!$AA$11="Baja",'Mapa final'!$AC$11="Leve"),CONCATENATE("R1C",'Mapa final'!$Q$11),"")</f>
        <v/>
      </c>
      <c r="L36" s="74" t="str">
        <f ca="1">IF(AND('Mapa final'!$AA$12="Baja",'Mapa final'!$AC$12="Leve"),CONCATENATE("R1C",'Mapa final'!$Q$12),"")</f>
        <v/>
      </c>
      <c r="M36" s="74" t="e">
        <f>IF(AND('Mapa final'!#REF!="Baja",'Mapa final'!#REF!="Leve"),CONCATENATE("R1C",'Mapa final'!#REF!),"")</f>
        <v>#REF!</v>
      </c>
      <c r="N36" s="74" t="e">
        <f>IF(AND('Mapa final'!#REF!="Baja",'Mapa final'!#REF!="Leve"),CONCATENATE("R1C",'Mapa final'!#REF!),"")</f>
        <v>#REF!</v>
      </c>
      <c r="O36" s="75" t="e">
        <f>IF(AND('Mapa final'!#REF!="Baja",'Mapa final'!#REF!="Leve"),CONCATENATE("R1C",'Mapa final'!#REF!),"")</f>
        <v>#REF!</v>
      </c>
      <c r="P36" s="64" t="str">
        <f ca="1">IF(AND('Mapa final'!$AA$10="Baja",'Mapa final'!$AC$10="Menor"),CONCATENATE("R1C",'Mapa final'!$Q$10),"")</f>
        <v/>
      </c>
      <c r="Q36" s="65" t="str">
        <f ca="1">IF(AND('Mapa final'!$AA$11="Baja",'Mapa final'!$AC$11="Menor"),CONCATENATE("R1C",'Mapa final'!$Q$11),"")</f>
        <v/>
      </c>
      <c r="R36" s="65" t="str">
        <f ca="1">IF(AND('Mapa final'!$AA$12="Baja",'Mapa final'!$AC$12="Menor"),CONCATENATE("R1C",'Mapa final'!$Q$12),"")</f>
        <v/>
      </c>
      <c r="S36" s="65" t="e">
        <f>IF(AND('Mapa final'!#REF!="Baja",'Mapa final'!#REF!="Menor"),CONCATENATE("R1C",'Mapa final'!#REF!),"")</f>
        <v>#REF!</v>
      </c>
      <c r="T36" s="65" t="e">
        <f>IF(AND('Mapa final'!#REF!="Baja",'Mapa final'!#REF!="Menor"),CONCATENATE("R1C",'Mapa final'!#REF!),"")</f>
        <v>#REF!</v>
      </c>
      <c r="U36" s="66" t="e">
        <f>IF(AND('Mapa final'!#REF!="Baja",'Mapa final'!#REF!="Menor"),CONCATENATE("R1C",'Mapa final'!#REF!),"")</f>
        <v>#REF!</v>
      </c>
      <c r="V36" s="64" t="str">
        <f ca="1">IF(AND('Mapa final'!$AA$10="Baja",'Mapa final'!$AC$10="Moderado"),CONCATENATE("R1C",'Mapa final'!$Q$10),"")</f>
        <v/>
      </c>
      <c r="W36" s="65" t="str">
        <f ca="1">IF(AND('Mapa final'!$AA$11="Baja",'Mapa final'!$AC$11="Moderado"),CONCATENATE("R1C",'Mapa final'!$Q$11),"")</f>
        <v/>
      </c>
      <c r="X36" s="65" t="str">
        <f ca="1">IF(AND('Mapa final'!$AA$12="Baja",'Mapa final'!$AC$12="Moderado"),CONCATENATE("R1C",'Mapa final'!$Q$12),"")</f>
        <v/>
      </c>
      <c r="Y36" s="65" t="e">
        <f>IF(AND('Mapa final'!#REF!="Baja",'Mapa final'!#REF!="Moderado"),CONCATENATE("R1C",'Mapa final'!#REF!),"")</f>
        <v>#REF!</v>
      </c>
      <c r="Z36" s="65" t="e">
        <f>IF(AND('Mapa final'!#REF!="Baja",'Mapa final'!#REF!="Moderado"),CONCATENATE("R1C",'Mapa final'!#REF!),"")</f>
        <v>#REF!</v>
      </c>
      <c r="AA36" s="66" t="e">
        <f>IF(AND('Mapa final'!#REF!="Baja",'Mapa final'!#REF!="Moderado"),CONCATENATE("R1C",'Mapa final'!#REF!),"")</f>
        <v>#REF!</v>
      </c>
      <c r="AB36" s="46" t="str">
        <f ca="1">IF(AND('Mapa final'!$AA$10="Baja",'Mapa final'!$AC$10="Mayor"),CONCATENATE("R1C",'Mapa final'!$Q$10),"")</f>
        <v>R1C1</v>
      </c>
      <c r="AC36" s="47" t="str">
        <f ca="1">IF(AND('Mapa final'!$AA$11="Baja",'Mapa final'!$AC$11="Mayor"),CONCATENATE("R1C",'Mapa final'!$Q$11),"")</f>
        <v/>
      </c>
      <c r="AD36" s="47" t="str">
        <f ca="1">IF(AND('Mapa final'!$AA$12="Baja",'Mapa final'!$AC$12="Mayor"),CONCATENATE("R1C",'Mapa final'!$Q$12),"")</f>
        <v/>
      </c>
      <c r="AE36" s="47" t="e">
        <f>IF(AND('Mapa final'!#REF!="Baja",'Mapa final'!#REF!="Mayor"),CONCATENATE("R1C",'Mapa final'!#REF!),"")</f>
        <v>#REF!</v>
      </c>
      <c r="AF36" s="47" t="e">
        <f>IF(AND('Mapa final'!#REF!="Baja",'Mapa final'!#REF!="Mayor"),CONCATENATE("R1C",'Mapa final'!#REF!),"")</f>
        <v>#REF!</v>
      </c>
      <c r="AG36" s="48" t="e">
        <f>IF(AND('Mapa final'!#REF!="Baja",'Mapa final'!#REF!="Mayor"),CONCATENATE("R1C",'Mapa final'!#REF!),"")</f>
        <v>#REF!</v>
      </c>
      <c r="AH36" s="49" t="str">
        <f ca="1">IF(AND('Mapa final'!$AA$10="Baja",'Mapa final'!$AC$10="Catastrófico"),CONCATENATE("R1C",'Mapa final'!$Q$10),"")</f>
        <v/>
      </c>
      <c r="AI36" s="50" t="str">
        <f ca="1">IF(AND('Mapa final'!$AA$11="Baja",'Mapa final'!$AC$11="Catastrófico"),CONCATENATE("R1C",'Mapa final'!$Q$11),"")</f>
        <v/>
      </c>
      <c r="AJ36" s="50" t="str">
        <f ca="1">IF(AND('Mapa final'!$AA$12="Baja",'Mapa final'!$AC$12="Catastrófico"),CONCATENATE("R1C",'Mapa final'!$Q$12),"")</f>
        <v/>
      </c>
      <c r="AK36" s="50" t="e">
        <f>IF(AND('Mapa final'!#REF!="Baja",'Mapa final'!#REF!="Catastrófico"),CONCATENATE("R1C",'Mapa final'!#REF!),"")</f>
        <v>#REF!</v>
      </c>
      <c r="AL36" s="50" t="e">
        <f>IF(AND('Mapa final'!#REF!="Baja",'Mapa final'!#REF!="Catastrófico"),CONCATENATE("R1C",'Mapa final'!#REF!),"")</f>
        <v>#REF!</v>
      </c>
      <c r="AM36" s="51" t="e">
        <f>IF(AND('Mapa final'!#REF!="Baja",'Mapa final'!#REF!="Catastrófico"),CONCATENATE("R1C",'Mapa final'!#REF!),"")</f>
        <v>#REF!</v>
      </c>
      <c r="AN36" s="83"/>
      <c r="AO36" s="373" t="s">
        <v>82</v>
      </c>
      <c r="AP36" s="374"/>
      <c r="AQ36" s="374"/>
      <c r="AR36" s="374"/>
      <c r="AS36" s="374"/>
      <c r="AT36" s="37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57"/>
      <c r="C37" s="257"/>
      <c r="D37" s="258"/>
      <c r="E37" s="354"/>
      <c r="F37" s="355"/>
      <c r="G37" s="355"/>
      <c r="H37" s="355"/>
      <c r="I37" s="355"/>
      <c r="J37" s="76" t="str">
        <f>IF(AND([1]Hoja1!$X$2="Baja",[1]Hoja1!$Z$2="Leve"),CONCATENATE("R2C",[1]Hoja1!$N$2),"")</f>
        <v/>
      </c>
      <c r="K37" s="77" t="str">
        <f>IF(AND([1]Hoja1!$X$3="Baja",[1]Hoja1!$Z$3="Leve"),CONCATENATE("R2C",[1]Hoja1!$N$3),"")</f>
        <v/>
      </c>
      <c r="L37" s="77" t="str">
        <f>IF(AND([1]Hoja1!$X$4="Baja",[1]Hoja1!$Z$4="Leve"),CONCATENATE("R2C",[1]Hoja1!$N$4),"")</f>
        <v/>
      </c>
      <c r="M37" s="77" t="str">
        <f>IF(AND([1]Hoja1!$X$5="Baja",[1]Hoja1!$Z$5="Leve"),CONCATENATE("R2C",[1]Hoja1!$N$5),"")</f>
        <v/>
      </c>
      <c r="N37" s="77" t="str">
        <f>IF(AND([1]Hoja1!$X$6="Baja",[1]Hoja1!$Z$6="Leve"),CONCATENATE("R2C",[1]Hoja1!$N$6),"")</f>
        <v/>
      </c>
      <c r="O37" s="78" t="str">
        <f>IF(AND([1]Hoja1!$X$7="Baja",[1]Hoja1!$Z$7="Leve"),CONCATENATE("R2C",[1]Hoja1!$N$7),"")</f>
        <v/>
      </c>
      <c r="P37" s="67" t="str">
        <f>IF(AND([1]Hoja1!$X$2="Baja",[1]Hoja1!$Z$2="Menor"),CONCATENATE("R2C",[1]Hoja1!$N$2),"")</f>
        <v/>
      </c>
      <c r="Q37" s="68" t="str">
        <f>IF(AND([1]Hoja1!$X$3="Baja",[1]Hoja1!$Z$3="Menor"),CONCATENATE("R2C",[1]Hoja1!$N$3),"")</f>
        <v/>
      </c>
      <c r="R37" s="68" t="str">
        <f>IF(AND([1]Hoja1!$X$4="Baja",[1]Hoja1!$Z$4="Menor"),CONCATENATE("R2C",[1]Hoja1!$N$4),"")</f>
        <v/>
      </c>
      <c r="S37" s="68" t="str">
        <f>IF(AND([1]Hoja1!$X$5="Baja",[1]Hoja1!$Z$5="Menor"),CONCATENATE("R2C",[1]Hoja1!$N$5),"")</f>
        <v/>
      </c>
      <c r="T37" s="68" t="str">
        <f>IF(AND([1]Hoja1!$X$6="Baja",[1]Hoja1!$Z$6="Menor"),CONCATENATE("R2C",[1]Hoja1!$N$6),"")</f>
        <v/>
      </c>
      <c r="U37" s="69" t="str">
        <f>IF(AND([1]Hoja1!$X$7="Baja",[1]Hoja1!$Z$7="Menor"),CONCATENATE("R2C",[1]Hoja1!$N$7),"")</f>
        <v/>
      </c>
      <c r="V37" s="67" t="str">
        <f>IF(AND([1]Hoja1!$X$2="Baja",[1]Hoja1!$Z$2="Moderado"),CONCATENATE("R2C",[1]Hoja1!$N$2),"")</f>
        <v/>
      </c>
      <c r="W37" s="68" t="str">
        <f>IF(AND([1]Hoja1!$X$3="Baja",[1]Hoja1!$Z$3="Moderado"),CONCATENATE("R2C",[1]Hoja1!$N$3),"")</f>
        <v/>
      </c>
      <c r="X37" s="68" t="str">
        <f>IF(AND([1]Hoja1!$X$4="Baja",[1]Hoja1!$Z$4="Moderado"),CONCATENATE("R2C",[1]Hoja1!$N$4),"")</f>
        <v/>
      </c>
      <c r="Y37" s="68" t="str">
        <f>IF(AND([1]Hoja1!$X$5="Baja",[1]Hoja1!$Z$5="Moderado"),CONCATENATE("R2C",[1]Hoja1!$N$5),"")</f>
        <v/>
      </c>
      <c r="Z37" s="68" t="str">
        <f>IF(AND([1]Hoja1!$X$6="Baja",[1]Hoja1!$Z$6="Moderado"),CONCATENATE("R2C",[1]Hoja1!$N$6),"")</f>
        <v/>
      </c>
      <c r="AA37" s="69" t="str">
        <f>IF(AND([1]Hoja1!$X$7="Baja",[1]Hoja1!$Z$7="Moderado"),CONCATENATE("R2C",[1]Hoja1!$N$7),"")</f>
        <v/>
      </c>
      <c r="AB37" s="52" t="str">
        <f>IF(AND([1]Hoja1!$X$2="Baja",[1]Hoja1!$Z$2="Mayor"),CONCATENATE("R2C",[1]Hoja1!$N$2),"")</f>
        <v>R2C1</v>
      </c>
      <c r="AC37" s="53" t="str">
        <f>IF(AND([1]Hoja1!$X$3="Baja",[1]Hoja1!$Z$3="Mayor"),CONCATENATE("R2C",[1]Hoja1!$N$3),"")</f>
        <v>R2C2</v>
      </c>
      <c r="AD37" s="53" t="str">
        <f>IF(AND([1]Hoja1!$X$4="Baja",[1]Hoja1!$Z$4="Mayor"),CONCATENATE("R2C",[1]Hoja1!$N$4),"")</f>
        <v/>
      </c>
      <c r="AE37" s="53" t="str">
        <f>IF(AND([1]Hoja1!$X$5="Baja",[1]Hoja1!$Z$5="Mayor"),CONCATENATE("R2C",[1]Hoja1!$N$5),"")</f>
        <v/>
      </c>
      <c r="AF37" s="53" t="str">
        <f>IF(AND([1]Hoja1!$X$6="Baja",[1]Hoja1!$Z$6="Mayor"),CONCATENATE("R2C",[1]Hoja1!$N$6),"")</f>
        <v/>
      </c>
      <c r="AG37" s="54" t="str">
        <f>IF(AND([1]Hoja1!$X$7="Baja",[1]Hoja1!$Z$7="Mayor"),CONCATENATE("R2C",[1]Hoja1!$N$7),"")</f>
        <v/>
      </c>
      <c r="AH37" s="55" t="str">
        <f>IF(AND([1]Hoja1!$X$2="Baja",[1]Hoja1!$Z$2="Catastrófico"),CONCATENATE("R2C",[1]Hoja1!$N$2),"")</f>
        <v/>
      </c>
      <c r="AI37" s="56" t="str">
        <f>IF(AND([1]Hoja1!$X$3="Baja",[1]Hoja1!$Z$3="Catastrófico"),CONCATENATE("R2C",[1]Hoja1!$N$3),"")</f>
        <v/>
      </c>
      <c r="AJ37" s="56" t="str">
        <f>IF(AND([1]Hoja1!$X$4="Baja",[1]Hoja1!$Z$4="Catastrófico"),CONCATENATE("R2C",[1]Hoja1!$N$4),"")</f>
        <v/>
      </c>
      <c r="AK37" s="56" t="str">
        <f>IF(AND([1]Hoja1!$X$5="Baja",[1]Hoja1!$Z$5="Catastrófico"),CONCATENATE("R2C",[1]Hoja1!$N$5),"")</f>
        <v/>
      </c>
      <c r="AL37" s="56" t="str">
        <f>IF(AND([1]Hoja1!$X$6="Baja",[1]Hoja1!$Z$6="Catastrófico"),CONCATENATE("R2C",[1]Hoja1!$N$6),"")</f>
        <v/>
      </c>
      <c r="AM37" s="57" t="str">
        <f>IF(AND([1]Hoja1!$X$7="Baja",[1]Hoja1!$Z$7="Catastrófico"),CONCATENATE("R2C",[1]Hoja1!$N$7),"")</f>
        <v/>
      </c>
      <c r="AN37" s="83"/>
      <c r="AO37" s="376"/>
      <c r="AP37" s="377"/>
      <c r="AQ37" s="377"/>
      <c r="AR37" s="377"/>
      <c r="AS37" s="377"/>
      <c r="AT37" s="37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57"/>
      <c r="C38" s="257"/>
      <c r="D38" s="258"/>
      <c r="E38" s="356"/>
      <c r="F38" s="355"/>
      <c r="G38" s="355"/>
      <c r="H38" s="355"/>
      <c r="I38" s="355"/>
      <c r="J38" s="76" t="str">
        <f>IF(AND('Mapa final'!$AA$19="Baja",'Mapa final'!$AC$19="Leve"),CONCATENATE("R3C",'Mapa final'!$Q$19),"")</f>
        <v/>
      </c>
      <c r="K38" s="77" t="str">
        <f>IF(AND('Mapa final'!$AA$20="Baja",'Mapa final'!$AC$20="Leve"),CONCATENATE("R3C",'Mapa final'!$Q$20),"")</f>
        <v/>
      </c>
      <c r="L38" s="77" t="str">
        <f>IF(AND('Mapa final'!$AA$21="Baja",'Mapa final'!$AC$21="Leve"),CONCATENATE("R3C",'Mapa final'!$Q$21),"")</f>
        <v/>
      </c>
      <c r="M38" s="77" t="str">
        <f>IF(AND('Mapa final'!$AA$22="Baja",'Mapa final'!$AC$22="Leve"),CONCATENATE("R3C",'Mapa final'!$Q$22),"")</f>
        <v/>
      </c>
      <c r="N38" s="77" t="str">
        <f>IF(AND('Mapa final'!$AA$23="Baja",'Mapa final'!$AC$23="Leve"),CONCATENATE("R3C",'Mapa final'!$Q$23),"")</f>
        <v/>
      </c>
      <c r="O38" s="78" t="str">
        <f>IF(AND('Mapa final'!$AA$24="Baja",'Mapa final'!$AC$24="Leve"),CONCATENATE("R3C",'Mapa final'!$Q$24),"")</f>
        <v/>
      </c>
      <c r="P38" s="67" t="str">
        <f>IF(AND('Mapa final'!$AA$19="Baja",'Mapa final'!$AC$19="Menor"),CONCATENATE("R3C",'Mapa final'!$Q$19),"")</f>
        <v/>
      </c>
      <c r="Q38" s="68" t="str">
        <f>IF(AND('Mapa final'!$AA$20="Baja",'Mapa final'!$AC$20="Menor"),CONCATENATE("R3C",'Mapa final'!$Q$20),"")</f>
        <v/>
      </c>
      <c r="R38" s="68" t="str">
        <f>IF(AND('Mapa final'!$AA$21="Baja",'Mapa final'!$AC$21="Menor"),CONCATENATE("R3C",'Mapa final'!$Q$21),"")</f>
        <v/>
      </c>
      <c r="S38" s="68" t="str">
        <f>IF(AND('Mapa final'!$AA$22="Baja",'Mapa final'!$AC$22="Menor"),CONCATENATE("R3C",'Mapa final'!$Q$22),"")</f>
        <v/>
      </c>
      <c r="T38" s="68" t="str">
        <f>IF(AND('Mapa final'!$AA$23="Baja",'Mapa final'!$AC$23="Menor"),CONCATENATE("R3C",'Mapa final'!$Q$23),"")</f>
        <v/>
      </c>
      <c r="U38" s="69" t="str">
        <f>IF(AND('Mapa final'!$AA$24="Baja",'Mapa final'!$AC$24="Menor"),CONCATENATE("R3C",'Mapa final'!$Q$24),"")</f>
        <v/>
      </c>
      <c r="V38" s="67" t="str">
        <f>IF(AND('Mapa final'!$AA$19="Baja",'Mapa final'!$AC$19="Moderado"),CONCATENATE("R3C",'Mapa final'!$Q$19),"")</f>
        <v/>
      </c>
      <c r="W38" s="68" t="str">
        <f>IF(AND('Mapa final'!$AA$20="Baja",'Mapa final'!$AC$20="Moderado"),CONCATENATE("R3C",'Mapa final'!$Q$20),"")</f>
        <v/>
      </c>
      <c r="X38" s="68" t="str">
        <f>IF(AND('Mapa final'!$AA$21="Baja",'Mapa final'!$AC$21="Moderado"),CONCATENATE("R3C",'Mapa final'!$Q$21),"")</f>
        <v/>
      </c>
      <c r="Y38" s="68" t="str">
        <f>IF(AND('Mapa final'!$AA$22="Baja",'Mapa final'!$AC$22="Moderado"),CONCATENATE("R3C",'Mapa final'!$Q$22),"")</f>
        <v/>
      </c>
      <c r="Z38" s="68" t="str">
        <f>IF(AND('Mapa final'!$AA$23="Baja",'Mapa final'!$AC$23="Moderado"),CONCATENATE("R3C",'Mapa final'!$Q$23),"")</f>
        <v/>
      </c>
      <c r="AA38" s="69" t="str">
        <f>IF(AND('Mapa final'!$AA$24="Baja",'Mapa final'!$AC$24="Moderado"),CONCATENATE("R3C",'Mapa final'!$Q$24),"")</f>
        <v/>
      </c>
      <c r="AB38" s="52" t="str">
        <f>IF(AND('Mapa final'!$AA$19="Baja",'Mapa final'!$AC$19="Mayor"),CONCATENATE("R3C",'Mapa final'!$Q$19),"")</f>
        <v/>
      </c>
      <c r="AC38" s="53" t="str">
        <f>IF(AND('Mapa final'!$AA$20="Baja",'Mapa final'!$AC$20="Mayor"),CONCATENATE("R3C",'Mapa final'!$Q$20),"")</f>
        <v/>
      </c>
      <c r="AD38" s="53" t="str">
        <f>IF(AND('Mapa final'!$AA$21="Baja",'Mapa final'!$AC$21="Mayor"),CONCATENATE("R3C",'Mapa final'!$Q$21),"")</f>
        <v/>
      </c>
      <c r="AE38" s="53" t="str">
        <f>IF(AND('Mapa final'!$AA$22="Baja",'Mapa final'!$AC$22="Mayor"),CONCATENATE("R3C",'Mapa final'!$Q$22),"")</f>
        <v/>
      </c>
      <c r="AF38" s="53" t="str">
        <f>IF(AND('Mapa final'!$AA$23="Baja",'Mapa final'!$AC$23="Mayor"),CONCATENATE("R3C",'Mapa final'!$Q$23),"")</f>
        <v/>
      </c>
      <c r="AG38" s="54" t="str">
        <f>IF(AND('Mapa final'!$AA$24="Baja",'Mapa final'!$AC$24="Mayor"),CONCATENATE("R3C",'Mapa final'!$Q$24),"")</f>
        <v/>
      </c>
      <c r="AH38" s="55" t="str">
        <f>IF(AND('Mapa final'!$AA$19="Baja",'Mapa final'!$AC$19="Catastrófico"),CONCATENATE("R3C",'Mapa final'!$Q$19),"")</f>
        <v/>
      </c>
      <c r="AI38" s="56" t="str">
        <f>IF(AND('Mapa final'!$AA$20="Baja",'Mapa final'!$AC$20="Catastrófico"),CONCATENATE("R3C",'Mapa final'!$Q$20),"")</f>
        <v/>
      </c>
      <c r="AJ38" s="56" t="str">
        <f>IF(AND('Mapa final'!$AA$21="Baja",'Mapa final'!$AC$21="Catastrófico"),CONCATENATE("R3C",'Mapa final'!$Q$21),"")</f>
        <v/>
      </c>
      <c r="AK38" s="56" t="str">
        <f>IF(AND('Mapa final'!$AA$22="Baja",'Mapa final'!$AC$22="Catastrófico"),CONCATENATE("R3C",'Mapa final'!$Q$22),"")</f>
        <v/>
      </c>
      <c r="AL38" s="56" t="str">
        <f>IF(AND('Mapa final'!$AA$23="Baja",'Mapa final'!$AC$23="Catastrófico"),CONCATENATE("R3C",'Mapa final'!$Q$23),"")</f>
        <v/>
      </c>
      <c r="AM38" s="57" t="str">
        <f>IF(AND('Mapa final'!$AA$24="Baja",'Mapa final'!$AC$24="Catastrófico"),CONCATENATE("R3C",'Mapa final'!$Q$24),"")</f>
        <v/>
      </c>
      <c r="AN38" s="83"/>
      <c r="AO38" s="376"/>
      <c r="AP38" s="377"/>
      <c r="AQ38" s="377"/>
      <c r="AR38" s="377"/>
      <c r="AS38" s="377"/>
      <c r="AT38" s="37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57"/>
      <c r="C39" s="257"/>
      <c r="D39" s="258"/>
      <c r="E39" s="356"/>
      <c r="F39" s="355"/>
      <c r="G39" s="355"/>
      <c r="H39" s="355"/>
      <c r="I39" s="355"/>
      <c r="J39" s="76" t="str">
        <f>IF(AND('Mapa final'!$AA$25="Baja",'Mapa final'!$AC$25="Leve"),CONCATENATE("R4C",'Mapa final'!$Q$25),"")</f>
        <v/>
      </c>
      <c r="K39" s="77" t="str">
        <f>IF(AND('Mapa final'!$AA$26="Baja",'Mapa final'!$AC$26="Leve"),CONCATENATE("R4C",'Mapa final'!$Q$26),"")</f>
        <v/>
      </c>
      <c r="L39" s="77" t="str">
        <f>IF(AND('Mapa final'!$AA$27="Baja",'Mapa final'!$AC$27="Leve"),CONCATENATE("R4C",'Mapa final'!$Q$27),"")</f>
        <v/>
      </c>
      <c r="M39" s="77" t="str">
        <f>IF(AND('Mapa final'!$AA$28="Baja",'Mapa final'!$AC$28="Leve"),CONCATENATE("R4C",'Mapa final'!$Q$28),"")</f>
        <v/>
      </c>
      <c r="N39" s="77" t="str">
        <f>IF(AND('Mapa final'!$AA$29="Baja",'Mapa final'!$AC$29="Leve"),CONCATENATE("R4C",'Mapa final'!$Q$29),"")</f>
        <v/>
      </c>
      <c r="O39" s="78" t="str">
        <f>IF(AND('Mapa final'!$AA$30="Baja",'Mapa final'!$AC$30="Leve"),CONCATENATE("R4C",'Mapa final'!$Q$30),"")</f>
        <v/>
      </c>
      <c r="P39" s="67" t="str">
        <f>IF(AND('Mapa final'!$AA$25="Baja",'Mapa final'!$AC$25="Menor"),CONCATENATE("R4C",'Mapa final'!$Q$25),"")</f>
        <v/>
      </c>
      <c r="Q39" s="68" t="str">
        <f>IF(AND('Mapa final'!$AA$26="Baja",'Mapa final'!$AC$26="Menor"),CONCATENATE("R4C",'Mapa final'!$Q$26),"")</f>
        <v/>
      </c>
      <c r="R39" s="68" t="str">
        <f>IF(AND('Mapa final'!$AA$27="Baja",'Mapa final'!$AC$27="Menor"),CONCATENATE("R4C",'Mapa final'!$Q$27),"")</f>
        <v/>
      </c>
      <c r="S39" s="68" t="str">
        <f>IF(AND('Mapa final'!$AA$28="Baja",'Mapa final'!$AC$28="Menor"),CONCATENATE("R4C",'Mapa final'!$Q$28),"")</f>
        <v/>
      </c>
      <c r="T39" s="68" t="str">
        <f>IF(AND('Mapa final'!$AA$29="Baja",'Mapa final'!$AC$29="Menor"),CONCATENATE("R4C",'Mapa final'!$Q$29),"")</f>
        <v/>
      </c>
      <c r="U39" s="69" t="str">
        <f>IF(AND('Mapa final'!$AA$30="Baja",'Mapa final'!$AC$30="Menor"),CONCATENATE("R4C",'Mapa final'!$Q$30),"")</f>
        <v/>
      </c>
      <c r="V39" s="67" t="str">
        <f>IF(AND('Mapa final'!$AA$25="Baja",'Mapa final'!$AC$25="Moderado"),CONCATENATE("R4C",'Mapa final'!$Q$25),"")</f>
        <v/>
      </c>
      <c r="W39" s="68" t="str">
        <f>IF(AND('Mapa final'!$AA$26="Baja",'Mapa final'!$AC$26="Moderado"),CONCATENATE("R4C",'Mapa final'!$Q$26),"")</f>
        <v/>
      </c>
      <c r="X39" s="68" t="str">
        <f>IF(AND('Mapa final'!$AA$27="Baja",'Mapa final'!$AC$27="Moderado"),CONCATENATE("R4C",'Mapa final'!$Q$27),"")</f>
        <v/>
      </c>
      <c r="Y39" s="68" t="str">
        <f>IF(AND('Mapa final'!$AA$28="Baja",'Mapa final'!$AC$28="Moderado"),CONCATENATE("R4C",'Mapa final'!$Q$28),"")</f>
        <v/>
      </c>
      <c r="Z39" s="68" t="str">
        <f>IF(AND('Mapa final'!$AA$29="Baja",'Mapa final'!$AC$29="Moderado"),CONCATENATE("R4C",'Mapa final'!$Q$29),"")</f>
        <v/>
      </c>
      <c r="AA39" s="69" t="str">
        <f>IF(AND('Mapa final'!$AA$30="Baja",'Mapa final'!$AC$30="Moderado"),CONCATENATE("R4C",'Mapa final'!$Q$30),"")</f>
        <v/>
      </c>
      <c r="AB39" s="52" t="str">
        <f>IF(AND('Mapa final'!$AA$25="Baja",'Mapa final'!$AC$25="Mayor"),CONCATENATE("R4C",'Mapa final'!$Q$25),"")</f>
        <v/>
      </c>
      <c r="AC39" s="53" t="str">
        <f>IF(AND('Mapa final'!$AA$26="Baja",'Mapa final'!$AC$26="Mayor"),CONCATENATE("R4C",'Mapa final'!$Q$26),"")</f>
        <v/>
      </c>
      <c r="AD39" s="53" t="str">
        <f>IF(AND('Mapa final'!$AA$27="Baja",'Mapa final'!$AC$27="Mayor"),CONCATENATE("R4C",'Mapa final'!$Q$27),"")</f>
        <v/>
      </c>
      <c r="AE39" s="53" t="str">
        <f>IF(AND('Mapa final'!$AA$28="Baja",'Mapa final'!$AC$28="Mayor"),CONCATENATE("R4C",'Mapa final'!$Q$28),"")</f>
        <v/>
      </c>
      <c r="AF39" s="53" t="str">
        <f>IF(AND('Mapa final'!$AA$29="Baja",'Mapa final'!$AC$29="Mayor"),CONCATENATE("R4C",'Mapa final'!$Q$29),"")</f>
        <v/>
      </c>
      <c r="AG39" s="54" t="str">
        <f>IF(AND('Mapa final'!$AA$30="Baja",'Mapa final'!$AC$30="Mayor"),CONCATENATE("R4C",'Mapa final'!$Q$30),"")</f>
        <v/>
      </c>
      <c r="AH39" s="55" t="str">
        <f>IF(AND('Mapa final'!$AA$25="Baja",'Mapa final'!$AC$25="Catastrófico"),CONCATENATE("R4C",'Mapa final'!$Q$25),"")</f>
        <v/>
      </c>
      <c r="AI39" s="56" t="str">
        <f>IF(AND('Mapa final'!$AA$26="Baja",'Mapa final'!$AC$26="Catastrófico"),CONCATENATE("R4C",'Mapa final'!$Q$26),"")</f>
        <v/>
      </c>
      <c r="AJ39" s="56" t="str">
        <f>IF(AND('Mapa final'!$AA$27="Baja",'Mapa final'!$AC$27="Catastrófico"),CONCATENATE("R4C",'Mapa final'!$Q$27),"")</f>
        <v/>
      </c>
      <c r="AK39" s="56" t="str">
        <f>IF(AND('Mapa final'!$AA$28="Baja",'Mapa final'!$AC$28="Catastrófico"),CONCATENATE("R4C",'Mapa final'!$Q$28),"")</f>
        <v/>
      </c>
      <c r="AL39" s="56" t="str">
        <f>IF(AND('Mapa final'!$AA$29="Baja",'Mapa final'!$AC$29="Catastrófico"),CONCATENATE("R4C",'Mapa final'!$Q$29),"")</f>
        <v/>
      </c>
      <c r="AM39" s="57" t="str">
        <f>IF(AND('Mapa final'!$AA$30="Baja",'Mapa final'!$AC$30="Catastrófico"),CONCATENATE("R4C",'Mapa final'!$Q$30),"")</f>
        <v/>
      </c>
      <c r="AN39" s="83"/>
      <c r="AO39" s="376"/>
      <c r="AP39" s="377"/>
      <c r="AQ39" s="377"/>
      <c r="AR39" s="377"/>
      <c r="AS39" s="377"/>
      <c r="AT39" s="37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57"/>
      <c r="C40" s="257"/>
      <c r="D40" s="258"/>
      <c r="E40" s="356"/>
      <c r="F40" s="355"/>
      <c r="G40" s="355"/>
      <c r="H40" s="355"/>
      <c r="I40" s="355"/>
      <c r="J40" s="76" t="str">
        <f>IF(AND('Mapa final'!$AA$31="Baja",'Mapa final'!$AC$31="Leve"),CONCATENATE("R5C",'Mapa final'!$Q$31),"")</f>
        <v/>
      </c>
      <c r="K40" s="77" t="str">
        <f>IF(AND('Mapa final'!$AA$32="Baja",'Mapa final'!$AC$32="Leve"),CONCATENATE("R5C",'Mapa final'!$Q$32),"")</f>
        <v/>
      </c>
      <c r="L40" s="77" t="str">
        <f>IF(AND('Mapa final'!$AA$33="Baja",'Mapa final'!$AC$33="Leve"),CONCATENATE("R5C",'Mapa final'!$Q$33),"")</f>
        <v/>
      </c>
      <c r="M40" s="77" t="str">
        <f>IF(AND('Mapa final'!$AA$34="Baja",'Mapa final'!$AC$34="Leve"),CONCATENATE("R5C",'Mapa final'!$Q$34),"")</f>
        <v/>
      </c>
      <c r="N40" s="77" t="str">
        <f>IF(AND('Mapa final'!$AA$35="Baja",'Mapa final'!$AC$35="Leve"),CONCATENATE("R5C",'Mapa final'!$Q$35),"")</f>
        <v/>
      </c>
      <c r="O40" s="78" t="str">
        <f>IF(AND('Mapa final'!$AA$36="Baja",'Mapa final'!$AC$36="Leve"),CONCATENATE("R5C",'Mapa final'!$Q$36),"")</f>
        <v/>
      </c>
      <c r="P40" s="67" t="str">
        <f>IF(AND('Mapa final'!$AA$31="Baja",'Mapa final'!$AC$31="Menor"),CONCATENATE("R5C",'Mapa final'!$Q$31),"")</f>
        <v/>
      </c>
      <c r="Q40" s="68" t="str">
        <f>IF(AND('Mapa final'!$AA$32="Baja",'Mapa final'!$AC$32="Menor"),CONCATENATE("R5C",'Mapa final'!$Q$32),"")</f>
        <v/>
      </c>
      <c r="R40" s="68" t="str">
        <f>IF(AND('Mapa final'!$AA$33="Baja",'Mapa final'!$AC$33="Menor"),CONCATENATE("R5C",'Mapa final'!$Q$33),"")</f>
        <v/>
      </c>
      <c r="S40" s="68" t="str">
        <f>IF(AND('Mapa final'!$AA$34="Baja",'Mapa final'!$AC$34="Menor"),CONCATENATE("R5C",'Mapa final'!$Q$34),"")</f>
        <v/>
      </c>
      <c r="T40" s="68" t="str">
        <f>IF(AND('Mapa final'!$AA$35="Baja",'Mapa final'!$AC$35="Menor"),CONCATENATE("R5C",'Mapa final'!$Q$35),"")</f>
        <v/>
      </c>
      <c r="U40" s="69" t="str">
        <f>IF(AND('Mapa final'!$AA$36="Baja",'Mapa final'!$AC$36="Menor"),CONCATENATE("R5C",'Mapa final'!$Q$36),"")</f>
        <v/>
      </c>
      <c r="V40" s="67" t="str">
        <f>IF(AND('Mapa final'!$AA$31="Baja",'Mapa final'!$AC$31="Moderado"),CONCATENATE("R5C",'Mapa final'!$Q$31),"")</f>
        <v/>
      </c>
      <c r="W40" s="68" t="str">
        <f>IF(AND('Mapa final'!$AA$32="Baja",'Mapa final'!$AC$32="Moderado"),CONCATENATE("R5C",'Mapa final'!$Q$32),"")</f>
        <v/>
      </c>
      <c r="X40" s="68" t="str">
        <f>IF(AND('Mapa final'!$AA$33="Baja",'Mapa final'!$AC$33="Moderado"),CONCATENATE("R5C",'Mapa final'!$Q$33),"")</f>
        <v/>
      </c>
      <c r="Y40" s="68" t="str">
        <f>IF(AND('Mapa final'!$AA$34="Baja",'Mapa final'!$AC$34="Moderado"),CONCATENATE("R5C",'Mapa final'!$Q$34),"")</f>
        <v/>
      </c>
      <c r="Z40" s="68" t="str">
        <f>IF(AND('Mapa final'!$AA$35="Baja",'Mapa final'!$AC$35="Moderado"),CONCATENATE("R5C",'Mapa final'!$Q$35),"")</f>
        <v/>
      </c>
      <c r="AA40" s="69" t="str">
        <f>IF(AND('Mapa final'!$AA$36="Baja",'Mapa final'!$AC$36="Moderado"),CONCATENATE("R5C",'Mapa final'!$Q$36),"")</f>
        <v/>
      </c>
      <c r="AB40" s="52" t="str">
        <f>IF(AND('Mapa final'!$AA$31="Baja",'Mapa final'!$AC$31="Mayor"),CONCATENATE("R5C",'Mapa final'!$Q$31),"")</f>
        <v/>
      </c>
      <c r="AC40" s="53" t="str">
        <f>IF(AND('Mapa final'!$AA$32="Baja",'Mapa final'!$AC$32="Mayor"),CONCATENATE("R5C",'Mapa final'!$Q$32),"")</f>
        <v/>
      </c>
      <c r="AD40" s="53" t="str">
        <f>IF(AND('Mapa final'!$AA$33="Baja",'Mapa final'!$AC$33="Mayor"),CONCATENATE("R5C",'Mapa final'!$Q$33),"")</f>
        <v/>
      </c>
      <c r="AE40" s="53" t="str">
        <f>IF(AND('Mapa final'!$AA$34="Baja",'Mapa final'!$AC$34="Mayor"),CONCATENATE("R5C",'Mapa final'!$Q$34),"")</f>
        <v/>
      </c>
      <c r="AF40" s="53" t="str">
        <f>IF(AND('Mapa final'!$AA$35="Baja",'Mapa final'!$AC$35="Mayor"),CONCATENATE("R5C",'Mapa final'!$Q$35),"")</f>
        <v/>
      </c>
      <c r="AG40" s="54" t="str">
        <f>IF(AND('Mapa final'!$AA$36="Baja",'Mapa final'!$AC$36="Mayor"),CONCATENATE("R5C",'Mapa final'!$Q$36),"")</f>
        <v/>
      </c>
      <c r="AH40" s="55" t="str">
        <f>IF(AND('Mapa final'!$AA$31="Baja",'Mapa final'!$AC$31="Catastrófico"),CONCATENATE("R5C",'Mapa final'!$Q$31),"")</f>
        <v/>
      </c>
      <c r="AI40" s="56" t="str">
        <f>IF(AND('Mapa final'!$AA$32="Baja",'Mapa final'!$AC$32="Catastrófico"),CONCATENATE("R5C",'Mapa final'!$Q$32),"")</f>
        <v/>
      </c>
      <c r="AJ40" s="56" t="str">
        <f>IF(AND('Mapa final'!$AA$33="Baja",'Mapa final'!$AC$33="Catastrófico"),CONCATENATE("R5C",'Mapa final'!$Q$33),"")</f>
        <v/>
      </c>
      <c r="AK40" s="56" t="str">
        <f>IF(AND('Mapa final'!$AA$34="Baja",'Mapa final'!$AC$34="Catastrófico"),CONCATENATE("R5C",'Mapa final'!$Q$34),"")</f>
        <v/>
      </c>
      <c r="AL40" s="56" t="str">
        <f>IF(AND('Mapa final'!$AA$35="Baja",'Mapa final'!$AC$35="Catastrófico"),CONCATENATE("R5C",'Mapa final'!$Q$35),"")</f>
        <v/>
      </c>
      <c r="AM40" s="57" t="str">
        <f>IF(AND('Mapa final'!$AA$36="Baja",'Mapa final'!$AC$36="Catastrófico"),CONCATENATE("R5C",'Mapa final'!$Q$36),"")</f>
        <v/>
      </c>
      <c r="AN40" s="83"/>
      <c r="AO40" s="376"/>
      <c r="AP40" s="377"/>
      <c r="AQ40" s="377"/>
      <c r="AR40" s="377"/>
      <c r="AS40" s="377"/>
      <c r="AT40" s="37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57"/>
      <c r="C41" s="257"/>
      <c r="D41" s="258"/>
      <c r="E41" s="356"/>
      <c r="F41" s="355"/>
      <c r="G41" s="355"/>
      <c r="H41" s="355"/>
      <c r="I41" s="355"/>
      <c r="J41" s="76" t="str">
        <f>IF(AND('Mapa final'!$AA$37="Baja",'Mapa final'!$AC$37="Leve"),CONCATENATE("R6C",'Mapa final'!$Q$37),"")</f>
        <v/>
      </c>
      <c r="K41" s="77" t="str">
        <f>IF(AND('Mapa final'!$AA$38="Baja",'Mapa final'!$AC$38="Leve"),CONCATENATE("R6C",'Mapa final'!$Q$38),"")</f>
        <v/>
      </c>
      <c r="L41" s="77" t="str">
        <f>IF(AND('Mapa final'!$AA$39="Baja",'Mapa final'!$AC$39="Leve"),CONCATENATE("R6C",'Mapa final'!$Q$39),"")</f>
        <v/>
      </c>
      <c r="M41" s="77" t="str">
        <f>IF(AND('Mapa final'!$AA$40="Baja",'Mapa final'!$AC$40="Leve"),CONCATENATE("R6C",'Mapa final'!$Q$40),"")</f>
        <v/>
      </c>
      <c r="N41" s="77" t="str">
        <f>IF(AND('Mapa final'!$AA$41="Baja",'Mapa final'!$AC$41="Leve"),CONCATENATE("R6C",'Mapa final'!$Q$41),"")</f>
        <v/>
      </c>
      <c r="O41" s="78" t="str">
        <f>IF(AND('Mapa final'!$AA$42="Baja",'Mapa final'!$AC$42="Leve"),CONCATENATE("R6C",'Mapa final'!$Q$42),"")</f>
        <v/>
      </c>
      <c r="P41" s="67" t="str">
        <f>IF(AND('Mapa final'!$AA$37="Baja",'Mapa final'!$AC$37="Menor"),CONCATENATE("R6C",'Mapa final'!$Q$37),"")</f>
        <v/>
      </c>
      <c r="Q41" s="68" t="str">
        <f>IF(AND('Mapa final'!$AA$38="Baja",'Mapa final'!$AC$38="Menor"),CONCATENATE("R6C",'Mapa final'!$Q$38),"")</f>
        <v/>
      </c>
      <c r="R41" s="68" t="str">
        <f>IF(AND('Mapa final'!$AA$39="Baja",'Mapa final'!$AC$39="Menor"),CONCATENATE("R6C",'Mapa final'!$Q$39),"")</f>
        <v/>
      </c>
      <c r="S41" s="68" t="str">
        <f>IF(AND('Mapa final'!$AA$40="Baja",'Mapa final'!$AC$40="Menor"),CONCATENATE("R6C",'Mapa final'!$Q$40),"")</f>
        <v/>
      </c>
      <c r="T41" s="68" t="str">
        <f>IF(AND('Mapa final'!$AA$41="Baja",'Mapa final'!$AC$41="Menor"),CONCATENATE("R6C",'Mapa final'!$Q$41),"")</f>
        <v/>
      </c>
      <c r="U41" s="69" t="str">
        <f>IF(AND('Mapa final'!$AA$42="Baja",'Mapa final'!$AC$42="Menor"),CONCATENATE("R6C",'Mapa final'!$Q$42),"")</f>
        <v/>
      </c>
      <c r="V41" s="67" t="str">
        <f>IF(AND('Mapa final'!$AA$37="Baja",'Mapa final'!$AC$37="Moderado"),CONCATENATE("R6C",'Mapa final'!$Q$37),"")</f>
        <v/>
      </c>
      <c r="W41" s="68" t="str">
        <f>IF(AND('Mapa final'!$AA$38="Baja",'Mapa final'!$AC$38="Moderado"),CONCATENATE("R6C",'Mapa final'!$Q$38),"")</f>
        <v/>
      </c>
      <c r="X41" s="68" t="str">
        <f>IF(AND('Mapa final'!$AA$39="Baja",'Mapa final'!$AC$39="Moderado"),CONCATENATE("R6C",'Mapa final'!$Q$39),"")</f>
        <v/>
      </c>
      <c r="Y41" s="68" t="str">
        <f>IF(AND('Mapa final'!$AA$40="Baja",'Mapa final'!$AC$40="Moderado"),CONCATENATE("R6C",'Mapa final'!$Q$40),"")</f>
        <v/>
      </c>
      <c r="Z41" s="68" t="str">
        <f>IF(AND('Mapa final'!$AA$41="Baja",'Mapa final'!$AC$41="Moderado"),CONCATENATE("R6C",'Mapa final'!$Q$41),"")</f>
        <v/>
      </c>
      <c r="AA41" s="69" t="str">
        <f>IF(AND('Mapa final'!$AA$42="Baja",'Mapa final'!$AC$42="Moderado"),CONCATENATE("R6C",'Mapa final'!$Q$42),"")</f>
        <v/>
      </c>
      <c r="AB41" s="52" t="str">
        <f>IF(AND('Mapa final'!$AA$37="Baja",'Mapa final'!$AC$37="Mayor"),CONCATENATE("R6C",'Mapa final'!$Q$37),"")</f>
        <v/>
      </c>
      <c r="AC41" s="53" t="str">
        <f>IF(AND('Mapa final'!$AA$38="Baja",'Mapa final'!$AC$38="Mayor"),CONCATENATE("R6C",'Mapa final'!$Q$38),"")</f>
        <v/>
      </c>
      <c r="AD41" s="53" t="str">
        <f>IF(AND('Mapa final'!$AA$39="Baja",'Mapa final'!$AC$39="Mayor"),CONCATENATE("R6C",'Mapa final'!$Q$39),"")</f>
        <v/>
      </c>
      <c r="AE41" s="53" t="str">
        <f>IF(AND('Mapa final'!$AA$40="Baja",'Mapa final'!$AC$40="Mayor"),CONCATENATE("R6C",'Mapa final'!$Q$40),"")</f>
        <v/>
      </c>
      <c r="AF41" s="53" t="str">
        <f>IF(AND('Mapa final'!$AA$41="Baja",'Mapa final'!$AC$41="Mayor"),CONCATENATE("R6C",'Mapa final'!$Q$41),"")</f>
        <v/>
      </c>
      <c r="AG41" s="54" t="str">
        <f>IF(AND('Mapa final'!$AA$42="Baja",'Mapa final'!$AC$42="Mayor"),CONCATENATE("R6C",'Mapa final'!$Q$42),"")</f>
        <v/>
      </c>
      <c r="AH41" s="55" t="str">
        <f>IF(AND('Mapa final'!$AA$37="Baja",'Mapa final'!$AC$37="Catastrófico"),CONCATENATE("R6C",'Mapa final'!$Q$37),"")</f>
        <v/>
      </c>
      <c r="AI41" s="56" t="str">
        <f>IF(AND('Mapa final'!$AA$38="Baja",'Mapa final'!$AC$38="Catastrófico"),CONCATENATE("R6C",'Mapa final'!$Q$38),"")</f>
        <v/>
      </c>
      <c r="AJ41" s="56" t="str">
        <f>IF(AND('Mapa final'!$AA$39="Baja",'Mapa final'!$AC$39="Catastrófico"),CONCATENATE("R6C",'Mapa final'!$Q$39),"")</f>
        <v/>
      </c>
      <c r="AK41" s="56" t="str">
        <f>IF(AND('Mapa final'!$AA$40="Baja",'Mapa final'!$AC$40="Catastrófico"),CONCATENATE("R6C",'Mapa final'!$Q$40),"")</f>
        <v/>
      </c>
      <c r="AL41" s="56" t="str">
        <f>IF(AND('Mapa final'!$AA$41="Baja",'Mapa final'!$AC$41="Catastrófico"),CONCATENATE("R6C",'Mapa final'!$Q$41),"")</f>
        <v/>
      </c>
      <c r="AM41" s="57" t="str">
        <f>IF(AND('Mapa final'!$AA$42="Baja",'Mapa final'!$AC$42="Catastrófico"),CONCATENATE("R6C",'Mapa final'!$Q$42),"")</f>
        <v/>
      </c>
      <c r="AN41" s="83"/>
      <c r="AO41" s="376"/>
      <c r="AP41" s="377"/>
      <c r="AQ41" s="377"/>
      <c r="AR41" s="377"/>
      <c r="AS41" s="377"/>
      <c r="AT41" s="37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57"/>
      <c r="C42" s="257"/>
      <c r="D42" s="258"/>
      <c r="E42" s="356"/>
      <c r="F42" s="355"/>
      <c r="G42" s="355"/>
      <c r="H42" s="355"/>
      <c r="I42" s="355"/>
      <c r="J42" s="76" t="str">
        <f>IF(AND('Mapa final'!$AA$43="Baja",'Mapa final'!$AC$43="Leve"),CONCATENATE("R7C",'Mapa final'!$Q$43),"")</f>
        <v/>
      </c>
      <c r="K42" s="77" t="str">
        <f>IF(AND('Mapa final'!$AA$44="Baja",'Mapa final'!$AC$44="Leve"),CONCATENATE("R7C",'Mapa final'!$Q$44),"")</f>
        <v/>
      </c>
      <c r="L42" s="77" t="str">
        <f>IF(AND('Mapa final'!$AA$45="Baja",'Mapa final'!$AC$45="Leve"),CONCATENATE("R7C",'Mapa final'!$Q$45),"")</f>
        <v/>
      </c>
      <c r="M42" s="77" t="str">
        <f>IF(AND('Mapa final'!$AA$46="Baja",'Mapa final'!$AC$46="Leve"),CONCATENATE("R7C",'Mapa final'!$Q$46),"")</f>
        <v/>
      </c>
      <c r="N42" s="77" t="str">
        <f>IF(AND('Mapa final'!$AA$47="Baja",'Mapa final'!$AC$47="Leve"),CONCATENATE("R7C",'Mapa final'!$Q$47),"")</f>
        <v/>
      </c>
      <c r="O42" s="78" t="str">
        <f>IF(AND('Mapa final'!$AA$48="Baja",'Mapa final'!$AC$48="Leve"),CONCATENATE("R7C",'Mapa final'!$Q$48),"")</f>
        <v/>
      </c>
      <c r="P42" s="67" t="str">
        <f>IF(AND('Mapa final'!$AA$43="Baja",'Mapa final'!$AC$43="Menor"),CONCATENATE("R7C",'Mapa final'!$Q$43),"")</f>
        <v/>
      </c>
      <c r="Q42" s="68" t="str">
        <f>IF(AND('Mapa final'!$AA$44="Baja",'Mapa final'!$AC$44="Menor"),CONCATENATE("R7C",'Mapa final'!$Q$44),"")</f>
        <v/>
      </c>
      <c r="R42" s="68" t="str">
        <f>IF(AND('Mapa final'!$AA$45="Baja",'Mapa final'!$AC$45="Menor"),CONCATENATE("R7C",'Mapa final'!$Q$45),"")</f>
        <v/>
      </c>
      <c r="S42" s="68" t="str">
        <f>IF(AND('Mapa final'!$AA$46="Baja",'Mapa final'!$AC$46="Menor"),CONCATENATE("R7C",'Mapa final'!$Q$46),"")</f>
        <v/>
      </c>
      <c r="T42" s="68" t="str">
        <f>IF(AND('Mapa final'!$AA$47="Baja",'Mapa final'!$AC$47="Menor"),CONCATENATE("R7C",'Mapa final'!$Q$47),"")</f>
        <v/>
      </c>
      <c r="U42" s="69" t="str">
        <f>IF(AND('Mapa final'!$AA$48="Baja",'Mapa final'!$AC$48="Menor"),CONCATENATE("R7C",'Mapa final'!$Q$48),"")</f>
        <v/>
      </c>
      <c r="V42" s="67" t="str">
        <f>IF(AND('Mapa final'!$AA$43="Baja",'Mapa final'!$AC$43="Moderado"),CONCATENATE("R7C",'Mapa final'!$Q$43),"")</f>
        <v/>
      </c>
      <c r="W42" s="68" t="str">
        <f>IF(AND('Mapa final'!$AA$44="Baja",'Mapa final'!$AC$44="Moderado"),CONCATENATE("R7C",'Mapa final'!$Q$44),"")</f>
        <v/>
      </c>
      <c r="X42" s="68" t="str">
        <f>IF(AND('Mapa final'!$AA$45="Baja",'Mapa final'!$AC$45="Moderado"),CONCATENATE("R7C",'Mapa final'!$Q$45),"")</f>
        <v/>
      </c>
      <c r="Y42" s="68" t="str">
        <f>IF(AND('Mapa final'!$AA$46="Baja",'Mapa final'!$AC$46="Moderado"),CONCATENATE("R7C",'Mapa final'!$Q$46),"")</f>
        <v/>
      </c>
      <c r="Z42" s="68" t="str">
        <f>IF(AND('Mapa final'!$AA$47="Baja",'Mapa final'!$AC$47="Moderado"),CONCATENATE("R7C",'Mapa final'!$Q$47),"")</f>
        <v/>
      </c>
      <c r="AA42" s="69" t="str">
        <f>IF(AND('Mapa final'!$AA$48="Baja",'Mapa final'!$AC$48="Moderado"),CONCATENATE("R7C",'Mapa final'!$Q$48),"")</f>
        <v/>
      </c>
      <c r="AB42" s="52" t="str">
        <f>IF(AND('Mapa final'!$AA$43="Baja",'Mapa final'!$AC$43="Mayor"),CONCATENATE("R7C",'Mapa final'!$Q$43),"")</f>
        <v/>
      </c>
      <c r="AC42" s="53" t="str">
        <f>IF(AND('Mapa final'!$AA$44="Baja",'Mapa final'!$AC$44="Mayor"),CONCATENATE("R7C",'Mapa final'!$Q$44),"")</f>
        <v/>
      </c>
      <c r="AD42" s="53" t="str">
        <f>IF(AND('Mapa final'!$AA$45="Baja",'Mapa final'!$AC$45="Mayor"),CONCATENATE("R7C",'Mapa final'!$Q$45),"")</f>
        <v/>
      </c>
      <c r="AE42" s="53" t="str">
        <f>IF(AND('Mapa final'!$AA$46="Baja",'Mapa final'!$AC$46="Mayor"),CONCATENATE("R7C",'Mapa final'!$Q$46),"")</f>
        <v/>
      </c>
      <c r="AF42" s="53" t="str">
        <f>IF(AND('Mapa final'!$AA$47="Baja",'Mapa final'!$AC$47="Mayor"),CONCATENATE("R7C",'Mapa final'!$Q$47),"")</f>
        <v/>
      </c>
      <c r="AG42" s="54" t="str">
        <f>IF(AND('Mapa final'!$AA$48="Baja",'Mapa final'!$AC$48="Mayor"),CONCATENATE("R7C",'Mapa final'!$Q$48),"")</f>
        <v/>
      </c>
      <c r="AH42" s="55" t="str">
        <f>IF(AND('Mapa final'!$AA$43="Baja",'Mapa final'!$AC$43="Catastrófico"),CONCATENATE("R7C",'Mapa final'!$Q$43),"")</f>
        <v/>
      </c>
      <c r="AI42" s="56" t="str">
        <f>IF(AND('Mapa final'!$AA$44="Baja",'Mapa final'!$AC$44="Catastrófico"),CONCATENATE("R7C",'Mapa final'!$Q$44),"")</f>
        <v/>
      </c>
      <c r="AJ42" s="56" t="str">
        <f>IF(AND('Mapa final'!$AA$45="Baja",'Mapa final'!$AC$45="Catastrófico"),CONCATENATE("R7C",'Mapa final'!$Q$45),"")</f>
        <v/>
      </c>
      <c r="AK42" s="56" t="str">
        <f>IF(AND('Mapa final'!$AA$46="Baja",'Mapa final'!$AC$46="Catastrófico"),CONCATENATE("R7C",'Mapa final'!$Q$46),"")</f>
        <v/>
      </c>
      <c r="AL42" s="56" t="str">
        <f>IF(AND('Mapa final'!$AA$47="Baja",'Mapa final'!$AC$47="Catastrófico"),CONCATENATE("R7C",'Mapa final'!$Q$47),"")</f>
        <v/>
      </c>
      <c r="AM42" s="57" t="str">
        <f>IF(AND('Mapa final'!$AA$48="Baja",'Mapa final'!$AC$48="Catastrófico"),CONCATENATE("R7C",'Mapa final'!$Q$48),"")</f>
        <v/>
      </c>
      <c r="AN42" s="83"/>
      <c r="AO42" s="376"/>
      <c r="AP42" s="377"/>
      <c r="AQ42" s="377"/>
      <c r="AR42" s="377"/>
      <c r="AS42" s="377"/>
      <c r="AT42" s="37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57"/>
      <c r="C43" s="257"/>
      <c r="D43" s="258"/>
      <c r="E43" s="356"/>
      <c r="F43" s="355"/>
      <c r="G43" s="355"/>
      <c r="H43" s="355"/>
      <c r="I43" s="355"/>
      <c r="J43" s="76" t="str">
        <f>IF(AND('Mapa final'!$AA$49="Baja",'Mapa final'!$AC$49="Leve"),CONCATENATE("R8C",'Mapa final'!$Q$49),"")</f>
        <v/>
      </c>
      <c r="K43" s="77" t="str">
        <f>IF(AND('Mapa final'!$AA$50="Baja",'Mapa final'!$AC$50="Leve"),CONCATENATE("R8C",'Mapa final'!$Q$50),"")</f>
        <v/>
      </c>
      <c r="L43" s="77" t="str">
        <f>IF(AND('Mapa final'!$AA$51="Baja",'Mapa final'!$AC$51="Leve"),CONCATENATE("R8C",'Mapa final'!$Q$51),"")</f>
        <v/>
      </c>
      <c r="M43" s="77" t="str">
        <f>IF(AND('Mapa final'!$AA$52="Baja",'Mapa final'!$AC$52="Leve"),CONCATENATE("R8C",'Mapa final'!$Q$52),"")</f>
        <v/>
      </c>
      <c r="N43" s="77" t="str">
        <f>IF(AND('Mapa final'!$AA$53="Baja",'Mapa final'!$AC$53="Leve"),CONCATENATE("R8C",'Mapa final'!$Q$53),"")</f>
        <v/>
      </c>
      <c r="O43" s="78" t="str">
        <f>IF(AND('Mapa final'!$AA$54="Baja",'Mapa final'!$AC$54="Leve"),CONCATENATE("R8C",'Mapa final'!$Q$54),"")</f>
        <v/>
      </c>
      <c r="P43" s="67" t="str">
        <f>IF(AND('Mapa final'!$AA$49="Baja",'Mapa final'!$AC$49="Menor"),CONCATENATE("R8C",'Mapa final'!$Q$49),"")</f>
        <v/>
      </c>
      <c r="Q43" s="68" t="str">
        <f>IF(AND('Mapa final'!$AA$50="Baja",'Mapa final'!$AC$50="Menor"),CONCATENATE("R8C",'Mapa final'!$Q$50),"")</f>
        <v/>
      </c>
      <c r="R43" s="68" t="str">
        <f>IF(AND('Mapa final'!$AA$51="Baja",'Mapa final'!$AC$51="Menor"),CONCATENATE("R8C",'Mapa final'!$Q$51),"")</f>
        <v/>
      </c>
      <c r="S43" s="68" t="str">
        <f>IF(AND('Mapa final'!$AA$52="Baja",'Mapa final'!$AC$52="Menor"),CONCATENATE("R8C",'Mapa final'!$Q$52),"")</f>
        <v/>
      </c>
      <c r="T43" s="68" t="str">
        <f>IF(AND('Mapa final'!$AA$53="Baja",'Mapa final'!$AC$53="Menor"),CONCATENATE("R8C",'Mapa final'!$Q$53),"")</f>
        <v/>
      </c>
      <c r="U43" s="69" t="str">
        <f>IF(AND('Mapa final'!$AA$54="Baja",'Mapa final'!$AC$54="Menor"),CONCATENATE("R8C",'Mapa final'!$Q$54),"")</f>
        <v/>
      </c>
      <c r="V43" s="67" t="str">
        <f>IF(AND('Mapa final'!$AA$49="Baja",'Mapa final'!$AC$49="Moderado"),CONCATENATE("R8C",'Mapa final'!$Q$49),"")</f>
        <v/>
      </c>
      <c r="W43" s="68" t="str">
        <f>IF(AND('Mapa final'!$AA$50="Baja",'Mapa final'!$AC$50="Moderado"),CONCATENATE("R8C",'Mapa final'!$Q$50),"")</f>
        <v/>
      </c>
      <c r="X43" s="68" t="str">
        <f>IF(AND('Mapa final'!$AA$51="Baja",'Mapa final'!$AC$51="Moderado"),CONCATENATE("R8C",'Mapa final'!$Q$51),"")</f>
        <v/>
      </c>
      <c r="Y43" s="68" t="str">
        <f>IF(AND('Mapa final'!$AA$52="Baja",'Mapa final'!$AC$52="Moderado"),CONCATENATE("R8C",'Mapa final'!$Q$52),"")</f>
        <v/>
      </c>
      <c r="Z43" s="68" t="str">
        <f>IF(AND('Mapa final'!$AA$53="Baja",'Mapa final'!$AC$53="Moderado"),CONCATENATE("R8C",'Mapa final'!$Q$53),"")</f>
        <v/>
      </c>
      <c r="AA43" s="69" t="str">
        <f>IF(AND('Mapa final'!$AA$54="Baja",'Mapa final'!$AC$54="Moderado"),CONCATENATE("R8C",'Mapa final'!$Q$54),"")</f>
        <v/>
      </c>
      <c r="AB43" s="52" t="str">
        <f>IF(AND('Mapa final'!$AA$49="Baja",'Mapa final'!$AC$49="Mayor"),CONCATENATE("R8C",'Mapa final'!$Q$49),"")</f>
        <v/>
      </c>
      <c r="AC43" s="53" t="str">
        <f>IF(AND('Mapa final'!$AA$50="Baja",'Mapa final'!$AC$50="Mayor"),CONCATENATE("R8C",'Mapa final'!$Q$50),"")</f>
        <v/>
      </c>
      <c r="AD43" s="53" t="str">
        <f>IF(AND('Mapa final'!$AA$51="Baja",'Mapa final'!$AC$51="Mayor"),CONCATENATE("R8C",'Mapa final'!$Q$51),"")</f>
        <v/>
      </c>
      <c r="AE43" s="53" t="str">
        <f>IF(AND('Mapa final'!$AA$52="Baja",'Mapa final'!$AC$52="Mayor"),CONCATENATE("R8C",'Mapa final'!$Q$52),"")</f>
        <v/>
      </c>
      <c r="AF43" s="53" t="str">
        <f>IF(AND('Mapa final'!$AA$53="Baja",'Mapa final'!$AC$53="Mayor"),CONCATENATE("R8C",'Mapa final'!$Q$53),"")</f>
        <v/>
      </c>
      <c r="AG43" s="54" t="str">
        <f>IF(AND('Mapa final'!$AA$54="Baja",'Mapa final'!$AC$54="Mayor"),CONCATENATE("R8C",'Mapa final'!$Q$54),"")</f>
        <v/>
      </c>
      <c r="AH43" s="55" t="str">
        <f>IF(AND('Mapa final'!$AA$49="Baja",'Mapa final'!$AC$49="Catastrófico"),CONCATENATE("R8C",'Mapa final'!$Q$49),"")</f>
        <v/>
      </c>
      <c r="AI43" s="56" t="str">
        <f>IF(AND('Mapa final'!$AA$50="Baja",'Mapa final'!$AC$50="Catastrófico"),CONCATENATE("R8C",'Mapa final'!$Q$50),"")</f>
        <v/>
      </c>
      <c r="AJ43" s="56" t="str">
        <f>IF(AND('Mapa final'!$AA$51="Baja",'Mapa final'!$AC$51="Catastrófico"),CONCATENATE("R8C",'Mapa final'!$Q$51),"")</f>
        <v/>
      </c>
      <c r="AK43" s="56" t="str">
        <f>IF(AND('Mapa final'!$AA$52="Baja",'Mapa final'!$AC$52="Catastrófico"),CONCATENATE("R8C",'Mapa final'!$Q$52),"")</f>
        <v/>
      </c>
      <c r="AL43" s="56" t="str">
        <f>IF(AND('Mapa final'!$AA$53="Baja",'Mapa final'!$AC$53="Catastrófico"),CONCATENATE("R8C",'Mapa final'!$Q$53),"")</f>
        <v/>
      </c>
      <c r="AM43" s="57" t="str">
        <f>IF(AND('Mapa final'!$AA$54="Baja",'Mapa final'!$AC$54="Catastrófico"),CONCATENATE("R8C",'Mapa final'!$Q$54),"")</f>
        <v/>
      </c>
      <c r="AN43" s="83"/>
      <c r="AO43" s="376"/>
      <c r="AP43" s="377"/>
      <c r="AQ43" s="377"/>
      <c r="AR43" s="377"/>
      <c r="AS43" s="377"/>
      <c r="AT43" s="37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57"/>
      <c r="C44" s="257"/>
      <c r="D44" s="258"/>
      <c r="E44" s="356"/>
      <c r="F44" s="355"/>
      <c r="G44" s="355"/>
      <c r="H44" s="355"/>
      <c r="I44" s="355"/>
      <c r="J44" s="76" t="str">
        <f>IF(AND('Mapa final'!$AA$55="Baja",'Mapa final'!$AC$55="Leve"),CONCATENATE("R9C",'Mapa final'!$Q$55),"")</f>
        <v/>
      </c>
      <c r="K44" s="77" t="str">
        <f>IF(AND('Mapa final'!$AA$56="Baja",'Mapa final'!$AC$56="Leve"),CONCATENATE("R9C",'Mapa final'!$Q$56),"")</f>
        <v/>
      </c>
      <c r="L44" s="77" t="str">
        <f>IF(AND('Mapa final'!$AA$57="Baja",'Mapa final'!$AC$57="Leve"),CONCATENATE("R9C",'Mapa final'!$Q$57),"")</f>
        <v/>
      </c>
      <c r="M44" s="77" t="str">
        <f>IF(AND('Mapa final'!$AA$58="Baja",'Mapa final'!$AC$58="Leve"),CONCATENATE("R9C",'Mapa final'!$Q$58),"")</f>
        <v/>
      </c>
      <c r="N44" s="77" t="str">
        <f>IF(AND('Mapa final'!$AA$59="Baja",'Mapa final'!$AC$59="Leve"),CONCATENATE("R9C",'Mapa final'!$Q$59),"")</f>
        <v/>
      </c>
      <c r="O44" s="78" t="str">
        <f>IF(AND('Mapa final'!$AA$60="Baja",'Mapa final'!$AC$60="Leve"),CONCATENATE("R9C",'Mapa final'!$Q$60),"")</f>
        <v/>
      </c>
      <c r="P44" s="67" t="str">
        <f>IF(AND('Mapa final'!$AA$55="Baja",'Mapa final'!$AC$55="Menor"),CONCATENATE("R9C",'Mapa final'!$Q$55),"")</f>
        <v/>
      </c>
      <c r="Q44" s="68" t="str">
        <f>IF(AND('Mapa final'!$AA$56="Baja",'Mapa final'!$AC$56="Menor"),CONCATENATE("R9C",'Mapa final'!$Q$56),"")</f>
        <v/>
      </c>
      <c r="R44" s="68" t="str">
        <f>IF(AND('Mapa final'!$AA$57="Baja",'Mapa final'!$AC$57="Menor"),CONCATENATE("R9C",'Mapa final'!$Q$57),"")</f>
        <v/>
      </c>
      <c r="S44" s="68" t="str">
        <f>IF(AND('Mapa final'!$AA$58="Baja",'Mapa final'!$AC$58="Menor"),CONCATENATE("R9C",'Mapa final'!$Q$58),"")</f>
        <v/>
      </c>
      <c r="T44" s="68" t="str">
        <f>IF(AND('Mapa final'!$AA$59="Baja",'Mapa final'!$AC$59="Menor"),CONCATENATE("R9C",'Mapa final'!$Q$59),"")</f>
        <v/>
      </c>
      <c r="U44" s="69" t="str">
        <f>IF(AND('Mapa final'!$AA$60="Baja",'Mapa final'!$AC$60="Menor"),CONCATENATE("R9C",'Mapa final'!$Q$60),"")</f>
        <v/>
      </c>
      <c r="V44" s="67" t="str">
        <f>IF(AND('Mapa final'!$AA$55="Baja",'Mapa final'!$AC$55="Moderado"),CONCATENATE("R9C",'Mapa final'!$Q$55),"")</f>
        <v/>
      </c>
      <c r="W44" s="68" t="str">
        <f>IF(AND('Mapa final'!$AA$56="Baja",'Mapa final'!$AC$56="Moderado"),CONCATENATE("R9C",'Mapa final'!$Q$56),"")</f>
        <v/>
      </c>
      <c r="X44" s="68" t="str">
        <f>IF(AND('Mapa final'!$AA$57="Baja",'Mapa final'!$AC$57="Moderado"),CONCATENATE("R9C",'Mapa final'!$Q$57),"")</f>
        <v/>
      </c>
      <c r="Y44" s="68" t="str">
        <f>IF(AND('Mapa final'!$AA$58="Baja",'Mapa final'!$AC$58="Moderado"),CONCATENATE("R9C",'Mapa final'!$Q$58),"")</f>
        <v/>
      </c>
      <c r="Z44" s="68" t="str">
        <f>IF(AND('Mapa final'!$AA$59="Baja",'Mapa final'!$AC$59="Moderado"),CONCATENATE("R9C",'Mapa final'!$Q$59),"")</f>
        <v/>
      </c>
      <c r="AA44" s="69" t="str">
        <f>IF(AND('Mapa final'!$AA$60="Baja",'Mapa final'!$AC$60="Moderado"),CONCATENATE("R9C",'Mapa final'!$Q$60),"")</f>
        <v/>
      </c>
      <c r="AB44" s="52" t="str">
        <f>IF(AND('Mapa final'!$AA$55="Baja",'Mapa final'!$AC$55="Mayor"),CONCATENATE("R9C",'Mapa final'!$Q$55),"")</f>
        <v/>
      </c>
      <c r="AC44" s="53" t="str">
        <f>IF(AND('Mapa final'!$AA$56="Baja",'Mapa final'!$AC$56="Mayor"),CONCATENATE("R9C",'Mapa final'!$Q$56),"")</f>
        <v/>
      </c>
      <c r="AD44" s="53" t="str">
        <f>IF(AND('Mapa final'!$AA$57="Baja",'Mapa final'!$AC$57="Mayor"),CONCATENATE("R9C",'Mapa final'!$Q$57),"")</f>
        <v/>
      </c>
      <c r="AE44" s="53" t="str">
        <f>IF(AND('Mapa final'!$AA$58="Baja",'Mapa final'!$AC$58="Mayor"),CONCATENATE("R9C",'Mapa final'!$Q$58),"")</f>
        <v/>
      </c>
      <c r="AF44" s="53" t="str">
        <f>IF(AND('Mapa final'!$AA$59="Baja",'Mapa final'!$AC$59="Mayor"),CONCATENATE("R9C",'Mapa final'!$Q$59),"")</f>
        <v/>
      </c>
      <c r="AG44" s="54" t="str">
        <f>IF(AND('Mapa final'!$AA$60="Baja",'Mapa final'!$AC$60="Mayor"),CONCATENATE("R9C",'Mapa final'!$Q$60),"")</f>
        <v/>
      </c>
      <c r="AH44" s="55" t="str">
        <f>IF(AND('Mapa final'!$AA$55="Baja",'Mapa final'!$AC$55="Catastrófico"),CONCATENATE("R9C",'Mapa final'!$Q$55),"")</f>
        <v/>
      </c>
      <c r="AI44" s="56" t="str">
        <f>IF(AND('Mapa final'!$AA$56="Baja",'Mapa final'!$AC$56="Catastrófico"),CONCATENATE("R9C",'Mapa final'!$Q$56),"")</f>
        <v/>
      </c>
      <c r="AJ44" s="56" t="str">
        <f>IF(AND('Mapa final'!$AA$57="Baja",'Mapa final'!$AC$57="Catastrófico"),CONCATENATE("R9C",'Mapa final'!$Q$57),"")</f>
        <v/>
      </c>
      <c r="AK44" s="56" t="str">
        <f>IF(AND('Mapa final'!$AA$58="Baja",'Mapa final'!$AC$58="Catastrófico"),CONCATENATE("R9C",'Mapa final'!$Q$58),"")</f>
        <v/>
      </c>
      <c r="AL44" s="56" t="str">
        <f>IF(AND('Mapa final'!$AA$59="Baja",'Mapa final'!$AC$59="Catastrófico"),CONCATENATE("R9C",'Mapa final'!$Q$59),"")</f>
        <v/>
      </c>
      <c r="AM44" s="57" t="str">
        <f>IF(AND('Mapa final'!$AA$60="Baja",'Mapa final'!$AC$60="Catastrófico"),CONCATENATE("R9C",'Mapa final'!$Q$60),"")</f>
        <v/>
      </c>
      <c r="AN44" s="83"/>
      <c r="AO44" s="376"/>
      <c r="AP44" s="377"/>
      <c r="AQ44" s="377"/>
      <c r="AR44" s="377"/>
      <c r="AS44" s="377"/>
      <c r="AT44" s="37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57"/>
      <c r="C45" s="257"/>
      <c r="D45" s="258"/>
      <c r="E45" s="357"/>
      <c r="F45" s="358"/>
      <c r="G45" s="358"/>
      <c r="H45" s="358"/>
      <c r="I45" s="358"/>
      <c r="J45" s="79" t="str">
        <f>IF(AND('Mapa final'!$AA$61="Baja",'Mapa final'!$AC$61="Leve"),CONCATENATE("R10C",'Mapa final'!$Q$61),"")</f>
        <v/>
      </c>
      <c r="K45" s="80" t="str">
        <f>IF(AND('Mapa final'!$AA$62="Baja",'Mapa final'!$AC$62="Leve"),CONCATENATE("R10C",'Mapa final'!$Q$62),"")</f>
        <v/>
      </c>
      <c r="L45" s="80" t="str">
        <f>IF(AND('Mapa final'!$AA$63="Baja",'Mapa final'!$AC$63="Leve"),CONCATENATE("R10C",'Mapa final'!$Q$63),"")</f>
        <v/>
      </c>
      <c r="M45" s="80" t="str">
        <f>IF(AND('Mapa final'!$AA$64="Baja",'Mapa final'!$AC$64="Leve"),CONCATENATE("R10C",'Mapa final'!$Q$64),"")</f>
        <v/>
      </c>
      <c r="N45" s="80" t="str">
        <f>IF(AND('Mapa final'!$AA$65="Baja",'Mapa final'!$AC$65="Leve"),CONCATENATE("R10C",'Mapa final'!$Q$65),"")</f>
        <v/>
      </c>
      <c r="O45" s="81" t="str">
        <f>IF(AND('Mapa final'!$AA$66="Baja",'Mapa final'!$AC$66="Leve"),CONCATENATE("R10C",'Mapa final'!$Q$66),"")</f>
        <v/>
      </c>
      <c r="P45" s="67" t="str">
        <f>IF(AND('Mapa final'!$AA$61="Baja",'Mapa final'!$AC$61="Menor"),CONCATENATE("R10C",'Mapa final'!$Q$61),"")</f>
        <v/>
      </c>
      <c r="Q45" s="68" t="str">
        <f>IF(AND('Mapa final'!$AA$62="Baja",'Mapa final'!$AC$62="Menor"),CONCATENATE("R10C",'Mapa final'!$Q$62),"")</f>
        <v/>
      </c>
      <c r="R45" s="68" t="str">
        <f>IF(AND('Mapa final'!$AA$63="Baja",'Mapa final'!$AC$63="Menor"),CONCATENATE("R10C",'Mapa final'!$Q$63),"")</f>
        <v/>
      </c>
      <c r="S45" s="68" t="str">
        <f>IF(AND('Mapa final'!$AA$64="Baja",'Mapa final'!$AC$64="Menor"),CONCATENATE("R10C",'Mapa final'!$Q$64),"")</f>
        <v/>
      </c>
      <c r="T45" s="68" t="str">
        <f>IF(AND('Mapa final'!$AA$65="Baja",'Mapa final'!$AC$65="Menor"),CONCATENATE("R10C",'Mapa final'!$Q$65),"")</f>
        <v/>
      </c>
      <c r="U45" s="69" t="str">
        <f>IF(AND('Mapa final'!$AA$66="Baja",'Mapa final'!$AC$66="Menor"),CONCATENATE("R10C",'Mapa final'!$Q$66),"")</f>
        <v/>
      </c>
      <c r="V45" s="70" t="str">
        <f>IF(AND('Mapa final'!$AA$61="Baja",'Mapa final'!$AC$61="Moderado"),CONCATENATE("R10C",'Mapa final'!$Q$61),"")</f>
        <v/>
      </c>
      <c r="W45" s="71" t="str">
        <f>IF(AND('Mapa final'!$AA$62="Baja",'Mapa final'!$AC$62="Moderado"),CONCATENATE("R10C",'Mapa final'!$Q$62),"")</f>
        <v/>
      </c>
      <c r="X45" s="71" t="str">
        <f>IF(AND('Mapa final'!$AA$63="Baja",'Mapa final'!$AC$63="Moderado"),CONCATENATE("R10C",'Mapa final'!$Q$63),"")</f>
        <v/>
      </c>
      <c r="Y45" s="71" t="str">
        <f>IF(AND('Mapa final'!$AA$64="Baja",'Mapa final'!$AC$64="Moderado"),CONCATENATE("R10C",'Mapa final'!$Q$64),"")</f>
        <v/>
      </c>
      <c r="Z45" s="71" t="str">
        <f>IF(AND('Mapa final'!$AA$65="Baja",'Mapa final'!$AC$65="Moderado"),CONCATENATE("R10C",'Mapa final'!$Q$65),"")</f>
        <v/>
      </c>
      <c r="AA45" s="72" t="str">
        <f>IF(AND('Mapa final'!$AA$66="Baja",'Mapa final'!$AC$66="Moderado"),CONCATENATE("R10C",'Mapa final'!$Q$66),"")</f>
        <v/>
      </c>
      <c r="AB45" s="58" t="str">
        <f>IF(AND('Mapa final'!$AA$61="Baja",'Mapa final'!$AC$61="Mayor"),CONCATENATE("R10C",'Mapa final'!$Q$61),"")</f>
        <v/>
      </c>
      <c r="AC45" s="59" t="str">
        <f>IF(AND('Mapa final'!$AA$62="Baja",'Mapa final'!$AC$62="Mayor"),CONCATENATE("R10C",'Mapa final'!$Q$62),"")</f>
        <v/>
      </c>
      <c r="AD45" s="59" t="str">
        <f>IF(AND('Mapa final'!$AA$63="Baja",'Mapa final'!$AC$63="Mayor"),CONCATENATE("R10C",'Mapa final'!$Q$63),"")</f>
        <v/>
      </c>
      <c r="AE45" s="59" t="str">
        <f>IF(AND('Mapa final'!$AA$64="Baja",'Mapa final'!$AC$64="Mayor"),CONCATENATE("R10C",'Mapa final'!$Q$64),"")</f>
        <v/>
      </c>
      <c r="AF45" s="59" t="str">
        <f>IF(AND('Mapa final'!$AA$65="Baja",'Mapa final'!$AC$65="Mayor"),CONCATENATE("R10C",'Mapa final'!$Q$65),"")</f>
        <v/>
      </c>
      <c r="AG45" s="60" t="str">
        <f>IF(AND('Mapa final'!$AA$66="Baja",'Mapa final'!$AC$66="Mayor"),CONCATENATE("R10C",'Mapa final'!$Q$66),"")</f>
        <v/>
      </c>
      <c r="AH45" s="61" t="str">
        <f>IF(AND('Mapa final'!$AA$61="Baja",'Mapa final'!$AC$61="Catastrófico"),CONCATENATE("R10C",'Mapa final'!$Q$61),"")</f>
        <v/>
      </c>
      <c r="AI45" s="62" t="str">
        <f>IF(AND('Mapa final'!$AA$62="Baja",'Mapa final'!$AC$62="Catastrófico"),CONCATENATE("R10C",'Mapa final'!$Q$62),"")</f>
        <v/>
      </c>
      <c r="AJ45" s="62" t="str">
        <f>IF(AND('Mapa final'!$AA$63="Baja",'Mapa final'!$AC$63="Catastrófico"),CONCATENATE("R10C",'Mapa final'!$Q$63),"")</f>
        <v/>
      </c>
      <c r="AK45" s="62" t="str">
        <f>IF(AND('Mapa final'!$AA$64="Baja",'Mapa final'!$AC$64="Catastrófico"),CONCATENATE("R10C",'Mapa final'!$Q$64),"")</f>
        <v/>
      </c>
      <c r="AL45" s="62" t="str">
        <f>IF(AND('Mapa final'!$AA$65="Baja",'Mapa final'!$AC$65="Catastrófico"),CONCATENATE("R10C",'Mapa final'!$Q$65),"")</f>
        <v/>
      </c>
      <c r="AM45" s="63" t="str">
        <f>IF(AND('Mapa final'!$AA$66="Baja",'Mapa final'!$AC$66="Catastrófico"),CONCATENATE("R10C",'Mapa final'!$Q$66),"")</f>
        <v/>
      </c>
      <c r="AN45" s="83"/>
      <c r="AO45" s="379"/>
      <c r="AP45" s="380"/>
      <c r="AQ45" s="380"/>
      <c r="AR45" s="380"/>
      <c r="AS45" s="380"/>
      <c r="AT45" s="381"/>
    </row>
    <row r="46" spans="1:80" ht="46.5" customHeight="1" x14ac:dyDescent="0.35">
      <c r="A46" s="83"/>
      <c r="B46" s="257"/>
      <c r="C46" s="257"/>
      <c r="D46" s="258"/>
      <c r="E46" s="352" t="s">
        <v>113</v>
      </c>
      <c r="F46" s="353"/>
      <c r="G46" s="353"/>
      <c r="H46" s="353"/>
      <c r="I46" s="370"/>
      <c r="J46" s="73" t="str">
        <f ca="1">IF(AND('Mapa final'!$AA$10="Muy Baja",'Mapa final'!$AC$10="Leve"),CONCATENATE("R1C",'Mapa final'!$Q$10),"")</f>
        <v/>
      </c>
      <c r="K46" s="74" t="str">
        <f ca="1">IF(AND('Mapa final'!$AA$11="Muy Baja",'Mapa final'!$AC$11="Leve"),CONCATENATE("R1C",'Mapa final'!$Q$11),"")</f>
        <v/>
      </c>
      <c r="L46" s="74" t="str">
        <f ca="1">IF(AND('Mapa final'!$AA$12="Muy Baja",'Mapa final'!$AC$12="Leve"),CONCATENATE("R1C",'Mapa final'!$Q$12),"")</f>
        <v/>
      </c>
      <c r="M46" s="74" t="e">
        <f>IF(AND('Mapa final'!#REF!="Muy Baja",'Mapa final'!#REF!="Leve"),CONCATENATE("R1C",'Mapa final'!#REF!),"")</f>
        <v>#REF!</v>
      </c>
      <c r="N46" s="74" t="e">
        <f>IF(AND('Mapa final'!#REF!="Muy Baja",'Mapa final'!#REF!="Leve"),CONCATENATE("R1C",'Mapa final'!#REF!),"")</f>
        <v>#REF!</v>
      </c>
      <c r="O46" s="75" t="e">
        <f>IF(AND('Mapa final'!#REF!="Muy Baja",'Mapa final'!#REF!="Leve"),CONCATENATE("R1C",'Mapa final'!#REF!),"")</f>
        <v>#REF!</v>
      </c>
      <c r="P46" s="73" t="str">
        <f ca="1">IF(AND('Mapa final'!$AA$10="Muy Baja",'Mapa final'!$AC$10="Menor"),CONCATENATE("R1C",'Mapa final'!$Q$10),"")</f>
        <v/>
      </c>
      <c r="Q46" s="74" t="str">
        <f ca="1">IF(AND('Mapa final'!$AA$11="Muy Baja",'Mapa final'!$AC$11="Menor"),CONCATENATE("R1C",'Mapa final'!$Q$11),"")</f>
        <v/>
      </c>
      <c r="R46" s="74" t="str">
        <f ca="1">IF(AND('Mapa final'!$AA$12="Muy Baja",'Mapa final'!$AC$12="Menor"),CONCATENATE("R1C",'Mapa final'!$Q$12),"")</f>
        <v/>
      </c>
      <c r="S46" s="74" t="e">
        <f>IF(AND('Mapa final'!#REF!="Muy Baja",'Mapa final'!#REF!="Menor"),CONCATENATE("R1C",'Mapa final'!#REF!),"")</f>
        <v>#REF!</v>
      </c>
      <c r="T46" s="74" t="e">
        <f>IF(AND('Mapa final'!#REF!="Muy Baja",'Mapa final'!#REF!="Menor"),CONCATENATE("R1C",'Mapa final'!#REF!),"")</f>
        <v>#REF!</v>
      </c>
      <c r="U46" s="75" t="e">
        <f>IF(AND('Mapa final'!#REF!="Muy Baja",'Mapa final'!#REF!="Menor"),CONCATENATE("R1C",'Mapa final'!#REF!),"")</f>
        <v>#REF!</v>
      </c>
      <c r="V46" s="64" t="str">
        <f ca="1">IF(AND('Mapa final'!$AA$10="Muy Baja",'Mapa final'!$AC$10="Moderado"),CONCATENATE("R1C",'Mapa final'!$Q$10),"")</f>
        <v/>
      </c>
      <c r="W46" s="82" t="str">
        <f ca="1">IF(AND('Mapa final'!$AA$11="Muy Baja",'Mapa final'!$AC$11="Moderado"),CONCATENATE("R1C",'Mapa final'!$Q$11),"")</f>
        <v/>
      </c>
      <c r="X46" s="65" t="str">
        <f ca="1">IF(AND('Mapa final'!$AA$12="Muy Baja",'Mapa final'!$AC$12="Moderado"),CONCATENATE("R1C",'Mapa final'!$Q$12),"")</f>
        <v/>
      </c>
      <c r="Y46" s="65" t="e">
        <f>IF(AND('Mapa final'!#REF!="Muy Baja",'Mapa final'!#REF!="Moderado"),CONCATENATE("R1C",'Mapa final'!#REF!),"")</f>
        <v>#REF!</v>
      </c>
      <c r="Z46" s="65" t="e">
        <f>IF(AND('Mapa final'!#REF!="Muy Baja",'Mapa final'!#REF!="Moderado"),CONCATENATE("R1C",'Mapa final'!#REF!),"")</f>
        <v>#REF!</v>
      </c>
      <c r="AA46" s="66" t="e">
        <f>IF(AND('Mapa final'!#REF!="Muy Baja",'Mapa final'!#REF!="Moderado"),CONCATENATE("R1C",'Mapa final'!#REF!),"")</f>
        <v>#REF!</v>
      </c>
      <c r="AB46" s="46" t="str">
        <f ca="1">IF(AND('Mapa final'!$AA$10="Muy Baja",'Mapa final'!$AC$10="Mayor"),CONCATENATE("R1C",'Mapa final'!$Q$10),"")</f>
        <v/>
      </c>
      <c r="AC46" s="47" t="str">
        <f ca="1">IF(AND('Mapa final'!$AA$11="Muy Baja",'Mapa final'!$AC$11="Mayor"),CONCATENATE("R1C",'Mapa final'!$Q$11),"")</f>
        <v>R1C2</v>
      </c>
      <c r="AD46" s="47" t="str">
        <f ca="1">IF(AND('Mapa final'!$AA$12="Muy Baja",'Mapa final'!$AC$12="Mayor"),CONCATENATE("R1C",'Mapa final'!$Q$12),"")</f>
        <v>R1C3</v>
      </c>
      <c r="AE46" s="47" t="e">
        <f>IF(AND('Mapa final'!#REF!="Muy Baja",'Mapa final'!#REF!="Mayor"),CONCATENATE("R1C",'Mapa final'!#REF!),"")</f>
        <v>#REF!</v>
      </c>
      <c r="AF46" s="47" t="e">
        <f>IF(AND('Mapa final'!#REF!="Muy Baja",'Mapa final'!#REF!="Mayor"),CONCATENATE("R1C",'Mapa final'!#REF!),"")</f>
        <v>#REF!</v>
      </c>
      <c r="AG46" s="48" t="e">
        <f>IF(AND('Mapa final'!#REF!="Muy Baja",'Mapa final'!#REF!="Mayor"),CONCATENATE("R1C",'Mapa final'!#REF!),"")</f>
        <v>#REF!</v>
      </c>
      <c r="AH46" s="49" t="str">
        <f ca="1">IF(AND('Mapa final'!$AA$10="Muy Baja",'Mapa final'!$AC$10="Catastrófico"),CONCATENATE("R1C",'Mapa final'!$Q$10),"")</f>
        <v/>
      </c>
      <c r="AI46" s="50" t="str">
        <f ca="1">IF(AND('Mapa final'!$AA$11="Muy Baja",'Mapa final'!$AC$11="Catastrófico"),CONCATENATE("R1C",'Mapa final'!$Q$11),"")</f>
        <v/>
      </c>
      <c r="AJ46" s="50" t="str">
        <f ca="1">IF(AND('Mapa final'!$AA$12="Muy Baja",'Mapa final'!$AC$12="Catastrófico"),CONCATENATE("R1C",'Mapa final'!$Q$12),"")</f>
        <v/>
      </c>
      <c r="AK46" s="50" t="e">
        <f>IF(AND('Mapa final'!#REF!="Muy Baja",'Mapa final'!#REF!="Catastrófico"),CONCATENATE("R1C",'Mapa final'!#REF!),"")</f>
        <v>#REF!</v>
      </c>
      <c r="AL46" s="50" t="e">
        <f>IF(AND('Mapa final'!#REF!="Muy Baja",'Mapa final'!#REF!="Catastrófico"),CONCATENATE("R1C",'Mapa final'!#REF!),"")</f>
        <v>#REF!</v>
      </c>
      <c r="AM46" s="51" t="e">
        <f>IF(AND('Mapa final'!#REF!="Muy Baja",'Mapa final'!#REF!="Catastrófico"),CONCATENATE("R1C",'Mapa final'!#REF!),"")</f>
        <v>#REF!</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57"/>
      <c r="C47" s="257"/>
      <c r="D47" s="258"/>
      <c r="E47" s="354"/>
      <c r="F47" s="355"/>
      <c r="G47" s="355"/>
      <c r="H47" s="355"/>
      <c r="I47" s="371"/>
      <c r="J47" s="76" t="str">
        <f>IF(AND([1]Hoja1!$X$2="Muy Baja",[1]Hoja1!$Z$2="Leve"),CONCATENATE("R2C",[1]Hoja1!$N$2),"")</f>
        <v/>
      </c>
      <c r="K47" s="77" t="str">
        <f>IF(AND([1]Hoja1!$X$3="Muy Baja",[1]Hoja1!$Z$3="Leve"),CONCATENATE("R2C",[1]Hoja1!$N$3),"")</f>
        <v/>
      </c>
      <c r="L47" s="77" t="str">
        <f>IF(AND([1]Hoja1!$X$4="Muy Baja",[1]Hoja1!$Z$4="Leve"),CONCATENATE("R2C",[1]Hoja1!$N$4),"")</f>
        <v/>
      </c>
      <c r="M47" s="77" t="str">
        <f>IF(AND([1]Hoja1!$X$5="Muy Baja",[1]Hoja1!$Z$5="Leve"),CONCATENATE("R2C",[1]Hoja1!$N$5),"")</f>
        <v/>
      </c>
      <c r="N47" s="77" t="str">
        <f>IF(AND([1]Hoja1!$X$6="Muy Baja",[1]Hoja1!$Z$6="Leve"),CONCATENATE("R2C",[1]Hoja1!$N$6),"")</f>
        <v/>
      </c>
      <c r="O47" s="78" t="str">
        <f>IF(AND([1]Hoja1!$X$7="Muy Baja",[1]Hoja1!$Z$7="Leve"),CONCATENATE("R2C",[1]Hoja1!$N$7),"")</f>
        <v/>
      </c>
      <c r="P47" s="76" t="str">
        <f>IF(AND([1]Hoja1!$X$2="Muy Baja",[1]Hoja1!$Z$2="Menor"),CONCATENATE("R2C",[1]Hoja1!$N$2),"")</f>
        <v/>
      </c>
      <c r="Q47" s="77" t="str">
        <f>IF(AND([1]Hoja1!$X$3="Muy Baja",[1]Hoja1!$Z$3="Menor"),CONCATENATE("R2C",[1]Hoja1!$N$3),"")</f>
        <v/>
      </c>
      <c r="R47" s="77" t="str">
        <f>IF(AND([1]Hoja1!$X$4="Muy Baja",[1]Hoja1!$Z$4="Menor"),CONCATENATE("R2C",[1]Hoja1!$N$4),"")</f>
        <v/>
      </c>
      <c r="S47" s="77" t="str">
        <f>IF(AND([1]Hoja1!$X$5="Muy Baja",[1]Hoja1!$Z$5="Menor"),CONCATENATE("R2C",[1]Hoja1!$N$5),"")</f>
        <v/>
      </c>
      <c r="T47" s="77" t="str">
        <f>IF(AND([1]Hoja1!$X$6="Muy Baja",[1]Hoja1!$Z$6="Menor"),CONCATENATE("R2C",[1]Hoja1!$N$6),"")</f>
        <v/>
      </c>
      <c r="U47" s="78" t="str">
        <f>IF(AND([1]Hoja1!$X$7="Muy Baja",[1]Hoja1!$Z$7="Menor"),CONCATENATE("R2C",[1]Hoja1!$N$7),"")</f>
        <v/>
      </c>
      <c r="V47" s="67" t="str">
        <f>IF(AND([1]Hoja1!$X$2="Muy Baja",[1]Hoja1!$Z$2="Moderado"),CONCATENATE("R2C",[1]Hoja1!$N$2),"")</f>
        <v/>
      </c>
      <c r="W47" s="68" t="str">
        <f>IF(AND([1]Hoja1!$X$3="Muy Baja",[1]Hoja1!$Z$3="Moderado"),CONCATENATE("R2C",[1]Hoja1!$N$3),"")</f>
        <v/>
      </c>
      <c r="X47" s="68" t="str">
        <f>IF(AND([1]Hoja1!$X$4="Muy Baja",[1]Hoja1!$Z$4="Moderado"),CONCATENATE("R2C",[1]Hoja1!$N$4),"")</f>
        <v/>
      </c>
      <c r="Y47" s="68" t="str">
        <f>IF(AND([1]Hoja1!$X$5="Muy Baja",[1]Hoja1!$Z$5="Moderado"),CONCATENATE("R2C",[1]Hoja1!$N$5),"")</f>
        <v/>
      </c>
      <c r="Z47" s="68" t="str">
        <f>IF(AND([1]Hoja1!$X$6="Muy Baja",[1]Hoja1!$Z$6="Moderado"),CONCATENATE("R2C",[1]Hoja1!$N$6),"")</f>
        <v/>
      </c>
      <c r="AA47" s="69" t="str">
        <f>IF(AND([1]Hoja1!$X$7="Muy Baja",[1]Hoja1!$Z$7="Moderado"),CONCATENATE("R2C",[1]Hoja1!$N$7),"")</f>
        <v/>
      </c>
      <c r="AB47" s="52" t="str">
        <f>IF(AND([1]Hoja1!$X$2="Muy Baja",[1]Hoja1!$Z$2="Mayor"),CONCATENATE("R2C",[1]Hoja1!$N$2),"")</f>
        <v/>
      </c>
      <c r="AC47" s="53" t="str">
        <f>IF(AND([1]Hoja1!$X$3="Muy Baja",[1]Hoja1!$Z$3="Mayor"),CONCATENATE("R2C",[1]Hoja1!$N$3),"")</f>
        <v/>
      </c>
      <c r="AD47" s="53" t="str">
        <f>IF(AND([1]Hoja1!$X$4="Muy Baja",[1]Hoja1!$Z$4="Mayor"),CONCATENATE("R2C",[1]Hoja1!$N$4),"")</f>
        <v/>
      </c>
      <c r="AE47" s="53" t="str">
        <f>IF(AND([1]Hoja1!$X$5="Muy Baja",[1]Hoja1!$Z$5="Mayor"),CONCATENATE("R2C",[1]Hoja1!$N$5),"")</f>
        <v/>
      </c>
      <c r="AF47" s="53" t="str">
        <f>IF(AND([1]Hoja1!$X$6="Muy Baja",[1]Hoja1!$Z$6="Mayor"),CONCATENATE("R2C",[1]Hoja1!$N$6),"")</f>
        <v/>
      </c>
      <c r="AG47" s="54" t="str">
        <f>IF(AND([1]Hoja1!$X$7="Muy Baja",[1]Hoja1!$Z$7="Mayor"),CONCATENATE("R2C",[1]Hoja1!$N$7),"")</f>
        <v/>
      </c>
      <c r="AH47" s="55" t="str">
        <f>IF(AND([1]Hoja1!$X$2="Muy Baja",[1]Hoja1!$Z$2="Catastrófico"),CONCATENATE("R2C",[1]Hoja1!$N$2),"")</f>
        <v/>
      </c>
      <c r="AI47" s="56" t="str">
        <f>IF(AND([1]Hoja1!$X$3="Muy Baja",[1]Hoja1!$Z$3="Catastrófico"),CONCATENATE("R2C",[1]Hoja1!$N$3),"")</f>
        <v/>
      </c>
      <c r="AJ47" s="56" t="str">
        <f>IF(AND([1]Hoja1!$X$4="Muy Baja",[1]Hoja1!$Z$4="Catastrófico"),CONCATENATE("R2C",[1]Hoja1!$N$4),"")</f>
        <v/>
      </c>
      <c r="AK47" s="56" t="str">
        <f>IF(AND([1]Hoja1!$X$5="Muy Baja",[1]Hoja1!$Z$5="Catastrófico"),CONCATENATE("R2C",[1]Hoja1!$N$5),"")</f>
        <v/>
      </c>
      <c r="AL47" s="56" t="str">
        <f>IF(AND([1]Hoja1!$X$6="Muy Baja",[1]Hoja1!$Z$6="Catastrófico"),CONCATENATE("R2C",[1]Hoja1!$N$6),"")</f>
        <v/>
      </c>
      <c r="AM47" s="57" t="str">
        <f>IF(AND([1]Hoja1!$X$7="Muy Baja",[1]Hoja1!$Z$7="Catastrófico"),CONCATENATE("R2C",[1]Hoja1!$N$7),"")</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57"/>
      <c r="C48" s="257"/>
      <c r="D48" s="258"/>
      <c r="E48" s="354"/>
      <c r="F48" s="355"/>
      <c r="G48" s="355"/>
      <c r="H48" s="355"/>
      <c r="I48" s="371"/>
      <c r="J48" s="76" t="str">
        <f>IF(AND('Mapa final'!$AA$19="Muy Baja",'Mapa final'!$AC$19="Leve"),CONCATENATE("R3C",'Mapa final'!$Q$19),"")</f>
        <v/>
      </c>
      <c r="K48" s="77" t="str">
        <f>IF(AND('Mapa final'!$AA$20="Muy Baja",'Mapa final'!$AC$20="Leve"),CONCATENATE("R3C",'Mapa final'!$Q$20),"")</f>
        <v/>
      </c>
      <c r="L48" s="77" t="str">
        <f>IF(AND('Mapa final'!$AA$21="Muy Baja",'Mapa final'!$AC$21="Leve"),CONCATENATE("R3C",'Mapa final'!$Q$21),"")</f>
        <v/>
      </c>
      <c r="M48" s="77" t="str">
        <f>IF(AND('Mapa final'!$AA$22="Muy Baja",'Mapa final'!$AC$22="Leve"),CONCATENATE("R3C",'Mapa final'!$Q$22),"")</f>
        <v/>
      </c>
      <c r="N48" s="77" t="str">
        <f>IF(AND('Mapa final'!$AA$23="Muy Baja",'Mapa final'!$AC$23="Leve"),CONCATENATE("R3C",'Mapa final'!$Q$23),"")</f>
        <v/>
      </c>
      <c r="O48" s="78" t="str">
        <f>IF(AND('Mapa final'!$AA$24="Muy Baja",'Mapa final'!$AC$24="Leve"),CONCATENATE("R3C",'Mapa final'!$Q$24),"")</f>
        <v/>
      </c>
      <c r="P48" s="76" t="str">
        <f>IF(AND('Mapa final'!$AA$19="Muy Baja",'Mapa final'!$AC$19="Menor"),CONCATENATE("R3C",'Mapa final'!$Q$19),"")</f>
        <v/>
      </c>
      <c r="Q48" s="77" t="str">
        <f>IF(AND('Mapa final'!$AA$20="Muy Baja",'Mapa final'!$AC$20="Menor"),CONCATENATE("R3C",'Mapa final'!$Q$20),"")</f>
        <v/>
      </c>
      <c r="R48" s="77" t="str">
        <f>IF(AND('Mapa final'!$AA$21="Muy Baja",'Mapa final'!$AC$21="Menor"),CONCATENATE("R3C",'Mapa final'!$Q$21),"")</f>
        <v/>
      </c>
      <c r="S48" s="77" t="str">
        <f>IF(AND('Mapa final'!$AA$22="Muy Baja",'Mapa final'!$AC$22="Menor"),CONCATENATE("R3C",'Mapa final'!$Q$22),"")</f>
        <v/>
      </c>
      <c r="T48" s="77" t="str">
        <f>IF(AND('Mapa final'!$AA$23="Muy Baja",'Mapa final'!$AC$23="Menor"),CONCATENATE("R3C",'Mapa final'!$Q$23),"")</f>
        <v/>
      </c>
      <c r="U48" s="78" t="str">
        <f>IF(AND('Mapa final'!$AA$24="Muy Baja",'Mapa final'!$AC$24="Menor"),CONCATENATE("R3C",'Mapa final'!$Q$24),"")</f>
        <v/>
      </c>
      <c r="V48" s="67" t="str">
        <f>IF(AND('Mapa final'!$AA$19="Muy Baja",'Mapa final'!$AC$19="Moderado"),CONCATENATE("R3C",'Mapa final'!$Q$19),"")</f>
        <v/>
      </c>
      <c r="W48" s="68" t="str">
        <f>IF(AND('Mapa final'!$AA$20="Muy Baja",'Mapa final'!$AC$20="Moderado"),CONCATENATE("R3C",'Mapa final'!$Q$20),"")</f>
        <v/>
      </c>
      <c r="X48" s="68" t="str">
        <f>IF(AND('Mapa final'!$AA$21="Muy Baja",'Mapa final'!$AC$21="Moderado"),CONCATENATE("R3C",'Mapa final'!$Q$21),"")</f>
        <v/>
      </c>
      <c r="Y48" s="68" t="str">
        <f>IF(AND('Mapa final'!$AA$22="Muy Baja",'Mapa final'!$AC$22="Moderado"),CONCATENATE("R3C",'Mapa final'!$Q$22),"")</f>
        <v/>
      </c>
      <c r="Z48" s="68" t="str">
        <f>IF(AND('Mapa final'!$AA$23="Muy Baja",'Mapa final'!$AC$23="Moderado"),CONCATENATE("R3C",'Mapa final'!$Q$23),"")</f>
        <v/>
      </c>
      <c r="AA48" s="69" t="str">
        <f>IF(AND('Mapa final'!$AA$24="Muy Baja",'Mapa final'!$AC$24="Moderado"),CONCATENATE("R3C",'Mapa final'!$Q$24),"")</f>
        <v/>
      </c>
      <c r="AB48" s="52" t="str">
        <f>IF(AND('Mapa final'!$AA$19="Muy Baja",'Mapa final'!$AC$19="Mayor"),CONCATENATE("R3C",'Mapa final'!$Q$19),"")</f>
        <v/>
      </c>
      <c r="AC48" s="53" t="str">
        <f>IF(AND('Mapa final'!$AA$20="Muy Baja",'Mapa final'!$AC$20="Mayor"),CONCATENATE("R3C",'Mapa final'!$Q$20),"")</f>
        <v/>
      </c>
      <c r="AD48" s="53" t="str">
        <f>IF(AND('Mapa final'!$AA$21="Muy Baja",'Mapa final'!$AC$21="Mayor"),CONCATENATE("R3C",'Mapa final'!$Q$21),"")</f>
        <v/>
      </c>
      <c r="AE48" s="53" t="str">
        <f>IF(AND('Mapa final'!$AA$22="Muy Baja",'Mapa final'!$AC$22="Mayor"),CONCATENATE("R3C",'Mapa final'!$Q$22),"")</f>
        <v/>
      </c>
      <c r="AF48" s="53" t="str">
        <f>IF(AND('Mapa final'!$AA$23="Muy Baja",'Mapa final'!$AC$23="Mayor"),CONCATENATE("R3C",'Mapa final'!$Q$23),"")</f>
        <v/>
      </c>
      <c r="AG48" s="54" t="str">
        <f>IF(AND('Mapa final'!$AA$24="Muy Baja",'Mapa final'!$AC$24="Mayor"),CONCATENATE("R3C",'Mapa final'!$Q$24),"")</f>
        <v/>
      </c>
      <c r="AH48" s="55" t="str">
        <f>IF(AND('Mapa final'!$AA$19="Muy Baja",'Mapa final'!$AC$19="Catastrófico"),CONCATENATE("R3C",'Mapa final'!$Q$19),"")</f>
        <v/>
      </c>
      <c r="AI48" s="56" t="str">
        <f>IF(AND('Mapa final'!$AA$20="Muy Baja",'Mapa final'!$AC$20="Catastrófico"),CONCATENATE("R3C",'Mapa final'!$Q$20),"")</f>
        <v/>
      </c>
      <c r="AJ48" s="56" t="str">
        <f>IF(AND('Mapa final'!$AA$21="Muy Baja",'Mapa final'!$AC$21="Catastrófico"),CONCATENATE("R3C",'Mapa final'!$Q$21),"")</f>
        <v/>
      </c>
      <c r="AK48" s="56" t="str">
        <f>IF(AND('Mapa final'!$AA$22="Muy Baja",'Mapa final'!$AC$22="Catastrófico"),CONCATENATE("R3C",'Mapa final'!$Q$22),"")</f>
        <v/>
      </c>
      <c r="AL48" s="56" t="str">
        <f>IF(AND('Mapa final'!$AA$23="Muy Baja",'Mapa final'!$AC$23="Catastrófico"),CONCATENATE("R3C",'Mapa final'!$Q$23),"")</f>
        <v/>
      </c>
      <c r="AM48" s="57" t="str">
        <f>IF(AND('Mapa final'!$AA$24="Muy Baja",'Mapa final'!$AC$24="Catastrófico"),CONCATENATE("R3C",'Mapa final'!$Q$24),"")</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57"/>
      <c r="C49" s="257"/>
      <c r="D49" s="258"/>
      <c r="E49" s="356"/>
      <c r="F49" s="355"/>
      <c r="G49" s="355"/>
      <c r="H49" s="355"/>
      <c r="I49" s="371"/>
      <c r="J49" s="76" t="str">
        <f>IF(AND('Mapa final'!$AA$25="Muy Baja",'Mapa final'!$AC$25="Leve"),CONCATENATE("R4C",'Mapa final'!$Q$25),"")</f>
        <v/>
      </c>
      <c r="K49" s="77" t="str">
        <f>IF(AND('Mapa final'!$AA$26="Muy Baja",'Mapa final'!$AC$26="Leve"),CONCATENATE("R4C",'Mapa final'!$Q$26),"")</f>
        <v/>
      </c>
      <c r="L49" s="77" t="str">
        <f>IF(AND('Mapa final'!$AA$27="Muy Baja",'Mapa final'!$AC$27="Leve"),CONCATENATE("R4C",'Mapa final'!$Q$27),"")</f>
        <v/>
      </c>
      <c r="M49" s="77" t="str">
        <f>IF(AND('Mapa final'!$AA$28="Muy Baja",'Mapa final'!$AC$28="Leve"),CONCATENATE("R4C",'Mapa final'!$Q$28),"")</f>
        <v/>
      </c>
      <c r="N49" s="77" t="str">
        <f>IF(AND('Mapa final'!$AA$29="Muy Baja",'Mapa final'!$AC$29="Leve"),CONCATENATE("R4C",'Mapa final'!$Q$29),"")</f>
        <v/>
      </c>
      <c r="O49" s="78" t="str">
        <f>IF(AND('Mapa final'!$AA$30="Muy Baja",'Mapa final'!$AC$30="Leve"),CONCATENATE("R4C",'Mapa final'!$Q$30),"")</f>
        <v/>
      </c>
      <c r="P49" s="76" t="str">
        <f>IF(AND('Mapa final'!$AA$25="Muy Baja",'Mapa final'!$AC$25="Menor"),CONCATENATE("R4C",'Mapa final'!$Q$25),"")</f>
        <v/>
      </c>
      <c r="Q49" s="77" t="str">
        <f>IF(AND('Mapa final'!$AA$26="Muy Baja",'Mapa final'!$AC$26="Menor"),CONCATENATE("R4C",'Mapa final'!$Q$26),"")</f>
        <v/>
      </c>
      <c r="R49" s="77" t="str">
        <f>IF(AND('Mapa final'!$AA$27="Muy Baja",'Mapa final'!$AC$27="Menor"),CONCATENATE("R4C",'Mapa final'!$Q$27),"")</f>
        <v/>
      </c>
      <c r="S49" s="77" t="str">
        <f>IF(AND('Mapa final'!$AA$28="Muy Baja",'Mapa final'!$AC$28="Menor"),CONCATENATE("R4C",'Mapa final'!$Q$28),"")</f>
        <v/>
      </c>
      <c r="T49" s="77" t="str">
        <f>IF(AND('Mapa final'!$AA$29="Muy Baja",'Mapa final'!$AC$29="Menor"),CONCATENATE("R4C",'Mapa final'!$Q$29),"")</f>
        <v/>
      </c>
      <c r="U49" s="78" t="str">
        <f>IF(AND('Mapa final'!$AA$30="Muy Baja",'Mapa final'!$AC$30="Menor"),CONCATENATE("R4C",'Mapa final'!$Q$30),"")</f>
        <v/>
      </c>
      <c r="V49" s="67" t="str">
        <f>IF(AND('Mapa final'!$AA$25="Muy Baja",'Mapa final'!$AC$25="Moderado"),CONCATENATE("R4C",'Mapa final'!$Q$25),"")</f>
        <v/>
      </c>
      <c r="W49" s="68" t="str">
        <f>IF(AND('Mapa final'!$AA$26="Muy Baja",'Mapa final'!$AC$26="Moderado"),CONCATENATE("R4C",'Mapa final'!$Q$26),"")</f>
        <v/>
      </c>
      <c r="X49" s="68" t="str">
        <f>IF(AND('Mapa final'!$AA$27="Muy Baja",'Mapa final'!$AC$27="Moderado"),CONCATENATE("R4C",'Mapa final'!$Q$27),"")</f>
        <v/>
      </c>
      <c r="Y49" s="68" t="str">
        <f>IF(AND('Mapa final'!$AA$28="Muy Baja",'Mapa final'!$AC$28="Moderado"),CONCATENATE("R4C",'Mapa final'!$Q$28),"")</f>
        <v/>
      </c>
      <c r="Z49" s="68" t="str">
        <f>IF(AND('Mapa final'!$AA$29="Muy Baja",'Mapa final'!$AC$29="Moderado"),CONCATENATE("R4C",'Mapa final'!$Q$29),"")</f>
        <v/>
      </c>
      <c r="AA49" s="69" t="str">
        <f>IF(AND('Mapa final'!$AA$30="Muy Baja",'Mapa final'!$AC$30="Moderado"),CONCATENATE("R4C",'Mapa final'!$Q$30),"")</f>
        <v/>
      </c>
      <c r="AB49" s="52" t="str">
        <f>IF(AND('Mapa final'!$AA$25="Muy Baja",'Mapa final'!$AC$25="Mayor"),CONCATENATE("R4C",'Mapa final'!$Q$25),"")</f>
        <v/>
      </c>
      <c r="AC49" s="53" t="str">
        <f>IF(AND('Mapa final'!$AA$26="Muy Baja",'Mapa final'!$AC$26="Mayor"),CONCATENATE("R4C",'Mapa final'!$Q$26),"")</f>
        <v/>
      </c>
      <c r="AD49" s="53" t="str">
        <f>IF(AND('Mapa final'!$AA$27="Muy Baja",'Mapa final'!$AC$27="Mayor"),CONCATENATE("R4C",'Mapa final'!$Q$27),"")</f>
        <v/>
      </c>
      <c r="AE49" s="53" t="str">
        <f>IF(AND('Mapa final'!$AA$28="Muy Baja",'Mapa final'!$AC$28="Mayor"),CONCATENATE("R4C",'Mapa final'!$Q$28),"")</f>
        <v/>
      </c>
      <c r="AF49" s="53" t="str">
        <f>IF(AND('Mapa final'!$AA$29="Muy Baja",'Mapa final'!$AC$29="Mayor"),CONCATENATE("R4C",'Mapa final'!$Q$29),"")</f>
        <v/>
      </c>
      <c r="AG49" s="54" t="str">
        <f>IF(AND('Mapa final'!$AA$30="Muy Baja",'Mapa final'!$AC$30="Mayor"),CONCATENATE("R4C",'Mapa final'!$Q$30),"")</f>
        <v/>
      </c>
      <c r="AH49" s="55" t="str">
        <f>IF(AND('Mapa final'!$AA$25="Muy Baja",'Mapa final'!$AC$25="Catastrófico"),CONCATENATE("R4C",'Mapa final'!$Q$25),"")</f>
        <v/>
      </c>
      <c r="AI49" s="56" t="str">
        <f>IF(AND('Mapa final'!$AA$26="Muy Baja",'Mapa final'!$AC$26="Catastrófico"),CONCATENATE("R4C",'Mapa final'!$Q$26),"")</f>
        <v/>
      </c>
      <c r="AJ49" s="56" t="str">
        <f>IF(AND('Mapa final'!$AA$27="Muy Baja",'Mapa final'!$AC$27="Catastrófico"),CONCATENATE("R4C",'Mapa final'!$Q$27),"")</f>
        <v/>
      </c>
      <c r="AK49" s="56" t="str">
        <f>IF(AND('Mapa final'!$AA$28="Muy Baja",'Mapa final'!$AC$28="Catastrófico"),CONCATENATE("R4C",'Mapa final'!$Q$28),"")</f>
        <v/>
      </c>
      <c r="AL49" s="56" t="str">
        <f>IF(AND('Mapa final'!$AA$29="Muy Baja",'Mapa final'!$AC$29="Catastrófico"),CONCATENATE("R4C",'Mapa final'!$Q$29),"")</f>
        <v/>
      </c>
      <c r="AM49" s="57" t="str">
        <f>IF(AND('Mapa final'!$AA$30="Muy Baja",'Mapa final'!$AC$30="Catastrófico"),CONCATENATE("R4C",'Mapa final'!$Q$30),"")</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57"/>
      <c r="C50" s="257"/>
      <c r="D50" s="258"/>
      <c r="E50" s="356"/>
      <c r="F50" s="355"/>
      <c r="G50" s="355"/>
      <c r="H50" s="355"/>
      <c r="I50" s="371"/>
      <c r="J50" s="76" t="str">
        <f>IF(AND('Mapa final'!$AA$31="Muy Baja",'Mapa final'!$AC$31="Leve"),CONCATENATE("R5C",'Mapa final'!$Q$31),"")</f>
        <v/>
      </c>
      <c r="K50" s="77" t="str">
        <f>IF(AND('Mapa final'!$AA$32="Muy Baja",'Mapa final'!$AC$32="Leve"),CONCATENATE("R5C",'Mapa final'!$Q$32),"")</f>
        <v/>
      </c>
      <c r="L50" s="77" t="str">
        <f>IF(AND('Mapa final'!$AA$33="Muy Baja",'Mapa final'!$AC$33="Leve"),CONCATENATE("R5C",'Mapa final'!$Q$33),"")</f>
        <v/>
      </c>
      <c r="M50" s="77" t="str">
        <f>IF(AND('Mapa final'!$AA$34="Muy Baja",'Mapa final'!$AC$34="Leve"),CONCATENATE("R5C",'Mapa final'!$Q$34),"")</f>
        <v/>
      </c>
      <c r="N50" s="77" t="str">
        <f>IF(AND('Mapa final'!$AA$35="Muy Baja",'Mapa final'!$AC$35="Leve"),CONCATENATE("R5C",'Mapa final'!$Q$35),"")</f>
        <v/>
      </c>
      <c r="O50" s="78" t="str">
        <f>IF(AND('Mapa final'!$AA$36="Muy Baja",'Mapa final'!$AC$36="Leve"),CONCATENATE("R5C",'Mapa final'!$Q$36),"")</f>
        <v/>
      </c>
      <c r="P50" s="76" t="str">
        <f>IF(AND('Mapa final'!$AA$31="Muy Baja",'Mapa final'!$AC$31="Menor"),CONCATENATE("R5C",'Mapa final'!$Q$31),"")</f>
        <v/>
      </c>
      <c r="Q50" s="77" t="str">
        <f>IF(AND('Mapa final'!$AA$32="Muy Baja",'Mapa final'!$AC$32="Menor"),CONCATENATE("R5C",'Mapa final'!$Q$32),"")</f>
        <v/>
      </c>
      <c r="R50" s="77" t="str">
        <f>IF(AND('Mapa final'!$AA$33="Muy Baja",'Mapa final'!$AC$33="Menor"),CONCATENATE("R5C",'Mapa final'!$Q$33),"")</f>
        <v/>
      </c>
      <c r="S50" s="77" t="str">
        <f>IF(AND('Mapa final'!$AA$34="Muy Baja",'Mapa final'!$AC$34="Menor"),CONCATENATE("R5C",'Mapa final'!$Q$34),"")</f>
        <v/>
      </c>
      <c r="T50" s="77" t="str">
        <f>IF(AND('Mapa final'!$AA$35="Muy Baja",'Mapa final'!$AC$35="Menor"),CONCATENATE("R5C",'Mapa final'!$Q$35),"")</f>
        <v/>
      </c>
      <c r="U50" s="78" t="str">
        <f>IF(AND('Mapa final'!$AA$36="Muy Baja",'Mapa final'!$AC$36="Menor"),CONCATENATE("R5C",'Mapa final'!$Q$36),"")</f>
        <v/>
      </c>
      <c r="V50" s="67" t="str">
        <f>IF(AND('Mapa final'!$AA$31="Muy Baja",'Mapa final'!$AC$31="Moderado"),CONCATENATE("R5C",'Mapa final'!$Q$31),"")</f>
        <v/>
      </c>
      <c r="W50" s="68" t="str">
        <f>IF(AND('Mapa final'!$AA$32="Muy Baja",'Mapa final'!$AC$32="Moderado"),CONCATENATE("R5C",'Mapa final'!$Q$32),"")</f>
        <v/>
      </c>
      <c r="X50" s="68" t="str">
        <f>IF(AND('Mapa final'!$AA$33="Muy Baja",'Mapa final'!$AC$33="Moderado"),CONCATENATE("R5C",'Mapa final'!$Q$33),"")</f>
        <v/>
      </c>
      <c r="Y50" s="68" t="str">
        <f>IF(AND('Mapa final'!$AA$34="Muy Baja",'Mapa final'!$AC$34="Moderado"),CONCATENATE("R5C",'Mapa final'!$Q$34),"")</f>
        <v/>
      </c>
      <c r="Z50" s="68" t="str">
        <f>IF(AND('Mapa final'!$AA$35="Muy Baja",'Mapa final'!$AC$35="Moderado"),CONCATENATE("R5C",'Mapa final'!$Q$35),"")</f>
        <v/>
      </c>
      <c r="AA50" s="69" t="str">
        <f>IF(AND('Mapa final'!$AA$36="Muy Baja",'Mapa final'!$AC$36="Moderado"),CONCATENATE("R5C",'Mapa final'!$Q$36),"")</f>
        <v/>
      </c>
      <c r="AB50" s="52" t="str">
        <f>IF(AND('Mapa final'!$AA$31="Muy Baja",'Mapa final'!$AC$31="Mayor"),CONCATENATE("R5C",'Mapa final'!$Q$31),"")</f>
        <v/>
      </c>
      <c r="AC50" s="53" t="str">
        <f>IF(AND('Mapa final'!$AA$32="Muy Baja",'Mapa final'!$AC$32="Mayor"),CONCATENATE("R5C",'Mapa final'!$Q$32),"")</f>
        <v/>
      </c>
      <c r="AD50" s="53" t="str">
        <f>IF(AND('Mapa final'!$AA$33="Muy Baja",'Mapa final'!$AC$33="Mayor"),CONCATENATE("R5C",'Mapa final'!$Q$33),"")</f>
        <v/>
      </c>
      <c r="AE50" s="53" t="str">
        <f>IF(AND('Mapa final'!$AA$34="Muy Baja",'Mapa final'!$AC$34="Mayor"),CONCATENATE("R5C",'Mapa final'!$Q$34),"")</f>
        <v/>
      </c>
      <c r="AF50" s="53" t="str">
        <f>IF(AND('Mapa final'!$AA$35="Muy Baja",'Mapa final'!$AC$35="Mayor"),CONCATENATE("R5C",'Mapa final'!$Q$35),"")</f>
        <v/>
      </c>
      <c r="AG50" s="54" t="str">
        <f>IF(AND('Mapa final'!$AA$36="Muy Baja",'Mapa final'!$AC$36="Mayor"),CONCATENATE("R5C",'Mapa final'!$Q$36),"")</f>
        <v/>
      </c>
      <c r="AH50" s="55" t="str">
        <f>IF(AND('Mapa final'!$AA$31="Muy Baja",'Mapa final'!$AC$31="Catastrófico"),CONCATENATE("R5C",'Mapa final'!$Q$31),"")</f>
        <v/>
      </c>
      <c r="AI50" s="56" t="str">
        <f>IF(AND('Mapa final'!$AA$32="Muy Baja",'Mapa final'!$AC$32="Catastrófico"),CONCATENATE("R5C",'Mapa final'!$Q$32),"")</f>
        <v/>
      </c>
      <c r="AJ50" s="56" t="str">
        <f>IF(AND('Mapa final'!$AA$33="Muy Baja",'Mapa final'!$AC$33="Catastrófico"),CONCATENATE("R5C",'Mapa final'!$Q$33),"")</f>
        <v/>
      </c>
      <c r="AK50" s="56" t="str">
        <f>IF(AND('Mapa final'!$AA$34="Muy Baja",'Mapa final'!$AC$34="Catastrófico"),CONCATENATE("R5C",'Mapa final'!$Q$34),"")</f>
        <v/>
      </c>
      <c r="AL50" s="56" t="str">
        <f>IF(AND('Mapa final'!$AA$35="Muy Baja",'Mapa final'!$AC$35="Catastrófico"),CONCATENATE("R5C",'Mapa final'!$Q$35),"")</f>
        <v/>
      </c>
      <c r="AM50" s="57" t="str">
        <f>IF(AND('Mapa final'!$AA$36="Muy Baja",'Mapa final'!$AC$36="Catastrófico"),CONCATENATE("R5C",'Mapa final'!$Q$36),"")</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57"/>
      <c r="C51" s="257"/>
      <c r="D51" s="258"/>
      <c r="E51" s="356"/>
      <c r="F51" s="355"/>
      <c r="G51" s="355"/>
      <c r="H51" s="355"/>
      <c r="I51" s="371"/>
      <c r="J51" s="76" t="str">
        <f>IF(AND('Mapa final'!$AA$37="Muy Baja",'Mapa final'!$AC$37="Leve"),CONCATENATE("R6C",'Mapa final'!$Q$37),"")</f>
        <v/>
      </c>
      <c r="K51" s="77" t="str">
        <f>IF(AND('Mapa final'!$AA$38="Muy Baja",'Mapa final'!$AC$38="Leve"),CONCATENATE("R6C",'Mapa final'!$Q$38),"")</f>
        <v/>
      </c>
      <c r="L51" s="77" t="str">
        <f>IF(AND('Mapa final'!$AA$39="Muy Baja",'Mapa final'!$AC$39="Leve"),CONCATENATE("R6C",'Mapa final'!$Q$39),"")</f>
        <v/>
      </c>
      <c r="M51" s="77" t="str">
        <f>IF(AND('Mapa final'!$AA$40="Muy Baja",'Mapa final'!$AC$40="Leve"),CONCATENATE("R6C",'Mapa final'!$Q$40),"")</f>
        <v/>
      </c>
      <c r="N51" s="77" t="str">
        <f>IF(AND('Mapa final'!$AA$41="Muy Baja",'Mapa final'!$AC$41="Leve"),CONCATENATE("R6C",'Mapa final'!$Q$41),"")</f>
        <v/>
      </c>
      <c r="O51" s="78" t="str">
        <f>IF(AND('Mapa final'!$AA$42="Muy Baja",'Mapa final'!$AC$42="Leve"),CONCATENATE("R6C",'Mapa final'!$Q$42),"")</f>
        <v/>
      </c>
      <c r="P51" s="76" t="str">
        <f>IF(AND('Mapa final'!$AA$37="Muy Baja",'Mapa final'!$AC$37="Menor"),CONCATENATE("R6C",'Mapa final'!$Q$37),"")</f>
        <v/>
      </c>
      <c r="Q51" s="77" t="str">
        <f>IF(AND('Mapa final'!$AA$38="Muy Baja",'Mapa final'!$AC$38="Menor"),CONCATENATE("R6C",'Mapa final'!$Q$38),"")</f>
        <v/>
      </c>
      <c r="R51" s="77" t="str">
        <f>IF(AND('Mapa final'!$AA$39="Muy Baja",'Mapa final'!$AC$39="Menor"),CONCATENATE("R6C",'Mapa final'!$Q$39),"")</f>
        <v/>
      </c>
      <c r="S51" s="77" t="str">
        <f>IF(AND('Mapa final'!$AA$40="Muy Baja",'Mapa final'!$AC$40="Menor"),CONCATENATE("R6C",'Mapa final'!$Q$40),"")</f>
        <v/>
      </c>
      <c r="T51" s="77" t="str">
        <f>IF(AND('Mapa final'!$AA$41="Muy Baja",'Mapa final'!$AC$41="Menor"),CONCATENATE("R6C",'Mapa final'!$Q$41),"")</f>
        <v/>
      </c>
      <c r="U51" s="78" t="str">
        <f>IF(AND('Mapa final'!$AA$42="Muy Baja",'Mapa final'!$AC$42="Menor"),CONCATENATE("R6C",'Mapa final'!$Q$42),"")</f>
        <v/>
      </c>
      <c r="V51" s="67" t="str">
        <f>IF(AND('Mapa final'!$AA$37="Muy Baja",'Mapa final'!$AC$37="Moderado"),CONCATENATE("R6C",'Mapa final'!$Q$37),"")</f>
        <v/>
      </c>
      <c r="W51" s="68" t="str">
        <f>IF(AND('Mapa final'!$AA$38="Muy Baja",'Mapa final'!$AC$38="Moderado"),CONCATENATE("R6C",'Mapa final'!$Q$38),"")</f>
        <v/>
      </c>
      <c r="X51" s="68" t="str">
        <f>IF(AND('Mapa final'!$AA$39="Muy Baja",'Mapa final'!$AC$39="Moderado"),CONCATENATE("R6C",'Mapa final'!$Q$39),"")</f>
        <v/>
      </c>
      <c r="Y51" s="68" t="str">
        <f>IF(AND('Mapa final'!$AA$40="Muy Baja",'Mapa final'!$AC$40="Moderado"),CONCATENATE("R6C",'Mapa final'!$Q$40),"")</f>
        <v/>
      </c>
      <c r="Z51" s="68" t="str">
        <f>IF(AND('Mapa final'!$AA$41="Muy Baja",'Mapa final'!$AC$41="Moderado"),CONCATENATE("R6C",'Mapa final'!$Q$41),"")</f>
        <v/>
      </c>
      <c r="AA51" s="69" t="str">
        <f>IF(AND('Mapa final'!$AA$42="Muy Baja",'Mapa final'!$AC$42="Moderado"),CONCATENATE("R6C",'Mapa final'!$Q$42),"")</f>
        <v/>
      </c>
      <c r="AB51" s="52" t="str">
        <f>IF(AND('Mapa final'!$AA$37="Muy Baja",'Mapa final'!$AC$37="Mayor"),CONCATENATE("R6C",'Mapa final'!$Q$37),"")</f>
        <v/>
      </c>
      <c r="AC51" s="53" t="str">
        <f>IF(AND('Mapa final'!$AA$38="Muy Baja",'Mapa final'!$AC$38="Mayor"),CONCATENATE("R6C",'Mapa final'!$Q$38),"")</f>
        <v/>
      </c>
      <c r="AD51" s="53" t="str">
        <f>IF(AND('Mapa final'!$AA$39="Muy Baja",'Mapa final'!$AC$39="Mayor"),CONCATENATE("R6C",'Mapa final'!$Q$39),"")</f>
        <v/>
      </c>
      <c r="AE51" s="53" t="str">
        <f>IF(AND('Mapa final'!$AA$40="Muy Baja",'Mapa final'!$AC$40="Mayor"),CONCATENATE("R6C",'Mapa final'!$Q$40),"")</f>
        <v/>
      </c>
      <c r="AF51" s="53" t="str">
        <f>IF(AND('Mapa final'!$AA$41="Muy Baja",'Mapa final'!$AC$41="Mayor"),CONCATENATE("R6C",'Mapa final'!$Q$41),"")</f>
        <v/>
      </c>
      <c r="AG51" s="54" t="str">
        <f>IF(AND('Mapa final'!$AA$42="Muy Baja",'Mapa final'!$AC$42="Mayor"),CONCATENATE("R6C",'Mapa final'!$Q$42),"")</f>
        <v/>
      </c>
      <c r="AH51" s="55" t="str">
        <f>IF(AND('Mapa final'!$AA$37="Muy Baja",'Mapa final'!$AC$37="Catastrófico"),CONCATENATE("R6C",'Mapa final'!$Q$37),"")</f>
        <v/>
      </c>
      <c r="AI51" s="56" t="str">
        <f>IF(AND('Mapa final'!$AA$38="Muy Baja",'Mapa final'!$AC$38="Catastrófico"),CONCATENATE("R6C",'Mapa final'!$Q$38),"")</f>
        <v/>
      </c>
      <c r="AJ51" s="56" t="str">
        <f>IF(AND('Mapa final'!$AA$39="Muy Baja",'Mapa final'!$AC$39="Catastrófico"),CONCATENATE("R6C",'Mapa final'!$Q$39),"")</f>
        <v/>
      </c>
      <c r="AK51" s="56" t="str">
        <f>IF(AND('Mapa final'!$AA$40="Muy Baja",'Mapa final'!$AC$40="Catastrófico"),CONCATENATE("R6C",'Mapa final'!$Q$40),"")</f>
        <v/>
      </c>
      <c r="AL51" s="56" t="str">
        <f>IF(AND('Mapa final'!$AA$41="Muy Baja",'Mapa final'!$AC$41="Catastrófico"),CONCATENATE("R6C",'Mapa final'!$Q$41),"")</f>
        <v/>
      </c>
      <c r="AM51" s="57" t="str">
        <f>IF(AND('Mapa final'!$AA$42="Muy Baja",'Mapa final'!$AC$42="Catastrófico"),CONCATENATE("R6C",'Mapa final'!$Q$42),"")</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57"/>
      <c r="C52" s="257"/>
      <c r="D52" s="258"/>
      <c r="E52" s="356"/>
      <c r="F52" s="355"/>
      <c r="G52" s="355"/>
      <c r="H52" s="355"/>
      <c r="I52" s="371"/>
      <c r="J52" s="76" t="str">
        <f>IF(AND('Mapa final'!$AA$43="Muy Baja",'Mapa final'!$AC$43="Leve"),CONCATENATE("R7C",'Mapa final'!$Q$43),"")</f>
        <v/>
      </c>
      <c r="K52" s="77" t="str">
        <f>IF(AND('Mapa final'!$AA$44="Muy Baja",'Mapa final'!$AC$44="Leve"),CONCATENATE("R7C",'Mapa final'!$Q$44),"")</f>
        <v/>
      </c>
      <c r="L52" s="77" t="str">
        <f>IF(AND('Mapa final'!$AA$45="Muy Baja",'Mapa final'!$AC$45="Leve"),CONCATENATE("R7C",'Mapa final'!$Q$45),"")</f>
        <v/>
      </c>
      <c r="M52" s="77" t="str">
        <f>IF(AND('Mapa final'!$AA$46="Muy Baja",'Mapa final'!$AC$46="Leve"),CONCATENATE("R7C",'Mapa final'!$Q$46),"")</f>
        <v/>
      </c>
      <c r="N52" s="77" t="str">
        <f>IF(AND('Mapa final'!$AA$47="Muy Baja",'Mapa final'!$AC$47="Leve"),CONCATENATE("R7C",'Mapa final'!$Q$47),"")</f>
        <v/>
      </c>
      <c r="O52" s="78" t="str">
        <f>IF(AND('Mapa final'!$AA$48="Muy Baja",'Mapa final'!$AC$48="Leve"),CONCATENATE("R7C",'Mapa final'!$Q$48),"")</f>
        <v/>
      </c>
      <c r="P52" s="76" t="str">
        <f>IF(AND('Mapa final'!$AA$43="Muy Baja",'Mapa final'!$AC$43="Menor"),CONCATENATE("R7C",'Mapa final'!$Q$43),"")</f>
        <v/>
      </c>
      <c r="Q52" s="77" t="str">
        <f>IF(AND('Mapa final'!$AA$44="Muy Baja",'Mapa final'!$AC$44="Menor"),CONCATENATE("R7C",'Mapa final'!$Q$44),"")</f>
        <v/>
      </c>
      <c r="R52" s="77" t="str">
        <f>IF(AND('Mapa final'!$AA$45="Muy Baja",'Mapa final'!$AC$45="Menor"),CONCATENATE("R7C",'Mapa final'!$Q$45),"")</f>
        <v/>
      </c>
      <c r="S52" s="77" t="str">
        <f>IF(AND('Mapa final'!$AA$46="Muy Baja",'Mapa final'!$AC$46="Menor"),CONCATENATE("R7C",'Mapa final'!$Q$46),"")</f>
        <v/>
      </c>
      <c r="T52" s="77" t="str">
        <f>IF(AND('Mapa final'!$AA$47="Muy Baja",'Mapa final'!$AC$47="Menor"),CONCATENATE("R7C",'Mapa final'!$Q$47),"")</f>
        <v/>
      </c>
      <c r="U52" s="78" t="str">
        <f>IF(AND('Mapa final'!$AA$48="Muy Baja",'Mapa final'!$AC$48="Menor"),CONCATENATE("R7C",'Mapa final'!$Q$48),"")</f>
        <v/>
      </c>
      <c r="V52" s="67" t="str">
        <f>IF(AND('Mapa final'!$AA$43="Muy Baja",'Mapa final'!$AC$43="Moderado"),CONCATENATE("R7C",'Mapa final'!$Q$43),"")</f>
        <v/>
      </c>
      <c r="W52" s="68" t="str">
        <f>IF(AND('Mapa final'!$AA$44="Muy Baja",'Mapa final'!$AC$44="Moderado"),CONCATENATE("R7C",'Mapa final'!$Q$44),"")</f>
        <v/>
      </c>
      <c r="X52" s="68" t="str">
        <f>IF(AND('Mapa final'!$AA$45="Muy Baja",'Mapa final'!$AC$45="Moderado"),CONCATENATE("R7C",'Mapa final'!$Q$45),"")</f>
        <v/>
      </c>
      <c r="Y52" s="68" t="str">
        <f>IF(AND('Mapa final'!$AA$46="Muy Baja",'Mapa final'!$AC$46="Moderado"),CONCATENATE("R7C",'Mapa final'!$Q$46),"")</f>
        <v/>
      </c>
      <c r="Z52" s="68" t="str">
        <f>IF(AND('Mapa final'!$AA$47="Muy Baja",'Mapa final'!$AC$47="Moderado"),CONCATENATE("R7C",'Mapa final'!$Q$47),"")</f>
        <v/>
      </c>
      <c r="AA52" s="69" t="str">
        <f>IF(AND('Mapa final'!$AA$48="Muy Baja",'Mapa final'!$AC$48="Moderado"),CONCATENATE("R7C",'Mapa final'!$Q$48),"")</f>
        <v/>
      </c>
      <c r="AB52" s="52" t="str">
        <f>IF(AND('Mapa final'!$AA$43="Muy Baja",'Mapa final'!$AC$43="Mayor"),CONCATENATE("R7C",'Mapa final'!$Q$43),"")</f>
        <v/>
      </c>
      <c r="AC52" s="53" t="str">
        <f>IF(AND('Mapa final'!$AA$44="Muy Baja",'Mapa final'!$AC$44="Mayor"),CONCATENATE("R7C",'Mapa final'!$Q$44),"")</f>
        <v/>
      </c>
      <c r="AD52" s="53" t="str">
        <f>IF(AND('Mapa final'!$AA$45="Muy Baja",'Mapa final'!$AC$45="Mayor"),CONCATENATE("R7C",'Mapa final'!$Q$45),"")</f>
        <v/>
      </c>
      <c r="AE52" s="53" t="str">
        <f>IF(AND('Mapa final'!$AA$46="Muy Baja",'Mapa final'!$AC$46="Mayor"),CONCATENATE("R7C",'Mapa final'!$Q$46),"")</f>
        <v/>
      </c>
      <c r="AF52" s="53" t="str">
        <f>IF(AND('Mapa final'!$AA$47="Muy Baja",'Mapa final'!$AC$47="Mayor"),CONCATENATE("R7C",'Mapa final'!$Q$47),"")</f>
        <v/>
      </c>
      <c r="AG52" s="54" t="str">
        <f>IF(AND('Mapa final'!$AA$48="Muy Baja",'Mapa final'!$AC$48="Mayor"),CONCATENATE("R7C",'Mapa final'!$Q$48),"")</f>
        <v/>
      </c>
      <c r="AH52" s="55" t="str">
        <f>IF(AND('Mapa final'!$AA$43="Muy Baja",'Mapa final'!$AC$43="Catastrófico"),CONCATENATE("R7C",'Mapa final'!$Q$43),"")</f>
        <v/>
      </c>
      <c r="AI52" s="56" t="str">
        <f>IF(AND('Mapa final'!$AA$44="Muy Baja",'Mapa final'!$AC$44="Catastrófico"),CONCATENATE("R7C",'Mapa final'!$Q$44),"")</f>
        <v/>
      </c>
      <c r="AJ52" s="56" t="str">
        <f>IF(AND('Mapa final'!$AA$45="Muy Baja",'Mapa final'!$AC$45="Catastrófico"),CONCATENATE("R7C",'Mapa final'!$Q$45),"")</f>
        <v/>
      </c>
      <c r="AK52" s="56" t="str">
        <f>IF(AND('Mapa final'!$AA$46="Muy Baja",'Mapa final'!$AC$46="Catastrófico"),CONCATENATE("R7C",'Mapa final'!$Q$46),"")</f>
        <v/>
      </c>
      <c r="AL52" s="56" t="str">
        <f>IF(AND('Mapa final'!$AA$47="Muy Baja",'Mapa final'!$AC$47="Catastrófico"),CONCATENATE("R7C",'Mapa final'!$Q$47),"")</f>
        <v/>
      </c>
      <c r="AM52" s="57" t="str">
        <f>IF(AND('Mapa final'!$AA$48="Muy Baja",'Mapa final'!$AC$48="Catastrófico"),CONCATENATE("R7C",'Mapa final'!$Q$48),"")</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57"/>
      <c r="C53" s="257"/>
      <c r="D53" s="258"/>
      <c r="E53" s="356"/>
      <c r="F53" s="355"/>
      <c r="G53" s="355"/>
      <c r="H53" s="355"/>
      <c r="I53" s="371"/>
      <c r="J53" s="76" t="str">
        <f>IF(AND('Mapa final'!$AA$49="Muy Baja",'Mapa final'!$AC$49="Leve"),CONCATENATE("R8C",'Mapa final'!$Q$49),"")</f>
        <v/>
      </c>
      <c r="K53" s="77" t="str">
        <f>IF(AND('Mapa final'!$AA$50="Muy Baja",'Mapa final'!$AC$50="Leve"),CONCATENATE("R8C",'Mapa final'!$Q$50),"")</f>
        <v/>
      </c>
      <c r="L53" s="77" t="str">
        <f>IF(AND('Mapa final'!$AA$51="Muy Baja",'Mapa final'!$AC$51="Leve"),CONCATENATE("R8C",'Mapa final'!$Q$51),"")</f>
        <v/>
      </c>
      <c r="M53" s="77" t="str">
        <f>IF(AND('Mapa final'!$AA$52="Muy Baja",'Mapa final'!$AC$52="Leve"),CONCATENATE("R8C",'Mapa final'!$Q$52),"")</f>
        <v/>
      </c>
      <c r="N53" s="77" t="str">
        <f>IF(AND('Mapa final'!$AA$53="Muy Baja",'Mapa final'!$AC$53="Leve"),CONCATENATE("R8C",'Mapa final'!$Q$53),"")</f>
        <v/>
      </c>
      <c r="O53" s="78" t="str">
        <f>IF(AND('Mapa final'!$AA$54="Muy Baja",'Mapa final'!$AC$54="Leve"),CONCATENATE("R8C",'Mapa final'!$Q$54),"")</f>
        <v/>
      </c>
      <c r="P53" s="76" t="str">
        <f>IF(AND('Mapa final'!$AA$49="Muy Baja",'Mapa final'!$AC$49="Menor"),CONCATENATE("R8C",'Mapa final'!$Q$49),"")</f>
        <v/>
      </c>
      <c r="Q53" s="77" t="str">
        <f>IF(AND('Mapa final'!$AA$50="Muy Baja",'Mapa final'!$AC$50="Menor"),CONCATENATE("R8C",'Mapa final'!$Q$50),"")</f>
        <v/>
      </c>
      <c r="R53" s="77" t="str">
        <f>IF(AND('Mapa final'!$AA$51="Muy Baja",'Mapa final'!$AC$51="Menor"),CONCATENATE("R8C",'Mapa final'!$Q$51),"")</f>
        <v/>
      </c>
      <c r="S53" s="77" t="str">
        <f>IF(AND('Mapa final'!$AA$52="Muy Baja",'Mapa final'!$AC$52="Menor"),CONCATENATE("R8C",'Mapa final'!$Q$52),"")</f>
        <v/>
      </c>
      <c r="T53" s="77" t="str">
        <f>IF(AND('Mapa final'!$AA$53="Muy Baja",'Mapa final'!$AC$53="Menor"),CONCATENATE("R8C",'Mapa final'!$Q$53),"")</f>
        <v/>
      </c>
      <c r="U53" s="78" t="str">
        <f>IF(AND('Mapa final'!$AA$54="Muy Baja",'Mapa final'!$AC$54="Menor"),CONCATENATE("R8C",'Mapa final'!$Q$54),"")</f>
        <v/>
      </c>
      <c r="V53" s="67" t="str">
        <f>IF(AND('Mapa final'!$AA$49="Muy Baja",'Mapa final'!$AC$49="Moderado"),CONCATENATE("R8C",'Mapa final'!$Q$49),"")</f>
        <v/>
      </c>
      <c r="W53" s="68" t="str">
        <f>IF(AND('Mapa final'!$AA$50="Muy Baja",'Mapa final'!$AC$50="Moderado"),CONCATENATE("R8C",'Mapa final'!$Q$50),"")</f>
        <v/>
      </c>
      <c r="X53" s="68" t="str">
        <f>IF(AND('Mapa final'!$AA$51="Muy Baja",'Mapa final'!$AC$51="Moderado"),CONCATENATE("R8C",'Mapa final'!$Q$51),"")</f>
        <v/>
      </c>
      <c r="Y53" s="68" t="str">
        <f>IF(AND('Mapa final'!$AA$52="Muy Baja",'Mapa final'!$AC$52="Moderado"),CONCATENATE("R8C",'Mapa final'!$Q$52),"")</f>
        <v/>
      </c>
      <c r="Z53" s="68" t="str">
        <f>IF(AND('Mapa final'!$AA$53="Muy Baja",'Mapa final'!$AC$53="Moderado"),CONCATENATE("R8C",'Mapa final'!$Q$53),"")</f>
        <v/>
      </c>
      <c r="AA53" s="69" t="str">
        <f>IF(AND('Mapa final'!$AA$54="Muy Baja",'Mapa final'!$AC$54="Moderado"),CONCATENATE("R8C",'Mapa final'!$Q$54),"")</f>
        <v/>
      </c>
      <c r="AB53" s="52" t="str">
        <f>IF(AND('Mapa final'!$AA$49="Muy Baja",'Mapa final'!$AC$49="Mayor"),CONCATENATE("R8C",'Mapa final'!$Q$49),"")</f>
        <v/>
      </c>
      <c r="AC53" s="53" t="str">
        <f>IF(AND('Mapa final'!$AA$50="Muy Baja",'Mapa final'!$AC$50="Mayor"),CONCATENATE("R8C",'Mapa final'!$Q$50),"")</f>
        <v/>
      </c>
      <c r="AD53" s="53" t="str">
        <f>IF(AND('Mapa final'!$AA$51="Muy Baja",'Mapa final'!$AC$51="Mayor"),CONCATENATE("R8C",'Mapa final'!$Q$51),"")</f>
        <v/>
      </c>
      <c r="AE53" s="53" t="str">
        <f>IF(AND('Mapa final'!$AA$52="Muy Baja",'Mapa final'!$AC$52="Mayor"),CONCATENATE("R8C",'Mapa final'!$Q$52),"")</f>
        <v/>
      </c>
      <c r="AF53" s="53" t="str">
        <f>IF(AND('Mapa final'!$AA$53="Muy Baja",'Mapa final'!$AC$53="Mayor"),CONCATENATE("R8C",'Mapa final'!$Q$53),"")</f>
        <v/>
      </c>
      <c r="AG53" s="54" t="str">
        <f>IF(AND('Mapa final'!$AA$54="Muy Baja",'Mapa final'!$AC$54="Mayor"),CONCATENATE("R8C",'Mapa final'!$Q$54),"")</f>
        <v/>
      </c>
      <c r="AH53" s="55" t="str">
        <f>IF(AND('Mapa final'!$AA$49="Muy Baja",'Mapa final'!$AC$49="Catastrófico"),CONCATENATE("R8C",'Mapa final'!$Q$49),"")</f>
        <v/>
      </c>
      <c r="AI53" s="56" t="str">
        <f>IF(AND('Mapa final'!$AA$50="Muy Baja",'Mapa final'!$AC$50="Catastrófico"),CONCATENATE("R8C",'Mapa final'!$Q$50),"")</f>
        <v/>
      </c>
      <c r="AJ53" s="56" t="str">
        <f>IF(AND('Mapa final'!$AA$51="Muy Baja",'Mapa final'!$AC$51="Catastrófico"),CONCATENATE("R8C",'Mapa final'!$Q$51),"")</f>
        <v/>
      </c>
      <c r="AK53" s="56" t="str">
        <f>IF(AND('Mapa final'!$AA$52="Muy Baja",'Mapa final'!$AC$52="Catastrófico"),CONCATENATE("R8C",'Mapa final'!$Q$52),"")</f>
        <v/>
      </c>
      <c r="AL53" s="56" t="str">
        <f>IF(AND('Mapa final'!$AA$53="Muy Baja",'Mapa final'!$AC$53="Catastrófico"),CONCATENATE("R8C",'Mapa final'!$Q$53),"")</f>
        <v/>
      </c>
      <c r="AM53" s="57" t="str">
        <f>IF(AND('Mapa final'!$AA$54="Muy Baja",'Mapa final'!$AC$54="Catastrófico"),CONCATENATE("R8C",'Mapa final'!$Q$54),"")</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57"/>
      <c r="C54" s="257"/>
      <c r="D54" s="258"/>
      <c r="E54" s="356"/>
      <c r="F54" s="355"/>
      <c r="G54" s="355"/>
      <c r="H54" s="355"/>
      <c r="I54" s="371"/>
      <c r="J54" s="76" t="str">
        <f>IF(AND('Mapa final'!$AA$55="Muy Baja",'Mapa final'!$AC$55="Leve"),CONCATENATE("R9C",'Mapa final'!$Q$55),"")</f>
        <v/>
      </c>
      <c r="K54" s="77" t="str">
        <f>IF(AND('Mapa final'!$AA$56="Muy Baja",'Mapa final'!$AC$56="Leve"),CONCATENATE("R9C",'Mapa final'!$Q$56),"")</f>
        <v/>
      </c>
      <c r="L54" s="77" t="str">
        <f>IF(AND('Mapa final'!$AA$57="Muy Baja",'Mapa final'!$AC$57="Leve"),CONCATENATE("R9C",'Mapa final'!$Q$57),"")</f>
        <v/>
      </c>
      <c r="M54" s="77" t="str">
        <f>IF(AND('Mapa final'!$AA$58="Muy Baja",'Mapa final'!$AC$58="Leve"),CONCATENATE("R9C",'Mapa final'!$Q$58),"")</f>
        <v/>
      </c>
      <c r="N54" s="77" t="str">
        <f>IF(AND('Mapa final'!$AA$59="Muy Baja",'Mapa final'!$AC$59="Leve"),CONCATENATE("R9C",'Mapa final'!$Q$59),"")</f>
        <v/>
      </c>
      <c r="O54" s="78" t="str">
        <f>IF(AND('Mapa final'!$AA$60="Muy Baja",'Mapa final'!$AC$60="Leve"),CONCATENATE("R9C",'Mapa final'!$Q$60),"")</f>
        <v/>
      </c>
      <c r="P54" s="76" t="str">
        <f>IF(AND('Mapa final'!$AA$55="Muy Baja",'Mapa final'!$AC$55="Menor"),CONCATENATE("R9C",'Mapa final'!$Q$55),"")</f>
        <v/>
      </c>
      <c r="Q54" s="77" t="str">
        <f>IF(AND('Mapa final'!$AA$56="Muy Baja",'Mapa final'!$AC$56="Menor"),CONCATENATE("R9C",'Mapa final'!$Q$56),"")</f>
        <v/>
      </c>
      <c r="R54" s="77" t="str">
        <f>IF(AND('Mapa final'!$AA$57="Muy Baja",'Mapa final'!$AC$57="Menor"),CONCATENATE("R9C",'Mapa final'!$Q$57),"")</f>
        <v/>
      </c>
      <c r="S54" s="77" t="str">
        <f>IF(AND('Mapa final'!$AA$58="Muy Baja",'Mapa final'!$AC$58="Menor"),CONCATENATE("R9C",'Mapa final'!$Q$58),"")</f>
        <v/>
      </c>
      <c r="T54" s="77" t="str">
        <f>IF(AND('Mapa final'!$AA$59="Muy Baja",'Mapa final'!$AC$59="Menor"),CONCATENATE("R9C",'Mapa final'!$Q$59),"")</f>
        <v/>
      </c>
      <c r="U54" s="78" t="str">
        <f>IF(AND('Mapa final'!$AA$60="Muy Baja",'Mapa final'!$AC$60="Menor"),CONCATENATE("R9C",'Mapa final'!$Q$60),"")</f>
        <v/>
      </c>
      <c r="V54" s="67" t="str">
        <f>IF(AND('Mapa final'!$AA$55="Muy Baja",'Mapa final'!$AC$55="Moderado"),CONCATENATE("R9C",'Mapa final'!$Q$55),"")</f>
        <v/>
      </c>
      <c r="W54" s="68" t="str">
        <f>IF(AND('Mapa final'!$AA$56="Muy Baja",'Mapa final'!$AC$56="Moderado"),CONCATENATE("R9C",'Mapa final'!$Q$56),"")</f>
        <v/>
      </c>
      <c r="X54" s="68" t="str">
        <f>IF(AND('Mapa final'!$AA$57="Muy Baja",'Mapa final'!$AC$57="Moderado"),CONCATENATE("R9C",'Mapa final'!$Q$57),"")</f>
        <v/>
      </c>
      <c r="Y54" s="68" t="str">
        <f>IF(AND('Mapa final'!$AA$58="Muy Baja",'Mapa final'!$AC$58="Moderado"),CONCATENATE("R9C",'Mapa final'!$Q$58),"")</f>
        <v/>
      </c>
      <c r="Z54" s="68" t="str">
        <f>IF(AND('Mapa final'!$AA$59="Muy Baja",'Mapa final'!$AC$59="Moderado"),CONCATENATE("R9C",'Mapa final'!$Q$59),"")</f>
        <v/>
      </c>
      <c r="AA54" s="69" t="str">
        <f>IF(AND('Mapa final'!$AA$60="Muy Baja",'Mapa final'!$AC$60="Moderado"),CONCATENATE("R9C",'Mapa final'!$Q$60),"")</f>
        <v/>
      </c>
      <c r="AB54" s="52" t="str">
        <f>IF(AND('Mapa final'!$AA$55="Muy Baja",'Mapa final'!$AC$55="Mayor"),CONCATENATE("R9C",'Mapa final'!$Q$55),"")</f>
        <v/>
      </c>
      <c r="AC54" s="53" t="str">
        <f>IF(AND('Mapa final'!$AA$56="Muy Baja",'Mapa final'!$AC$56="Mayor"),CONCATENATE("R9C",'Mapa final'!$Q$56),"")</f>
        <v/>
      </c>
      <c r="AD54" s="53" t="str">
        <f>IF(AND('Mapa final'!$AA$57="Muy Baja",'Mapa final'!$AC$57="Mayor"),CONCATENATE("R9C",'Mapa final'!$Q$57),"")</f>
        <v/>
      </c>
      <c r="AE54" s="53" t="str">
        <f>IF(AND('Mapa final'!$AA$58="Muy Baja",'Mapa final'!$AC$58="Mayor"),CONCATENATE("R9C",'Mapa final'!$Q$58),"")</f>
        <v/>
      </c>
      <c r="AF54" s="53" t="str">
        <f>IF(AND('Mapa final'!$AA$59="Muy Baja",'Mapa final'!$AC$59="Mayor"),CONCATENATE("R9C",'Mapa final'!$Q$59),"")</f>
        <v/>
      </c>
      <c r="AG54" s="54" t="str">
        <f>IF(AND('Mapa final'!$AA$60="Muy Baja",'Mapa final'!$AC$60="Mayor"),CONCATENATE("R9C",'Mapa final'!$Q$60),"")</f>
        <v/>
      </c>
      <c r="AH54" s="55" t="str">
        <f>IF(AND('Mapa final'!$AA$55="Muy Baja",'Mapa final'!$AC$55="Catastrófico"),CONCATENATE("R9C",'Mapa final'!$Q$55),"")</f>
        <v/>
      </c>
      <c r="AI54" s="56" t="str">
        <f>IF(AND('Mapa final'!$AA$56="Muy Baja",'Mapa final'!$AC$56="Catastrófico"),CONCATENATE("R9C",'Mapa final'!$Q$56),"")</f>
        <v/>
      </c>
      <c r="AJ54" s="56" t="str">
        <f>IF(AND('Mapa final'!$AA$57="Muy Baja",'Mapa final'!$AC$57="Catastrófico"),CONCATENATE("R9C",'Mapa final'!$Q$57),"")</f>
        <v/>
      </c>
      <c r="AK54" s="56" t="str">
        <f>IF(AND('Mapa final'!$AA$58="Muy Baja",'Mapa final'!$AC$58="Catastrófico"),CONCATENATE("R9C",'Mapa final'!$Q$58),"")</f>
        <v/>
      </c>
      <c r="AL54" s="56" t="str">
        <f>IF(AND('Mapa final'!$AA$59="Muy Baja",'Mapa final'!$AC$59="Catastrófico"),CONCATENATE("R9C",'Mapa final'!$Q$59),"")</f>
        <v/>
      </c>
      <c r="AM54" s="57" t="str">
        <f>IF(AND('Mapa final'!$AA$60="Muy Baja",'Mapa final'!$AC$60="Catastrófico"),CONCATENATE("R9C",'Mapa final'!$Q$60),"")</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57"/>
      <c r="C55" s="257"/>
      <c r="D55" s="258"/>
      <c r="E55" s="357"/>
      <c r="F55" s="358"/>
      <c r="G55" s="358"/>
      <c r="H55" s="358"/>
      <c r="I55" s="372"/>
      <c r="J55" s="79" t="str">
        <f>IF(AND('Mapa final'!$AA$61="Muy Baja",'Mapa final'!$AC$61="Leve"),CONCATENATE("R10C",'Mapa final'!$Q$61),"")</f>
        <v/>
      </c>
      <c r="K55" s="80" t="str">
        <f>IF(AND('Mapa final'!$AA$62="Muy Baja",'Mapa final'!$AC$62="Leve"),CONCATENATE("R10C",'Mapa final'!$Q$62),"")</f>
        <v/>
      </c>
      <c r="L55" s="80" t="str">
        <f>IF(AND('Mapa final'!$AA$63="Muy Baja",'Mapa final'!$AC$63="Leve"),CONCATENATE("R10C",'Mapa final'!$Q$63),"")</f>
        <v/>
      </c>
      <c r="M55" s="80" t="str">
        <f>IF(AND('Mapa final'!$AA$64="Muy Baja",'Mapa final'!$AC$64="Leve"),CONCATENATE("R10C",'Mapa final'!$Q$64),"")</f>
        <v/>
      </c>
      <c r="N55" s="80" t="str">
        <f>IF(AND('Mapa final'!$AA$65="Muy Baja",'Mapa final'!$AC$65="Leve"),CONCATENATE("R10C",'Mapa final'!$Q$65),"")</f>
        <v/>
      </c>
      <c r="O55" s="81" t="str">
        <f>IF(AND('Mapa final'!$AA$66="Muy Baja",'Mapa final'!$AC$66="Leve"),CONCATENATE("R10C",'Mapa final'!$Q$66),"")</f>
        <v/>
      </c>
      <c r="P55" s="79" t="str">
        <f>IF(AND('Mapa final'!$AA$61="Muy Baja",'Mapa final'!$AC$61="Menor"),CONCATENATE("R10C",'Mapa final'!$Q$61),"")</f>
        <v/>
      </c>
      <c r="Q55" s="80" t="str">
        <f>IF(AND('Mapa final'!$AA$62="Muy Baja",'Mapa final'!$AC$62="Menor"),CONCATENATE("R10C",'Mapa final'!$Q$62),"")</f>
        <v/>
      </c>
      <c r="R55" s="80" t="str">
        <f>IF(AND('Mapa final'!$AA$63="Muy Baja",'Mapa final'!$AC$63="Menor"),CONCATENATE("R10C",'Mapa final'!$Q$63),"")</f>
        <v/>
      </c>
      <c r="S55" s="80" t="str">
        <f>IF(AND('Mapa final'!$AA$64="Muy Baja",'Mapa final'!$AC$64="Menor"),CONCATENATE("R10C",'Mapa final'!$Q$64),"")</f>
        <v/>
      </c>
      <c r="T55" s="80" t="str">
        <f>IF(AND('Mapa final'!$AA$65="Muy Baja",'Mapa final'!$AC$65="Menor"),CONCATENATE("R10C",'Mapa final'!$Q$65),"")</f>
        <v/>
      </c>
      <c r="U55" s="81" t="str">
        <f>IF(AND('Mapa final'!$AA$66="Muy Baja",'Mapa final'!$AC$66="Menor"),CONCATENATE("R10C",'Mapa final'!$Q$66),"")</f>
        <v/>
      </c>
      <c r="V55" s="70" t="str">
        <f>IF(AND('Mapa final'!$AA$61="Muy Baja",'Mapa final'!$AC$61="Moderado"),CONCATENATE("R10C",'Mapa final'!$Q$61),"")</f>
        <v/>
      </c>
      <c r="W55" s="71" t="str">
        <f>IF(AND('Mapa final'!$AA$62="Muy Baja",'Mapa final'!$AC$62="Moderado"),CONCATENATE("R10C",'Mapa final'!$Q$62),"")</f>
        <v/>
      </c>
      <c r="X55" s="71" t="str">
        <f>IF(AND('Mapa final'!$AA$63="Muy Baja",'Mapa final'!$AC$63="Moderado"),CONCATENATE("R10C",'Mapa final'!$Q$63),"")</f>
        <v/>
      </c>
      <c r="Y55" s="71" t="str">
        <f>IF(AND('Mapa final'!$AA$64="Muy Baja",'Mapa final'!$AC$64="Moderado"),CONCATENATE("R10C",'Mapa final'!$Q$64),"")</f>
        <v/>
      </c>
      <c r="Z55" s="71" t="str">
        <f>IF(AND('Mapa final'!$AA$65="Muy Baja",'Mapa final'!$AC$65="Moderado"),CONCATENATE("R10C",'Mapa final'!$Q$65),"")</f>
        <v/>
      </c>
      <c r="AA55" s="72" t="str">
        <f>IF(AND('Mapa final'!$AA$66="Muy Baja",'Mapa final'!$AC$66="Moderado"),CONCATENATE("R10C",'Mapa final'!$Q$66),"")</f>
        <v/>
      </c>
      <c r="AB55" s="58" t="str">
        <f>IF(AND('Mapa final'!$AA$61="Muy Baja",'Mapa final'!$AC$61="Mayor"),CONCATENATE("R10C",'Mapa final'!$Q$61),"")</f>
        <v/>
      </c>
      <c r="AC55" s="59" t="str">
        <f>IF(AND('Mapa final'!$AA$62="Muy Baja",'Mapa final'!$AC$62="Mayor"),CONCATENATE("R10C",'Mapa final'!$Q$62),"")</f>
        <v/>
      </c>
      <c r="AD55" s="59" t="str">
        <f>IF(AND('Mapa final'!$AA$63="Muy Baja",'Mapa final'!$AC$63="Mayor"),CONCATENATE("R10C",'Mapa final'!$Q$63),"")</f>
        <v/>
      </c>
      <c r="AE55" s="59" t="str">
        <f>IF(AND('Mapa final'!$AA$64="Muy Baja",'Mapa final'!$AC$64="Mayor"),CONCATENATE("R10C",'Mapa final'!$Q$64),"")</f>
        <v/>
      </c>
      <c r="AF55" s="59" t="str">
        <f>IF(AND('Mapa final'!$AA$65="Muy Baja",'Mapa final'!$AC$65="Mayor"),CONCATENATE("R10C",'Mapa final'!$Q$65),"")</f>
        <v/>
      </c>
      <c r="AG55" s="60" t="str">
        <f>IF(AND('Mapa final'!$AA$66="Muy Baja",'Mapa final'!$AC$66="Mayor"),CONCATENATE("R10C",'Mapa final'!$Q$66),"")</f>
        <v/>
      </c>
      <c r="AH55" s="61" t="str">
        <f>IF(AND('Mapa final'!$AA$61="Muy Baja",'Mapa final'!$AC$61="Catastrófico"),CONCATENATE("R10C",'Mapa final'!$Q$61),"")</f>
        <v/>
      </c>
      <c r="AI55" s="62" t="str">
        <f>IF(AND('Mapa final'!$AA$62="Muy Baja",'Mapa final'!$AC$62="Catastrófico"),CONCATENATE("R10C",'Mapa final'!$Q$62),"")</f>
        <v/>
      </c>
      <c r="AJ55" s="62" t="str">
        <f>IF(AND('Mapa final'!$AA$63="Muy Baja",'Mapa final'!$AC$63="Catastrófico"),CONCATENATE("R10C",'Mapa final'!$Q$63),"")</f>
        <v/>
      </c>
      <c r="AK55" s="62" t="str">
        <f>IF(AND('Mapa final'!$AA$64="Muy Baja",'Mapa final'!$AC$64="Catastrófico"),CONCATENATE("R10C",'Mapa final'!$Q$64),"")</f>
        <v/>
      </c>
      <c r="AL55" s="62" t="str">
        <f>IF(AND('Mapa final'!$AA$65="Muy Baja",'Mapa final'!$AC$65="Catastrófico"),CONCATENATE("R10C",'Mapa final'!$Q$65),"")</f>
        <v/>
      </c>
      <c r="AM55" s="63" t="str">
        <f>IF(AND('Mapa final'!$AA$66="Muy Baja",'Mapa final'!$AC$66="Catastrófico"),CONCATENATE("R10C",'Mapa final'!$Q$66),"")</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52" t="s">
        <v>112</v>
      </c>
      <c r="K56" s="353"/>
      <c r="L56" s="353"/>
      <c r="M56" s="353"/>
      <c r="N56" s="353"/>
      <c r="O56" s="370"/>
      <c r="P56" s="352" t="s">
        <v>111</v>
      </c>
      <c r="Q56" s="353"/>
      <c r="R56" s="353"/>
      <c r="S56" s="353"/>
      <c r="T56" s="353"/>
      <c r="U56" s="370"/>
      <c r="V56" s="352" t="s">
        <v>110</v>
      </c>
      <c r="W56" s="353"/>
      <c r="X56" s="353"/>
      <c r="Y56" s="353"/>
      <c r="Z56" s="353"/>
      <c r="AA56" s="370"/>
      <c r="AB56" s="352" t="s">
        <v>109</v>
      </c>
      <c r="AC56" s="391"/>
      <c r="AD56" s="353"/>
      <c r="AE56" s="353"/>
      <c r="AF56" s="353"/>
      <c r="AG56" s="370"/>
      <c r="AH56" s="352" t="s">
        <v>108</v>
      </c>
      <c r="AI56" s="353"/>
      <c r="AJ56" s="353"/>
      <c r="AK56" s="353"/>
      <c r="AL56" s="353"/>
      <c r="AM56" s="370"/>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56"/>
      <c r="K57" s="355"/>
      <c r="L57" s="355"/>
      <c r="M57" s="355"/>
      <c r="N57" s="355"/>
      <c r="O57" s="371"/>
      <c r="P57" s="356"/>
      <c r="Q57" s="355"/>
      <c r="R57" s="355"/>
      <c r="S57" s="355"/>
      <c r="T57" s="355"/>
      <c r="U57" s="371"/>
      <c r="V57" s="356"/>
      <c r="W57" s="355"/>
      <c r="X57" s="355"/>
      <c r="Y57" s="355"/>
      <c r="Z57" s="355"/>
      <c r="AA57" s="371"/>
      <c r="AB57" s="356"/>
      <c r="AC57" s="355"/>
      <c r="AD57" s="355"/>
      <c r="AE57" s="355"/>
      <c r="AF57" s="355"/>
      <c r="AG57" s="371"/>
      <c r="AH57" s="356"/>
      <c r="AI57" s="355"/>
      <c r="AJ57" s="355"/>
      <c r="AK57" s="355"/>
      <c r="AL57" s="355"/>
      <c r="AM57" s="371"/>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56"/>
      <c r="K58" s="355"/>
      <c r="L58" s="355"/>
      <c r="M58" s="355"/>
      <c r="N58" s="355"/>
      <c r="O58" s="371"/>
      <c r="P58" s="356"/>
      <c r="Q58" s="355"/>
      <c r="R58" s="355"/>
      <c r="S58" s="355"/>
      <c r="T58" s="355"/>
      <c r="U58" s="371"/>
      <c r="V58" s="356"/>
      <c r="W58" s="355"/>
      <c r="X58" s="355"/>
      <c r="Y58" s="355"/>
      <c r="Z58" s="355"/>
      <c r="AA58" s="371"/>
      <c r="AB58" s="356"/>
      <c r="AC58" s="355"/>
      <c r="AD58" s="355"/>
      <c r="AE58" s="355"/>
      <c r="AF58" s="355"/>
      <c r="AG58" s="371"/>
      <c r="AH58" s="356"/>
      <c r="AI58" s="355"/>
      <c r="AJ58" s="355"/>
      <c r="AK58" s="355"/>
      <c r="AL58" s="355"/>
      <c r="AM58" s="371"/>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56"/>
      <c r="K59" s="355"/>
      <c r="L59" s="355"/>
      <c r="M59" s="355"/>
      <c r="N59" s="355"/>
      <c r="O59" s="371"/>
      <c r="P59" s="356"/>
      <c r="Q59" s="355"/>
      <c r="R59" s="355"/>
      <c r="S59" s="355"/>
      <c r="T59" s="355"/>
      <c r="U59" s="371"/>
      <c r="V59" s="356"/>
      <c r="W59" s="355"/>
      <c r="X59" s="355"/>
      <c r="Y59" s="355"/>
      <c r="Z59" s="355"/>
      <c r="AA59" s="371"/>
      <c r="AB59" s="356"/>
      <c r="AC59" s="355"/>
      <c r="AD59" s="355"/>
      <c r="AE59" s="355"/>
      <c r="AF59" s="355"/>
      <c r="AG59" s="371"/>
      <c r="AH59" s="356"/>
      <c r="AI59" s="355"/>
      <c r="AJ59" s="355"/>
      <c r="AK59" s="355"/>
      <c r="AL59" s="355"/>
      <c r="AM59" s="371"/>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56"/>
      <c r="K60" s="355"/>
      <c r="L60" s="355"/>
      <c r="M60" s="355"/>
      <c r="N60" s="355"/>
      <c r="O60" s="371"/>
      <c r="P60" s="356"/>
      <c r="Q60" s="355"/>
      <c r="R60" s="355"/>
      <c r="S60" s="355"/>
      <c r="T60" s="355"/>
      <c r="U60" s="371"/>
      <c r="V60" s="356"/>
      <c r="W60" s="355"/>
      <c r="X60" s="355"/>
      <c r="Y60" s="355"/>
      <c r="Z60" s="355"/>
      <c r="AA60" s="371"/>
      <c r="AB60" s="356"/>
      <c r="AC60" s="355"/>
      <c r="AD60" s="355"/>
      <c r="AE60" s="355"/>
      <c r="AF60" s="355"/>
      <c r="AG60" s="371"/>
      <c r="AH60" s="356"/>
      <c r="AI60" s="355"/>
      <c r="AJ60" s="355"/>
      <c r="AK60" s="355"/>
      <c r="AL60" s="355"/>
      <c r="AM60" s="371"/>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57"/>
      <c r="K61" s="358"/>
      <c r="L61" s="358"/>
      <c r="M61" s="358"/>
      <c r="N61" s="358"/>
      <c r="O61" s="372"/>
      <c r="P61" s="357"/>
      <c r="Q61" s="358"/>
      <c r="R61" s="358"/>
      <c r="S61" s="358"/>
      <c r="T61" s="358"/>
      <c r="U61" s="372"/>
      <c r="V61" s="357"/>
      <c r="W61" s="358"/>
      <c r="X61" s="358"/>
      <c r="Y61" s="358"/>
      <c r="Z61" s="358"/>
      <c r="AA61" s="372"/>
      <c r="AB61" s="357"/>
      <c r="AC61" s="358"/>
      <c r="AD61" s="358"/>
      <c r="AE61" s="358"/>
      <c r="AF61" s="358"/>
      <c r="AG61" s="372"/>
      <c r="AH61" s="357"/>
      <c r="AI61" s="358"/>
      <c r="AJ61" s="358"/>
      <c r="AK61" s="358"/>
      <c r="AL61" s="358"/>
      <c r="AM61" s="372"/>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92" t="s">
        <v>55</v>
      </c>
      <c r="C1" s="392"/>
      <c r="D1" s="392"/>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C28" sqref="C28"/>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93" t="s">
        <v>63</v>
      </c>
      <c r="C1" s="393"/>
      <c r="D1" s="393"/>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94" t="s">
        <v>78</v>
      </c>
      <c r="C1" s="395"/>
      <c r="D1" s="395"/>
      <c r="E1" s="395"/>
      <c r="F1" s="396"/>
    </row>
    <row r="2" spans="2:6" ht="16.5" thickBot="1" x14ac:dyDescent="0.3">
      <c r="B2" s="89"/>
      <c r="C2" s="89"/>
      <c r="D2" s="89"/>
      <c r="E2" s="89"/>
      <c r="F2" s="89"/>
    </row>
    <row r="3" spans="2:6" ht="16.5" thickBot="1" x14ac:dyDescent="0.25">
      <c r="B3" s="398" t="s">
        <v>64</v>
      </c>
      <c r="C3" s="399"/>
      <c r="D3" s="399"/>
      <c r="E3" s="101" t="s">
        <v>65</v>
      </c>
      <c r="F3" s="102" t="s">
        <v>66</v>
      </c>
    </row>
    <row r="4" spans="2:6" ht="31.5" x14ac:dyDescent="0.2">
      <c r="B4" s="400" t="s">
        <v>67</v>
      </c>
      <c r="C4" s="402" t="s">
        <v>13</v>
      </c>
      <c r="D4" s="90" t="s">
        <v>14</v>
      </c>
      <c r="E4" s="91" t="s">
        <v>68</v>
      </c>
      <c r="F4" s="92">
        <v>0.25</v>
      </c>
    </row>
    <row r="5" spans="2:6" ht="47.25" x14ac:dyDescent="0.2">
      <c r="B5" s="401"/>
      <c r="C5" s="403"/>
      <c r="D5" s="93" t="s">
        <v>15</v>
      </c>
      <c r="E5" s="94" t="s">
        <v>69</v>
      </c>
      <c r="F5" s="95">
        <v>0.15</v>
      </c>
    </row>
    <row r="6" spans="2:6" ht="47.25" x14ac:dyDescent="0.2">
      <c r="B6" s="401"/>
      <c r="C6" s="403"/>
      <c r="D6" s="93" t="s">
        <v>16</v>
      </c>
      <c r="E6" s="94" t="s">
        <v>70</v>
      </c>
      <c r="F6" s="95">
        <v>0.1</v>
      </c>
    </row>
    <row r="7" spans="2:6" ht="63" x14ac:dyDescent="0.2">
      <c r="B7" s="401"/>
      <c r="C7" s="403" t="s">
        <v>17</v>
      </c>
      <c r="D7" s="93" t="s">
        <v>10</v>
      </c>
      <c r="E7" s="94" t="s">
        <v>71</v>
      </c>
      <c r="F7" s="95">
        <v>0.25</v>
      </c>
    </row>
    <row r="8" spans="2:6" ht="31.5" x14ac:dyDescent="0.2">
      <c r="B8" s="401"/>
      <c r="C8" s="403"/>
      <c r="D8" s="93" t="s">
        <v>9</v>
      </c>
      <c r="E8" s="94" t="s">
        <v>72</v>
      </c>
      <c r="F8" s="95">
        <v>0.15</v>
      </c>
    </row>
    <row r="9" spans="2:6" ht="47.25" x14ac:dyDescent="0.2">
      <c r="B9" s="401" t="s">
        <v>162</v>
      </c>
      <c r="C9" s="403" t="s">
        <v>18</v>
      </c>
      <c r="D9" s="93" t="s">
        <v>19</v>
      </c>
      <c r="E9" s="94" t="s">
        <v>73</v>
      </c>
      <c r="F9" s="96" t="s">
        <v>74</v>
      </c>
    </row>
    <row r="10" spans="2:6" ht="63" x14ac:dyDescent="0.2">
      <c r="B10" s="401"/>
      <c r="C10" s="403"/>
      <c r="D10" s="93" t="s">
        <v>20</v>
      </c>
      <c r="E10" s="94" t="s">
        <v>75</v>
      </c>
      <c r="F10" s="96" t="s">
        <v>74</v>
      </c>
    </row>
    <row r="11" spans="2:6" ht="47.25" x14ac:dyDescent="0.2">
      <c r="B11" s="401"/>
      <c r="C11" s="403" t="s">
        <v>21</v>
      </c>
      <c r="D11" s="93" t="s">
        <v>22</v>
      </c>
      <c r="E11" s="94" t="s">
        <v>76</v>
      </c>
      <c r="F11" s="96" t="s">
        <v>74</v>
      </c>
    </row>
    <row r="12" spans="2:6" ht="47.25" x14ac:dyDescent="0.2">
      <c r="B12" s="401"/>
      <c r="C12" s="403"/>
      <c r="D12" s="93" t="s">
        <v>23</v>
      </c>
      <c r="E12" s="94" t="s">
        <v>77</v>
      </c>
      <c r="F12" s="96" t="s">
        <v>74</v>
      </c>
    </row>
    <row r="13" spans="2:6" ht="31.5" x14ac:dyDescent="0.2">
      <c r="B13" s="401"/>
      <c r="C13" s="403" t="s">
        <v>24</v>
      </c>
      <c r="D13" s="93" t="s">
        <v>119</v>
      </c>
      <c r="E13" s="94" t="s">
        <v>122</v>
      </c>
      <c r="F13" s="96" t="s">
        <v>74</v>
      </c>
    </row>
    <row r="14" spans="2:6" ht="32.25" thickBot="1" x14ac:dyDescent="0.25">
      <c r="B14" s="404"/>
      <c r="C14" s="405"/>
      <c r="D14" s="97" t="s">
        <v>120</v>
      </c>
      <c r="E14" s="98" t="s">
        <v>121</v>
      </c>
      <c r="F14" s="99" t="s">
        <v>74</v>
      </c>
    </row>
    <row r="15" spans="2:6" ht="49.5" customHeight="1" x14ac:dyDescent="0.2">
      <c r="B15" s="397" t="s">
        <v>159</v>
      </c>
      <c r="C15" s="397"/>
      <c r="D15" s="397"/>
      <c r="E15" s="397"/>
      <c r="F15" s="397"/>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Sandy Poveda Vargas</cp:lastModifiedBy>
  <cp:lastPrinted>2020-05-13T01:12:22Z</cp:lastPrinted>
  <dcterms:created xsi:type="dcterms:W3CDTF">2020-03-24T23:12:47Z</dcterms:created>
  <dcterms:modified xsi:type="dcterms:W3CDTF">2023-04-24T15:06:22Z</dcterms:modified>
</cp:coreProperties>
</file>