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C:\Users\Sandy Poveda Vargas\Desktop\MAPAS DE RIESGOS DE GESTIÓN POR PROCESOS\"/>
    </mc:Choice>
  </mc:AlternateContent>
  <bookViews>
    <workbookView xWindow="0" yWindow="0" windowWidth="20490" windowHeight="765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definedNames>
    <definedName name="_xlnm._FilterDatabase" localSheetId="1" hidden="1">'Mapa final'!$A$9:$AV$9</definedName>
  </definedNames>
  <calcPr calcId="162913"/>
  <pivotCaches>
    <pivotCache cacheId="0" r:id="rId11"/>
  </pivotCaches>
</workbook>
</file>

<file path=xl/calcChain.xml><?xml version="1.0" encoding="utf-8"?>
<calcChain xmlns="http://schemas.openxmlformats.org/spreadsheetml/2006/main">
  <c r="J12" i="1" l="1"/>
  <c r="K12" i="1" s="1"/>
  <c r="J11" i="1"/>
  <c r="K11" i="1" s="1"/>
  <c r="V10" i="1" l="1"/>
  <c r="S10" i="1"/>
  <c r="J10" i="1"/>
  <c r="K10" i="1" s="1"/>
  <c r="M58" i="1"/>
  <c r="M56" i="1"/>
  <c r="M47" i="1"/>
  <c r="M42" i="1"/>
  <c r="M29" i="1"/>
  <c r="M54" i="1"/>
  <c r="M51" i="1"/>
  <c r="M64" i="1"/>
  <c r="M36" i="1"/>
  <c r="M21" i="1"/>
  <c r="M39" i="1"/>
  <c r="M38" i="1"/>
  <c r="M35" i="1"/>
  <c r="M44" i="1"/>
  <c r="M66" i="1"/>
  <c r="M50" i="1"/>
  <c r="M60" i="1"/>
  <c r="M63" i="1"/>
  <c r="M62" i="1"/>
  <c r="M48" i="1"/>
  <c r="M27" i="1"/>
  <c r="M32" i="1"/>
  <c r="M45" i="1"/>
  <c r="M59" i="1"/>
  <c r="M22" i="1"/>
  <c r="M30" i="1"/>
  <c r="M52" i="1"/>
  <c r="M20" i="1"/>
  <c r="M57" i="1"/>
  <c r="M33" i="1"/>
  <c r="M23" i="1"/>
  <c r="M28" i="1"/>
  <c r="M24" i="1"/>
  <c r="M26" i="1"/>
  <c r="M53" i="1"/>
  <c r="M40" i="1"/>
  <c r="M65" i="1"/>
  <c r="M41" i="1"/>
  <c r="M34" i="1"/>
  <c r="F221" i="13" l="1"/>
  <c r="F211" i="13"/>
  <c r="F212" i="13"/>
  <c r="F213" i="13"/>
  <c r="F214" i="13"/>
  <c r="F215" i="13"/>
  <c r="F216" i="13"/>
  <c r="F217" i="13"/>
  <c r="F218" i="13"/>
  <c r="F219" i="13"/>
  <c r="F220" i="13"/>
  <c r="F210" i="13"/>
  <c r="M11" i="1"/>
  <c r="B221" i="13" a="1"/>
  <c r="M46" i="1"/>
  <c r="M12" i="1"/>
  <c r="N12" i="1" l="1"/>
  <c r="N11" i="1"/>
  <c r="B221" i="13"/>
  <c r="S49" i="1"/>
  <c r="S44" i="1"/>
  <c r="S38" i="1"/>
  <c r="O12" i="1" l="1"/>
  <c r="P12" i="1"/>
  <c r="O11" i="1"/>
  <c r="P11"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6" i="1" l="1"/>
  <c r="S66" i="1"/>
  <c r="V65" i="1"/>
  <c r="S65" i="1"/>
  <c r="V64" i="1"/>
  <c r="S64" i="1"/>
  <c r="V63" i="1"/>
  <c r="S63" i="1"/>
  <c r="V62" i="1"/>
  <c r="S62" i="1"/>
  <c r="V61" i="1"/>
  <c r="S61" i="1"/>
  <c r="J61" i="1"/>
  <c r="K61" i="1" s="1"/>
  <c r="V60" i="1"/>
  <c r="S60" i="1"/>
  <c r="V59" i="1"/>
  <c r="S59" i="1"/>
  <c r="V58" i="1"/>
  <c r="S58" i="1"/>
  <c r="V57" i="1"/>
  <c r="S57" i="1"/>
  <c r="V56" i="1"/>
  <c r="S56" i="1"/>
  <c r="V55" i="1"/>
  <c r="S55" i="1"/>
  <c r="J55" i="1"/>
  <c r="K55" i="1" s="1"/>
  <c r="V54" i="1"/>
  <c r="S54" i="1"/>
  <c r="V53" i="1"/>
  <c r="S53" i="1"/>
  <c r="V52" i="1"/>
  <c r="S52" i="1"/>
  <c r="V51" i="1"/>
  <c r="S51" i="1"/>
  <c r="V50" i="1"/>
  <c r="S50" i="1"/>
  <c r="V49" i="1"/>
  <c r="J49" i="1"/>
  <c r="K49" i="1" s="1"/>
  <c r="V48" i="1"/>
  <c r="S48" i="1"/>
  <c r="V47" i="1"/>
  <c r="S47" i="1"/>
  <c r="V46" i="1"/>
  <c r="S46" i="1"/>
  <c r="V45" i="1"/>
  <c r="S45" i="1"/>
  <c r="V44" i="1"/>
  <c r="V43" i="1"/>
  <c r="S43" i="1"/>
  <c r="J43" i="1"/>
  <c r="K43" i="1" s="1"/>
  <c r="V42" i="1"/>
  <c r="S42" i="1"/>
  <c r="V41" i="1"/>
  <c r="S41" i="1"/>
  <c r="V40" i="1"/>
  <c r="S40" i="1"/>
  <c r="V39" i="1"/>
  <c r="S39" i="1"/>
  <c r="V38" i="1"/>
  <c r="V37" i="1"/>
  <c r="S37" i="1"/>
  <c r="J37" i="1"/>
  <c r="K37" i="1" s="1"/>
  <c r="V36" i="1"/>
  <c r="S36" i="1"/>
  <c r="V35" i="1"/>
  <c r="S35" i="1"/>
  <c r="V34" i="1"/>
  <c r="S34" i="1"/>
  <c r="V33" i="1"/>
  <c r="S33" i="1"/>
  <c r="V32" i="1"/>
  <c r="S32" i="1"/>
  <c r="V31" i="1"/>
  <c r="S31" i="1"/>
  <c r="J31" i="1"/>
  <c r="K31" i="1" s="1"/>
  <c r="V30" i="1"/>
  <c r="S30" i="1"/>
  <c r="V29" i="1"/>
  <c r="S29" i="1"/>
  <c r="V28" i="1"/>
  <c r="S28" i="1"/>
  <c r="V27" i="1"/>
  <c r="S27" i="1"/>
  <c r="V26" i="1"/>
  <c r="S26" i="1"/>
  <c r="V25" i="1"/>
  <c r="S25" i="1"/>
  <c r="J25" i="1"/>
  <c r="K25" i="1" s="1"/>
  <c r="V24" i="1"/>
  <c r="S24" i="1"/>
  <c r="V23" i="1"/>
  <c r="S23" i="1"/>
  <c r="V22" i="1"/>
  <c r="S22" i="1"/>
  <c r="V21" i="1"/>
  <c r="S21" i="1"/>
  <c r="V20" i="1"/>
  <c r="S20" i="1"/>
  <c r="V19" i="1"/>
  <c r="S19" i="1"/>
  <c r="J19" i="1"/>
  <c r="K19" i="1" s="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V11" i="1"/>
  <c r="V12" i="1"/>
  <c r="S11" i="1" l="1"/>
  <c r="AD38" i="18" l="1"/>
  <c r="L30" i="18"/>
  <c r="AD30" i="18"/>
  <c r="AJ6" i="18"/>
  <c r="L14" i="18"/>
  <c r="L22" i="18"/>
  <c r="X6" i="18"/>
  <c r="L6" i="18"/>
  <c r="R38" i="18"/>
  <c r="AJ38" i="18"/>
  <c r="L38" i="18"/>
  <c r="AD6" i="18"/>
  <c r="R6" i="18"/>
  <c r="AJ30" i="18"/>
  <c r="R30" i="18"/>
  <c r="AD22" i="18"/>
  <c r="AJ14" i="18"/>
  <c r="AJ22" i="18"/>
  <c r="AD14" i="18"/>
  <c r="X38" i="18"/>
  <c r="X14" i="18"/>
  <c r="R22" i="18"/>
  <c r="X22" i="18"/>
  <c r="R14" i="18"/>
  <c r="X30"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55" i="1" l="1"/>
  <c r="N55" i="1" s="1"/>
  <c r="M61" i="1"/>
  <c r="N61" i="1" s="1"/>
  <c r="M37" i="1"/>
  <c r="N37" i="1" s="1"/>
  <c r="M31" i="1"/>
  <c r="N31" i="1" s="1"/>
  <c r="M43" i="1"/>
  <c r="N43" i="1" s="1"/>
  <c r="M25" i="1"/>
  <c r="N25" i="1" s="1"/>
  <c r="M49" i="1"/>
  <c r="N49" i="1" s="1"/>
  <c r="M10" i="1"/>
  <c r="N10" i="1" s="1"/>
  <c r="M19" i="1"/>
  <c r="N19" i="1" s="1"/>
  <c r="AB36" i="18" l="1"/>
  <c r="J12" i="18"/>
  <c r="AH36" i="18"/>
  <c r="J36" i="18"/>
  <c r="J44" i="18"/>
  <c r="O61" i="1"/>
  <c r="AB20" i="18"/>
  <c r="J28" i="18"/>
  <c r="P20" i="18"/>
  <c r="P61" i="1"/>
  <c r="AH12" i="18"/>
  <c r="AB28" i="18"/>
  <c r="AH28" i="18"/>
  <c r="V36" i="18"/>
  <c r="V20" i="18"/>
  <c r="V12" i="18"/>
  <c r="V28" i="18"/>
  <c r="AH44" i="18"/>
  <c r="J20" i="18"/>
  <c r="P36" i="18"/>
  <c r="AB44" i="18"/>
  <c r="V44" i="18"/>
  <c r="AH20" i="18"/>
  <c r="P44" i="18"/>
  <c r="AB12" i="18"/>
  <c r="P28" i="18"/>
  <c r="P12" i="18"/>
  <c r="Z40" i="18"/>
  <c r="AL8" i="18"/>
  <c r="AF8" i="18"/>
  <c r="N16" i="18"/>
  <c r="Z16" i="18"/>
  <c r="AL24" i="18"/>
  <c r="AF24" i="18"/>
  <c r="AF32" i="18"/>
  <c r="T40" i="18"/>
  <c r="P37" i="1"/>
  <c r="Z32" i="18"/>
  <c r="Z8" i="18"/>
  <c r="N8" i="18"/>
  <c r="O37" i="1"/>
  <c r="N32" i="18"/>
  <c r="AL40" i="18"/>
  <c r="T8" i="18"/>
  <c r="AF16" i="18"/>
  <c r="T24" i="18"/>
  <c r="AL32" i="18"/>
  <c r="N40" i="18"/>
  <c r="Z24" i="18"/>
  <c r="AL16" i="18"/>
  <c r="N24" i="18"/>
  <c r="T32" i="18"/>
  <c r="T16" i="18"/>
  <c r="AF40" i="18"/>
  <c r="T34" i="18"/>
  <c r="T42" i="18"/>
  <c r="Z34" i="18"/>
  <c r="AL26" i="18"/>
  <c r="AF34" i="18"/>
  <c r="N34" i="18"/>
  <c r="O55" i="1"/>
  <c r="AF10" i="18"/>
  <c r="Z42" i="18"/>
  <c r="T10" i="18"/>
  <c r="P55" i="1"/>
  <c r="AL42" i="18"/>
  <c r="T18" i="18"/>
  <c r="AF18" i="18"/>
  <c r="Z26" i="18"/>
  <c r="AL34" i="18"/>
  <c r="Z18" i="18"/>
  <c r="AF42" i="18"/>
  <c r="N26" i="18"/>
  <c r="AL18" i="18"/>
  <c r="N10" i="18"/>
  <c r="AL10" i="18"/>
  <c r="AF26" i="18"/>
  <c r="Z10" i="18"/>
  <c r="N18" i="18"/>
  <c r="T26" i="18"/>
  <c r="N42" i="18"/>
  <c r="AJ8" i="18"/>
  <c r="AJ24" i="18"/>
  <c r="AD16" i="18"/>
  <c r="L16" i="18"/>
  <c r="AD32" i="18"/>
  <c r="AD24" i="18"/>
  <c r="L24" i="18"/>
  <c r="X24" i="18"/>
  <c r="R8" i="18"/>
  <c r="X32" i="18"/>
  <c r="AJ40" i="18"/>
  <c r="R16" i="18"/>
  <c r="AD40" i="18"/>
  <c r="L8" i="18"/>
  <c r="O31" i="1"/>
  <c r="R40" i="18"/>
  <c r="L40" i="18"/>
  <c r="X16" i="18"/>
  <c r="AJ16" i="18"/>
  <c r="P31" i="1"/>
  <c r="L32" i="18"/>
  <c r="X8" i="18"/>
  <c r="R32" i="18"/>
  <c r="R24" i="18"/>
  <c r="AJ32" i="18"/>
  <c r="AD8" i="18"/>
  <c r="X40" i="18"/>
  <c r="AH34" i="18"/>
  <c r="P10" i="18"/>
  <c r="V34" i="18"/>
  <c r="P42" i="18"/>
  <c r="AH18" i="18"/>
  <c r="AH42" i="18"/>
  <c r="AH26" i="18"/>
  <c r="O43" i="1"/>
  <c r="J42" i="18"/>
  <c r="P34" i="18"/>
  <c r="AB18" i="18"/>
  <c r="J10" i="18"/>
  <c r="V42" i="18"/>
  <c r="P26" i="18"/>
  <c r="V10" i="18"/>
  <c r="J34" i="18"/>
  <c r="V18" i="18"/>
  <c r="AB34" i="18"/>
  <c r="AB42" i="18"/>
  <c r="AB26" i="18"/>
  <c r="V26" i="18"/>
  <c r="J26" i="18"/>
  <c r="AH10" i="18"/>
  <c r="P18" i="18"/>
  <c r="AB10" i="18"/>
  <c r="J18" i="18"/>
  <c r="P43" i="1"/>
  <c r="P19" i="1"/>
  <c r="Z30" i="18"/>
  <c r="N30" i="18"/>
  <c r="AL14" i="18"/>
  <c r="Z6" i="18"/>
  <c r="O19" i="1"/>
  <c r="AF14" i="18"/>
  <c r="T22" i="18"/>
  <c r="AL38" i="18"/>
  <c r="AL6" i="18"/>
  <c r="Z14" i="18"/>
  <c r="Z38" i="18"/>
  <c r="T38" i="18"/>
  <c r="T14" i="18"/>
  <c r="AF30" i="18"/>
  <c r="Z22" i="18"/>
  <c r="T30" i="18"/>
  <c r="N14" i="18"/>
  <c r="N38" i="18"/>
  <c r="AL30" i="18"/>
  <c r="AL22" i="18"/>
  <c r="T6" i="18"/>
  <c r="AF22" i="18"/>
  <c r="N6" i="18"/>
  <c r="AF6" i="18"/>
  <c r="AF38" i="18"/>
  <c r="N22" i="18"/>
  <c r="O25" i="1"/>
  <c r="AB16" i="18"/>
  <c r="V40" i="18"/>
  <c r="AH40" i="18"/>
  <c r="P24" i="18"/>
  <c r="AH32" i="18"/>
  <c r="AH16" i="18"/>
  <c r="V16" i="18"/>
  <c r="P25" i="1"/>
  <c r="V24" i="18"/>
  <c r="J40" i="18"/>
  <c r="AB24" i="18"/>
  <c r="J24" i="18"/>
  <c r="J32" i="18"/>
  <c r="P8" i="18"/>
  <c r="J16" i="18"/>
  <c r="J8" i="18"/>
  <c r="AB32" i="18"/>
  <c r="AB8" i="18"/>
  <c r="AB40" i="18"/>
  <c r="V8" i="18"/>
  <c r="AH24" i="18"/>
  <c r="AH8" i="18"/>
  <c r="P16" i="18"/>
  <c r="P40" i="18"/>
  <c r="V32" i="18"/>
  <c r="P32" i="18"/>
  <c r="AH14" i="18"/>
  <c r="AH38" i="18"/>
  <c r="J14" i="18"/>
  <c r="V30" i="18"/>
  <c r="P14" i="18"/>
  <c r="V22" i="18"/>
  <c r="V14" i="18"/>
  <c r="P38" i="18"/>
  <c r="AB6" i="18"/>
  <c r="AH30" i="18"/>
  <c r="J22" i="18"/>
  <c r="V38" i="18"/>
  <c r="P10" i="1"/>
  <c r="J30" i="18"/>
  <c r="AB38" i="18"/>
  <c r="P22" i="18"/>
  <c r="AB30" i="18"/>
  <c r="O10" i="1"/>
  <c r="AB22" i="18"/>
  <c r="AB14" i="18"/>
  <c r="J6" i="18"/>
  <c r="P30" i="18"/>
  <c r="AH22" i="18"/>
  <c r="P6" i="18"/>
  <c r="J38" i="18"/>
  <c r="AH6" i="18"/>
  <c r="V6" i="18"/>
  <c r="X10" i="18"/>
  <c r="AD18" i="18"/>
  <c r="L10" i="18"/>
  <c r="AJ26" i="18"/>
  <c r="X34" i="18"/>
  <c r="AD26" i="18"/>
  <c r="L42" i="18"/>
  <c r="X18" i="18"/>
  <c r="AD34" i="18"/>
  <c r="R42" i="18"/>
  <c r="X26" i="18"/>
  <c r="AJ18" i="18"/>
  <c r="P49" i="1"/>
  <c r="L26" i="18"/>
  <c r="AD10" i="18"/>
  <c r="R34" i="18"/>
  <c r="L34" i="18"/>
  <c r="AJ42" i="18"/>
  <c r="R10" i="18"/>
  <c r="AJ34" i="18"/>
  <c r="R26" i="18"/>
  <c r="O49" i="1"/>
  <c r="L18" i="18"/>
  <c r="X42" i="18"/>
  <c r="R18" i="18"/>
  <c r="AJ10" i="18"/>
  <c r="AD42" i="18"/>
  <c r="J17" i="19" l="1"/>
  <c r="P27" i="19"/>
  <c r="V37" i="19"/>
  <c r="AH17" i="19"/>
  <c r="AB27" i="19"/>
  <c r="AH37" i="19"/>
  <c r="J7" i="19"/>
  <c r="J37" i="19"/>
  <c r="P47" i="19"/>
  <c r="V7" i="19"/>
  <c r="AB17" i="19"/>
  <c r="P17" i="19"/>
  <c r="V47" i="19"/>
  <c r="AH7" i="19"/>
  <c r="J27" i="19"/>
  <c r="P37" i="19"/>
  <c r="P7" i="19"/>
  <c r="AB7" i="19"/>
  <c r="V27" i="19"/>
  <c r="AB37" i="19"/>
  <c r="AH47" i="19"/>
  <c r="AB47" i="19"/>
  <c r="J47" i="19"/>
  <c r="V17" i="19"/>
  <c r="AH27" i="19"/>
  <c r="AH35" i="19"/>
  <c r="V55" i="19"/>
  <c r="P55" i="19"/>
  <c r="J45" i="19"/>
  <c r="P25" i="19"/>
  <c r="P35" i="19"/>
  <c r="AH25" i="19"/>
  <c r="AB55" i="19"/>
  <c r="AB25" i="19"/>
  <c r="AH55" i="19"/>
  <c r="AH15" i="19"/>
  <c r="V35" i="19"/>
  <c r="J55" i="19"/>
  <c r="AB15" i="19"/>
  <c r="V25" i="19"/>
  <c r="J15" i="19"/>
  <c r="AH45" i="19"/>
  <c r="J25" i="19"/>
  <c r="AB35" i="19"/>
  <c r="P15" i="19"/>
  <c r="V45" i="19"/>
  <c r="AB45" i="19"/>
  <c r="P45" i="19"/>
  <c r="V15" i="19"/>
  <c r="J35" i="19"/>
  <c r="AH16" i="19" l="1"/>
  <c r="J26" i="19"/>
  <c r="V6" i="19"/>
  <c r="J46" i="19"/>
  <c r="AB36" i="19"/>
  <c r="AB6" i="19"/>
  <c r="P36" i="19"/>
  <c r="J36" i="19"/>
  <c r="V46" i="19"/>
  <c r="AH46" i="19"/>
  <c r="AB46" i="19"/>
  <c r="V16" i="19"/>
  <c r="V36" i="19"/>
  <c r="AH6" i="19"/>
  <c r="V26" i="19"/>
  <c r="AH36" i="19"/>
  <c r="P26" i="19"/>
  <c r="P16" i="19"/>
  <c r="AB16" i="19"/>
  <c r="AH26" i="19"/>
  <c r="J16" i="19"/>
  <c r="P6" i="19"/>
  <c r="J6" i="19"/>
  <c r="P46" i="19"/>
  <c r="AB26" i="19"/>
  <c r="K47" i="19"/>
  <c r="AC17" i="19"/>
  <c r="K17" i="19"/>
  <c r="K7" i="19"/>
  <c r="AI17" i="19"/>
  <c r="K27" i="19"/>
  <c r="W7" i="19"/>
  <c r="AI37" i="19"/>
  <c r="Q7" i="19"/>
  <c r="W37" i="19"/>
  <c r="Q47" i="19"/>
  <c r="AC37" i="19"/>
  <c r="AI27" i="19"/>
  <c r="W27" i="19"/>
  <c r="AC47" i="19"/>
  <c r="Q37" i="19"/>
  <c r="AI47" i="19"/>
  <c r="W17" i="19"/>
  <c r="AC27" i="19"/>
  <c r="W47" i="19"/>
  <c r="AI7" i="19"/>
  <c r="Q27" i="19"/>
  <c r="AC7" i="19"/>
  <c r="Q17" i="19"/>
  <c r="K37" i="19"/>
  <c r="L36" i="19" l="1"/>
  <c r="AJ6" i="19"/>
  <c r="X26" i="19"/>
  <c r="AD46" i="19"/>
  <c r="R6" i="19"/>
  <c r="X46" i="19"/>
  <c r="AJ16" i="19"/>
  <c r="AJ26" i="19"/>
  <c r="AJ46" i="19"/>
  <c r="X36" i="19"/>
  <c r="R16" i="19"/>
  <c r="R26" i="19"/>
  <c r="R36" i="19"/>
  <c r="AD16" i="19"/>
  <c r="L26" i="19"/>
  <c r="AJ36" i="19"/>
  <c r="X6" i="19"/>
  <c r="L16" i="19"/>
  <c r="L6" i="19"/>
  <c r="AD6" i="19"/>
  <c r="R46" i="19"/>
  <c r="L46" i="19"/>
  <c r="AD26" i="19"/>
  <c r="AD36" i="19"/>
  <c r="X16" i="19"/>
  <c r="AI36" i="19"/>
  <c r="AI26" i="19"/>
  <c r="AC6" i="19"/>
  <c r="Q36" i="19"/>
  <c r="AC46" i="19"/>
  <c r="W36" i="19"/>
  <c r="K16" i="19"/>
  <c r="W26" i="19"/>
  <c r="K26" i="19"/>
  <c r="W46" i="19"/>
  <c r="AI6" i="19"/>
  <c r="AI16" i="19"/>
  <c r="W6" i="19"/>
  <c r="AI46" i="19"/>
  <c r="Q6" i="19"/>
  <c r="K6" i="19"/>
  <c r="Q16" i="19"/>
  <c r="AC36" i="19"/>
  <c r="W16" i="19"/>
  <c r="K36" i="19"/>
  <c r="Q26" i="19"/>
  <c r="Q46" i="19"/>
  <c r="AC26" i="19"/>
  <c r="AC16" i="19"/>
  <c r="K4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<sst xmlns="http://schemas.openxmlformats.org/spreadsheetml/2006/main" count="328" uniqueCount="221">
  <si>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</si>
  <si>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</si>
  <si>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</si>
  <si>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</si>
  <si>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</si>
  <si>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</si>
  <si>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</si>
  <si>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</si>
  <si>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</si>
  <si>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</si>
  <si>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</si>
  <si>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</si>
  <si>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</si>
  <si>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</si>
  <si>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</si>
  <si>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</si>
  <si>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</si>
  <si>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</si>
  <si>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</si>
  <si>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</si>
  <si>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</si>
  <si>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</si>
  <si>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</si>
  <si>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</si>
  <si>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</si>
  <si>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</si>
  <si>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</si>
  <si>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</si>
  <si>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</si>
  <si>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</si>
  <si>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</si>
  <si>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</si>
  <si>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</si>
  <si>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</si>
  <si>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Estado</t>
  </si>
  <si>
    <t>Finalizado</t>
  </si>
  <si>
    <t>En curso</t>
  </si>
  <si>
    <t>Causa Raíz</t>
  </si>
  <si>
    <t>Proceso:</t>
  </si>
  <si>
    <t>Alcance:</t>
  </si>
  <si>
    <t>Impacto 
Inherente</t>
  </si>
  <si>
    <t>Zona de Riesgo Inherente</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</si>
  <si>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</si>
  <si>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</si>
  <si>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</si>
  <si>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</si>
  <si>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</si>
  <si>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</si>
  <si>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</si>
  <si>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</si>
  <si>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</si>
  <si>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</si>
  <si>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</si>
  <si>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</si>
  <si>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</si>
  <si>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</si>
  <si>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</si>
  <si>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</si>
  <si>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</si>
  <si>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</si>
  <si>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</si>
  <si>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</si>
  <si>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</si>
  <si>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</si>
  <si>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</si>
  <si>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</si>
  <si>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</si>
  <si>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</si>
  <si>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</si>
  <si>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</si>
  <si>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</si>
  <si>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</si>
  <si>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</si>
  <si>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</si>
  <si>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</si>
  <si>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</si>
  <si>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</si>
  <si>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</si>
  <si>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</si>
  <si>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</si>
  <si>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</si>
  <si>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</si>
  <si>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</si>
  <si>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</si>
  <si>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</si>
  <si>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</si>
  <si>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</si>
  <si>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</si>
  <si>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</si>
  <si>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</si>
  <si>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</si>
  <si>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</si>
  <si>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</si>
  <si>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</si>
  <si>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</si>
  <si>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</si>
  <si>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</si>
  <si>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</si>
  <si>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</si>
  <si>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</si>
  <si>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</si>
  <si>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</si>
  <si>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</si>
  <si>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</si>
  <si>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</si>
  <si>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</si>
  <si>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</si>
  <si>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</si>
  <si>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</si>
  <si>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</si>
  <si>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</si>
  <si>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</si>
  <si>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</si>
  <si>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</si>
  <si>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</si>
  <si>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</si>
  <si>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</si>
  <si>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</si>
  <si>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</si>
  <si>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</si>
  <si>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</si>
  <si>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</si>
  <si>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</si>
  <si>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</si>
  <si>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</si>
  <si>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</si>
  <si>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</si>
  <si>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</si>
  <si>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</si>
  <si>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</si>
  <si>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Identificación del riesgo</t>
  </si>
  <si>
    <t>Análisis del riesgo inherente</t>
  </si>
  <si>
    <t>Evaluación del riesgo - Valoración de los controles</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</si>
  <si>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</si>
  <si>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</si>
  <si>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</si>
  <si>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</si>
  <si>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</si>
  <si>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</si>
  <si>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</si>
  <si>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</si>
  <si>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</si>
  <si>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</si>
  <si>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</si>
  <si>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</si>
  <si>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</si>
  <si>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</si>
  <si>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</si>
  <si>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</si>
  <si>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</si>
  <si>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</si>
  <si>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</si>
  <si>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</si>
  <si>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</si>
  <si>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</si>
  <si>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</si>
  <si>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</si>
  <si>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</si>
  <si>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</si>
  <si>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</si>
  <si>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</si>
  <si>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</si>
  <si>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</si>
  <si>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</si>
  <si>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</si>
  <si>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</si>
  <si>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</si>
  <si>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</si>
  <si>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</si>
  <si>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</si>
  <si>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</si>
  <si>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</si>
  <si>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</si>
  <si>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</si>
  <si>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</si>
  <si>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</si>
  <si>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</si>
  <si>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</si>
  <si>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</si>
  <si>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</si>
  <si>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</si>
  <si>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</si>
  <si>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</si>
  <si>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</si>
  <si>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</si>
  <si>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</si>
  <si>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</si>
  <si>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</si>
  <si>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</si>
  <si>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</si>
  <si>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</si>
  <si>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</si>
  <si>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</si>
  <si>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</si>
  <si>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</si>
  <si>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</si>
  <si>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</si>
  <si>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</si>
  <si>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</si>
  <si>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</si>
  <si>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</si>
  <si>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</si>
  <si>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</si>
  <si>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</si>
  <si>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</si>
  <si>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  Riesgos</t>
  </si>
  <si>
    <t>Dificultad en la comunicación interna de los actores del proceso</t>
  </si>
  <si>
    <t>mesas de trabajo para la actualizacion de conocimiento del talento humano de manera semestral</t>
  </si>
  <si>
    <t>Seguimiento a las actividades del proceso a través de los Comites Técnicos de cada depencia de la Secretaria de Gobierno.</t>
  </si>
  <si>
    <t xml:space="preserve">Deficiencia en la actualización al Talento Humano de conocimientos de los procesos de cada Dirección. </t>
  </si>
  <si>
    <t>Los entes de control, realizaran las sanciones que hay a lugar.</t>
  </si>
  <si>
    <t>LA RENUENCIA A PUBLICAR Y PROMOVER PERMANENTEMENTE LOS SERVICIOS  Y CONVOCATORIAS, QUE AYUDEN CON  LAS NECESIDADES DE LOS DIFERENTES GRUPOS DE INTERÉS QUE ATIENDEN LAS DEPENDENCIAS, COMO LOS EMPRENDEDORES, EMPRESARIOS Y CIUDADANOS DEL MUNICIPIO DE IBAGUÉ.</t>
  </si>
  <si>
    <t>La baja cobertura para la promoción del desarrollo económico y la competividad para los emprendedores, empresarios y ciudadanos del municipio de Ibagué.</t>
  </si>
  <si>
    <t>Posibilidad de perdida economica y reputacional, debido a investigaciones administrativas y fiscales  que los Entes de control realicen,  por la renuencia a promover permanentemente los servicios del proceso Y no gestionar alianzas o proyectos productivos.</t>
  </si>
  <si>
    <t>Ejecución presupuestal y de campo de los diferentes proyectos y programas</t>
  </si>
  <si>
    <t>Semestralmente las Secretaría Desarrollo económico (Dirección de emprendimiento, fortalecimiento empresarial y empleo y Dirección de Turismo) y Secretaría de agricultura y desarrollo rural, cada una con los  asesores, profesionales  universitarios y contratistas se reuniran dos veces por  vigencia, empezando vigencia y cada vez que se requiera para mirar el avance físico de las metas producto del plan indicativo y generar estrategias para cumplir las mismas.  Las respectivas evidencias de las reuniones son las planillas de asistencia internas y actas.</t>
  </si>
  <si>
    <t xml:space="preserve">Cuatrimestralmente las Secretaría Desarrollo económico y Secretaría de agricultura y desarrollo rural realizaran socialización, del sigami y  del código de integridad y buen gobierno a las personas que conforman las secretarías y se les recuerda que en el contrato de prestación de servicios queda estipulado que se acogen a este código; dejando como evidencias actas y/o planillas de asistencia interna de la socializaciòn. </t>
  </si>
  <si>
    <t>GESTION DEL DESARROLLO ECONOMICO Y LA COMPETITIVIDAD</t>
  </si>
  <si>
    <t>PROMOVER PERMANENTEMENTE LOS SERVICIOS DE LOS INVOLUCRADOS EN EL PROCESO, MEDIANTE LA IDENTIFICACIÓN DE LAS NECESIDADES DE LOS DIFERENTES GRUPOS DE INTERÉS QUE ATIENDEN LAS DEPENDENCIAS Y GESTIONAR ALIANZAS O PROYECTOS PRODUCTIVOS, COMERCIALES Y/O TURÍSTICOS, DE EMPRENDIMIENTO, EMPLEABILIDAD, SOCIEDADES DE HECHO Y PRODUCTORES AGROPECUARIOS PARA PROMOVER EL DESARROLLO ECONÓMICO Y COMPETITIVIDAD DE LOS EMPRENDEDORES, EMPRESARIOS Y CIUDADANOS DEL MUNICIPIO DE IBAGUÉ MEDIANTE PREVIO CUMPLIMIENTO DE REQUISITOS.</t>
  </si>
  <si>
    <t>INICIA CON LA PLANEACIÓN DEL PROCESO, CONTINÚA CON LA CARACTERIZACIÓN DE LA POBLACION OBJETIVO FORMULANDO Y EJECUTANDO ACTIVIDADES DE EMPRENDIMIENTO, EMPLEABILIDAD, SOCIEDADES DE HECHO Y PRODUCTORES AGROPECUARIOS HASTA EL SEGUIMIENTO DE LA FORMULACION Y EJECUCION DE LOS PROYECTOS.</t>
  </si>
  <si>
    <t>Se realizaran Cuatrimestral cada una en Las  Secretaría Desarrollo económico (Dirección de emprendimiento, fortalecimiento empresarial y empleo y Dirección de Turismo) y Secretaría de agricultura y desarrollo rural, comite tecnico , para   revisar  los planes de acción y a la ejecución de los mismos. dejando como evidencia un acta y planilla de asistencia.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</si>
</sst>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dashed">
        <color theme="9" tint="-0.24994659260841701"/>
      </right>
      <top/>
      <bottom/>
      <diagonal/>
    </border>
    <border>
      <left style="dashed">
        <color theme="9" tint="-0.24994659260841701"/>
      </left>
      <right style="thin">
        <color indexed="64"/>
      </right>
      <top style="dashed">
        <color theme="9" tint="-0.24994659260841701"/>
      </top>
      <bottom/>
      <diagonal/>
    </border>
    <border>
      <left style="thin">
        <color indexed="64"/>
      </left>
      <right style="dashed">
        <color theme="9" tint="-0.24994659260841701"/>
      </right>
      <top style="dashed">
        <color theme="9" tint="-0.24994659260841701"/>
      </top>
      <bottom/>
      <diagonal/>
    </border>
  </borders>
  <cellStyleXfs count="4">
    <xf numFmtId="0" fontId="0" fillId="0" borderId="0"/>
    <xf numFmtId="0" fontId="47" fillId="0" borderId="0"/>
    <xf numFmtId="0" fontId="48" fillId="0" borderId="0"/>
    <xf numFmtId="0" fontId="5" fillId="0" borderId="0"/>
  </cellStyleXfs>
  <cellXfs count="39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5"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3"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11"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11"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11"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23" fillId="13" borderId="19" xfId="0" applyFont="1" applyFill="1" applyBorder="1" applyAlignment="1" applyProtection="1">
      <alignment horizontal="center" wrapText="1" readingOrder="1"/>
      <protection hidden="1"/>
    </xf>
    <xf numFmtId="0" fontId="0" fillId="3" borderId="0" xfId="0" applyFill="1"/>
    <xf numFmtId="0" fontId="49" fillId="3" borderId="49" xfId="1" applyFont="1" applyFill="1" applyBorder="1"/>
    <xf numFmtId="0" fontId="49" fillId="3" borderId="50" xfId="1" applyFont="1" applyFill="1" applyBorder="1"/>
    <xf numFmtId="0" fontId="49" fillId="3" borderId="51" xfId="1" applyFont="1" applyFill="1" applyBorder="1"/>
    <xf numFmtId="0" fontId="16" fillId="3" borderId="0" xfId="0" applyFont="1" applyFill="1" applyAlignment="1">
      <alignment vertical="center"/>
    </xf>
    <xf numFmtId="0" fontId="5" fillId="3" borderId="0" xfId="0" applyFont="1" applyFill="1"/>
    <xf numFmtId="0" fontId="36" fillId="3" borderId="0" xfId="0" applyFont="1" applyFill="1"/>
    <xf numFmtId="0" fontId="37" fillId="3" borderId="32" xfId="0" applyFont="1" applyFill="1" applyBorder="1" applyAlignment="1">
      <alignment horizontal="center" vertical="center" wrapText="1" readingOrder="1"/>
    </xf>
    <xf numFmtId="0" fontId="38" fillId="3" borderId="32" xfId="0" applyFont="1" applyFill="1" applyBorder="1" applyAlignment="1">
      <alignment horizontal="justify" vertical="center" wrapText="1" readingOrder="1"/>
    </xf>
    <xf numFmtId="9" fontId="37" fillId="3" borderId="41" xfId="0" applyNumberFormat="1" applyFont="1" applyFill="1" applyBorder="1" applyAlignment="1">
      <alignment horizontal="center" vertical="center" wrapText="1" readingOrder="1"/>
    </xf>
    <xf numFmtId="0" fontId="37" fillId="3" borderId="31" xfId="0" applyFont="1" applyFill="1" applyBorder="1" applyAlignment="1">
      <alignment horizontal="center" vertical="center" wrapText="1" readingOrder="1"/>
    </xf>
    <xf numFmtId="0" fontId="38" fillId="3" borderId="31" xfId="0" applyFont="1" applyFill="1" applyBorder="1" applyAlignment="1">
      <alignment horizontal="justify" vertical="center" wrapText="1" readingOrder="1"/>
    </xf>
    <xf numFmtId="9" fontId="37" fillId="3" borderId="36" xfId="0" applyNumberFormat="1" applyFont="1" applyFill="1" applyBorder="1" applyAlignment="1">
      <alignment horizontal="center" vertical="center" wrapText="1" readingOrder="1"/>
    </xf>
    <xf numFmtId="0" fontId="38" fillId="3" borderId="36" xfId="0" applyFont="1" applyFill="1" applyBorder="1" applyAlignment="1">
      <alignment horizontal="center" vertical="center" wrapText="1" readingOrder="1"/>
    </xf>
    <xf numFmtId="0" fontId="37" fillId="3" borderId="38" xfId="0" applyFont="1" applyFill="1" applyBorder="1" applyAlignment="1">
      <alignment horizontal="center" vertical="center" wrapText="1" readingOrder="1"/>
    </xf>
    <xf numFmtId="0" fontId="38" fillId="3" borderId="38" xfId="0" applyFont="1" applyFill="1" applyBorder="1" applyAlignment="1">
      <alignment horizontal="justify" vertical="center" wrapText="1" readingOrder="1"/>
    </xf>
    <xf numFmtId="0" fontId="38" fillId="3" borderId="39" xfId="0" applyFont="1" applyFill="1" applyBorder="1" applyAlignment="1">
      <alignment horizontal="center" vertical="center" wrapText="1" readingOrder="1"/>
    </xf>
    <xf numFmtId="0" fontId="46" fillId="3" borderId="0" xfId="0" applyFont="1" applyFill="1"/>
    <xf numFmtId="0" fontId="37" fillId="15" borderId="43" xfId="0" applyFont="1" applyFill="1" applyBorder="1" applyAlignment="1">
      <alignment horizontal="center" vertical="center" wrapText="1" readingOrder="1"/>
    </xf>
    <xf numFmtId="0" fontId="37" fillId="15" borderId="44" xfId="0" applyFont="1" applyFill="1" applyBorder="1" applyAlignment="1">
      <alignment horizontal="center" vertical="center" wrapText="1" readingOrder="1"/>
    </xf>
    <xf numFmtId="0" fontId="14" fillId="3" borderId="0" xfId="0" applyFont="1" applyFill="1"/>
    <xf numFmtId="0" fontId="31"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9" fillId="3" borderId="14" xfId="1"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1" applyFont="1" applyFill="1"/>
    <xf numFmtId="0" fontId="49" fillId="3" borderId="15" xfId="1" applyFont="1" applyFill="1" applyBorder="1"/>
    <xf numFmtId="0" fontId="49" fillId="3" borderId="16" xfId="1" applyFont="1" applyFill="1" applyBorder="1"/>
    <xf numFmtId="0" fontId="49" fillId="3" borderId="18" xfId="1" applyFont="1" applyFill="1" applyBorder="1"/>
    <xf numFmtId="0" fontId="49" fillId="3" borderId="17" xfId="1" applyFont="1" applyFill="1" applyBorder="1"/>
    <xf numFmtId="0" fontId="53" fillId="3" borderId="0" xfId="1" applyFont="1" applyFill="1" applyAlignment="1">
      <alignment horizontal="left" vertical="center" wrapText="1"/>
    </xf>
    <xf numFmtId="0" fontId="49" fillId="3" borderId="0" xfId="1" applyFont="1" applyFill="1" applyAlignment="1">
      <alignment horizontal="left" vertical="center" wrapText="1"/>
    </xf>
    <xf numFmtId="0" fontId="49" fillId="3" borderId="0" xfId="1" quotePrefix="1" applyFont="1" applyFill="1" applyAlignment="1">
      <alignment horizontal="left" vertical="center" wrapText="1"/>
    </xf>
    <xf numFmtId="0" fontId="51" fillId="3" borderId="14" xfId="1" quotePrefix="1" applyFont="1" applyFill="1" applyBorder="1" applyAlignment="1">
      <alignment horizontal="left" vertical="top" wrapText="1"/>
    </xf>
    <xf numFmtId="0" fontId="52" fillId="3" borderId="0" xfId="1" quotePrefix="1" applyFont="1" applyFill="1" applyAlignment="1">
      <alignment horizontal="left" vertical="top" wrapText="1"/>
    </xf>
    <xf numFmtId="0" fontId="52" fillId="3" borderId="15" xfId="1"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0" fontId="1" fillId="0" borderId="2" xfId="0" applyFont="1" applyBorder="1" applyAlignment="1" applyProtection="1">
      <alignment horizontal="justify" vertical="top"/>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8" xfId="0" applyFont="1" applyBorder="1" applyAlignment="1" applyProtection="1">
      <alignment horizontal="left" vertical="center" wrapText="1"/>
      <protection locked="0"/>
    </xf>
    <xf numFmtId="0" fontId="1" fillId="0" borderId="8" xfId="0" applyFont="1" applyBorder="1" applyAlignment="1" applyProtection="1">
      <alignment horizontal="left" vertical="top" wrapText="1"/>
      <protection locked="0"/>
    </xf>
    <xf numFmtId="0" fontId="4" fillId="0" borderId="4" xfId="0" applyFont="1" applyBorder="1" applyAlignment="1" applyProtection="1">
      <alignment vertical="top" wrapText="1"/>
      <protection hidden="1"/>
    </xf>
    <xf numFmtId="9" fontId="1" fillId="0" borderId="4" xfId="0" applyNumberFormat="1" applyFont="1" applyBorder="1" applyAlignment="1" applyProtection="1">
      <alignment vertical="top" wrapText="1"/>
      <protection hidden="1"/>
    </xf>
    <xf numFmtId="0" fontId="1" fillId="0" borderId="9" xfId="0" applyFont="1" applyBorder="1" applyAlignment="1" applyProtection="1">
      <alignment vertical="top" wrapText="1"/>
      <protection locked="0"/>
    </xf>
    <xf numFmtId="0" fontId="1" fillId="0" borderId="73" xfId="0" applyFont="1" applyBorder="1" applyAlignment="1" applyProtection="1">
      <alignment horizontal="center" vertical="top" wrapText="1"/>
      <protection locked="0"/>
    </xf>
    <xf numFmtId="9" fontId="1" fillId="0" borderId="31" xfId="0" applyNumberFormat="1" applyFont="1" applyBorder="1" applyAlignment="1" applyProtection="1">
      <alignment vertical="top" wrapText="1"/>
      <protection hidden="1"/>
    </xf>
    <xf numFmtId="0" fontId="4" fillId="0" borderId="74" xfId="0" applyFont="1" applyBorder="1" applyAlignment="1" applyProtection="1">
      <alignment vertical="top" wrapText="1"/>
      <protection hidden="1"/>
    </xf>
    <xf numFmtId="0" fontId="4" fillId="0" borderId="75" xfId="0" applyFont="1" applyBorder="1" applyAlignment="1" applyProtection="1">
      <alignment vertical="top"/>
      <protection hidden="1"/>
    </xf>
    <xf numFmtId="9" fontId="1" fillId="0" borderId="4" xfId="0" applyNumberFormat="1" applyFont="1" applyBorder="1" applyAlignment="1" applyProtection="1">
      <alignment vertical="top" wrapText="1"/>
      <protection locked="0"/>
    </xf>
    <xf numFmtId="9" fontId="1" fillId="0" borderId="8" xfId="0" applyNumberFormat="1" applyFont="1" applyBorder="1" applyAlignment="1" applyProtection="1">
      <alignment vertical="top" wrapText="1"/>
      <protection locked="0"/>
    </xf>
    <xf numFmtId="9" fontId="1" fillId="0" borderId="5" xfId="0" applyNumberFormat="1" applyFont="1" applyBorder="1" applyAlignment="1" applyProtection="1">
      <alignment vertical="top" wrapText="1"/>
      <protection locked="0"/>
    </xf>
    <xf numFmtId="0" fontId="8" fillId="3" borderId="6" xfId="0" applyFont="1" applyFill="1" applyBorder="1" applyAlignment="1" applyProtection="1">
      <alignment horizontal="left" vertical="center"/>
      <protection locked="0"/>
    </xf>
    <xf numFmtId="0" fontId="8" fillId="3" borderId="0" xfId="0" applyFont="1" applyFill="1" applyAlignment="1" applyProtection="1">
      <alignment vertical="center" wrapText="1"/>
      <protection locked="0"/>
    </xf>
    <xf numFmtId="0" fontId="1" fillId="0" borderId="4" xfId="0" applyFont="1" applyBorder="1" applyAlignment="1" applyProtection="1">
      <alignment horizontal="center" vertical="center" wrapText="1"/>
      <protection locked="0"/>
    </xf>
    <xf numFmtId="0" fontId="1" fillId="0" borderId="4"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2" fillId="0" borderId="4" xfId="0" applyFont="1" applyBorder="1" applyAlignment="1" applyProtection="1">
      <alignment vertical="top" wrapText="1"/>
      <protection locked="0"/>
    </xf>
    <xf numFmtId="0" fontId="2" fillId="0" borderId="8" xfId="0" applyFont="1" applyBorder="1" applyAlignment="1" applyProtection="1">
      <alignment vertical="top" wrapText="1"/>
      <protection locked="0"/>
    </xf>
    <xf numFmtId="0" fontId="55" fillId="3" borderId="62" xfId="1" applyFont="1" applyFill="1" applyBorder="1" applyAlignment="1">
      <alignment horizontal="justify" vertical="center" wrapText="1"/>
    </xf>
    <xf numFmtId="0" fontId="55" fillId="3" borderId="63" xfId="1" applyFont="1" applyFill="1" applyBorder="1" applyAlignment="1">
      <alignment horizontal="justify" vertical="center" wrapText="1"/>
    </xf>
    <xf numFmtId="0" fontId="54" fillId="3" borderId="69" xfId="0" applyFont="1" applyFill="1" applyBorder="1" applyAlignment="1">
      <alignment horizontal="left" vertical="center" wrapText="1"/>
    </xf>
    <xf numFmtId="0" fontId="54" fillId="3" borderId="70" xfId="0" applyFont="1" applyFill="1" applyBorder="1" applyAlignment="1">
      <alignment horizontal="left" vertical="center" wrapText="1"/>
    </xf>
    <xf numFmtId="0" fontId="54" fillId="3" borderId="56" xfId="2" applyFont="1" applyFill="1" applyBorder="1" applyAlignment="1">
      <alignment horizontal="left" vertical="top" wrapText="1" readingOrder="1"/>
    </xf>
    <xf numFmtId="0" fontId="54" fillId="3" borderId="57" xfId="2" applyFont="1" applyFill="1" applyBorder="1" applyAlignment="1">
      <alignment horizontal="left" vertical="top" wrapText="1" readingOrder="1"/>
    </xf>
    <xf numFmtId="0" fontId="55" fillId="3" borderId="58" xfId="1" applyFont="1" applyFill="1" applyBorder="1" applyAlignment="1">
      <alignment horizontal="justify" vertical="center" wrapText="1"/>
    </xf>
    <xf numFmtId="0" fontId="55" fillId="3" borderId="59" xfId="1" applyFont="1" applyFill="1" applyBorder="1" applyAlignment="1">
      <alignment horizontal="justify" vertical="center" wrapText="1"/>
    </xf>
    <xf numFmtId="0" fontId="54" fillId="3" borderId="60" xfId="0" applyFont="1" applyFill="1" applyBorder="1" applyAlignment="1">
      <alignment horizontal="left" vertical="center" wrapText="1"/>
    </xf>
    <xf numFmtId="0" fontId="54" fillId="3" borderId="61" xfId="0" applyFont="1" applyFill="1" applyBorder="1" applyAlignment="1">
      <alignment horizontal="left" vertical="center" wrapText="1"/>
    </xf>
    <xf numFmtId="0" fontId="49" fillId="3" borderId="14" xfId="1" applyFont="1" applyFill="1" applyBorder="1" applyAlignment="1">
      <alignment horizontal="left" vertical="top" wrapText="1"/>
    </xf>
    <xf numFmtId="0" fontId="49" fillId="3" borderId="0" xfId="1" applyFont="1" applyFill="1" applyAlignment="1">
      <alignment horizontal="left" vertical="top" wrapText="1"/>
    </xf>
    <xf numFmtId="0" fontId="49" fillId="3" borderId="15" xfId="1" applyFont="1" applyFill="1" applyBorder="1" applyAlignment="1">
      <alignment horizontal="left" vertical="top" wrapText="1"/>
    </xf>
    <xf numFmtId="0" fontId="54" fillId="3" borderId="71" xfId="0" applyFont="1" applyFill="1" applyBorder="1" applyAlignment="1">
      <alignment horizontal="left" vertical="center" wrapText="1"/>
    </xf>
    <xf numFmtId="0" fontId="54" fillId="3" borderId="72" xfId="0" applyFont="1" applyFill="1" applyBorder="1" applyAlignment="1">
      <alignment horizontal="left" vertical="center" wrapText="1"/>
    </xf>
    <xf numFmtId="0" fontId="55" fillId="3" borderId="64" xfId="0" applyFont="1" applyFill="1" applyBorder="1" applyAlignment="1">
      <alignment horizontal="justify" vertical="center" wrapText="1"/>
    </xf>
    <xf numFmtId="0" fontId="55" fillId="3" borderId="65" xfId="0" applyFont="1" applyFill="1" applyBorder="1" applyAlignment="1">
      <alignment horizontal="justify" vertical="center" wrapText="1"/>
    </xf>
    <xf numFmtId="0" fontId="50" fillId="14" borderId="46" xfId="1" applyFont="1" applyFill="1" applyBorder="1" applyAlignment="1">
      <alignment horizontal="center" vertical="center" wrapText="1"/>
    </xf>
    <xf numFmtId="0" fontId="50" fillId="14" borderId="47" xfId="1" applyFont="1" applyFill="1" applyBorder="1" applyAlignment="1">
      <alignment horizontal="center" vertical="center" wrapText="1"/>
    </xf>
    <xf numFmtId="0" fontId="50" fillId="14" borderId="48" xfId="1" applyFont="1" applyFill="1" applyBorder="1" applyAlignment="1">
      <alignment horizontal="center" vertical="center" wrapText="1"/>
    </xf>
    <xf numFmtId="0" fontId="49" fillId="0" borderId="14" xfId="1" quotePrefix="1" applyFont="1" applyBorder="1" applyAlignment="1">
      <alignment horizontal="left" vertical="center" wrapText="1"/>
    </xf>
    <xf numFmtId="0" fontId="49" fillId="0" borderId="0" xfId="1" quotePrefix="1" applyFont="1" applyAlignment="1">
      <alignment horizontal="left" vertical="center" wrapText="1"/>
    </xf>
    <xf numFmtId="0" fontId="49" fillId="0" borderId="15" xfId="1" quotePrefix="1" applyFont="1" applyBorder="1" applyAlignment="1">
      <alignment horizontal="left" vertical="center" wrapText="1"/>
    </xf>
    <xf numFmtId="0" fontId="49" fillId="0" borderId="66" xfId="1" quotePrefix="1" applyFont="1" applyBorder="1" applyAlignment="1">
      <alignment horizontal="left" vertical="center" wrapText="1"/>
    </xf>
    <xf numFmtId="0" fontId="49" fillId="0" borderId="67" xfId="1" quotePrefix="1" applyFont="1" applyBorder="1" applyAlignment="1">
      <alignment horizontal="left" vertical="center" wrapText="1"/>
    </xf>
    <xf numFmtId="0" fontId="49" fillId="0" borderId="68" xfId="1" quotePrefix="1" applyFont="1" applyBorder="1" applyAlignment="1">
      <alignment horizontal="left" vertical="center" wrapText="1"/>
    </xf>
    <xf numFmtId="0" fontId="51" fillId="3" borderId="49" xfId="1" quotePrefix="1" applyFont="1" applyFill="1" applyBorder="1" applyAlignment="1">
      <alignment horizontal="left" vertical="top" wrapText="1"/>
    </xf>
    <xf numFmtId="0" fontId="52" fillId="3" borderId="50" xfId="1" quotePrefix="1" applyFont="1" applyFill="1" applyBorder="1" applyAlignment="1">
      <alignment horizontal="left" vertical="top" wrapText="1"/>
    </xf>
    <xf numFmtId="0" fontId="52" fillId="3" borderId="51" xfId="1" quotePrefix="1" applyFont="1" applyFill="1" applyBorder="1" applyAlignment="1">
      <alignment horizontal="left" vertical="top" wrapText="1"/>
    </xf>
    <xf numFmtId="0" fontId="49" fillId="0" borderId="14" xfId="1" quotePrefix="1" applyFont="1" applyBorder="1" applyAlignment="1">
      <alignment horizontal="left" vertical="top" wrapText="1"/>
    </xf>
    <xf numFmtId="0" fontId="49" fillId="0" borderId="0" xfId="1" quotePrefix="1" applyFont="1" applyAlignment="1">
      <alignment horizontal="left" vertical="top" wrapText="1"/>
    </xf>
    <xf numFmtId="0" fontId="49" fillId="0" borderId="15" xfId="1" quotePrefix="1" applyFont="1" applyBorder="1" applyAlignment="1">
      <alignment horizontal="left" vertical="top" wrapText="1"/>
    </xf>
    <xf numFmtId="0" fontId="54" fillId="14" borderId="52" xfId="2" applyFont="1" applyFill="1" applyBorder="1" applyAlignment="1">
      <alignment horizontal="center" vertical="center" wrapText="1"/>
    </xf>
    <xf numFmtId="0" fontId="54" fillId="14" borderId="53" xfId="2" applyFont="1" applyFill="1" applyBorder="1" applyAlignment="1">
      <alignment horizontal="center" vertical="center" wrapText="1"/>
    </xf>
    <xf numFmtId="0" fontId="54" fillId="14" borderId="54" xfId="1" applyFont="1" applyFill="1" applyBorder="1" applyAlignment="1">
      <alignment horizontal="center" vertical="center"/>
    </xf>
    <xf numFmtId="0" fontId="54" fillId="14" borderId="55" xfId="1" applyFont="1" applyFill="1" applyBorder="1" applyAlignment="1">
      <alignment horizontal="center" vertical="center"/>
    </xf>
    <xf numFmtId="0" fontId="2" fillId="3" borderId="66" xfId="1" quotePrefix="1" applyFont="1" applyFill="1" applyBorder="1" applyAlignment="1">
      <alignment horizontal="justify" vertical="center" wrapText="1"/>
    </xf>
    <xf numFmtId="0" fontId="2" fillId="3" borderId="67" xfId="1" quotePrefix="1" applyFont="1" applyFill="1" applyBorder="1" applyAlignment="1">
      <alignment horizontal="justify" vertical="center" wrapText="1"/>
    </xf>
    <xf numFmtId="0" fontId="2" fillId="3" borderId="68" xfId="1" quotePrefix="1" applyFont="1" applyFill="1" applyBorder="1" applyAlignment="1">
      <alignment horizontal="justify" vertical="center" wrapText="1"/>
    </xf>
    <xf numFmtId="0" fontId="25" fillId="2" borderId="28" xfId="0" applyFont="1" applyFill="1" applyBorder="1" applyAlignment="1">
      <alignment horizontal="center" vertical="center"/>
    </xf>
    <xf numFmtId="0" fontId="25" fillId="2" borderId="29"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3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4" fillId="2" borderId="6" xfId="0" applyFont="1" applyFill="1" applyBorder="1" applyAlignment="1">
      <alignment horizontal="left" vertical="center"/>
    </xf>
    <xf numFmtId="0" fontId="24" fillId="2" borderId="7" xfId="0" applyFont="1" applyFill="1" applyBorder="1" applyAlignment="1">
      <alignment horizontal="left" vertical="center"/>
    </xf>
    <xf numFmtId="0" fontId="26" fillId="2" borderId="4" xfId="0" applyFont="1" applyFill="1" applyBorder="1" applyAlignment="1">
      <alignment horizontal="center" vertical="center" textRotation="90"/>
    </xf>
    <xf numFmtId="0" fontId="26" fillId="2" borderId="5" xfId="0" applyFont="1" applyFill="1" applyBorder="1" applyAlignment="1">
      <alignment horizontal="center" vertical="center" textRotation="9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3" borderId="0" xfId="0" applyFont="1" applyFill="1" applyAlignment="1">
      <alignment horizontal="left" vertical="center"/>
    </xf>
    <xf numFmtId="0" fontId="35" fillId="3" borderId="10" xfId="0" applyFont="1" applyFill="1" applyBorder="1" applyAlignment="1" applyProtection="1">
      <alignment horizontal="center" vertical="center" wrapText="1"/>
      <protection locked="0"/>
    </xf>
    <xf numFmtId="0" fontId="35" fillId="3" borderId="7" xfId="0" applyFont="1" applyFill="1" applyBorder="1" applyAlignment="1" applyProtection="1">
      <alignment horizontal="center" vertical="center" wrapText="1"/>
      <protection locked="0"/>
    </xf>
    <xf numFmtId="0" fontId="4" fillId="2" borderId="5" xfId="0" applyFont="1" applyFill="1" applyBorder="1" applyAlignment="1">
      <alignment horizontal="center" vertical="center"/>
    </xf>
    <xf numFmtId="0" fontId="35" fillId="3" borderId="6" xfId="0" applyFont="1" applyFill="1" applyBorder="1" applyAlignment="1" applyProtection="1">
      <alignment horizontal="left" vertical="center" wrapText="1"/>
      <protection locked="0"/>
    </xf>
    <xf numFmtId="0" fontId="35" fillId="3" borderId="10" xfId="0" applyFont="1" applyFill="1" applyBorder="1" applyAlignment="1" applyProtection="1">
      <alignment horizontal="left" vertical="center" wrapText="1"/>
      <protection locked="0"/>
    </xf>
    <xf numFmtId="0" fontId="35" fillId="3" borderId="6" xfId="0"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18" fillId="10" borderId="0" xfId="0" applyFont="1" applyFill="1" applyAlignment="1">
      <alignment horizontal="center" vertical="center" textRotation="90" wrapText="1" readingOrder="1"/>
    </xf>
    <xf numFmtId="0" fontId="18" fillId="10" borderId="15" xfId="0" applyFont="1" applyFill="1" applyBorder="1" applyAlignment="1">
      <alignment horizontal="center" vertical="center" textRotation="90" wrapText="1" readingOrder="1"/>
    </xf>
    <xf numFmtId="0" fontId="21" fillId="12" borderId="20" xfId="0" applyFont="1" applyFill="1" applyBorder="1" applyAlignment="1">
      <alignment horizontal="center" vertical="center" wrapText="1" readingOrder="1"/>
    </xf>
    <xf numFmtId="0" fontId="21" fillId="12" borderId="21" xfId="0" applyFont="1" applyFill="1" applyBorder="1" applyAlignment="1">
      <alignment horizontal="center" vertical="center" wrapText="1" readingOrder="1"/>
    </xf>
    <xf numFmtId="0" fontId="21" fillId="12" borderId="22" xfId="0" applyFont="1" applyFill="1" applyBorder="1" applyAlignment="1">
      <alignment horizontal="center" vertical="center" wrapText="1" readingOrder="1"/>
    </xf>
    <xf numFmtId="0" fontId="21" fillId="12" borderId="23"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24" xfId="0" applyFont="1" applyFill="1" applyBorder="1" applyAlignment="1">
      <alignment horizontal="center" vertical="center" wrapText="1" readingOrder="1"/>
    </xf>
    <xf numFmtId="0" fontId="21" fillId="12" borderId="25" xfId="0" applyFont="1" applyFill="1" applyBorder="1" applyAlignment="1">
      <alignment horizontal="center" vertical="center" wrapText="1" readingOrder="1"/>
    </xf>
    <xf numFmtId="0" fontId="21" fillId="12" borderId="26" xfId="0" applyFont="1" applyFill="1" applyBorder="1" applyAlignment="1">
      <alignment horizontal="center" vertical="center" wrapText="1" readingOrder="1"/>
    </xf>
    <xf numFmtId="0" fontId="21" fillId="12" borderId="27"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1" borderId="21" xfId="0" applyFont="1" applyFill="1" applyBorder="1" applyAlignment="1">
      <alignment horizontal="center" vertical="center" wrapText="1" readingOrder="1"/>
    </xf>
    <xf numFmtId="0" fontId="21" fillId="11" borderId="22" xfId="0" applyFont="1" applyFill="1" applyBorder="1" applyAlignment="1">
      <alignment horizontal="center" vertical="center" wrapText="1" readingOrder="1"/>
    </xf>
    <xf numFmtId="0" fontId="21" fillId="11" borderId="23"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24" xfId="0" applyFont="1" applyFill="1" applyBorder="1" applyAlignment="1">
      <alignment horizontal="center" vertical="center" wrapText="1" readingOrder="1"/>
    </xf>
    <xf numFmtId="0" fontId="21" fillId="11" borderId="25" xfId="0" applyFont="1" applyFill="1" applyBorder="1" applyAlignment="1">
      <alignment horizontal="center" vertical="center" wrapText="1" readingOrder="1"/>
    </xf>
    <xf numFmtId="0" fontId="21" fillId="11" borderId="26" xfId="0" applyFont="1" applyFill="1" applyBorder="1" applyAlignment="1">
      <alignment horizontal="center" vertical="center" wrapText="1" readingOrder="1"/>
    </xf>
    <xf numFmtId="0" fontId="21" fillId="11" borderId="27"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13" borderId="21" xfId="0" applyFont="1" applyFill="1" applyBorder="1" applyAlignment="1">
      <alignment horizontal="center" vertical="center" wrapText="1" readingOrder="1"/>
    </xf>
    <xf numFmtId="0" fontId="21" fillId="13" borderId="22" xfId="0" applyFont="1" applyFill="1" applyBorder="1" applyAlignment="1">
      <alignment horizontal="center" vertical="center" wrapText="1" readingOrder="1"/>
    </xf>
    <xf numFmtId="0" fontId="21" fillId="13" borderId="23"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24" xfId="0" applyFont="1" applyFill="1" applyBorder="1" applyAlignment="1">
      <alignment horizontal="center" vertical="center" wrapText="1" readingOrder="1"/>
    </xf>
    <xf numFmtId="0" fontId="21" fillId="13" borderId="25" xfId="0" applyFont="1" applyFill="1" applyBorder="1" applyAlignment="1">
      <alignment horizontal="center" vertical="center" wrapText="1" readingOrder="1"/>
    </xf>
    <xf numFmtId="0" fontId="21" fillId="13" borderId="26" xfId="0" applyFont="1" applyFill="1" applyBorder="1" applyAlignment="1">
      <alignment horizontal="center" vertical="center" wrapText="1" readingOrder="1"/>
    </xf>
    <xf numFmtId="0" fontId="21" fillId="13" borderId="27"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21" fillId="5" borderId="21" xfId="0" applyFont="1" applyFill="1" applyBorder="1" applyAlignment="1">
      <alignment horizontal="center" vertical="center" wrapText="1" readingOrder="1"/>
    </xf>
    <xf numFmtId="0" fontId="21" fillId="5" borderId="22" xfId="0" applyFont="1" applyFill="1" applyBorder="1" applyAlignment="1">
      <alignment horizontal="center" vertical="center" wrapText="1" readingOrder="1"/>
    </xf>
    <xf numFmtId="0" fontId="21" fillId="5" borderId="23"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24" xfId="0" applyFont="1" applyFill="1" applyBorder="1" applyAlignment="1">
      <alignment horizontal="center" vertical="center" wrapText="1" readingOrder="1"/>
    </xf>
    <xf numFmtId="0" fontId="21" fillId="5" borderId="25" xfId="0" applyFont="1" applyFill="1" applyBorder="1" applyAlignment="1">
      <alignment horizontal="center" vertical="center" wrapText="1" readingOrder="1"/>
    </xf>
    <xf numFmtId="0" fontId="21" fillId="5" borderId="26" xfId="0" applyFont="1" applyFill="1" applyBorder="1" applyAlignment="1">
      <alignment horizontal="center" vertical="center" wrapText="1" readingOrder="1"/>
    </xf>
    <xf numFmtId="0" fontId="21" fillId="5" borderId="27" xfId="0" applyFont="1" applyFill="1" applyBorder="1" applyAlignment="1">
      <alignment horizontal="center" vertical="center" wrapText="1" readingOrder="1"/>
    </xf>
    <xf numFmtId="0" fontId="17" fillId="0" borderId="12" xfId="0" applyFont="1" applyBorder="1" applyAlignment="1">
      <alignment horizontal="center" vertical="center" wrapText="1"/>
    </xf>
    <xf numFmtId="0" fontId="17" fillId="0" borderId="19"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17"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9" xfId="0" applyFont="1" applyBorder="1" applyAlignment="1">
      <alignment horizontal="center" vertical="center" wrapText="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2" fillId="11" borderId="20" xfId="0" applyFont="1" applyFill="1" applyBorder="1" applyAlignment="1">
      <alignment horizontal="center" vertical="center" wrapText="1" readingOrder="1"/>
    </xf>
    <xf numFmtId="0" fontId="42" fillId="11" borderId="21" xfId="0" applyFont="1" applyFill="1" applyBorder="1" applyAlignment="1">
      <alignment horizontal="center" vertical="center" wrapText="1" readingOrder="1"/>
    </xf>
    <xf numFmtId="0" fontId="42" fillId="11" borderId="22" xfId="0" applyFont="1" applyFill="1" applyBorder="1" applyAlignment="1">
      <alignment horizontal="center" vertical="center" wrapText="1" readingOrder="1"/>
    </xf>
    <xf numFmtId="0" fontId="42" fillId="11" borderId="23"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24" xfId="0" applyFont="1" applyFill="1" applyBorder="1" applyAlignment="1">
      <alignment horizontal="center" vertical="center" wrapText="1" readingOrder="1"/>
    </xf>
    <xf numFmtId="0" fontId="42" fillId="11" borderId="25" xfId="0" applyFont="1" applyFill="1" applyBorder="1" applyAlignment="1">
      <alignment horizontal="center" vertical="center" wrapText="1" readingOrder="1"/>
    </xf>
    <xf numFmtId="0" fontId="42" fillId="11" borderId="26" xfId="0" applyFont="1" applyFill="1" applyBorder="1" applyAlignment="1">
      <alignment horizontal="center" vertical="center" wrapText="1" readingOrder="1"/>
    </xf>
    <xf numFmtId="0" fontId="42" fillId="11" borderId="27" xfId="0" applyFont="1" applyFill="1" applyBorder="1" applyAlignment="1">
      <alignment horizontal="center" vertical="center" wrapText="1" readingOrder="1"/>
    </xf>
    <xf numFmtId="0" fontId="43" fillId="0" borderId="12" xfId="0" applyFont="1" applyBorder="1" applyAlignment="1">
      <alignment horizontal="center" vertical="center" wrapText="1"/>
    </xf>
    <xf numFmtId="0" fontId="43" fillId="0" borderId="19" xfId="0" applyFont="1" applyBorder="1" applyAlignment="1">
      <alignment horizontal="center" vertical="center"/>
    </xf>
    <xf numFmtId="0" fontId="43" fillId="0" borderId="14" xfId="0" applyFont="1" applyBorder="1" applyAlignment="1">
      <alignment horizontal="center" vertical="center" wrapText="1"/>
    </xf>
    <xf numFmtId="0" fontId="43" fillId="0" borderId="0" xfId="0" applyFont="1" applyAlignment="1">
      <alignment horizontal="center" vertical="center"/>
    </xf>
    <xf numFmtId="0" fontId="43" fillId="0" borderId="14" xfId="0" applyFont="1" applyBorder="1" applyAlignment="1">
      <alignment horizontal="center" vertical="center"/>
    </xf>
    <xf numFmtId="0" fontId="43" fillId="0" borderId="16" xfId="0" applyFont="1" applyBorder="1" applyAlignment="1">
      <alignment horizontal="center" vertical="center"/>
    </xf>
    <xf numFmtId="0" fontId="43" fillId="0" borderId="18" xfId="0" applyFont="1" applyBorder="1" applyAlignment="1">
      <alignment horizontal="center" vertical="center"/>
    </xf>
    <xf numFmtId="0" fontId="42" fillId="12" borderId="20" xfId="0" applyFont="1" applyFill="1" applyBorder="1" applyAlignment="1">
      <alignment horizontal="center" vertical="center" wrapText="1" readingOrder="1"/>
    </xf>
    <xf numFmtId="0" fontId="42" fillId="12" borderId="21" xfId="0" applyFont="1" applyFill="1" applyBorder="1" applyAlignment="1">
      <alignment horizontal="center" vertical="center" wrapText="1" readingOrder="1"/>
    </xf>
    <xf numFmtId="0" fontId="42" fillId="12" borderId="22" xfId="0" applyFont="1" applyFill="1" applyBorder="1" applyAlignment="1">
      <alignment horizontal="center" vertical="center" wrapText="1" readingOrder="1"/>
    </xf>
    <xf numFmtId="0" fontId="42" fillId="12" borderId="23"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24" xfId="0" applyFont="1" applyFill="1" applyBorder="1" applyAlignment="1">
      <alignment horizontal="center" vertical="center" wrapText="1" readingOrder="1"/>
    </xf>
    <xf numFmtId="0" fontId="42" fillId="12" borderId="25" xfId="0" applyFont="1" applyFill="1" applyBorder="1" applyAlignment="1">
      <alignment horizontal="center" vertical="center" wrapText="1" readingOrder="1"/>
    </xf>
    <xf numFmtId="0" fontId="42" fillId="12" borderId="26" xfId="0" applyFont="1" applyFill="1" applyBorder="1" applyAlignment="1">
      <alignment horizontal="center" vertical="center" wrapText="1" readingOrder="1"/>
    </xf>
    <xf numFmtId="0" fontId="42" fillId="12" borderId="27" xfId="0" applyFont="1" applyFill="1" applyBorder="1" applyAlignment="1">
      <alignment horizontal="center" vertical="center" wrapText="1" readingOrder="1"/>
    </xf>
    <xf numFmtId="0" fontId="41" fillId="0" borderId="0" xfId="0" applyFont="1" applyAlignment="1">
      <alignment horizontal="center" vertical="center" wrapText="1"/>
    </xf>
    <xf numFmtId="0" fontId="22" fillId="0" borderId="0" xfId="0" applyFont="1" applyAlignment="1">
      <alignment horizontal="center" vertical="center" wrapText="1"/>
    </xf>
    <xf numFmtId="0" fontId="43" fillId="0" borderId="13" xfId="0" applyFont="1" applyBorder="1" applyAlignment="1">
      <alignment horizontal="center" vertical="center"/>
    </xf>
    <xf numFmtId="0" fontId="43" fillId="0" borderId="15" xfId="0" applyFont="1" applyBorder="1" applyAlignment="1">
      <alignment horizontal="center" vertical="center"/>
    </xf>
    <xf numFmtId="0" fontId="43" fillId="0" borderId="17" xfId="0" applyFont="1" applyBorder="1" applyAlignment="1">
      <alignment horizontal="center" vertical="center"/>
    </xf>
    <xf numFmtId="0" fontId="42" fillId="5" borderId="20" xfId="0" applyFont="1" applyFill="1" applyBorder="1" applyAlignment="1">
      <alignment horizontal="center" vertical="center" wrapText="1" readingOrder="1"/>
    </xf>
    <xf numFmtId="0" fontId="42" fillId="5" borderId="21" xfId="0" applyFont="1" applyFill="1" applyBorder="1" applyAlignment="1">
      <alignment horizontal="center" vertical="center" wrapText="1" readingOrder="1"/>
    </xf>
    <xf numFmtId="0" fontId="42" fillId="5" borderId="22" xfId="0" applyFont="1" applyFill="1" applyBorder="1" applyAlignment="1">
      <alignment horizontal="center" vertical="center" wrapText="1" readingOrder="1"/>
    </xf>
    <xf numFmtId="0" fontId="42" fillId="5" borderId="23"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24" xfId="0" applyFont="1" applyFill="1" applyBorder="1" applyAlignment="1">
      <alignment horizontal="center" vertical="center" wrapText="1" readingOrder="1"/>
    </xf>
    <xf numFmtId="0" fontId="42" fillId="5" borderId="25" xfId="0" applyFont="1" applyFill="1" applyBorder="1" applyAlignment="1">
      <alignment horizontal="center" vertical="center" wrapText="1" readingOrder="1"/>
    </xf>
    <xf numFmtId="0" fontId="42" fillId="5" borderId="26" xfId="0" applyFont="1" applyFill="1" applyBorder="1" applyAlignment="1">
      <alignment horizontal="center" vertical="center" wrapText="1" readingOrder="1"/>
    </xf>
    <xf numFmtId="0" fontId="42" fillId="5" borderId="27" xfId="0" applyFont="1" applyFill="1" applyBorder="1" applyAlignment="1">
      <alignment horizontal="center" vertical="center" wrapText="1" readingOrder="1"/>
    </xf>
    <xf numFmtId="0" fontId="42" fillId="13" borderId="20" xfId="0" applyFont="1" applyFill="1" applyBorder="1" applyAlignment="1">
      <alignment horizontal="center" vertical="center" wrapText="1" readingOrder="1"/>
    </xf>
    <xf numFmtId="0" fontId="42" fillId="13" borderId="21" xfId="0" applyFont="1" applyFill="1" applyBorder="1" applyAlignment="1">
      <alignment horizontal="center" vertical="center" wrapText="1" readingOrder="1"/>
    </xf>
    <xf numFmtId="0" fontId="42" fillId="13" borderId="22" xfId="0" applyFont="1" applyFill="1" applyBorder="1" applyAlignment="1">
      <alignment horizontal="center" vertical="center" wrapText="1" readingOrder="1"/>
    </xf>
    <xf numFmtId="0" fontId="42" fillId="13" borderId="23"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24" xfId="0" applyFont="1" applyFill="1" applyBorder="1" applyAlignment="1">
      <alignment horizontal="center" vertical="center" wrapText="1" readingOrder="1"/>
    </xf>
    <xf numFmtId="0" fontId="42" fillId="13" borderId="25" xfId="0" applyFont="1" applyFill="1" applyBorder="1" applyAlignment="1">
      <alignment horizontal="center" vertical="center" wrapText="1" readingOrder="1"/>
    </xf>
    <xf numFmtId="0" fontId="42" fillId="13" borderId="26" xfId="0" applyFont="1" applyFill="1" applyBorder="1" applyAlignment="1">
      <alignment horizontal="center" vertical="center" wrapText="1" readingOrder="1"/>
    </xf>
    <xf numFmtId="0" fontId="42" fillId="13" borderId="27" xfId="0" applyFont="1" applyFill="1" applyBorder="1" applyAlignment="1">
      <alignment horizontal="center" vertical="center" wrapText="1" readingOrder="1"/>
    </xf>
    <xf numFmtId="0" fontId="43" fillId="0" borderId="19" xfId="0" applyFont="1" applyBorder="1" applyAlignment="1">
      <alignment horizontal="center" vertical="center" wrapText="1"/>
    </xf>
    <xf numFmtId="0" fontId="24" fillId="0" borderId="0" xfId="0" applyFont="1" applyAlignment="1">
      <alignment horizontal="center" vertical="center"/>
    </xf>
    <xf numFmtId="0" fontId="45" fillId="0" borderId="0" xfId="0" applyFont="1" applyAlignment="1">
      <alignment horizontal="center" vertical="center"/>
    </xf>
    <xf numFmtId="0" fontId="40" fillId="15" borderId="33" xfId="0" applyFont="1" applyFill="1" applyBorder="1" applyAlignment="1">
      <alignment horizontal="center" vertical="center" wrapText="1" readingOrder="1"/>
    </xf>
    <xf numFmtId="0" fontId="40" fillId="15" borderId="34" xfId="0" applyFont="1" applyFill="1" applyBorder="1" applyAlignment="1">
      <alignment horizontal="center" vertical="center" wrapText="1" readingOrder="1"/>
    </xf>
    <xf numFmtId="0" fontId="40" fillId="15" borderId="45"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42" xfId="0" applyFont="1" applyFill="1" applyBorder="1" applyAlignment="1">
      <alignment horizontal="center" vertical="center" wrapText="1" readingOrder="1"/>
    </xf>
    <xf numFmtId="0" fontId="37" fillId="15" borderId="43" xfId="0" applyFont="1" applyFill="1" applyBorder="1" applyAlignment="1">
      <alignment horizontal="center" vertical="center" wrapText="1" readingOrder="1"/>
    </xf>
    <xf numFmtId="0" fontId="37" fillId="3" borderId="40" xfId="0" applyFont="1" applyFill="1" applyBorder="1" applyAlignment="1">
      <alignment horizontal="center" vertical="center" wrapText="1" readingOrder="1"/>
    </xf>
    <xf numFmtId="0" fontId="37" fillId="3" borderId="35" xfId="0" applyFont="1" applyFill="1" applyBorder="1" applyAlignment="1">
      <alignment horizontal="center" vertical="center" wrapText="1" readingOrder="1"/>
    </xf>
    <xf numFmtId="0" fontId="37" fillId="3" borderId="32" xfId="0" applyFont="1" applyFill="1" applyBorder="1" applyAlignment="1">
      <alignment horizontal="center" vertical="center" wrapText="1" readingOrder="1"/>
    </xf>
    <xf numFmtId="0" fontId="37" fillId="3" borderId="31" xfId="0"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xf numFmtId="0" fontId="37" fillId="3" borderId="38" xfId="0" applyFont="1" applyFill="1" applyBorder="1" applyAlignment="1">
      <alignment horizontal="center" vertical="center" wrapText="1" readingOrder="1"/>
    </xf>
  </cellXfs>
  <cellStyles count="4">
    <cellStyle name="Normal" xfId="0" builtinId="0"/>
    <cellStyle name="Normal - Style1 2" xfId="1"/>
    <cellStyle name="Normal 2" xfId="3"/>
    <cellStyle name="Normal 2 2" xfId="2"/>
  </cellStyles>
  <dxfs count="1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500/Downloads/RIESGO%20DE%20CORRUPCI&#211;N%20formato%20de%20gest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2">
          <cell r="G2" t="str">
            <v>Media</v>
          </cell>
          <cell r="N2">
            <v>1</v>
          </cell>
          <cell r="X2" t="str">
            <v>Baja</v>
          </cell>
          <cell r="Z2" t="str">
            <v>Mayor</v>
          </cell>
        </row>
        <row r="3">
          <cell r="K3" t="str">
            <v>Mayor</v>
          </cell>
          <cell r="N3">
            <v>2</v>
          </cell>
          <cell r="X3" t="str">
            <v>Baja</v>
          </cell>
          <cell r="Z3" t="str">
            <v>Mayor</v>
          </cell>
        </row>
        <row r="4">
          <cell r="X4" t="str">
            <v/>
          </cell>
          <cell r="Z4" t="str">
            <v/>
          </cell>
        </row>
        <row r="5">
          <cell r="X5" t="str">
            <v/>
          </cell>
          <cell r="Z5" t="str">
            <v/>
          </cell>
        </row>
        <row r="6">
          <cell r="X6" t="str">
            <v/>
          </cell>
          <cell r="Z6" t="str">
            <v/>
          </cell>
        </row>
        <row r="7">
          <cell r="X7" t="str">
            <v/>
          </cell>
          <cell r="Z7" t="str">
            <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3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73" t="s">
        <v>156</v>
      </c>
      <c r="C2" s="174"/>
      <c r="D2" s="174"/>
      <c r="E2" s="174"/>
      <c r="F2" s="174"/>
      <c r="G2" s="174"/>
      <c r="H2" s="175"/>
    </row>
    <row r="3" spans="2:8" x14ac:dyDescent="0.25">
      <c r="B3" s="84"/>
      <c r="C3" s="85"/>
      <c r="D3" s="85"/>
      <c r="E3" s="85"/>
      <c r="F3" s="85"/>
      <c r="G3" s="85"/>
      <c r="H3" s="86"/>
    </row>
    <row r="4" spans="2:8" ht="63" customHeight="1" x14ac:dyDescent="0.25">
      <c r="B4" s="176" t="s">
        <v>199</v>
      </c>
      <c r="C4" s="177"/>
      <c r="D4" s="177"/>
      <c r="E4" s="177"/>
      <c r="F4" s="177"/>
      <c r="G4" s="177"/>
      <c r="H4" s="178"/>
    </row>
    <row r="5" spans="2:8" ht="63" customHeight="1" x14ac:dyDescent="0.25">
      <c r="B5" s="179"/>
      <c r="C5" s="180"/>
      <c r="D5" s="180"/>
      <c r="E5" s="180"/>
      <c r="F5" s="180"/>
      <c r="G5" s="180"/>
      <c r="H5" s="181"/>
    </row>
    <row r="6" spans="2:8" ht="16.5" x14ac:dyDescent="0.25">
      <c r="B6" s="182" t="s">
        <v>154</v>
      </c>
      <c r="C6" s="183"/>
      <c r="D6" s="183"/>
      <c r="E6" s="183"/>
      <c r="F6" s="183"/>
      <c r="G6" s="183"/>
      <c r="H6" s="184"/>
    </row>
    <row r="7" spans="2:8" ht="95.25" customHeight="1" x14ac:dyDescent="0.25">
      <c r="B7" s="192" t="s">
        <v>159</v>
      </c>
      <c r="C7" s="193"/>
      <c r="D7" s="193"/>
      <c r="E7" s="193"/>
      <c r="F7" s="193"/>
      <c r="G7" s="193"/>
      <c r="H7" s="194"/>
    </row>
    <row r="8" spans="2:8" ht="16.5" x14ac:dyDescent="0.25">
      <c r="B8" s="120"/>
      <c r="C8" s="121"/>
      <c r="D8" s="121"/>
      <c r="E8" s="121"/>
      <c r="F8" s="121"/>
      <c r="G8" s="121"/>
      <c r="H8" s="122"/>
    </row>
    <row r="9" spans="2:8" ht="16.5" customHeight="1" x14ac:dyDescent="0.25">
      <c r="B9" s="185" t="s">
        <v>192</v>
      </c>
      <c r="C9" s="186"/>
      <c r="D9" s="186"/>
      <c r="E9" s="186"/>
      <c r="F9" s="186"/>
      <c r="G9" s="186"/>
      <c r="H9" s="187"/>
    </row>
    <row r="10" spans="2:8" ht="44.25" customHeight="1" x14ac:dyDescent="0.25">
      <c r="B10" s="185"/>
      <c r="C10" s="186"/>
      <c r="D10" s="186"/>
      <c r="E10" s="186"/>
      <c r="F10" s="186"/>
      <c r="G10" s="186"/>
      <c r="H10" s="187"/>
    </row>
    <row r="11" spans="2:8" ht="15.75" thickBot="1" x14ac:dyDescent="0.3">
      <c r="B11" s="109"/>
      <c r="C11" s="112"/>
      <c r="D11" s="117"/>
      <c r="E11" s="118"/>
      <c r="F11" s="118"/>
      <c r="G11" s="119"/>
      <c r="H11" s="113"/>
    </row>
    <row r="12" spans="2:8" ht="15.75" thickTop="1" x14ac:dyDescent="0.25">
      <c r="B12" s="109"/>
      <c r="C12" s="188" t="s">
        <v>155</v>
      </c>
      <c r="D12" s="189"/>
      <c r="E12" s="190" t="s">
        <v>193</v>
      </c>
      <c r="F12" s="191"/>
      <c r="G12" s="112"/>
      <c r="H12" s="113"/>
    </row>
    <row r="13" spans="2:8" ht="35.25" customHeight="1" x14ac:dyDescent="0.25">
      <c r="B13" s="109"/>
      <c r="C13" s="160" t="s">
        <v>186</v>
      </c>
      <c r="D13" s="161"/>
      <c r="E13" s="162" t="s">
        <v>191</v>
      </c>
      <c r="F13" s="163"/>
      <c r="G13" s="112"/>
      <c r="H13" s="113"/>
    </row>
    <row r="14" spans="2:8" ht="17.25" customHeight="1" x14ac:dyDescent="0.25">
      <c r="B14" s="109"/>
      <c r="C14" s="160" t="s">
        <v>187</v>
      </c>
      <c r="D14" s="161"/>
      <c r="E14" s="162" t="s">
        <v>189</v>
      </c>
      <c r="F14" s="163"/>
      <c r="G14" s="112"/>
      <c r="H14" s="113"/>
    </row>
    <row r="15" spans="2:8" ht="19.5" customHeight="1" x14ac:dyDescent="0.25">
      <c r="B15" s="109"/>
      <c r="C15" s="160" t="s">
        <v>188</v>
      </c>
      <c r="D15" s="161"/>
      <c r="E15" s="162" t="s">
        <v>190</v>
      </c>
      <c r="F15" s="163"/>
      <c r="G15" s="112"/>
      <c r="H15" s="113"/>
    </row>
    <row r="16" spans="2:8" ht="69.75" customHeight="1" x14ac:dyDescent="0.25">
      <c r="B16" s="109"/>
      <c r="C16" s="160" t="s">
        <v>157</v>
      </c>
      <c r="D16" s="161"/>
      <c r="E16" s="162" t="s">
        <v>158</v>
      </c>
      <c r="F16" s="163"/>
      <c r="G16" s="112"/>
      <c r="H16" s="113"/>
    </row>
    <row r="17" spans="2:8" ht="34.5" customHeight="1" x14ac:dyDescent="0.25">
      <c r="B17" s="109"/>
      <c r="C17" s="164" t="s">
        <v>2</v>
      </c>
      <c r="D17" s="165"/>
      <c r="E17" s="156" t="s">
        <v>200</v>
      </c>
      <c r="F17" s="157"/>
      <c r="G17" s="112"/>
      <c r="H17" s="113"/>
    </row>
    <row r="18" spans="2:8" ht="27.75" customHeight="1" x14ac:dyDescent="0.25">
      <c r="B18" s="109"/>
      <c r="C18" s="164" t="s">
        <v>3</v>
      </c>
      <c r="D18" s="165"/>
      <c r="E18" s="156" t="s">
        <v>201</v>
      </c>
      <c r="F18" s="157"/>
      <c r="G18" s="112"/>
      <c r="H18" s="113"/>
    </row>
    <row r="19" spans="2:8" ht="28.5" customHeight="1" x14ac:dyDescent="0.25">
      <c r="B19" s="109"/>
      <c r="C19" s="164" t="s">
        <v>37</v>
      </c>
      <c r="D19" s="165"/>
      <c r="E19" s="156" t="s">
        <v>202</v>
      </c>
      <c r="F19" s="157"/>
      <c r="G19" s="112"/>
      <c r="H19" s="113"/>
    </row>
    <row r="20" spans="2:8" ht="72.75" customHeight="1" x14ac:dyDescent="0.25">
      <c r="B20" s="109"/>
      <c r="C20" s="164" t="s">
        <v>1</v>
      </c>
      <c r="D20" s="165"/>
      <c r="E20" s="156" t="s">
        <v>203</v>
      </c>
      <c r="F20" s="157"/>
      <c r="G20" s="112"/>
      <c r="H20" s="113"/>
    </row>
    <row r="21" spans="2:8" ht="64.5" customHeight="1" x14ac:dyDescent="0.25">
      <c r="B21" s="109"/>
      <c r="C21" s="164" t="s">
        <v>42</v>
      </c>
      <c r="D21" s="165"/>
      <c r="E21" s="156" t="s">
        <v>161</v>
      </c>
      <c r="F21" s="157"/>
      <c r="G21" s="112"/>
      <c r="H21" s="113"/>
    </row>
    <row r="22" spans="2:8" ht="71.25" customHeight="1" x14ac:dyDescent="0.25">
      <c r="B22" s="109"/>
      <c r="C22" s="164" t="s">
        <v>160</v>
      </c>
      <c r="D22" s="165"/>
      <c r="E22" s="156" t="s">
        <v>162</v>
      </c>
      <c r="F22" s="157"/>
      <c r="G22" s="112"/>
      <c r="H22" s="113"/>
    </row>
    <row r="23" spans="2:8" ht="55.5" customHeight="1" x14ac:dyDescent="0.25">
      <c r="B23" s="109"/>
      <c r="C23" s="158" t="s">
        <v>163</v>
      </c>
      <c r="D23" s="159"/>
      <c r="E23" s="156" t="s">
        <v>164</v>
      </c>
      <c r="F23" s="157"/>
      <c r="G23" s="112"/>
      <c r="H23" s="113"/>
    </row>
    <row r="24" spans="2:8" ht="42" customHeight="1" x14ac:dyDescent="0.25">
      <c r="B24" s="109"/>
      <c r="C24" s="158" t="s">
        <v>41</v>
      </c>
      <c r="D24" s="159"/>
      <c r="E24" s="156" t="s">
        <v>165</v>
      </c>
      <c r="F24" s="157"/>
      <c r="G24" s="112"/>
      <c r="H24" s="113"/>
    </row>
    <row r="25" spans="2:8" ht="59.25" customHeight="1" x14ac:dyDescent="0.25">
      <c r="B25" s="109"/>
      <c r="C25" s="158" t="s">
        <v>153</v>
      </c>
      <c r="D25" s="159"/>
      <c r="E25" s="156" t="s">
        <v>166</v>
      </c>
      <c r="F25" s="157"/>
      <c r="G25" s="112"/>
      <c r="H25" s="113"/>
    </row>
    <row r="26" spans="2:8" ht="23.25" customHeight="1" x14ac:dyDescent="0.25">
      <c r="B26" s="109"/>
      <c r="C26" s="158" t="s">
        <v>12</v>
      </c>
      <c r="D26" s="159"/>
      <c r="E26" s="156" t="s">
        <v>167</v>
      </c>
      <c r="F26" s="157"/>
      <c r="G26" s="112"/>
      <c r="H26" s="113"/>
    </row>
    <row r="27" spans="2:8" ht="30.75" customHeight="1" x14ac:dyDescent="0.25">
      <c r="B27" s="109"/>
      <c r="C27" s="158" t="s">
        <v>171</v>
      </c>
      <c r="D27" s="159"/>
      <c r="E27" s="156" t="s">
        <v>168</v>
      </c>
      <c r="F27" s="157"/>
      <c r="G27" s="112"/>
      <c r="H27" s="113"/>
    </row>
    <row r="28" spans="2:8" ht="35.25" customHeight="1" x14ac:dyDescent="0.25">
      <c r="B28" s="109"/>
      <c r="C28" s="158" t="s">
        <v>172</v>
      </c>
      <c r="D28" s="159"/>
      <c r="E28" s="156" t="s">
        <v>169</v>
      </c>
      <c r="F28" s="157"/>
      <c r="G28" s="112"/>
      <c r="H28" s="113"/>
    </row>
    <row r="29" spans="2:8" ht="33" customHeight="1" x14ac:dyDescent="0.25">
      <c r="B29" s="109"/>
      <c r="C29" s="158" t="s">
        <v>172</v>
      </c>
      <c r="D29" s="159"/>
      <c r="E29" s="156" t="s">
        <v>169</v>
      </c>
      <c r="F29" s="157"/>
      <c r="G29" s="112"/>
      <c r="H29" s="113"/>
    </row>
    <row r="30" spans="2:8" ht="30" customHeight="1" x14ac:dyDescent="0.25">
      <c r="B30" s="109"/>
      <c r="C30" s="158" t="s">
        <v>173</v>
      </c>
      <c r="D30" s="159"/>
      <c r="E30" s="156" t="s">
        <v>170</v>
      </c>
      <c r="F30" s="157"/>
      <c r="G30" s="112"/>
      <c r="H30" s="113"/>
    </row>
    <row r="31" spans="2:8" ht="35.25" customHeight="1" x14ac:dyDescent="0.25">
      <c r="B31" s="109"/>
      <c r="C31" s="158" t="s">
        <v>174</v>
      </c>
      <c r="D31" s="159"/>
      <c r="E31" s="156" t="s">
        <v>175</v>
      </c>
      <c r="F31" s="157"/>
      <c r="G31" s="112"/>
      <c r="H31" s="113"/>
    </row>
    <row r="32" spans="2:8" ht="31.5" customHeight="1" x14ac:dyDescent="0.25">
      <c r="B32" s="109"/>
      <c r="C32" s="158" t="s">
        <v>176</v>
      </c>
      <c r="D32" s="159"/>
      <c r="E32" s="156" t="s">
        <v>177</v>
      </c>
      <c r="F32" s="157"/>
      <c r="G32" s="112"/>
      <c r="H32" s="113"/>
    </row>
    <row r="33" spans="2:8" ht="35.25" customHeight="1" x14ac:dyDescent="0.25">
      <c r="B33" s="109"/>
      <c r="C33" s="158" t="s">
        <v>178</v>
      </c>
      <c r="D33" s="159"/>
      <c r="E33" s="156" t="s">
        <v>179</v>
      </c>
      <c r="F33" s="157"/>
      <c r="G33" s="112"/>
      <c r="H33" s="113"/>
    </row>
    <row r="34" spans="2:8" ht="59.25" customHeight="1" x14ac:dyDescent="0.25">
      <c r="B34" s="109"/>
      <c r="C34" s="158" t="s">
        <v>180</v>
      </c>
      <c r="D34" s="159"/>
      <c r="E34" s="156" t="s">
        <v>181</v>
      </c>
      <c r="F34" s="157"/>
      <c r="G34" s="112"/>
      <c r="H34" s="113"/>
    </row>
    <row r="35" spans="2:8" ht="29.25" customHeight="1" x14ac:dyDescent="0.25">
      <c r="B35" s="109"/>
      <c r="C35" s="158" t="s">
        <v>29</v>
      </c>
      <c r="D35" s="159"/>
      <c r="E35" s="156" t="s">
        <v>182</v>
      </c>
      <c r="F35" s="157"/>
      <c r="G35" s="112"/>
      <c r="H35" s="113"/>
    </row>
    <row r="36" spans="2:8" ht="82.5" customHeight="1" x14ac:dyDescent="0.25">
      <c r="B36" s="109"/>
      <c r="C36" s="158" t="s">
        <v>184</v>
      </c>
      <c r="D36" s="159"/>
      <c r="E36" s="156" t="s">
        <v>183</v>
      </c>
      <c r="F36" s="157"/>
      <c r="G36" s="112"/>
      <c r="H36" s="113"/>
    </row>
    <row r="37" spans="2:8" ht="46.5" customHeight="1" x14ac:dyDescent="0.25">
      <c r="B37" s="109"/>
      <c r="C37" s="158" t="s">
        <v>34</v>
      </c>
      <c r="D37" s="159"/>
      <c r="E37" s="156" t="s">
        <v>185</v>
      </c>
      <c r="F37" s="157"/>
      <c r="G37" s="112"/>
      <c r="H37" s="113"/>
    </row>
    <row r="38" spans="2:8" ht="6.75" customHeight="1" thickBot="1" x14ac:dyDescent="0.3">
      <c r="B38" s="109"/>
      <c r="C38" s="169"/>
      <c r="D38" s="170"/>
      <c r="E38" s="171"/>
      <c r="F38" s="172"/>
      <c r="G38" s="112"/>
      <c r="H38" s="113"/>
    </row>
    <row r="39" spans="2:8" ht="15.75" thickTop="1" x14ac:dyDescent="0.25">
      <c r="B39" s="109"/>
      <c r="C39" s="110"/>
      <c r="D39" s="110"/>
      <c r="E39" s="111"/>
      <c r="F39" s="111"/>
      <c r="G39" s="112"/>
      <c r="H39" s="113"/>
    </row>
    <row r="40" spans="2:8" ht="21" customHeight="1" x14ac:dyDescent="0.25">
      <c r="B40" s="166" t="s">
        <v>194</v>
      </c>
      <c r="C40" s="167"/>
      <c r="D40" s="167"/>
      <c r="E40" s="167"/>
      <c r="F40" s="167"/>
      <c r="G40" s="167"/>
      <c r="H40" s="168"/>
    </row>
    <row r="41" spans="2:8" ht="20.25" customHeight="1" x14ac:dyDescent="0.25">
      <c r="B41" s="166" t="s">
        <v>195</v>
      </c>
      <c r="C41" s="167"/>
      <c r="D41" s="167"/>
      <c r="E41" s="167"/>
      <c r="F41" s="167"/>
      <c r="G41" s="167"/>
      <c r="H41" s="168"/>
    </row>
    <row r="42" spans="2:8" ht="20.25" customHeight="1" x14ac:dyDescent="0.25">
      <c r="B42" s="166" t="s">
        <v>196</v>
      </c>
      <c r="C42" s="167"/>
      <c r="D42" s="167"/>
      <c r="E42" s="167"/>
      <c r="F42" s="167"/>
      <c r="G42" s="167"/>
      <c r="H42" s="168"/>
    </row>
    <row r="43" spans="2:8" ht="20.25" customHeight="1" x14ac:dyDescent="0.25">
      <c r="B43" s="166" t="s">
        <v>197</v>
      </c>
      <c r="C43" s="167"/>
      <c r="D43" s="167"/>
      <c r="E43" s="167"/>
      <c r="F43" s="167"/>
      <c r="G43" s="167"/>
      <c r="H43" s="168"/>
    </row>
    <row r="44" spans="2:8" x14ac:dyDescent="0.25">
      <c r="B44" s="166" t="s">
        <v>198</v>
      </c>
      <c r="C44" s="167"/>
      <c r="D44" s="167"/>
      <c r="E44" s="167"/>
      <c r="F44" s="167"/>
      <c r="G44" s="167"/>
      <c r="H44" s="168"/>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V69"/>
  <sheetViews>
    <sheetView tabSelected="1" topLeftCell="A8" zoomScale="80" zoomScaleNormal="80" workbookViewId="0">
      <selection activeCell="A8" sqref="A8:A9"/>
    </sheetView>
  </sheetViews>
  <sheetFormatPr baseColWidth="10" defaultColWidth="11.42578125" defaultRowHeight="16.5" x14ac:dyDescent="0.3"/>
  <cols>
    <col min="1" max="1" width="4" style="2" bestFit="1" customWidth="1"/>
    <col min="2" max="2" width="14.140625" style="2" customWidth="1"/>
    <col min="3" max="3" width="13.140625" style="2" customWidth="1"/>
    <col min="4" max="5" width="16.140625" style="2" customWidth="1"/>
    <col min="6" max="6" width="32.42578125" style="1" customWidth="1"/>
    <col min="7" max="8" width="19" style="5" customWidth="1"/>
    <col min="9" max="9" width="17.85546875" style="1" customWidth="1"/>
    <col min="10" max="10" width="16.5703125" style="1" customWidth="1"/>
    <col min="11" max="11" width="6.28515625" style="1" bestFit="1" customWidth="1"/>
    <col min="12" max="12" width="27.28515625" style="1" bestFit="1" customWidth="1"/>
    <col min="13" max="13" width="30.5703125" style="1" hidden="1" customWidth="1"/>
    <col min="14" max="14" width="17.5703125" style="1" customWidth="1"/>
    <col min="15" max="15" width="6.28515625" style="1" bestFit="1" customWidth="1"/>
    <col min="16" max="16" width="16" style="1" customWidth="1"/>
    <col min="17" max="17" width="5.85546875" style="1" customWidth="1"/>
    <col min="18" max="18" width="31" style="1" customWidth="1"/>
    <col min="19" max="19" width="15.140625" style="1" bestFit="1" customWidth="1"/>
    <col min="20" max="20" width="6.85546875" style="1" customWidth="1"/>
    <col min="21" max="21" width="5" style="1" customWidth="1"/>
    <col min="22" max="22" width="5.5703125" style="1" customWidth="1"/>
    <col min="23" max="23" width="7.140625" style="1" customWidth="1"/>
    <col min="24" max="24" width="6.7109375" style="1" customWidth="1"/>
    <col min="25" max="25" width="7.5703125" style="1" customWidth="1"/>
    <col min="26" max="16384" width="11.42578125" style="1"/>
  </cols>
  <sheetData>
    <row r="1" spans="1:48" ht="16.5" customHeight="1" x14ac:dyDescent="0.3">
      <c r="A1" s="195" t="s">
        <v>134</v>
      </c>
      <c r="B1" s="196"/>
      <c r="C1" s="196"/>
      <c r="D1" s="196"/>
      <c r="E1" s="196"/>
      <c r="F1" s="196"/>
      <c r="G1" s="196"/>
      <c r="H1" s="196"/>
      <c r="I1" s="196"/>
      <c r="J1" s="196"/>
      <c r="K1" s="196"/>
      <c r="L1" s="196"/>
      <c r="M1" s="196"/>
      <c r="N1" s="196"/>
      <c r="O1" s="196"/>
      <c r="P1" s="196"/>
      <c r="Q1" s="196"/>
      <c r="R1" s="196"/>
      <c r="S1" s="196"/>
      <c r="T1" s="196"/>
      <c r="U1" s="196"/>
      <c r="V1" s="196"/>
      <c r="W1" s="196"/>
      <c r="X1" s="196"/>
      <c r="Y1" s="196"/>
      <c r="Z1" s="8"/>
      <c r="AA1" s="8"/>
      <c r="AB1" s="8"/>
      <c r="AC1" s="8"/>
      <c r="AD1" s="8"/>
      <c r="AE1" s="8"/>
      <c r="AF1" s="8"/>
      <c r="AG1" s="8"/>
      <c r="AH1" s="8"/>
      <c r="AI1" s="8"/>
      <c r="AJ1" s="8"/>
      <c r="AK1" s="8"/>
      <c r="AL1" s="8"/>
      <c r="AM1" s="8"/>
      <c r="AN1" s="8"/>
      <c r="AO1" s="8"/>
      <c r="AP1" s="8"/>
      <c r="AQ1" s="8"/>
      <c r="AR1" s="8"/>
      <c r="AS1" s="8"/>
      <c r="AT1" s="8"/>
      <c r="AU1" s="8"/>
      <c r="AV1" s="8"/>
    </row>
    <row r="2" spans="1:48" ht="24" customHeight="1" x14ac:dyDescent="0.3">
      <c r="A2" s="197"/>
      <c r="B2" s="198"/>
      <c r="C2" s="198"/>
      <c r="D2" s="198"/>
      <c r="E2" s="198"/>
      <c r="F2" s="198"/>
      <c r="G2" s="198"/>
      <c r="H2" s="198"/>
      <c r="I2" s="198"/>
      <c r="J2" s="198"/>
      <c r="K2" s="198"/>
      <c r="L2" s="198"/>
      <c r="M2" s="198"/>
      <c r="N2" s="198"/>
      <c r="O2" s="198"/>
      <c r="P2" s="198"/>
      <c r="Q2" s="198"/>
      <c r="R2" s="198"/>
      <c r="S2" s="198"/>
      <c r="T2" s="198"/>
      <c r="U2" s="198"/>
      <c r="V2" s="198"/>
      <c r="W2" s="198"/>
      <c r="X2" s="198"/>
      <c r="Y2" s="198"/>
      <c r="Z2" s="8"/>
      <c r="AA2" s="8"/>
      <c r="AB2" s="8"/>
      <c r="AC2" s="8"/>
      <c r="AD2" s="8"/>
      <c r="AE2" s="8"/>
      <c r="AF2" s="8"/>
      <c r="AG2" s="8"/>
      <c r="AH2" s="8"/>
      <c r="AI2" s="8"/>
      <c r="AJ2" s="8"/>
      <c r="AK2" s="8"/>
      <c r="AL2" s="8"/>
      <c r="AM2" s="8"/>
      <c r="AN2" s="8"/>
      <c r="AO2" s="8"/>
      <c r="AP2" s="8"/>
      <c r="AQ2" s="8"/>
      <c r="AR2" s="8"/>
      <c r="AS2" s="8"/>
      <c r="AT2" s="8"/>
      <c r="AU2" s="8"/>
      <c r="AV2" s="8"/>
    </row>
    <row r="3" spans="1:48" x14ac:dyDescent="0.3">
      <c r="A3" s="28"/>
      <c r="B3" s="29"/>
      <c r="C3" s="28"/>
      <c r="D3" s="28"/>
      <c r="E3" s="28"/>
      <c r="F3" s="8"/>
      <c r="G3" s="27"/>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row>
    <row r="4" spans="1:48" ht="26.25" customHeight="1" x14ac:dyDescent="0.3">
      <c r="A4" s="210" t="s">
        <v>38</v>
      </c>
      <c r="B4" s="211"/>
      <c r="C4" s="149"/>
      <c r="D4" s="241" t="s">
        <v>217</v>
      </c>
      <c r="E4" s="241"/>
      <c r="F4" s="241"/>
      <c r="G4" s="241"/>
      <c r="H4" s="241"/>
      <c r="I4" s="241"/>
      <c r="J4" s="241"/>
      <c r="K4" s="241"/>
      <c r="L4" s="241"/>
      <c r="M4" s="241"/>
      <c r="N4" s="241"/>
      <c r="O4" s="241"/>
      <c r="P4" s="242"/>
      <c r="Q4" s="240"/>
      <c r="R4" s="240"/>
      <c r="S4" s="240"/>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row>
    <row r="5" spans="1:48" ht="64.5" customHeight="1" x14ac:dyDescent="0.3">
      <c r="A5" s="210" t="s">
        <v>122</v>
      </c>
      <c r="B5" s="211"/>
      <c r="C5" s="244" t="s">
        <v>218</v>
      </c>
      <c r="D5" s="245"/>
      <c r="E5" s="245"/>
      <c r="F5" s="245"/>
      <c r="G5" s="245"/>
      <c r="H5" s="245"/>
      <c r="I5" s="245"/>
      <c r="J5" s="245"/>
      <c r="K5" s="245"/>
      <c r="L5" s="245"/>
      <c r="M5" s="245"/>
      <c r="N5" s="245"/>
      <c r="O5" s="245"/>
      <c r="P5" s="245"/>
      <c r="Q5" s="150"/>
      <c r="R5" s="150"/>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row>
    <row r="6" spans="1:48" ht="57.75" customHeight="1" x14ac:dyDescent="0.3">
      <c r="A6" s="210" t="s">
        <v>39</v>
      </c>
      <c r="B6" s="211"/>
      <c r="C6" s="246" t="s">
        <v>219</v>
      </c>
      <c r="D6" s="241"/>
      <c r="E6" s="241"/>
      <c r="F6" s="241"/>
      <c r="G6" s="241"/>
      <c r="H6" s="241"/>
      <c r="I6" s="241"/>
      <c r="J6" s="241"/>
      <c r="K6" s="241"/>
      <c r="L6" s="241"/>
      <c r="M6" s="241"/>
      <c r="N6" s="241"/>
      <c r="O6" s="241"/>
      <c r="P6" s="242"/>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16.5" customHeight="1" x14ac:dyDescent="0.3">
      <c r="A7" s="199" t="s">
        <v>130</v>
      </c>
      <c r="B7" s="200"/>
      <c r="C7" s="200"/>
      <c r="D7" s="200"/>
      <c r="E7" s="200"/>
      <c r="F7" s="200"/>
      <c r="G7" s="200"/>
      <c r="H7" s="200"/>
      <c r="I7" s="201"/>
      <c r="J7" s="199" t="s">
        <v>131</v>
      </c>
      <c r="K7" s="200"/>
      <c r="L7" s="200"/>
      <c r="M7" s="200"/>
      <c r="N7" s="200"/>
      <c r="O7" s="200"/>
      <c r="P7" s="201"/>
      <c r="Q7" s="199" t="s">
        <v>132</v>
      </c>
      <c r="R7" s="200"/>
      <c r="S7" s="200"/>
      <c r="T7" s="200"/>
      <c r="U7" s="200"/>
      <c r="V7" s="200"/>
      <c r="W7" s="200"/>
      <c r="X7" s="200"/>
      <c r="Y7" s="201"/>
      <c r="Z7" s="8"/>
      <c r="AA7" s="8"/>
      <c r="AB7" s="8"/>
      <c r="AC7" s="8"/>
      <c r="AD7" s="8"/>
      <c r="AE7" s="8"/>
      <c r="AF7" s="8"/>
      <c r="AG7" s="8"/>
      <c r="AH7" s="8"/>
      <c r="AI7" s="8"/>
      <c r="AJ7" s="8"/>
      <c r="AK7" s="8"/>
      <c r="AL7" s="8"/>
      <c r="AM7" s="8"/>
      <c r="AN7" s="8"/>
      <c r="AO7" s="8"/>
      <c r="AP7" s="8"/>
      <c r="AQ7" s="8"/>
      <c r="AR7" s="8"/>
      <c r="AS7" s="8"/>
      <c r="AT7" s="8"/>
      <c r="AU7" s="8"/>
      <c r="AV7" s="8"/>
    </row>
    <row r="8" spans="1:48" ht="16.5" customHeight="1" x14ac:dyDescent="0.3">
      <c r="A8" s="212" t="s">
        <v>0</v>
      </c>
      <c r="B8" s="208" t="s">
        <v>2</v>
      </c>
      <c r="C8" s="202" t="s">
        <v>3</v>
      </c>
      <c r="D8" s="202" t="s">
        <v>37</v>
      </c>
      <c r="E8" s="133"/>
      <c r="F8" s="243" t="s">
        <v>1</v>
      </c>
      <c r="G8" s="209" t="s">
        <v>42</v>
      </c>
      <c r="H8" s="134"/>
      <c r="I8" s="202" t="s">
        <v>127</v>
      </c>
      <c r="J8" s="204" t="s">
        <v>33</v>
      </c>
      <c r="K8" s="205" t="s">
        <v>5</v>
      </c>
      <c r="L8" s="209" t="s">
        <v>79</v>
      </c>
      <c r="M8" s="209" t="s">
        <v>84</v>
      </c>
      <c r="N8" s="207" t="s">
        <v>40</v>
      </c>
      <c r="O8" s="205" t="s">
        <v>5</v>
      </c>
      <c r="P8" s="202" t="s">
        <v>41</v>
      </c>
      <c r="Q8" s="247" t="s">
        <v>11</v>
      </c>
      <c r="R8" s="203" t="s">
        <v>153</v>
      </c>
      <c r="S8" s="209" t="s">
        <v>12</v>
      </c>
      <c r="T8" s="203" t="s">
        <v>8</v>
      </c>
      <c r="U8" s="203"/>
      <c r="V8" s="203"/>
      <c r="W8" s="203"/>
      <c r="X8" s="203"/>
      <c r="Y8" s="203"/>
      <c r="Z8" s="8"/>
      <c r="AA8" s="8"/>
      <c r="AB8" s="8"/>
      <c r="AC8" s="8"/>
      <c r="AD8" s="8"/>
      <c r="AE8" s="8"/>
      <c r="AF8" s="8"/>
      <c r="AG8" s="8"/>
      <c r="AH8" s="8"/>
      <c r="AI8" s="8"/>
      <c r="AJ8" s="8"/>
      <c r="AK8" s="8"/>
      <c r="AL8" s="8"/>
      <c r="AM8" s="8"/>
      <c r="AN8" s="8"/>
      <c r="AO8" s="8"/>
      <c r="AP8" s="8"/>
      <c r="AQ8" s="8"/>
      <c r="AR8" s="8"/>
      <c r="AS8" s="8"/>
      <c r="AT8" s="8"/>
      <c r="AU8" s="8"/>
      <c r="AV8" s="8"/>
    </row>
    <row r="9" spans="1:48" s="4" customFormat="1" ht="94.5" customHeight="1" x14ac:dyDescent="0.25">
      <c r="A9" s="213"/>
      <c r="B9" s="208"/>
      <c r="C9" s="203"/>
      <c r="D9" s="203"/>
      <c r="E9" s="132" t="s">
        <v>204</v>
      </c>
      <c r="F9" s="208"/>
      <c r="G9" s="202"/>
      <c r="H9" s="133" t="s">
        <v>205</v>
      </c>
      <c r="I9" s="203"/>
      <c r="J9" s="202"/>
      <c r="K9" s="206"/>
      <c r="L9" s="202"/>
      <c r="M9" s="202"/>
      <c r="N9" s="206"/>
      <c r="O9" s="205"/>
      <c r="P9" s="203"/>
      <c r="Q9" s="248"/>
      <c r="R9" s="203"/>
      <c r="S9" s="202"/>
      <c r="T9" s="7" t="s">
        <v>13</v>
      </c>
      <c r="U9" s="7" t="s">
        <v>17</v>
      </c>
      <c r="V9" s="7" t="s">
        <v>28</v>
      </c>
      <c r="W9" s="7" t="s">
        <v>18</v>
      </c>
      <c r="X9" s="7" t="s">
        <v>21</v>
      </c>
      <c r="Y9" s="7" t="s">
        <v>24</v>
      </c>
      <c r="Z9" s="25"/>
      <c r="AA9" s="25"/>
      <c r="AB9" s="25"/>
      <c r="AC9" s="25"/>
      <c r="AD9" s="25"/>
      <c r="AE9" s="25"/>
      <c r="AF9" s="25"/>
      <c r="AG9" s="25"/>
      <c r="AH9" s="25"/>
      <c r="AI9" s="25"/>
      <c r="AJ9" s="25"/>
      <c r="AK9" s="25"/>
      <c r="AL9" s="25"/>
      <c r="AM9" s="25"/>
      <c r="AN9" s="25"/>
      <c r="AO9" s="25"/>
      <c r="AP9" s="25"/>
      <c r="AQ9" s="25"/>
      <c r="AR9" s="25"/>
      <c r="AS9" s="25"/>
      <c r="AT9" s="25"/>
      <c r="AU9" s="25"/>
      <c r="AV9" s="25"/>
    </row>
    <row r="10" spans="1:48" s="3" customFormat="1" ht="290.25" customHeight="1" x14ac:dyDescent="0.25">
      <c r="A10" s="222">
        <v>1</v>
      </c>
      <c r="B10" s="225" t="s">
        <v>126</v>
      </c>
      <c r="C10" s="152" t="s">
        <v>210</v>
      </c>
      <c r="D10" s="152" t="s">
        <v>211</v>
      </c>
      <c r="E10" s="151" t="s">
        <v>212</v>
      </c>
      <c r="F10" s="154" t="s">
        <v>213</v>
      </c>
      <c r="G10" s="225" t="s">
        <v>115</v>
      </c>
      <c r="H10" s="129" t="s">
        <v>214</v>
      </c>
      <c r="I10" s="135">
        <v>4</v>
      </c>
      <c r="J10" s="139" t="str">
        <f>IF(I10&lt;=0,"",IF(I10&lt;=2,"Muy Baja",IF(I10&lt;=24,"Baja",IF(I10&lt;=500,"Media",IF(I10&lt;=5000,"Alta","Muy Alta")))))</f>
        <v>Baja</v>
      </c>
      <c r="K10" s="140">
        <f>IF(J10="","",IF(J10="Muy Baja",0.2,IF(J10="Baja",0.4,IF(J10="Media",0.6,IF(J10="Alta",0.8,IF(J10="Muy Alta",1,))))))</f>
        <v>0.4</v>
      </c>
      <c r="L10" s="146" t="s">
        <v>146</v>
      </c>
      <c r="M10" s="216" t="str">
        <f ca="1">IF(NOT(ISERROR(MATCH(L10,'Tabla Impacto'!$B$221:$B$223,0))),'Tabla Impacto'!$F$223&amp;"Por favor no seleccionar los criterios de impacto(Afectación Económica o presupuestal y Pérdida Reputacional)",L10)</f>
        <v xml:space="preserve">     El riesgo afecta la imagen de de la entidad con efecto publicitario sostenido a nivel de sector administrativo, nivel departamental o municipal</v>
      </c>
      <c r="N10" s="144" t="str">
        <f ca="1">IF(OR(M10='Tabla Impacto'!$C$11,M10='Tabla Impacto'!$D$11),"Leve",IF(OR(M10='Tabla Impacto'!$C$12,M10='Tabla Impacto'!$D$12),"Menor",IF(OR(M10='Tabla Impacto'!$C$13,M10='Tabla Impacto'!$D$13),"Moderado",IF(OR(M10='Tabla Impacto'!$C$14,M10='Tabla Impacto'!$D$14),"Mayor",IF(OR(M10='Tabla Impacto'!$C$15,M10='Tabla Impacto'!$D$15),"Catastrófico","")))))</f>
        <v>Mayor</v>
      </c>
      <c r="O10" s="143">
        <f ca="1">IF(N10="","",IF(N10="Leve",0.2,IF(N10="Menor",0.4,IF(N10="Moderado",0.6,IF(N10="Mayor",0.8,IF(N10="Catastrófico",1,))))))</f>
        <v>0.8</v>
      </c>
      <c r="P10" s="145"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Alto</v>
      </c>
      <c r="Q10" s="123">
        <v>1</v>
      </c>
      <c r="R10" s="124" t="s">
        <v>220</v>
      </c>
      <c r="S10" s="125" t="str">
        <f>IF(OR(T10="Preventivo",T10="Detectivo"),"Probabilidad",IF(T10="Correctivo","Impacto",""))</f>
        <v>Probabilidad</v>
      </c>
      <c r="T10" s="126" t="s">
        <v>14</v>
      </c>
      <c r="U10" s="126" t="s">
        <v>9</v>
      </c>
      <c r="V10" s="127" t="str">
        <f>IF(AND(T10="Preventivo",U10="Automático"),"50%",IF(AND(T10="Preventivo",U10="Manual"),"40%",IF(AND(T10="Detectivo",U10="Automático"),"40%",IF(AND(T10="Detectivo",U10="Manual"),"30%",IF(AND(T10="Correctivo",U10="Automático"),"35%",IF(AND(T10="Correctivo",U10="Manual"),"25%",""))))))</f>
        <v>40%</v>
      </c>
      <c r="W10" s="126" t="s">
        <v>19</v>
      </c>
      <c r="X10" s="126" t="s">
        <v>22</v>
      </c>
      <c r="Y10" s="126" t="s">
        <v>111</v>
      </c>
      <c r="Z10" s="26"/>
      <c r="AA10" s="26"/>
      <c r="AB10" s="26"/>
      <c r="AC10" s="26"/>
      <c r="AD10" s="26"/>
      <c r="AE10" s="26"/>
      <c r="AF10" s="26"/>
      <c r="AG10" s="26"/>
      <c r="AH10" s="26"/>
      <c r="AI10" s="26"/>
      <c r="AJ10" s="26"/>
      <c r="AK10" s="26"/>
      <c r="AL10" s="26"/>
      <c r="AM10" s="26"/>
      <c r="AN10" s="26"/>
      <c r="AO10" s="26"/>
      <c r="AP10" s="26"/>
      <c r="AQ10" s="26"/>
      <c r="AR10" s="26"/>
      <c r="AS10" s="26"/>
      <c r="AT10" s="26"/>
      <c r="AU10" s="26"/>
      <c r="AV10" s="26"/>
    </row>
    <row r="11" spans="1:48" ht="216" customHeight="1" x14ac:dyDescent="0.3">
      <c r="A11" s="223"/>
      <c r="B11" s="226"/>
      <c r="C11" s="153"/>
      <c r="D11" s="153"/>
      <c r="E11" s="137" t="s">
        <v>206</v>
      </c>
      <c r="F11" s="155"/>
      <c r="G11" s="226"/>
      <c r="H11" s="130" t="s">
        <v>208</v>
      </c>
      <c r="I11" s="136">
        <v>2</v>
      </c>
      <c r="J11" s="139" t="str">
        <f>IF(I11&lt;=0,"",IF(I11&lt;=2,"Muy Baja",IF(I11&lt;=24,"Baja",IF(I11&lt;=500,"Media",IF(I11&lt;=5000,"Alta","Muy Alta")))))</f>
        <v>Muy Baja</v>
      </c>
      <c r="K11" s="140">
        <f>IF(J11="","",IF(J11="Muy Baja",0.2,IF(J11="Baja",0.4,IF(J11="Media",0.6,IF(J11="Alta",0.8,IF(J11="Muy Alta",1,))))))</f>
        <v>0.2</v>
      </c>
      <c r="L11" s="147" t="s">
        <v>144</v>
      </c>
      <c r="M11" s="217" t="str">
        <f ca="1">IF(NOT(ISERROR(MATCH(L11,_xlfn.ANCHORARRAY(F19),0))),K21&amp;"Por favor no seleccionar los criterios de impacto",L11)</f>
        <v xml:space="preserve">     El riesgo afecta la imagen de la entidad internamente, de conocimiento general, nivel interno, de junta dircetiva y accionistas y/o de provedores</v>
      </c>
      <c r="N11" s="144" t="str">
        <f ca="1">IF(OR(M11='Tabla Impacto'!$C$11,M11='Tabla Impacto'!$D$11),"Leve",IF(OR(M11='Tabla Impacto'!$C$12,M11='Tabla Impacto'!$D$12),"Menor",IF(OR(M11='Tabla Impacto'!$C$13,M11='Tabla Impacto'!$D$13),"Moderado",IF(OR(M11='Tabla Impacto'!$C$14,M11='Tabla Impacto'!$D$14),"Mayor",IF(OR(M11='Tabla Impacto'!$C$15,M11='Tabla Impacto'!$D$15),"Catastrófico","")))))</f>
        <v>Menor</v>
      </c>
      <c r="O11" s="143">
        <f ca="1">IF(N11="","",IF(N11="Leve",0.2,IF(N11="Menor",0.4,IF(N11="Moderado",0.6,IF(N11="Mayor",0.8,IF(N11="Catastrófico",1,))))))</f>
        <v>0.4</v>
      </c>
      <c r="P11" s="145" t="str">
        <f ca="1">IF(OR(AND(J11="Muy Baja",N11="Leve"),AND(J11="Muy Baja",N11="Menor"),AND(J11="Baja",N11="Leve")),"Bajo",IF(OR(AND(J11="Muy baja",N11="Moderado"),AND(J11="Baja",N11="Menor"),AND(J11="Baja",N11="Moderado"),AND(J11="Media",N11="Leve"),AND(J11="Media",N11="Menor"),AND(J11="Media",N11="Moderado"),AND(J11="Alta",N11="Leve"),AND(J11="Alta",N11="Menor")),"Moderado",IF(OR(AND(J11="Muy Baja",N11="Mayor"),AND(J11="Baja",N11="Mayor"),AND(J11="Media",N11="Mayor"),AND(J11="Alta",N11="Moderado"),AND(J11="Alta",N11="Mayor"),AND(J11="Muy Alta",N11="Leve"),AND(J11="Muy Alta",N11="Menor"),AND(J11="Muy Alta",N11="Moderado"),AND(J11="Muy Alta",N11="Mayor")),"Alto",IF(OR(AND(J11="Muy Baja",N11="Catastrófico"),AND(J11="Baja",N11="Catastrófico"),AND(J11="Media",N11="Catastrófico"),AND(J11="Alta",N11="Catastrófico"),AND(J11="Muy Alta",N11="Catastrófico")),"Extremo",""))))</f>
        <v>Bajo</v>
      </c>
      <c r="Q11" s="123">
        <v>2</v>
      </c>
      <c r="R11" s="124" t="s">
        <v>215</v>
      </c>
      <c r="S11" s="125" t="str">
        <f>IF(OR(T11="Preventivo",T11="Detectivo"),"Probabilidad",IF(T11="Correctivo","Impacto",""))</f>
        <v>Probabilidad</v>
      </c>
      <c r="T11" s="126" t="s">
        <v>14</v>
      </c>
      <c r="U11" s="126" t="s">
        <v>9</v>
      </c>
      <c r="V11" s="127" t="str">
        <f t="shared" ref="V11:V12" si="0">IF(AND(T11="Preventivo",U11="Automático"),"50%",IF(AND(T11="Preventivo",U11="Manual"),"40%",IF(AND(T11="Detectivo",U11="Automático"),"40%",IF(AND(T11="Detectivo",U11="Manual"),"30%",IF(AND(T11="Correctivo",U11="Automático"),"35%",IF(AND(T11="Correctivo",U11="Manual"),"25%",""))))))</f>
        <v>40%</v>
      </c>
      <c r="W11" s="126" t="s">
        <v>19</v>
      </c>
      <c r="X11" s="126" t="s">
        <v>23</v>
      </c>
      <c r="Y11" s="126" t="s">
        <v>111</v>
      </c>
      <c r="Z11" s="8"/>
      <c r="AA11" s="8"/>
      <c r="AB11" s="8"/>
      <c r="AC11" s="8"/>
      <c r="AD11" s="8"/>
      <c r="AE11" s="8"/>
      <c r="AF11" s="8"/>
      <c r="AG11" s="8"/>
      <c r="AH11" s="8"/>
      <c r="AI11" s="8"/>
      <c r="AJ11" s="8"/>
      <c r="AK11" s="8"/>
      <c r="AL11" s="8"/>
      <c r="AM11" s="8"/>
      <c r="AN11" s="8"/>
      <c r="AO11" s="8"/>
      <c r="AP11" s="8"/>
      <c r="AQ11" s="8"/>
      <c r="AR11" s="8"/>
      <c r="AS11" s="8"/>
      <c r="AT11" s="8"/>
      <c r="AU11" s="8"/>
      <c r="AV11" s="8"/>
    </row>
    <row r="12" spans="1:48" ht="162.75" customHeight="1" x14ac:dyDescent="0.3">
      <c r="A12" s="223"/>
      <c r="B12" s="226"/>
      <c r="C12" s="153"/>
      <c r="D12" s="153"/>
      <c r="E12" s="138" t="s">
        <v>209</v>
      </c>
      <c r="F12" s="155"/>
      <c r="G12" s="226"/>
      <c r="H12" s="141" t="s">
        <v>207</v>
      </c>
      <c r="I12" s="142">
        <v>3</v>
      </c>
      <c r="J12" s="139" t="str">
        <f>IF(I12&lt;=0,"",IF(I12&lt;=2,"Muy Baja",IF(I12&lt;=24,"Baja",IF(I12&lt;=500,"Media",IF(I12&lt;=5000,"Alta","Muy Alta")))))</f>
        <v>Baja</v>
      </c>
      <c r="K12" s="140">
        <f>IF(J12="","",IF(J12="Muy Baja",0.2,IF(J12="Baja",0.4,IF(J12="Media",0.6,IF(J12="Alta",0.8,IF(J12="Muy Alta",1,))))))</f>
        <v>0.4</v>
      </c>
      <c r="L12" s="148" t="s">
        <v>143</v>
      </c>
      <c r="M12" s="217" t="str">
        <f ca="1">IF(NOT(ISERROR(MATCH(L12,_xlfn.ANCHORARRAY(F20),0))),K22&amp;"Por favor no seleccionar los criterios de impacto",L12)</f>
        <v xml:space="preserve">     El riesgo afecta la imagen de alguna área de la organización</v>
      </c>
      <c r="N12" s="144" t="str">
        <f ca="1">IF(OR(M12='Tabla Impacto'!$C$11,M12='Tabla Impacto'!$D$11),"Leve",IF(OR(M12='Tabla Impacto'!$C$12,M12='Tabla Impacto'!$D$12),"Menor",IF(OR(M12='Tabla Impacto'!$C$13,M12='Tabla Impacto'!$D$13),"Moderado",IF(OR(M12='Tabla Impacto'!$C$14,M12='Tabla Impacto'!$D$14),"Mayor",IF(OR(M12='Tabla Impacto'!$C$15,M12='Tabla Impacto'!$D$15),"Catastrófico","")))))</f>
        <v>Leve</v>
      </c>
      <c r="O12" s="143">
        <f ca="1">IF(N12="","",IF(N12="Leve",0.2,IF(N12="Menor",0.4,IF(N12="Moderado",0.6,IF(N12="Mayor",0.8,IF(N12="Catastrófico",1,))))))</f>
        <v>0.2</v>
      </c>
      <c r="P12" s="145" t="str">
        <f ca="1">IF(OR(AND(J12="Muy Baja",N12="Leve"),AND(J12="Muy Baja",N12="Menor"),AND(J12="Baja",N12="Leve")),"Bajo",IF(OR(AND(J12="Muy baja",N12="Moderado"),AND(J12="Baja",N12="Menor"),AND(J12="Baja",N12="Moderado"),AND(J12="Media",N12="Leve"),AND(J12="Media",N12="Menor"),AND(J12="Media",N12="Moderado"),AND(J12="Alta",N12="Leve"),AND(J12="Alta",N12="Menor")),"Moderado",IF(OR(AND(J12="Muy Baja",N12="Mayor"),AND(J12="Baja",N12="Mayor"),AND(J12="Media",N12="Mayor"),AND(J12="Alta",N12="Moderado"),AND(J12="Alta",N12="Mayor"),AND(J12="Muy Alta",N12="Leve"),AND(J12="Muy Alta",N12="Menor"),AND(J12="Muy Alta",N12="Moderado"),AND(J12="Muy Alta",N12="Mayor")),"Alto",IF(OR(AND(J12="Muy Baja",N12="Catastrófico"),AND(J12="Baja",N12="Catastrófico"),AND(J12="Media",N12="Catastrófico"),AND(J12="Alta",N12="Catastrófico"),AND(J12="Muy Alta",N12="Catastrófico")),"Extremo",""))))</f>
        <v>Bajo</v>
      </c>
      <c r="Q12" s="123">
        <v>3</v>
      </c>
      <c r="R12" s="124" t="s">
        <v>216</v>
      </c>
      <c r="S12" s="125" t="s">
        <v>4</v>
      </c>
      <c r="T12" s="126" t="s">
        <v>14</v>
      </c>
      <c r="U12" s="126" t="s">
        <v>9</v>
      </c>
      <c r="V12" s="127" t="str">
        <f t="shared" si="0"/>
        <v>40%</v>
      </c>
      <c r="W12" s="126" t="s">
        <v>19</v>
      </c>
      <c r="X12" s="126" t="s">
        <v>23</v>
      </c>
      <c r="Y12" s="126" t="s">
        <v>111</v>
      </c>
      <c r="Z12" s="8"/>
      <c r="AA12" s="8"/>
      <c r="AB12" s="8"/>
      <c r="AC12" s="8"/>
      <c r="AD12" s="8"/>
      <c r="AE12" s="8"/>
      <c r="AF12" s="8"/>
      <c r="AG12" s="8"/>
      <c r="AH12" s="8"/>
      <c r="AI12" s="8"/>
      <c r="AJ12" s="8"/>
      <c r="AK12" s="8"/>
      <c r="AL12" s="8"/>
      <c r="AM12" s="8"/>
      <c r="AN12" s="8"/>
      <c r="AO12" s="8"/>
      <c r="AP12" s="8"/>
      <c r="AQ12" s="8"/>
      <c r="AR12" s="8"/>
      <c r="AS12" s="8"/>
      <c r="AT12" s="8"/>
      <c r="AU12" s="8"/>
      <c r="AV12" s="8"/>
    </row>
    <row r="13" spans="1:48" ht="151.5" customHeight="1" x14ac:dyDescent="0.3">
      <c r="A13" s="222">
        <v>2</v>
      </c>
      <c r="B13" s="225"/>
      <c r="C13" s="225"/>
      <c r="Z13" s="8"/>
      <c r="AA13" s="8"/>
      <c r="AB13" s="8"/>
      <c r="AC13" s="8"/>
      <c r="AD13" s="8"/>
      <c r="AE13" s="8"/>
      <c r="AF13" s="8"/>
      <c r="AG13" s="8"/>
      <c r="AH13" s="8"/>
      <c r="AI13" s="8"/>
      <c r="AJ13" s="8"/>
      <c r="AK13" s="8"/>
      <c r="AL13" s="8"/>
      <c r="AM13" s="8"/>
      <c r="AN13" s="8"/>
      <c r="AO13" s="8"/>
      <c r="AP13" s="8"/>
      <c r="AQ13" s="8"/>
      <c r="AR13" s="8"/>
      <c r="AS13" s="8"/>
      <c r="AT13" s="8"/>
      <c r="AU13" s="8"/>
      <c r="AV13" s="8"/>
    </row>
    <row r="14" spans="1:48" ht="151.5" customHeight="1" x14ac:dyDescent="0.3">
      <c r="A14" s="223"/>
      <c r="B14" s="226"/>
      <c r="C14" s="226"/>
      <c r="Z14" s="8"/>
      <c r="AA14" s="8"/>
      <c r="AB14" s="8"/>
      <c r="AC14" s="8"/>
      <c r="AD14" s="8"/>
      <c r="AE14" s="8"/>
      <c r="AF14" s="8"/>
      <c r="AG14" s="8"/>
      <c r="AH14" s="8"/>
      <c r="AI14" s="8"/>
      <c r="AJ14" s="8"/>
      <c r="AK14" s="8"/>
      <c r="AL14" s="8"/>
      <c r="AM14" s="8"/>
      <c r="AN14" s="8"/>
      <c r="AO14" s="8"/>
      <c r="AP14" s="8"/>
      <c r="AQ14" s="8"/>
      <c r="AR14" s="8"/>
      <c r="AS14" s="8"/>
      <c r="AT14" s="8"/>
      <c r="AU14" s="8"/>
      <c r="AV14" s="8"/>
    </row>
    <row r="15" spans="1:48" ht="151.5" customHeight="1" x14ac:dyDescent="0.3">
      <c r="A15" s="223"/>
      <c r="B15" s="226"/>
      <c r="C15" s="226"/>
      <c r="Z15" s="8"/>
      <c r="AA15" s="8"/>
      <c r="AB15" s="8"/>
      <c r="AC15" s="8"/>
      <c r="AD15" s="8"/>
      <c r="AE15" s="8"/>
      <c r="AF15" s="8"/>
      <c r="AG15" s="8"/>
      <c r="AH15" s="8"/>
      <c r="AI15" s="8"/>
      <c r="AJ15" s="8"/>
      <c r="AK15" s="8"/>
      <c r="AL15" s="8"/>
      <c r="AM15" s="8"/>
      <c r="AN15" s="8"/>
      <c r="AO15" s="8"/>
      <c r="AP15" s="8"/>
      <c r="AQ15" s="8"/>
      <c r="AR15" s="8"/>
      <c r="AS15" s="8"/>
      <c r="AT15" s="8"/>
      <c r="AU15" s="8"/>
      <c r="AV15" s="8"/>
    </row>
    <row r="16" spans="1:48" ht="151.5" customHeight="1" x14ac:dyDescent="0.3">
      <c r="A16" s="223"/>
      <c r="B16" s="226"/>
      <c r="C16" s="226"/>
      <c r="Z16" s="8"/>
      <c r="AA16" s="8"/>
      <c r="AB16" s="8"/>
      <c r="AC16" s="8"/>
      <c r="AD16" s="8"/>
      <c r="AE16" s="8"/>
      <c r="AF16" s="8"/>
      <c r="AG16" s="8"/>
      <c r="AH16" s="8"/>
      <c r="AI16" s="8"/>
      <c r="AJ16" s="8"/>
      <c r="AK16" s="8"/>
      <c r="AL16" s="8"/>
      <c r="AM16" s="8"/>
      <c r="AN16" s="8"/>
      <c r="AO16" s="8"/>
      <c r="AP16" s="8"/>
      <c r="AQ16" s="8"/>
      <c r="AR16" s="8"/>
      <c r="AS16" s="8"/>
      <c r="AT16" s="8"/>
      <c r="AU16" s="8"/>
      <c r="AV16" s="8"/>
    </row>
    <row r="17" spans="1:48" ht="151.5" customHeight="1" x14ac:dyDescent="0.3">
      <c r="A17" s="223"/>
      <c r="B17" s="226"/>
      <c r="C17" s="226"/>
      <c r="Z17" s="8"/>
      <c r="AA17" s="8"/>
      <c r="AB17" s="8"/>
      <c r="AC17" s="8"/>
      <c r="AD17" s="8"/>
      <c r="AE17" s="8"/>
      <c r="AF17" s="8"/>
      <c r="AG17" s="8"/>
      <c r="AH17" s="8"/>
      <c r="AI17" s="8"/>
      <c r="AJ17" s="8"/>
      <c r="AK17" s="8"/>
      <c r="AL17" s="8"/>
      <c r="AM17" s="8"/>
      <c r="AN17" s="8"/>
      <c r="AO17" s="8"/>
      <c r="AP17" s="8"/>
      <c r="AQ17" s="8"/>
      <c r="AR17" s="8"/>
      <c r="AS17" s="8"/>
      <c r="AT17" s="8"/>
      <c r="AU17" s="8"/>
      <c r="AV17" s="8"/>
    </row>
    <row r="18" spans="1:48" ht="151.5" customHeight="1" x14ac:dyDescent="0.3">
      <c r="A18" s="224"/>
      <c r="B18" s="227"/>
      <c r="C18" s="227"/>
      <c r="Z18" s="8"/>
      <c r="AA18" s="8"/>
      <c r="AB18" s="8"/>
      <c r="AC18" s="8"/>
      <c r="AD18" s="8"/>
      <c r="AE18" s="8"/>
      <c r="AF18" s="8"/>
      <c r="AG18" s="8"/>
      <c r="AH18" s="8"/>
      <c r="AI18" s="8"/>
      <c r="AJ18" s="8"/>
      <c r="AK18" s="8"/>
      <c r="AL18" s="8"/>
      <c r="AM18" s="8"/>
      <c r="AN18" s="8"/>
      <c r="AO18" s="8"/>
      <c r="AP18" s="8"/>
      <c r="AQ18" s="8"/>
      <c r="AR18" s="8"/>
      <c r="AS18" s="8"/>
      <c r="AT18" s="8"/>
      <c r="AU18" s="8"/>
      <c r="AV18" s="8"/>
    </row>
    <row r="19" spans="1:48" ht="151.5" customHeight="1" x14ac:dyDescent="0.3">
      <c r="A19" s="222">
        <v>3</v>
      </c>
      <c r="B19" s="225"/>
      <c r="C19" s="225"/>
      <c r="D19" s="225"/>
      <c r="E19" s="129"/>
      <c r="F19" s="228"/>
      <c r="G19" s="225"/>
      <c r="H19" s="129"/>
      <c r="I19" s="231"/>
      <c r="J19" s="234" t="str">
        <f>IF(I19&lt;=0,"",IF(I19&lt;=2,"Muy Baja",IF(I19&lt;=24,"Baja",IF(I19&lt;=500,"Media",IF(I19&lt;=5000,"Alta","Muy Alta")))))</f>
        <v/>
      </c>
      <c r="K19" s="216" t="str">
        <f>IF(J19="","",IF(J19="Muy Baja",0.2,IF(J19="Baja",0.4,IF(J19="Media",0.6,IF(J19="Alta",0.8,IF(J19="Muy Alta",1,))))))</f>
        <v/>
      </c>
      <c r="L19" s="237"/>
      <c r="M19" s="216">
        <f ca="1">IF(NOT(ISERROR(MATCH(L19,'Tabla Impacto'!$B$221:$B$223,0))),'Tabla Impacto'!$F$223&amp;"Por favor no seleccionar los criterios de impacto(Afectación Económica o presupuestal y Pérdida Reputacional)",L19)</f>
        <v>0</v>
      </c>
      <c r="N19" s="234" t="str">
        <f ca="1">IF(OR(M19='Tabla Impacto'!$C$11,M19='Tabla Impacto'!$D$11),"Leve",IF(OR(M19='Tabla Impacto'!$C$12,M19='Tabla Impacto'!$D$12),"Menor",IF(OR(M19='Tabla Impacto'!$C$13,M19='Tabla Impacto'!$D$13),"Moderado",IF(OR(M19='Tabla Impacto'!$C$14,M19='Tabla Impacto'!$D$14),"Mayor",IF(OR(M19='Tabla Impacto'!$C$15,M19='Tabla Impacto'!$D$15),"Catastrófico","")))))</f>
        <v/>
      </c>
      <c r="O19" s="216" t="str">
        <f ca="1">IF(N19="","",IF(N19="Leve",0.2,IF(N19="Menor",0.4,IF(N19="Moderado",0.6,IF(N19="Mayor",0.8,IF(N19="Catastrófico",1,))))))</f>
        <v/>
      </c>
      <c r="P19" s="219" t="str">
        <f ca="1">IF(OR(AND(J19="Muy Baja",N19="Leve"),AND(J19="Muy Baja",N19="Menor"),AND(J19="Baja",N19="Leve")),"Bajo",IF(OR(AND(J19="Muy baja",N19="Moderado"),AND(J19="Baja",N19="Menor"),AND(J19="Baja",N19="Moderado"),AND(J19="Media",N19="Leve"),AND(J19="Media",N19="Menor"),AND(J19="Media",N19="Moderado"),AND(J19="Alta",N19="Leve"),AND(J19="Alta",N19="Menor")),"Moderado",IF(OR(AND(J19="Muy Baja",N19="Mayor"),AND(J19="Baja",N19="Mayor"),AND(J19="Media",N19="Mayor"),AND(J19="Alta",N19="Moderado"),AND(J19="Alta",N19="Mayor"),AND(J19="Muy Alta",N19="Leve"),AND(J19="Muy Alta",N19="Menor"),AND(J19="Muy Alta",N19="Moderado"),AND(J19="Muy Alta",N19="Mayor")),"Alto",IF(OR(AND(J19="Muy Baja",N19="Catastrófico"),AND(J19="Baja",N19="Catastrófico"),AND(J19="Media",N19="Catastrófico"),AND(J19="Alta",N19="Catastrófico"),AND(J19="Muy Alta",N19="Catastrófico")),"Extremo",""))))</f>
        <v/>
      </c>
      <c r="Q19" s="123">
        <v>1</v>
      </c>
      <c r="R19" s="124"/>
      <c r="S19" s="125" t="str">
        <f>IF(OR(T19="Preventivo",T19="Detectivo"),"Probabilidad",IF(T19="Correctivo","Impacto",""))</f>
        <v/>
      </c>
      <c r="T19" s="126"/>
      <c r="U19" s="126"/>
      <c r="V19" s="127" t="str">
        <f>IF(AND(T19="Preventivo",U19="Automático"),"50%",IF(AND(T19="Preventivo",U19="Manual"),"40%",IF(AND(T19="Detectivo",U19="Automático"),"40%",IF(AND(T19="Detectivo",U19="Manual"),"30%",IF(AND(T19="Correctivo",U19="Automático"),"35%",IF(AND(T19="Correctivo",U19="Manual"),"25%",""))))))</f>
        <v/>
      </c>
      <c r="W19" s="126"/>
      <c r="X19" s="126"/>
      <c r="Y19" s="126"/>
      <c r="Z19" s="8"/>
      <c r="AA19" s="8"/>
      <c r="AB19" s="8"/>
      <c r="AC19" s="8"/>
      <c r="AD19" s="8"/>
      <c r="AE19" s="8"/>
      <c r="AF19" s="8"/>
      <c r="AG19" s="8"/>
      <c r="AH19" s="8"/>
      <c r="AI19" s="8"/>
      <c r="AJ19" s="8"/>
      <c r="AK19" s="8"/>
      <c r="AL19" s="8"/>
      <c r="AM19" s="8"/>
      <c r="AN19" s="8"/>
      <c r="AO19" s="8"/>
      <c r="AP19" s="8"/>
      <c r="AQ19" s="8"/>
      <c r="AR19" s="8"/>
      <c r="AS19" s="8"/>
      <c r="AT19" s="8"/>
      <c r="AU19" s="8"/>
      <c r="AV19" s="8"/>
    </row>
    <row r="20" spans="1:48" ht="151.5" customHeight="1" x14ac:dyDescent="0.3">
      <c r="A20" s="223"/>
      <c r="B20" s="226"/>
      <c r="C20" s="226"/>
      <c r="D20" s="226"/>
      <c r="E20" s="130"/>
      <c r="F20" s="229"/>
      <c r="G20" s="226"/>
      <c r="H20" s="130"/>
      <c r="I20" s="232"/>
      <c r="J20" s="235"/>
      <c r="K20" s="217"/>
      <c r="L20" s="238"/>
      <c r="M20" s="217">
        <f ca="1">IF(NOT(ISERROR(MATCH(L20,_xlfn.ANCHORARRAY(F31),0))),K33&amp;"Por favor no seleccionar los criterios de impacto",L20)</f>
        <v>0</v>
      </c>
      <c r="N20" s="235"/>
      <c r="O20" s="217"/>
      <c r="P20" s="220"/>
      <c r="Q20" s="123">
        <v>2</v>
      </c>
      <c r="R20" s="124"/>
      <c r="S20" s="125" t="str">
        <f>IF(OR(T20="Preventivo",T20="Detectivo"),"Probabilidad",IF(T20="Correctivo","Impacto",""))</f>
        <v/>
      </c>
      <c r="T20" s="126"/>
      <c r="U20" s="126"/>
      <c r="V20" s="127" t="str">
        <f t="shared" ref="V20:V24" si="1">IF(AND(T20="Preventivo",U20="Automático"),"50%",IF(AND(T20="Preventivo",U20="Manual"),"40%",IF(AND(T20="Detectivo",U20="Automático"),"40%",IF(AND(T20="Detectivo",U20="Manual"),"30%",IF(AND(T20="Correctivo",U20="Automático"),"35%",IF(AND(T20="Correctivo",U20="Manual"),"25%",""))))))</f>
        <v/>
      </c>
      <c r="W20" s="126"/>
      <c r="X20" s="126"/>
      <c r="Y20" s="126"/>
      <c r="Z20" s="8"/>
      <c r="AA20" s="8"/>
      <c r="AB20" s="8"/>
      <c r="AC20" s="8"/>
      <c r="AD20" s="8"/>
      <c r="AE20" s="8"/>
      <c r="AF20" s="8"/>
      <c r="AG20" s="8"/>
      <c r="AH20" s="8"/>
      <c r="AI20" s="8"/>
      <c r="AJ20" s="8"/>
      <c r="AK20" s="8"/>
      <c r="AL20" s="8"/>
      <c r="AM20" s="8"/>
      <c r="AN20" s="8"/>
      <c r="AO20" s="8"/>
      <c r="AP20" s="8"/>
      <c r="AQ20" s="8"/>
      <c r="AR20" s="8"/>
      <c r="AS20" s="8"/>
      <c r="AT20" s="8"/>
      <c r="AU20" s="8"/>
      <c r="AV20" s="8"/>
    </row>
    <row r="21" spans="1:48" ht="151.5" customHeight="1" x14ac:dyDescent="0.3">
      <c r="A21" s="223"/>
      <c r="B21" s="226"/>
      <c r="C21" s="226"/>
      <c r="D21" s="226"/>
      <c r="E21" s="130"/>
      <c r="F21" s="229"/>
      <c r="G21" s="226"/>
      <c r="H21" s="130"/>
      <c r="I21" s="232"/>
      <c r="J21" s="235"/>
      <c r="K21" s="217"/>
      <c r="L21" s="238"/>
      <c r="M21" s="217">
        <f ca="1">IF(NOT(ISERROR(MATCH(L21,_xlfn.ANCHORARRAY(F32),0))),K34&amp;"Por favor no seleccionar los criterios de impacto",L21)</f>
        <v>0</v>
      </c>
      <c r="N21" s="235"/>
      <c r="O21" s="217"/>
      <c r="P21" s="220"/>
      <c r="Q21" s="123">
        <v>3</v>
      </c>
      <c r="R21" s="128"/>
      <c r="S21" s="125" t="str">
        <f>IF(OR(T21="Preventivo",T21="Detectivo"),"Probabilidad",IF(T21="Correctivo","Impacto",""))</f>
        <v/>
      </c>
      <c r="T21" s="126"/>
      <c r="U21" s="126"/>
      <c r="V21" s="127" t="str">
        <f t="shared" si="1"/>
        <v/>
      </c>
      <c r="W21" s="126"/>
      <c r="X21" s="126"/>
      <c r="Y21" s="126"/>
      <c r="Z21" s="8"/>
      <c r="AA21" s="8"/>
      <c r="AB21" s="8"/>
      <c r="AC21" s="8"/>
      <c r="AD21" s="8"/>
      <c r="AE21" s="8"/>
      <c r="AF21" s="8"/>
      <c r="AG21" s="8"/>
      <c r="AH21" s="8"/>
      <c r="AI21" s="8"/>
      <c r="AJ21" s="8"/>
      <c r="AK21" s="8"/>
      <c r="AL21" s="8"/>
      <c r="AM21" s="8"/>
      <c r="AN21" s="8"/>
      <c r="AO21" s="8"/>
      <c r="AP21" s="8"/>
      <c r="AQ21" s="8"/>
      <c r="AR21" s="8"/>
      <c r="AS21" s="8"/>
      <c r="AT21" s="8"/>
      <c r="AU21" s="8"/>
      <c r="AV21" s="8"/>
    </row>
    <row r="22" spans="1:48" ht="151.5" customHeight="1" x14ac:dyDescent="0.3">
      <c r="A22" s="223"/>
      <c r="B22" s="226"/>
      <c r="C22" s="226"/>
      <c r="D22" s="226"/>
      <c r="E22" s="130"/>
      <c r="F22" s="229"/>
      <c r="G22" s="226"/>
      <c r="H22" s="130"/>
      <c r="I22" s="232"/>
      <c r="J22" s="235"/>
      <c r="K22" s="217"/>
      <c r="L22" s="238"/>
      <c r="M22" s="217">
        <f ca="1">IF(NOT(ISERROR(MATCH(L22,_xlfn.ANCHORARRAY(F33),0))),K35&amp;"Por favor no seleccionar los criterios de impacto",L22)</f>
        <v>0</v>
      </c>
      <c r="N22" s="235"/>
      <c r="O22" s="217"/>
      <c r="P22" s="220"/>
      <c r="Q22" s="123">
        <v>4</v>
      </c>
      <c r="R22" s="124"/>
      <c r="S22" s="125" t="str">
        <f t="shared" ref="S22:S24" si="2">IF(OR(T22="Preventivo",T22="Detectivo"),"Probabilidad",IF(T22="Correctivo","Impacto",""))</f>
        <v/>
      </c>
      <c r="T22" s="126"/>
      <c r="U22" s="126"/>
      <c r="V22" s="127" t="str">
        <f t="shared" si="1"/>
        <v/>
      </c>
      <c r="W22" s="126"/>
      <c r="X22" s="126"/>
      <c r="Y22" s="126"/>
      <c r="Z22" s="8"/>
      <c r="AA22" s="8"/>
      <c r="AB22" s="8"/>
      <c r="AC22" s="8"/>
      <c r="AD22" s="8"/>
      <c r="AE22" s="8"/>
      <c r="AF22" s="8"/>
      <c r="AG22" s="8"/>
      <c r="AH22" s="8"/>
      <c r="AI22" s="8"/>
      <c r="AJ22" s="8"/>
      <c r="AK22" s="8"/>
      <c r="AL22" s="8"/>
      <c r="AM22" s="8"/>
      <c r="AN22" s="8"/>
      <c r="AO22" s="8"/>
      <c r="AP22" s="8"/>
      <c r="AQ22" s="8"/>
      <c r="AR22" s="8"/>
      <c r="AS22" s="8"/>
      <c r="AT22" s="8"/>
      <c r="AU22" s="8"/>
      <c r="AV22" s="8"/>
    </row>
    <row r="23" spans="1:48" ht="151.5" customHeight="1" x14ac:dyDescent="0.3">
      <c r="A23" s="223"/>
      <c r="B23" s="226"/>
      <c r="C23" s="226"/>
      <c r="D23" s="226"/>
      <c r="E23" s="130"/>
      <c r="F23" s="229"/>
      <c r="G23" s="226"/>
      <c r="H23" s="130"/>
      <c r="I23" s="232"/>
      <c r="J23" s="235"/>
      <c r="K23" s="217"/>
      <c r="L23" s="238"/>
      <c r="M23" s="217">
        <f ca="1">IF(NOT(ISERROR(MATCH(L23,_xlfn.ANCHORARRAY(F34),0))),K36&amp;"Por favor no seleccionar los criterios de impacto",L23)</f>
        <v>0</v>
      </c>
      <c r="N23" s="235"/>
      <c r="O23" s="217"/>
      <c r="P23" s="220"/>
      <c r="Q23" s="123">
        <v>5</v>
      </c>
      <c r="R23" s="124"/>
      <c r="S23" s="125" t="str">
        <f t="shared" si="2"/>
        <v/>
      </c>
      <c r="T23" s="126"/>
      <c r="U23" s="126"/>
      <c r="V23" s="127" t="str">
        <f t="shared" si="1"/>
        <v/>
      </c>
      <c r="W23" s="126"/>
      <c r="X23" s="126"/>
      <c r="Y23" s="126"/>
      <c r="Z23" s="8"/>
      <c r="AA23" s="8"/>
      <c r="AB23" s="8"/>
      <c r="AC23" s="8"/>
      <c r="AD23" s="8"/>
      <c r="AE23" s="8"/>
      <c r="AF23" s="8"/>
      <c r="AG23" s="8"/>
      <c r="AH23" s="8"/>
      <c r="AI23" s="8"/>
      <c r="AJ23" s="8"/>
      <c r="AK23" s="8"/>
      <c r="AL23" s="8"/>
      <c r="AM23" s="8"/>
      <c r="AN23" s="8"/>
      <c r="AO23" s="8"/>
      <c r="AP23" s="8"/>
      <c r="AQ23" s="8"/>
      <c r="AR23" s="8"/>
      <c r="AS23" s="8"/>
      <c r="AT23" s="8"/>
      <c r="AU23" s="8"/>
      <c r="AV23" s="8"/>
    </row>
    <row r="24" spans="1:48" ht="151.5" customHeight="1" x14ac:dyDescent="0.3">
      <c r="A24" s="224"/>
      <c r="B24" s="227"/>
      <c r="C24" s="227"/>
      <c r="D24" s="227"/>
      <c r="E24" s="131"/>
      <c r="F24" s="230"/>
      <c r="G24" s="227"/>
      <c r="H24" s="131"/>
      <c r="I24" s="233"/>
      <c r="J24" s="236"/>
      <c r="K24" s="218"/>
      <c r="L24" s="239"/>
      <c r="M24" s="218">
        <f ca="1">IF(NOT(ISERROR(MATCH(L24,_xlfn.ANCHORARRAY(F35),0))),K37&amp;"Por favor no seleccionar los criterios de impacto",L24)</f>
        <v>0</v>
      </c>
      <c r="N24" s="236"/>
      <c r="O24" s="218"/>
      <c r="P24" s="221"/>
      <c r="Q24" s="123">
        <v>6</v>
      </c>
      <c r="R24" s="124"/>
      <c r="S24" s="125" t="str">
        <f t="shared" si="2"/>
        <v/>
      </c>
      <c r="T24" s="126"/>
      <c r="U24" s="126"/>
      <c r="V24" s="127" t="str">
        <f t="shared" si="1"/>
        <v/>
      </c>
      <c r="W24" s="126"/>
      <c r="X24" s="126"/>
      <c r="Y24" s="126"/>
      <c r="Z24" s="8"/>
      <c r="AA24" s="8"/>
      <c r="AB24" s="8"/>
      <c r="AC24" s="8"/>
      <c r="AD24" s="8"/>
      <c r="AE24" s="8"/>
      <c r="AF24" s="8"/>
      <c r="AG24" s="8"/>
      <c r="AH24" s="8"/>
      <c r="AI24" s="8"/>
      <c r="AJ24" s="8"/>
      <c r="AK24" s="8"/>
      <c r="AL24" s="8"/>
      <c r="AM24" s="8"/>
      <c r="AN24" s="8"/>
      <c r="AO24" s="8"/>
      <c r="AP24" s="8"/>
      <c r="AQ24" s="8"/>
      <c r="AR24" s="8"/>
      <c r="AS24" s="8"/>
      <c r="AT24" s="8"/>
      <c r="AU24" s="8"/>
      <c r="AV24" s="8"/>
    </row>
    <row r="25" spans="1:48" ht="151.5" customHeight="1" x14ac:dyDescent="0.3">
      <c r="A25" s="222">
        <v>4</v>
      </c>
      <c r="B25" s="225"/>
      <c r="C25" s="225"/>
      <c r="D25" s="225"/>
      <c r="E25" s="129"/>
      <c r="F25" s="228"/>
      <c r="G25" s="225"/>
      <c r="H25" s="129"/>
      <c r="I25" s="231"/>
      <c r="J25" s="234" t="str">
        <f>IF(I25&lt;=0,"",IF(I25&lt;=2,"Muy Baja",IF(I25&lt;=24,"Baja",IF(I25&lt;=500,"Media",IF(I25&lt;=5000,"Alta","Muy Alta")))))</f>
        <v/>
      </c>
      <c r="K25" s="216" t="str">
        <f>IF(J25="","",IF(J25="Muy Baja",0.2,IF(J25="Baja",0.4,IF(J25="Media",0.6,IF(J25="Alta",0.8,IF(J25="Muy Alta",1,))))))</f>
        <v/>
      </c>
      <c r="L25" s="237"/>
      <c r="M25" s="216">
        <f ca="1">IF(NOT(ISERROR(MATCH(L25,'Tabla Impacto'!$B$221:$B$223,0))),'Tabla Impacto'!$F$223&amp;"Por favor no seleccionar los criterios de impacto(Afectación Económica o presupuestal y Pérdida Reputacional)",L25)</f>
        <v>0</v>
      </c>
      <c r="N25" s="234" t="str">
        <f ca="1">IF(OR(M25='Tabla Impacto'!$C$11,M25='Tabla Impacto'!$D$11),"Leve",IF(OR(M25='Tabla Impacto'!$C$12,M25='Tabla Impacto'!$D$12),"Menor",IF(OR(M25='Tabla Impacto'!$C$13,M25='Tabla Impacto'!$D$13),"Moderado",IF(OR(M25='Tabla Impacto'!$C$14,M25='Tabla Impacto'!$D$14),"Mayor",IF(OR(M25='Tabla Impacto'!$C$15,M25='Tabla Impacto'!$D$15),"Catastrófico","")))))</f>
        <v/>
      </c>
      <c r="O25" s="216" t="str">
        <f ca="1">IF(N25="","",IF(N25="Leve",0.2,IF(N25="Menor",0.4,IF(N25="Moderado",0.6,IF(N25="Mayor",0.8,IF(N25="Catastrófico",1,))))))</f>
        <v/>
      </c>
      <c r="P25" s="219" t="str">
        <f ca="1">IF(OR(AND(J25="Muy Baja",N25="Leve"),AND(J25="Muy Baja",N25="Menor"),AND(J25="Baja",N25="Leve")),"Bajo",IF(OR(AND(J25="Muy baja",N25="Moderado"),AND(J25="Baja",N25="Menor"),AND(J25="Baja",N25="Moderado"),AND(J25="Media",N25="Leve"),AND(J25="Media",N25="Menor"),AND(J25="Media",N25="Moderado"),AND(J25="Alta",N25="Leve"),AND(J25="Alta",N25="Menor")),"Moderado",IF(OR(AND(J25="Muy Baja",N25="Mayor"),AND(J25="Baja",N25="Mayor"),AND(J25="Media",N25="Mayor"),AND(J25="Alta",N25="Moderado"),AND(J25="Alta",N25="Mayor"),AND(J25="Muy Alta",N25="Leve"),AND(J25="Muy Alta",N25="Menor"),AND(J25="Muy Alta",N25="Moderado"),AND(J25="Muy Alta",N25="Mayor")),"Alto",IF(OR(AND(J25="Muy Baja",N25="Catastrófico"),AND(J25="Baja",N25="Catastrófico"),AND(J25="Media",N25="Catastrófico"),AND(J25="Alta",N25="Catastrófico"),AND(J25="Muy Alta",N25="Catastrófico")),"Extremo",""))))</f>
        <v/>
      </c>
      <c r="Q25" s="123">
        <v>1</v>
      </c>
      <c r="R25" s="124"/>
      <c r="S25" s="125" t="str">
        <f>IF(OR(T25="Preventivo",T25="Detectivo"),"Probabilidad",IF(T25="Correctivo","Impacto",""))</f>
        <v/>
      </c>
      <c r="T25" s="126"/>
      <c r="U25" s="126"/>
      <c r="V25" s="127" t="str">
        <f>IF(AND(T25="Preventivo",U25="Automático"),"50%",IF(AND(T25="Preventivo",U25="Manual"),"40%",IF(AND(T25="Detectivo",U25="Automático"),"40%",IF(AND(T25="Detectivo",U25="Manual"),"30%",IF(AND(T25="Correctivo",U25="Automático"),"35%",IF(AND(T25="Correctivo",U25="Manual"),"25%",""))))))</f>
        <v/>
      </c>
      <c r="W25" s="126"/>
      <c r="X25" s="126"/>
      <c r="Y25" s="126"/>
      <c r="Z25" s="8"/>
      <c r="AA25" s="8"/>
      <c r="AB25" s="8"/>
      <c r="AC25" s="8"/>
      <c r="AD25" s="8"/>
      <c r="AE25" s="8"/>
      <c r="AF25" s="8"/>
      <c r="AG25" s="8"/>
      <c r="AH25" s="8"/>
      <c r="AI25" s="8"/>
      <c r="AJ25" s="8"/>
      <c r="AK25" s="8"/>
      <c r="AL25" s="8"/>
      <c r="AM25" s="8"/>
      <c r="AN25" s="8"/>
      <c r="AO25" s="8"/>
      <c r="AP25" s="8"/>
      <c r="AQ25" s="8"/>
      <c r="AR25" s="8"/>
      <c r="AS25" s="8"/>
      <c r="AT25" s="8"/>
      <c r="AU25" s="8"/>
      <c r="AV25" s="8"/>
    </row>
    <row r="26" spans="1:48" ht="151.5" customHeight="1" x14ac:dyDescent="0.3">
      <c r="A26" s="223"/>
      <c r="B26" s="226"/>
      <c r="C26" s="226"/>
      <c r="D26" s="226"/>
      <c r="E26" s="130"/>
      <c r="F26" s="229"/>
      <c r="G26" s="226"/>
      <c r="H26" s="130"/>
      <c r="I26" s="232"/>
      <c r="J26" s="235"/>
      <c r="K26" s="217"/>
      <c r="L26" s="238"/>
      <c r="M26" s="217">
        <f ca="1">IF(NOT(ISERROR(MATCH(L26,_xlfn.ANCHORARRAY(F37),0))),K39&amp;"Por favor no seleccionar los criterios de impacto",L26)</f>
        <v>0</v>
      </c>
      <c r="N26" s="235"/>
      <c r="O26" s="217"/>
      <c r="P26" s="220"/>
      <c r="Q26" s="123">
        <v>2</v>
      </c>
      <c r="R26" s="124"/>
      <c r="S26" s="125" t="str">
        <f>IF(OR(T26="Preventivo",T26="Detectivo"),"Probabilidad",IF(T26="Correctivo","Impacto",""))</f>
        <v/>
      </c>
      <c r="T26" s="126"/>
      <c r="U26" s="126"/>
      <c r="V26" s="127" t="str">
        <f t="shared" ref="V26:V30" si="3">IF(AND(T26="Preventivo",U26="Automático"),"50%",IF(AND(T26="Preventivo",U26="Manual"),"40%",IF(AND(T26="Detectivo",U26="Automático"),"40%",IF(AND(T26="Detectivo",U26="Manual"),"30%",IF(AND(T26="Correctivo",U26="Automático"),"35%",IF(AND(T26="Correctivo",U26="Manual"),"25%",""))))))</f>
        <v/>
      </c>
      <c r="W26" s="126"/>
      <c r="X26" s="126"/>
      <c r="Y26" s="126"/>
      <c r="Z26" s="8"/>
      <c r="AA26" s="8"/>
      <c r="AB26" s="8"/>
      <c r="AC26" s="8"/>
      <c r="AD26" s="8"/>
      <c r="AE26" s="8"/>
      <c r="AF26" s="8"/>
      <c r="AG26" s="8"/>
      <c r="AH26" s="8"/>
      <c r="AI26" s="8"/>
      <c r="AJ26" s="8"/>
      <c r="AK26" s="8"/>
      <c r="AL26" s="8"/>
      <c r="AM26" s="8"/>
      <c r="AN26" s="8"/>
      <c r="AO26" s="8"/>
      <c r="AP26" s="8"/>
      <c r="AQ26" s="8"/>
      <c r="AR26" s="8"/>
      <c r="AS26" s="8"/>
      <c r="AT26" s="8"/>
      <c r="AU26" s="8"/>
      <c r="AV26" s="8"/>
    </row>
    <row r="27" spans="1:48" ht="151.5" customHeight="1" x14ac:dyDescent="0.3">
      <c r="A27" s="223"/>
      <c r="B27" s="226"/>
      <c r="C27" s="226"/>
      <c r="D27" s="226"/>
      <c r="E27" s="130"/>
      <c r="F27" s="229"/>
      <c r="G27" s="226"/>
      <c r="H27" s="130"/>
      <c r="I27" s="232"/>
      <c r="J27" s="235"/>
      <c r="K27" s="217"/>
      <c r="L27" s="238"/>
      <c r="M27" s="217">
        <f ca="1">IF(NOT(ISERROR(MATCH(L27,_xlfn.ANCHORARRAY(F38),0))),K40&amp;"Por favor no seleccionar los criterios de impacto",L27)</f>
        <v>0</v>
      </c>
      <c r="N27" s="235"/>
      <c r="O27" s="217"/>
      <c r="P27" s="220"/>
      <c r="Q27" s="123">
        <v>3</v>
      </c>
      <c r="R27" s="128"/>
      <c r="S27" s="125" t="str">
        <f>IF(OR(T27="Preventivo",T27="Detectivo"),"Probabilidad",IF(T27="Correctivo","Impacto",""))</f>
        <v/>
      </c>
      <c r="T27" s="126"/>
      <c r="U27" s="126"/>
      <c r="V27" s="127" t="str">
        <f t="shared" si="3"/>
        <v/>
      </c>
      <c r="W27" s="126"/>
      <c r="X27" s="126"/>
      <c r="Y27" s="126"/>
      <c r="Z27" s="8"/>
      <c r="AA27" s="8"/>
      <c r="AB27" s="8"/>
      <c r="AC27" s="8"/>
      <c r="AD27" s="8"/>
      <c r="AE27" s="8"/>
      <c r="AF27" s="8"/>
      <c r="AG27" s="8"/>
      <c r="AH27" s="8"/>
      <c r="AI27" s="8"/>
      <c r="AJ27" s="8"/>
      <c r="AK27" s="8"/>
      <c r="AL27" s="8"/>
      <c r="AM27" s="8"/>
      <c r="AN27" s="8"/>
      <c r="AO27" s="8"/>
      <c r="AP27" s="8"/>
      <c r="AQ27" s="8"/>
      <c r="AR27" s="8"/>
      <c r="AS27" s="8"/>
      <c r="AT27" s="8"/>
      <c r="AU27" s="8"/>
      <c r="AV27" s="8"/>
    </row>
    <row r="28" spans="1:48" ht="151.5" customHeight="1" x14ac:dyDescent="0.3">
      <c r="A28" s="223"/>
      <c r="B28" s="226"/>
      <c r="C28" s="226"/>
      <c r="D28" s="226"/>
      <c r="E28" s="130"/>
      <c r="F28" s="229"/>
      <c r="G28" s="226"/>
      <c r="H28" s="130"/>
      <c r="I28" s="232"/>
      <c r="J28" s="235"/>
      <c r="K28" s="217"/>
      <c r="L28" s="238"/>
      <c r="M28" s="217">
        <f ca="1">IF(NOT(ISERROR(MATCH(L28,_xlfn.ANCHORARRAY(F39),0))),K41&amp;"Por favor no seleccionar los criterios de impacto",L28)</f>
        <v>0</v>
      </c>
      <c r="N28" s="235"/>
      <c r="O28" s="217"/>
      <c r="P28" s="220"/>
      <c r="Q28" s="123">
        <v>4</v>
      </c>
      <c r="R28" s="124"/>
      <c r="S28" s="125" t="str">
        <f t="shared" ref="S28:S30" si="4">IF(OR(T28="Preventivo",T28="Detectivo"),"Probabilidad",IF(T28="Correctivo","Impacto",""))</f>
        <v/>
      </c>
      <c r="T28" s="126"/>
      <c r="U28" s="126"/>
      <c r="V28" s="127" t="str">
        <f t="shared" si="3"/>
        <v/>
      </c>
      <c r="W28" s="126"/>
      <c r="X28" s="126"/>
      <c r="Y28" s="126"/>
      <c r="Z28" s="8"/>
      <c r="AA28" s="8"/>
      <c r="AB28" s="8"/>
      <c r="AC28" s="8"/>
      <c r="AD28" s="8"/>
      <c r="AE28" s="8"/>
      <c r="AF28" s="8"/>
      <c r="AG28" s="8"/>
      <c r="AH28" s="8"/>
      <c r="AI28" s="8"/>
      <c r="AJ28" s="8"/>
      <c r="AK28" s="8"/>
      <c r="AL28" s="8"/>
      <c r="AM28" s="8"/>
      <c r="AN28" s="8"/>
      <c r="AO28" s="8"/>
      <c r="AP28" s="8"/>
      <c r="AQ28" s="8"/>
      <c r="AR28" s="8"/>
      <c r="AS28" s="8"/>
      <c r="AT28" s="8"/>
      <c r="AU28" s="8"/>
      <c r="AV28" s="8"/>
    </row>
    <row r="29" spans="1:48" ht="151.5" customHeight="1" x14ac:dyDescent="0.3">
      <c r="A29" s="223"/>
      <c r="B29" s="226"/>
      <c r="C29" s="226"/>
      <c r="D29" s="226"/>
      <c r="E29" s="130"/>
      <c r="F29" s="229"/>
      <c r="G29" s="226"/>
      <c r="H29" s="130"/>
      <c r="I29" s="232"/>
      <c r="J29" s="235"/>
      <c r="K29" s="217"/>
      <c r="L29" s="238"/>
      <c r="M29" s="217">
        <f ca="1">IF(NOT(ISERROR(MATCH(L29,_xlfn.ANCHORARRAY(F40),0))),K42&amp;"Por favor no seleccionar los criterios de impacto",L29)</f>
        <v>0</v>
      </c>
      <c r="N29" s="235"/>
      <c r="O29" s="217"/>
      <c r="P29" s="220"/>
      <c r="Q29" s="123">
        <v>5</v>
      </c>
      <c r="R29" s="124"/>
      <c r="S29" s="125" t="str">
        <f t="shared" si="4"/>
        <v/>
      </c>
      <c r="T29" s="126"/>
      <c r="U29" s="126"/>
      <c r="V29" s="127" t="str">
        <f t="shared" si="3"/>
        <v/>
      </c>
      <c r="W29" s="126"/>
      <c r="X29" s="126"/>
      <c r="Y29" s="126"/>
      <c r="Z29" s="8"/>
      <c r="AA29" s="8"/>
      <c r="AB29" s="8"/>
      <c r="AC29" s="8"/>
      <c r="AD29" s="8"/>
      <c r="AE29" s="8"/>
      <c r="AF29" s="8"/>
      <c r="AG29" s="8"/>
      <c r="AH29" s="8"/>
      <c r="AI29" s="8"/>
      <c r="AJ29" s="8"/>
      <c r="AK29" s="8"/>
      <c r="AL29" s="8"/>
      <c r="AM29" s="8"/>
      <c r="AN29" s="8"/>
      <c r="AO29" s="8"/>
      <c r="AP29" s="8"/>
      <c r="AQ29" s="8"/>
      <c r="AR29" s="8"/>
      <c r="AS29" s="8"/>
      <c r="AT29" s="8"/>
      <c r="AU29" s="8"/>
      <c r="AV29" s="8"/>
    </row>
    <row r="30" spans="1:48" ht="151.5" customHeight="1" x14ac:dyDescent="0.3">
      <c r="A30" s="224"/>
      <c r="B30" s="227"/>
      <c r="C30" s="227"/>
      <c r="D30" s="227"/>
      <c r="E30" s="131"/>
      <c r="F30" s="230"/>
      <c r="G30" s="227"/>
      <c r="H30" s="131"/>
      <c r="I30" s="233"/>
      <c r="J30" s="236"/>
      <c r="K30" s="218"/>
      <c r="L30" s="239"/>
      <c r="M30" s="218">
        <f ca="1">IF(NOT(ISERROR(MATCH(L30,_xlfn.ANCHORARRAY(F41),0))),K43&amp;"Por favor no seleccionar los criterios de impacto",L30)</f>
        <v>0</v>
      </c>
      <c r="N30" s="236"/>
      <c r="O30" s="218"/>
      <c r="P30" s="221"/>
      <c r="Q30" s="123">
        <v>6</v>
      </c>
      <c r="R30" s="124"/>
      <c r="S30" s="125" t="str">
        <f t="shared" si="4"/>
        <v/>
      </c>
      <c r="T30" s="126"/>
      <c r="U30" s="126"/>
      <c r="V30" s="127" t="str">
        <f t="shared" si="3"/>
        <v/>
      </c>
      <c r="W30" s="126"/>
      <c r="X30" s="126"/>
      <c r="Y30" s="126"/>
      <c r="Z30" s="8"/>
      <c r="AA30" s="8"/>
      <c r="AB30" s="8"/>
      <c r="AC30" s="8"/>
      <c r="AD30" s="8"/>
      <c r="AE30" s="8"/>
      <c r="AF30" s="8"/>
      <c r="AG30" s="8"/>
      <c r="AH30" s="8"/>
      <c r="AI30" s="8"/>
      <c r="AJ30" s="8"/>
      <c r="AK30" s="8"/>
      <c r="AL30" s="8"/>
      <c r="AM30" s="8"/>
      <c r="AN30" s="8"/>
      <c r="AO30" s="8"/>
      <c r="AP30" s="8"/>
      <c r="AQ30" s="8"/>
      <c r="AR30" s="8"/>
      <c r="AS30" s="8"/>
      <c r="AT30" s="8"/>
      <c r="AU30" s="8"/>
      <c r="AV30" s="8"/>
    </row>
    <row r="31" spans="1:48" ht="151.5" customHeight="1" x14ac:dyDescent="0.3">
      <c r="A31" s="222">
        <v>5</v>
      </c>
      <c r="B31" s="225"/>
      <c r="C31" s="225"/>
      <c r="D31" s="225"/>
      <c r="E31" s="129"/>
      <c r="F31" s="228"/>
      <c r="G31" s="225"/>
      <c r="H31" s="129"/>
      <c r="I31" s="231"/>
      <c r="J31" s="234" t="str">
        <f>IF(I31&lt;=0,"",IF(I31&lt;=2,"Muy Baja",IF(I31&lt;=24,"Baja",IF(I31&lt;=500,"Media",IF(I31&lt;=5000,"Alta","Muy Alta")))))</f>
        <v/>
      </c>
      <c r="K31" s="216" t="str">
        <f>IF(J31="","",IF(J31="Muy Baja",0.2,IF(J31="Baja",0.4,IF(J31="Media",0.6,IF(J31="Alta",0.8,IF(J31="Muy Alta",1,))))))</f>
        <v/>
      </c>
      <c r="L31" s="237"/>
      <c r="M31" s="216">
        <f ca="1">IF(NOT(ISERROR(MATCH(L31,'Tabla Impacto'!$B$221:$B$223,0))),'Tabla Impacto'!$F$223&amp;"Por favor no seleccionar los criterios de impacto(Afectación Económica o presupuestal y Pérdida Reputacional)",L31)</f>
        <v>0</v>
      </c>
      <c r="N31" s="234" t="str">
        <f ca="1">IF(OR(M31='Tabla Impacto'!$C$11,M31='Tabla Impacto'!$D$11),"Leve",IF(OR(M31='Tabla Impacto'!$C$12,M31='Tabla Impacto'!$D$12),"Menor",IF(OR(M31='Tabla Impacto'!$C$13,M31='Tabla Impacto'!$D$13),"Moderado",IF(OR(M31='Tabla Impacto'!$C$14,M31='Tabla Impacto'!$D$14),"Mayor",IF(OR(M31='Tabla Impacto'!$C$15,M31='Tabla Impacto'!$D$15),"Catastrófico","")))))</f>
        <v/>
      </c>
      <c r="O31" s="216" t="str">
        <f ca="1">IF(N31="","",IF(N31="Leve",0.2,IF(N31="Menor",0.4,IF(N31="Moderado",0.6,IF(N31="Mayor",0.8,IF(N31="Catastrófico",1,))))))</f>
        <v/>
      </c>
      <c r="P31" s="219" t="str">
        <f ca="1">IF(OR(AND(J31="Muy Baja",N31="Leve"),AND(J31="Muy Baja",N31="Menor"),AND(J31="Baja",N31="Leve")),"Bajo",IF(OR(AND(J31="Muy baja",N31="Moderado"),AND(J31="Baja",N31="Menor"),AND(J31="Baja",N31="Moderado"),AND(J31="Media",N31="Leve"),AND(J31="Media",N31="Menor"),AND(J31="Media",N31="Moderado"),AND(J31="Alta",N31="Leve"),AND(J31="Alta",N31="Menor")),"Moderado",IF(OR(AND(J31="Muy Baja",N31="Mayor"),AND(J31="Baja",N31="Mayor"),AND(J31="Media",N31="Mayor"),AND(J31="Alta",N31="Moderado"),AND(J31="Alta",N31="Mayor"),AND(J31="Muy Alta",N31="Leve"),AND(J31="Muy Alta",N31="Menor"),AND(J31="Muy Alta",N31="Moderado"),AND(J31="Muy Alta",N31="Mayor")),"Alto",IF(OR(AND(J31="Muy Baja",N31="Catastrófico"),AND(J31="Baja",N31="Catastrófico"),AND(J31="Media",N31="Catastrófico"),AND(J31="Alta",N31="Catastrófico"),AND(J31="Muy Alta",N31="Catastrófico")),"Extremo",""))))</f>
        <v/>
      </c>
      <c r="Q31" s="123">
        <v>1</v>
      </c>
      <c r="R31" s="124"/>
      <c r="S31" s="125" t="str">
        <f>IF(OR(T31="Preventivo",T31="Detectivo"),"Probabilidad",IF(T31="Correctivo","Impacto",""))</f>
        <v/>
      </c>
      <c r="T31" s="126"/>
      <c r="U31" s="126"/>
      <c r="V31" s="127" t="str">
        <f>IF(AND(T31="Preventivo",U31="Automático"),"50%",IF(AND(T31="Preventivo",U31="Manual"),"40%",IF(AND(T31="Detectivo",U31="Automático"),"40%",IF(AND(T31="Detectivo",U31="Manual"),"30%",IF(AND(T31="Correctivo",U31="Automático"),"35%",IF(AND(T31="Correctivo",U31="Manual"),"25%",""))))))</f>
        <v/>
      </c>
      <c r="W31" s="126"/>
      <c r="X31" s="126"/>
      <c r="Y31" s="126"/>
      <c r="Z31" s="8"/>
      <c r="AA31" s="8"/>
      <c r="AB31" s="8"/>
      <c r="AC31" s="8"/>
      <c r="AD31" s="8"/>
      <c r="AE31" s="8"/>
      <c r="AF31" s="8"/>
      <c r="AG31" s="8"/>
      <c r="AH31" s="8"/>
      <c r="AI31" s="8"/>
      <c r="AJ31" s="8"/>
      <c r="AK31" s="8"/>
      <c r="AL31" s="8"/>
      <c r="AM31" s="8"/>
      <c r="AN31" s="8"/>
      <c r="AO31" s="8"/>
      <c r="AP31" s="8"/>
      <c r="AQ31" s="8"/>
      <c r="AR31" s="8"/>
      <c r="AS31" s="8"/>
      <c r="AT31" s="8"/>
      <c r="AU31" s="8"/>
      <c r="AV31" s="8"/>
    </row>
    <row r="32" spans="1:48" ht="151.5" customHeight="1" x14ac:dyDescent="0.3">
      <c r="A32" s="223"/>
      <c r="B32" s="226"/>
      <c r="C32" s="226"/>
      <c r="D32" s="226"/>
      <c r="E32" s="130"/>
      <c r="F32" s="229"/>
      <c r="G32" s="226"/>
      <c r="H32" s="130"/>
      <c r="I32" s="232"/>
      <c r="J32" s="235"/>
      <c r="K32" s="217"/>
      <c r="L32" s="238"/>
      <c r="M32" s="217">
        <f ca="1">IF(NOT(ISERROR(MATCH(L32,_xlfn.ANCHORARRAY(F43),0))),K45&amp;"Por favor no seleccionar los criterios de impacto",L32)</f>
        <v>0</v>
      </c>
      <c r="N32" s="235"/>
      <c r="O32" s="217"/>
      <c r="P32" s="220"/>
      <c r="Q32" s="123">
        <v>2</v>
      </c>
      <c r="R32" s="124"/>
      <c r="S32" s="125" t="str">
        <f>IF(OR(T32="Preventivo",T32="Detectivo"),"Probabilidad",IF(T32="Correctivo","Impacto",""))</f>
        <v/>
      </c>
      <c r="T32" s="126"/>
      <c r="U32" s="126"/>
      <c r="V32" s="127" t="str">
        <f t="shared" ref="V32:V36" si="5">IF(AND(T32="Preventivo",U32="Automático"),"50%",IF(AND(T32="Preventivo",U32="Manual"),"40%",IF(AND(T32="Detectivo",U32="Automático"),"40%",IF(AND(T32="Detectivo",U32="Manual"),"30%",IF(AND(T32="Correctivo",U32="Automático"),"35%",IF(AND(T32="Correctivo",U32="Manual"),"25%",""))))))</f>
        <v/>
      </c>
      <c r="W32" s="126"/>
      <c r="X32" s="126"/>
      <c r="Y32" s="126"/>
      <c r="Z32" s="8"/>
      <c r="AA32" s="8"/>
      <c r="AB32" s="8"/>
      <c r="AC32" s="8"/>
      <c r="AD32" s="8"/>
      <c r="AE32" s="8"/>
      <c r="AF32" s="8"/>
      <c r="AG32" s="8"/>
      <c r="AH32" s="8"/>
      <c r="AI32" s="8"/>
      <c r="AJ32" s="8"/>
      <c r="AK32" s="8"/>
      <c r="AL32" s="8"/>
      <c r="AM32" s="8"/>
      <c r="AN32" s="8"/>
      <c r="AO32" s="8"/>
      <c r="AP32" s="8"/>
      <c r="AQ32" s="8"/>
      <c r="AR32" s="8"/>
      <c r="AS32" s="8"/>
      <c r="AT32" s="8"/>
      <c r="AU32" s="8"/>
      <c r="AV32" s="8"/>
    </row>
    <row r="33" spans="1:48" ht="151.5" customHeight="1" x14ac:dyDescent="0.3">
      <c r="A33" s="223"/>
      <c r="B33" s="226"/>
      <c r="C33" s="226"/>
      <c r="D33" s="226"/>
      <c r="E33" s="130"/>
      <c r="F33" s="229"/>
      <c r="G33" s="226"/>
      <c r="H33" s="130"/>
      <c r="I33" s="232"/>
      <c r="J33" s="235"/>
      <c r="K33" s="217"/>
      <c r="L33" s="238"/>
      <c r="M33" s="217">
        <f ca="1">IF(NOT(ISERROR(MATCH(L33,_xlfn.ANCHORARRAY(F44),0))),K46&amp;"Por favor no seleccionar los criterios de impacto",L33)</f>
        <v>0</v>
      </c>
      <c r="N33" s="235"/>
      <c r="O33" s="217"/>
      <c r="P33" s="220"/>
      <c r="Q33" s="123">
        <v>3</v>
      </c>
      <c r="R33" s="128"/>
      <c r="S33" s="125" t="str">
        <f>IF(OR(T33="Preventivo",T33="Detectivo"),"Probabilidad",IF(T33="Correctivo","Impacto",""))</f>
        <v/>
      </c>
      <c r="T33" s="126"/>
      <c r="U33" s="126"/>
      <c r="V33" s="127" t="str">
        <f t="shared" si="5"/>
        <v/>
      </c>
      <c r="W33" s="126"/>
      <c r="X33" s="126"/>
      <c r="Y33" s="126"/>
      <c r="Z33" s="8"/>
      <c r="AA33" s="8"/>
      <c r="AB33" s="8"/>
      <c r="AC33" s="8"/>
      <c r="AD33" s="8"/>
      <c r="AE33" s="8"/>
      <c r="AF33" s="8"/>
      <c r="AG33" s="8"/>
      <c r="AH33" s="8"/>
      <c r="AI33" s="8"/>
      <c r="AJ33" s="8"/>
      <c r="AK33" s="8"/>
      <c r="AL33" s="8"/>
      <c r="AM33" s="8"/>
      <c r="AN33" s="8"/>
      <c r="AO33" s="8"/>
      <c r="AP33" s="8"/>
      <c r="AQ33" s="8"/>
      <c r="AR33" s="8"/>
      <c r="AS33" s="8"/>
      <c r="AT33" s="8"/>
      <c r="AU33" s="8"/>
      <c r="AV33" s="8"/>
    </row>
    <row r="34" spans="1:48" ht="151.5" customHeight="1" x14ac:dyDescent="0.3">
      <c r="A34" s="223"/>
      <c r="B34" s="226"/>
      <c r="C34" s="226"/>
      <c r="D34" s="226"/>
      <c r="E34" s="130"/>
      <c r="F34" s="229"/>
      <c r="G34" s="226"/>
      <c r="H34" s="130"/>
      <c r="I34" s="232"/>
      <c r="J34" s="235"/>
      <c r="K34" s="217"/>
      <c r="L34" s="238"/>
      <c r="M34" s="217">
        <f ca="1">IF(NOT(ISERROR(MATCH(L34,_xlfn.ANCHORARRAY(F45),0))),K47&amp;"Por favor no seleccionar los criterios de impacto",L34)</f>
        <v>0</v>
      </c>
      <c r="N34" s="235"/>
      <c r="O34" s="217"/>
      <c r="P34" s="220"/>
      <c r="Q34" s="123">
        <v>4</v>
      </c>
      <c r="R34" s="124"/>
      <c r="S34" s="125" t="str">
        <f t="shared" ref="S34:S36" si="6">IF(OR(T34="Preventivo",T34="Detectivo"),"Probabilidad",IF(T34="Correctivo","Impacto",""))</f>
        <v/>
      </c>
      <c r="T34" s="126"/>
      <c r="U34" s="126"/>
      <c r="V34" s="127" t="str">
        <f t="shared" si="5"/>
        <v/>
      </c>
      <c r="W34" s="126"/>
      <c r="X34" s="126"/>
      <c r="Y34" s="126"/>
      <c r="Z34" s="8"/>
      <c r="AA34" s="8"/>
      <c r="AB34" s="8"/>
      <c r="AC34" s="8"/>
      <c r="AD34" s="8"/>
      <c r="AE34" s="8"/>
      <c r="AF34" s="8"/>
      <c r="AG34" s="8"/>
      <c r="AH34" s="8"/>
      <c r="AI34" s="8"/>
      <c r="AJ34" s="8"/>
      <c r="AK34" s="8"/>
      <c r="AL34" s="8"/>
      <c r="AM34" s="8"/>
      <c r="AN34" s="8"/>
      <c r="AO34" s="8"/>
      <c r="AP34" s="8"/>
      <c r="AQ34" s="8"/>
      <c r="AR34" s="8"/>
      <c r="AS34" s="8"/>
      <c r="AT34" s="8"/>
      <c r="AU34" s="8"/>
      <c r="AV34" s="8"/>
    </row>
    <row r="35" spans="1:48" ht="151.5" customHeight="1" x14ac:dyDescent="0.3">
      <c r="A35" s="223"/>
      <c r="B35" s="226"/>
      <c r="C35" s="226"/>
      <c r="D35" s="226"/>
      <c r="E35" s="130"/>
      <c r="F35" s="229"/>
      <c r="G35" s="226"/>
      <c r="H35" s="130"/>
      <c r="I35" s="232"/>
      <c r="J35" s="235"/>
      <c r="K35" s="217"/>
      <c r="L35" s="238"/>
      <c r="M35" s="217">
        <f ca="1">IF(NOT(ISERROR(MATCH(L35,_xlfn.ANCHORARRAY(F46),0))),K48&amp;"Por favor no seleccionar los criterios de impacto",L35)</f>
        <v>0</v>
      </c>
      <c r="N35" s="235"/>
      <c r="O35" s="217"/>
      <c r="P35" s="220"/>
      <c r="Q35" s="123">
        <v>5</v>
      </c>
      <c r="R35" s="124"/>
      <c r="S35" s="125" t="str">
        <f t="shared" si="6"/>
        <v/>
      </c>
      <c r="T35" s="126"/>
      <c r="U35" s="126"/>
      <c r="V35" s="127" t="str">
        <f t="shared" si="5"/>
        <v/>
      </c>
      <c r="W35" s="126"/>
      <c r="X35" s="126"/>
      <c r="Y35" s="126"/>
      <c r="Z35" s="8"/>
      <c r="AA35" s="8"/>
      <c r="AB35" s="8"/>
      <c r="AC35" s="8"/>
      <c r="AD35" s="8"/>
      <c r="AE35" s="8"/>
      <c r="AF35" s="8"/>
      <c r="AG35" s="8"/>
      <c r="AH35" s="8"/>
      <c r="AI35" s="8"/>
      <c r="AJ35" s="8"/>
      <c r="AK35" s="8"/>
      <c r="AL35" s="8"/>
      <c r="AM35" s="8"/>
      <c r="AN35" s="8"/>
      <c r="AO35" s="8"/>
      <c r="AP35" s="8"/>
      <c r="AQ35" s="8"/>
      <c r="AR35" s="8"/>
      <c r="AS35" s="8"/>
      <c r="AT35" s="8"/>
      <c r="AU35" s="8"/>
      <c r="AV35" s="8"/>
    </row>
    <row r="36" spans="1:48" ht="151.5" customHeight="1" x14ac:dyDescent="0.3">
      <c r="A36" s="224"/>
      <c r="B36" s="227"/>
      <c r="C36" s="227"/>
      <c r="D36" s="227"/>
      <c r="E36" s="131"/>
      <c r="F36" s="230"/>
      <c r="G36" s="227"/>
      <c r="H36" s="131"/>
      <c r="I36" s="233"/>
      <c r="J36" s="236"/>
      <c r="K36" s="218"/>
      <c r="L36" s="239"/>
      <c r="M36" s="218">
        <f ca="1">IF(NOT(ISERROR(MATCH(L36,_xlfn.ANCHORARRAY(F47),0))),K49&amp;"Por favor no seleccionar los criterios de impacto",L36)</f>
        <v>0</v>
      </c>
      <c r="N36" s="236"/>
      <c r="O36" s="218"/>
      <c r="P36" s="221"/>
      <c r="Q36" s="123">
        <v>6</v>
      </c>
      <c r="R36" s="124"/>
      <c r="S36" s="125" t="str">
        <f t="shared" si="6"/>
        <v/>
      </c>
      <c r="T36" s="126"/>
      <c r="U36" s="126"/>
      <c r="V36" s="127" t="str">
        <f t="shared" si="5"/>
        <v/>
      </c>
      <c r="W36" s="126"/>
      <c r="X36" s="126"/>
      <c r="Y36" s="126"/>
      <c r="Z36" s="8"/>
      <c r="AA36" s="8"/>
      <c r="AB36" s="8"/>
      <c r="AC36" s="8"/>
      <c r="AD36" s="8"/>
      <c r="AE36" s="8"/>
      <c r="AF36" s="8"/>
      <c r="AG36" s="8"/>
      <c r="AH36" s="8"/>
      <c r="AI36" s="8"/>
      <c r="AJ36" s="8"/>
      <c r="AK36" s="8"/>
      <c r="AL36" s="8"/>
      <c r="AM36" s="8"/>
      <c r="AN36" s="8"/>
      <c r="AO36" s="8"/>
      <c r="AP36" s="8"/>
      <c r="AQ36" s="8"/>
      <c r="AR36" s="8"/>
      <c r="AS36" s="8"/>
      <c r="AT36" s="8"/>
      <c r="AU36" s="8"/>
      <c r="AV36" s="8"/>
    </row>
    <row r="37" spans="1:48" ht="151.5" customHeight="1" x14ac:dyDescent="0.3">
      <c r="A37" s="222">
        <v>6</v>
      </c>
      <c r="B37" s="225"/>
      <c r="C37" s="225"/>
      <c r="D37" s="225"/>
      <c r="E37" s="129"/>
      <c r="F37" s="228"/>
      <c r="G37" s="225"/>
      <c r="H37" s="129"/>
      <c r="I37" s="231"/>
      <c r="J37" s="234" t="str">
        <f>IF(I37&lt;=0,"",IF(I37&lt;=2,"Muy Baja",IF(I37&lt;=24,"Baja",IF(I37&lt;=500,"Media",IF(I37&lt;=5000,"Alta","Muy Alta")))))</f>
        <v/>
      </c>
      <c r="K37" s="216" t="str">
        <f>IF(J37="","",IF(J37="Muy Baja",0.2,IF(J37="Baja",0.4,IF(J37="Media",0.6,IF(J37="Alta",0.8,IF(J37="Muy Alta",1,))))))</f>
        <v/>
      </c>
      <c r="L37" s="237"/>
      <c r="M37" s="216">
        <f ca="1">IF(NOT(ISERROR(MATCH(L37,'Tabla Impacto'!$B$221:$B$223,0))),'Tabla Impacto'!$F$223&amp;"Por favor no seleccionar los criterios de impacto(Afectación Económica o presupuestal y Pérdida Reputacional)",L37)</f>
        <v>0</v>
      </c>
      <c r="N37" s="234" t="str">
        <f ca="1">IF(OR(M37='Tabla Impacto'!$C$11,M37='Tabla Impacto'!$D$11),"Leve",IF(OR(M37='Tabla Impacto'!$C$12,M37='Tabla Impacto'!$D$12),"Menor",IF(OR(M37='Tabla Impacto'!$C$13,M37='Tabla Impacto'!$D$13),"Moderado",IF(OR(M37='Tabla Impacto'!$C$14,M37='Tabla Impacto'!$D$14),"Mayor",IF(OR(M37='Tabla Impacto'!$C$15,M37='Tabla Impacto'!$D$15),"Catastrófico","")))))</f>
        <v/>
      </c>
      <c r="O37" s="216" t="str">
        <f ca="1">IF(N37="","",IF(N37="Leve",0.2,IF(N37="Menor",0.4,IF(N37="Moderado",0.6,IF(N37="Mayor",0.8,IF(N37="Catastrófico",1,))))))</f>
        <v/>
      </c>
      <c r="P37" s="219" t="str">
        <f ca="1">IF(OR(AND(J37="Muy Baja",N37="Leve"),AND(J37="Muy Baja",N37="Menor"),AND(J37="Baja",N37="Leve")),"Bajo",IF(OR(AND(J37="Muy baja",N37="Moderado"),AND(J37="Baja",N37="Menor"),AND(J37="Baja",N37="Moderado"),AND(J37="Media",N37="Leve"),AND(J37="Media",N37="Menor"),AND(J37="Media",N37="Moderado"),AND(J37="Alta",N37="Leve"),AND(J37="Alta",N37="Menor")),"Moderado",IF(OR(AND(J37="Muy Baja",N37="Mayor"),AND(J37="Baja",N37="Mayor"),AND(J37="Media",N37="Mayor"),AND(J37="Alta",N37="Moderado"),AND(J37="Alta",N37="Mayor"),AND(J37="Muy Alta",N37="Leve"),AND(J37="Muy Alta",N37="Menor"),AND(J37="Muy Alta",N37="Moderado"),AND(J37="Muy Alta",N37="Mayor")),"Alto",IF(OR(AND(J37="Muy Baja",N37="Catastrófico"),AND(J37="Baja",N37="Catastrófico"),AND(J37="Media",N37="Catastrófico"),AND(J37="Alta",N37="Catastrófico"),AND(J37="Muy Alta",N37="Catastrófico")),"Extremo",""))))</f>
        <v/>
      </c>
      <c r="Q37" s="123">
        <v>1</v>
      </c>
      <c r="R37" s="124"/>
      <c r="S37" s="125" t="str">
        <f>IF(OR(T37="Preventivo",T37="Detectivo"),"Probabilidad",IF(T37="Correctivo","Impacto",""))</f>
        <v/>
      </c>
      <c r="T37" s="126"/>
      <c r="U37" s="126"/>
      <c r="V37" s="127" t="str">
        <f>IF(AND(T37="Preventivo",U37="Automático"),"50%",IF(AND(T37="Preventivo",U37="Manual"),"40%",IF(AND(T37="Detectivo",U37="Automático"),"40%",IF(AND(T37="Detectivo",U37="Manual"),"30%",IF(AND(T37="Correctivo",U37="Automático"),"35%",IF(AND(T37="Correctivo",U37="Manual"),"25%",""))))))</f>
        <v/>
      </c>
      <c r="W37" s="126"/>
      <c r="X37" s="126"/>
      <c r="Y37" s="126"/>
      <c r="Z37" s="8"/>
      <c r="AA37" s="8"/>
      <c r="AB37" s="8"/>
      <c r="AC37" s="8"/>
      <c r="AD37" s="8"/>
      <c r="AE37" s="8"/>
      <c r="AF37" s="8"/>
      <c r="AG37" s="8"/>
      <c r="AH37" s="8"/>
      <c r="AI37" s="8"/>
      <c r="AJ37" s="8"/>
      <c r="AK37" s="8"/>
      <c r="AL37" s="8"/>
      <c r="AM37" s="8"/>
      <c r="AN37" s="8"/>
      <c r="AO37" s="8"/>
      <c r="AP37" s="8"/>
      <c r="AQ37" s="8"/>
      <c r="AR37" s="8"/>
      <c r="AS37" s="8"/>
      <c r="AT37" s="8"/>
      <c r="AU37" s="8"/>
      <c r="AV37" s="8"/>
    </row>
    <row r="38" spans="1:48" ht="151.5" customHeight="1" x14ac:dyDescent="0.3">
      <c r="A38" s="223"/>
      <c r="B38" s="226"/>
      <c r="C38" s="226"/>
      <c r="D38" s="226"/>
      <c r="E38" s="130"/>
      <c r="F38" s="229"/>
      <c r="G38" s="226"/>
      <c r="H38" s="130"/>
      <c r="I38" s="232"/>
      <c r="J38" s="235"/>
      <c r="K38" s="217"/>
      <c r="L38" s="238"/>
      <c r="M38" s="217">
        <f ca="1">IF(NOT(ISERROR(MATCH(L38,_xlfn.ANCHORARRAY(F49),0))),K51&amp;"Por favor no seleccionar los criterios de impacto",L38)</f>
        <v>0</v>
      </c>
      <c r="N38" s="235"/>
      <c r="O38" s="217"/>
      <c r="P38" s="220"/>
      <c r="Q38" s="123">
        <v>2</v>
      </c>
      <c r="R38" s="124"/>
      <c r="S38" s="125" t="str">
        <f>IF(OR(T38="Preventivo",T38="Detectivo"),"Probabilidad",IF(T38="Correctivo","Impacto",""))</f>
        <v/>
      </c>
      <c r="T38" s="126"/>
      <c r="U38" s="126"/>
      <c r="V38" s="127" t="str">
        <f t="shared" ref="V38:V42" si="7">IF(AND(T38="Preventivo",U38="Automático"),"50%",IF(AND(T38="Preventivo",U38="Manual"),"40%",IF(AND(T38="Detectivo",U38="Automático"),"40%",IF(AND(T38="Detectivo",U38="Manual"),"30%",IF(AND(T38="Correctivo",U38="Automático"),"35%",IF(AND(T38="Correctivo",U38="Manual"),"25%",""))))))</f>
        <v/>
      </c>
      <c r="W38" s="126"/>
      <c r="X38" s="126"/>
      <c r="Y38" s="126"/>
      <c r="Z38" s="8"/>
      <c r="AA38" s="8"/>
      <c r="AB38" s="8"/>
      <c r="AC38" s="8"/>
      <c r="AD38" s="8"/>
      <c r="AE38" s="8"/>
      <c r="AF38" s="8"/>
      <c r="AG38" s="8"/>
      <c r="AH38" s="8"/>
      <c r="AI38" s="8"/>
      <c r="AJ38" s="8"/>
      <c r="AK38" s="8"/>
      <c r="AL38" s="8"/>
      <c r="AM38" s="8"/>
      <c r="AN38" s="8"/>
      <c r="AO38" s="8"/>
      <c r="AP38" s="8"/>
      <c r="AQ38" s="8"/>
      <c r="AR38" s="8"/>
      <c r="AS38" s="8"/>
      <c r="AT38" s="8"/>
      <c r="AU38" s="8"/>
      <c r="AV38" s="8"/>
    </row>
    <row r="39" spans="1:48" ht="151.5" customHeight="1" x14ac:dyDescent="0.3">
      <c r="A39" s="223"/>
      <c r="B39" s="226"/>
      <c r="C39" s="226"/>
      <c r="D39" s="226"/>
      <c r="E39" s="130"/>
      <c r="F39" s="229"/>
      <c r="G39" s="226"/>
      <c r="H39" s="130"/>
      <c r="I39" s="232"/>
      <c r="J39" s="235"/>
      <c r="K39" s="217"/>
      <c r="L39" s="238"/>
      <c r="M39" s="217">
        <f ca="1">IF(NOT(ISERROR(MATCH(L39,_xlfn.ANCHORARRAY(F50),0))),K52&amp;"Por favor no seleccionar los criterios de impacto",L39)</f>
        <v>0</v>
      </c>
      <c r="N39" s="235"/>
      <c r="O39" s="217"/>
      <c r="P39" s="220"/>
      <c r="Q39" s="123">
        <v>3</v>
      </c>
      <c r="R39" s="128"/>
      <c r="S39" s="125" t="str">
        <f>IF(OR(T39="Preventivo",T39="Detectivo"),"Probabilidad",IF(T39="Correctivo","Impacto",""))</f>
        <v/>
      </c>
      <c r="T39" s="126"/>
      <c r="U39" s="126"/>
      <c r="V39" s="127" t="str">
        <f t="shared" si="7"/>
        <v/>
      </c>
      <c r="W39" s="126"/>
      <c r="X39" s="126"/>
      <c r="Y39" s="126"/>
      <c r="Z39" s="8"/>
      <c r="AA39" s="8"/>
      <c r="AB39" s="8"/>
      <c r="AC39" s="8"/>
      <c r="AD39" s="8"/>
      <c r="AE39" s="8"/>
      <c r="AF39" s="8"/>
      <c r="AG39" s="8"/>
      <c r="AH39" s="8"/>
      <c r="AI39" s="8"/>
      <c r="AJ39" s="8"/>
      <c r="AK39" s="8"/>
      <c r="AL39" s="8"/>
      <c r="AM39" s="8"/>
      <c r="AN39" s="8"/>
      <c r="AO39" s="8"/>
      <c r="AP39" s="8"/>
      <c r="AQ39" s="8"/>
      <c r="AR39" s="8"/>
      <c r="AS39" s="8"/>
      <c r="AT39" s="8"/>
      <c r="AU39" s="8"/>
      <c r="AV39" s="8"/>
    </row>
    <row r="40" spans="1:48" ht="151.5" customHeight="1" x14ac:dyDescent="0.3">
      <c r="A40" s="223"/>
      <c r="B40" s="226"/>
      <c r="C40" s="226"/>
      <c r="D40" s="226"/>
      <c r="E40" s="130"/>
      <c r="F40" s="229"/>
      <c r="G40" s="226"/>
      <c r="H40" s="130"/>
      <c r="I40" s="232"/>
      <c r="J40" s="235"/>
      <c r="K40" s="217"/>
      <c r="L40" s="238"/>
      <c r="M40" s="217">
        <f ca="1">IF(NOT(ISERROR(MATCH(L40,_xlfn.ANCHORARRAY(F51),0))),K53&amp;"Por favor no seleccionar los criterios de impacto",L40)</f>
        <v>0</v>
      </c>
      <c r="N40" s="235"/>
      <c r="O40" s="217"/>
      <c r="P40" s="220"/>
      <c r="Q40" s="123">
        <v>4</v>
      </c>
      <c r="R40" s="124"/>
      <c r="S40" s="125" t="str">
        <f t="shared" ref="S40:S42" si="8">IF(OR(T40="Preventivo",T40="Detectivo"),"Probabilidad",IF(T40="Correctivo","Impacto",""))</f>
        <v/>
      </c>
      <c r="T40" s="126"/>
      <c r="U40" s="126"/>
      <c r="V40" s="127" t="str">
        <f t="shared" si="7"/>
        <v/>
      </c>
      <c r="W40" s="126"/>
      <c r="X40" s="126"/>
      <c r="Y40" s="126"/>
      <c r="Z40" s="8"/>
      <c r="AA40" s="8"/>
      <c r="AB40" s="8"/>
      <c r="AC40" s="8"/>
      <c r="AD40" s="8"/>
      <c r="AE40" s="8"/>
      <c r="AF40" s="8"/>
      <c r="AG40" s="8"/>
      <c r="AH40" s="8"/>
      <c r="AI40" s="8"/>
      <c r="AJ40" s="8"/>
      <c r="AK40" s="8"/>
      <c r="AL40" s="8"/>
      <c r="AM40" s="8"/>
      <c r="AN40" s="8"/>
      <c r="AO40" s="8"/>
      <c r="AP40" s="8"/>
      <c r="AQ40" s="8"/>
      <c r="AR40" s="8"/>
      <c r="AS40" s="8"/>
      <c r="AT40" s="8"/>
      <c r="AU40" s="8"/>
      <c r="AV40" s="8"/>
    </row>
    <row r="41" spans="1:48" ht="151.5" customHeight="1" x14ac:dyDescent="0.3">
      <c r="A41" s="223"/>
      <c r="B41" s="226"/>
      <c r="C41" s="226"/>
      <c r="D41" s="226"/>
      <c r="E41" s="130"/>
      <c r="F41" s="229"/>
      <c r="G41" s="226"/>
      <c r="H41" s="130"/>
      <c r="I41" s="232"/>
      <c r="J41" s="235"/>
      <c r="K41" s="217"/>
      <c r="L41" s="238"/>
      <c r="M41" s="217">
        <f ca="1">IF(NOT(ISERROR(MATCH(L41,_xlfn.ANCHORARRAY(F52),0))),K54&amp;"Por favor no seleccionar los criterios de impacto",L41)</f>
        <v>0</v>
      </c>
      <c r="N41" s="235"/>
      <c r="O41" s="217"/>
      <c r="P41" s="220"/>
      <c r="Q41" s="123">
        <v>5</v>
      </c>
      <c r="R41" s="124"/>
      <c r="S41" s="125" t="str">
        <f t="shared" si="8"/>
        <v/>
      </c>
      <c r="T41" s="126"/>
      <c r="U41" s="126"/>
      <c r="V41" s="127" t="str">
        <f t="shared" si="7"/>
        <v/>
      </c>
      <c r="W41" s="126"/>
      <c r="X41" s="126"/>
      <c r="Y41" s="126"/>
      <c r="Z41" s="8"/>
      <c r="AA41" s="8"/>
      <c r="AB41" s="8"/>
      <c r="AC41" s="8"/>
      <c r="AD41" s="8"/>
      <c r="AE41" s="8"/>
      <c r="AF41" s="8"/>
      <c r="AG41" s="8"/>
      <c r="AH41" s="8"/>
      <c r="AI41" s="8"/>
      <c r="AJ41" s="8"/>
      <c r="AK41" s="8"/>
      <c r="AL41" s="8"/>
      <c r="AM41" s="8"/>
      <c r="AN41" s="8"/>
      <c r="AO41" s="8"/>
      <c r="AP41" s="8"/>
      <c r="AQ41" s="8"/>
      <c r="AR41" s="8"/>
      <c r="AS41" s="8"/>
      <c r="AT41" s="8"/>
      <c r="AU41" s="8"/>
      <c r="AV41" s="8"/>
    </row>
    <row r="42" spans="1:48" ht="151.5" customHeight="1" x14ac:dyDescent="0.3">
      <c r="A42" s="224"/>
      <c r="B42" s="227"/>
      <c r="C42" s="227"/>
      <c r="D42" s="227"/>
      <c r="E42" s="131"/>
      <c r="F42" s="230"/>
      <c r="G42" s="227"/>
      <c r="H42" s="131"/>
      <c r="I42" s="233"/>
      <c r="J42" s="236"/>
      <c r="K42" s="218"/>
      <c r="L42" s="239"/>
      <c r="M42" s="218">
        <f ca="1">IF(NOT(ISERROR(MATCH(L42,_xlfn.ANCHORARRAY(F53),0))),K55&amp;"Por favor no seleccionar los criterios de impacto",L42)</f>
        <v>0</v>
      </c>
      <c r="N42" s="236"/>
      <c r="O42" s="218"/>
      <c r="P42" s="221"/>
      <c r="Q42" s="123">
        <v>6</v>
      </c>
      <c r="R42" s="124"/>
      <c r="S42" s="125" t="str">
        <f t="shared" si="8"/>
        <v/>
      </c>
      <c r="T42" s="126"/>
      <c r="U42" s="126"/>
      <c r="V42" s="127" t="str">
        <f t="shared" si="7"/>
        <v/>
      </c>
      <c r="W42" s="126"/>
      <c r="X42" s="126"/>
      <c r="Y42" s="126"/>
      <c r="Z42" s="8"/>
      <c r="AA42" s="8"/>
      <c r="AB42" s="8"/>
      <c r="AC42" s="8"/>
      <c r="AD42" s="8"/>
      <c r="AE42" s="8"/>
      <c r="AF42" s="8"/>
      <c r="AG42" s="8"/>
      <c r="AH42" s="8"/>
      <c r="AI42" s="8"/>
      <c r="AJ42" s="8"/>
      <c r="AK42" s="8"/>
      <c r="AL42" s="8"/>
      <c r="AM42" s="8"/>
      <c r="AN42" s="8"/>
      <c r="AO42" s="8"/>
      <c r="AP42" s="8"/>
      <c r="AQ42" s="8"/>
      <c r="AR42" s="8"/>
      <c r="AS42" s="8"/>
      <c r="AT42" s="8"/>
      <c r="AU42" s="8"/>
      <c r="AV42" s="8"/>
    </row>
    <row r="43" spans="1:48" ht="151.5" customHeight="1" x14ac:dyDescent="0.3">
      <c r="A43" s="222">
        <v>7</v>
      </c>
      <c r="B43" s="225"/>
      <c r="C43" s="225"/>
      <c r="D43" s="225"/>
      <c r="E43" s="129"/>
      <c r="F43" s="228"/>
      <c r="G43" s="225"/>
      <c r="H43" s="129"/>
      <c r="I43" s="231"/>
      <c r="J43" s="234" t="str">
        <f>IF(I43&lt;=0,"",IF(I43&lt;=2,"Muy Baja",IF(I43&lt;=24,"Baja",IF(I43&lt;=500,"Media",IF(I43&lt;=5000,"Alta","Muy Alta")))))</f>
        <v/>
      </c>
      <c r="K43" s="216" t="str">
        <f>IF(J43="","",IF(J43="Muy Baja",0.2,IF(J43="Baja",0.4,IF(J43="Media",0.6,IF(J43="Alta",0.8,IF(J43="Muy Alta",1,))))))</f>
        <v/>
      </c>
      <c r="L43" s="237"/>
      <c r="M43" s="216">
        <f ca="1">IF(NOT(ISERROR(MATCH(L43,'Tabla Impacto'!$B$221:$B$223,0))),'Tabla Impacto'!$F$223&amp;"Por favor no seleccionar los criterios de impacto(Afectación Económica o presupuestal y Pérdida Reputacional)",L43)</f>
        <v>0</v>
      </c>
      <c r="N43" s="234" t="str">
        <f ca="1">IF(OR(M43='Tabla Impacto'!$C$11,M43='Tabla Impacto'!$D$11),"Leve",IF(OR(M43='Tabla Impacto'!$C$12,M43='Tabla Impacto'!$D$12),"Menor",IF(OR(M43='Tabla Impacto'!$C$13,M43='Tabla Impacto'!$D$13),"Moderado",IF(OR(M43='Tabla Impacto'!$C$14,M43='Tabla Impacto'!$D$14),"Mayor",IF(OR(M43='Tabla Impacto'!$C$15,M43='Tabla Impacto'!$D$15),"Catastrófico","")))))</f>
        <v/>
      </c>
      <c r="O43" s="216" t="str">
        <f ca="1">IF(N43="","",IF(N43="Leve",0.2,IF(N43="Menor",0.4,IF(N43="Moderado",0.6,IF(N43="Mayor",0.8,IF(N43="Catastrófico",1,))))))</f>
        <v/>
      </c>
      <c r="P43" s="219" t="str">
        <f ca="1">IF(OR(AND(J43="Muy Baja",N43="Leve"),AND(J43="Muy Baja",N43="Menor"),AND(J43="Baja",N43="Leve")),"Bajo",IF(OR(AND(J43="Muy baja",N43="Moderado"),AND(J43="Baja",N43="Menor"),AND(J43="Baja",N43="Moderado"),AND(J43="Media",N43="Leve"),AND(J43="Media",N43="Menor"),AND(J43="Media",N43="Moderado"),AND(J43="Alta",N43="Leve"),AND(J43="Alta",N43="Menor")),"Moderado",IF(OR(AND(J43="Muy Baja",N43="Mayor"),AND(J43="Baja",N43="Mayor"),AND(J43="Media",N43="Mayor"),AND(J43="Alta",N43="Moderado"),AND(J43="Alta",N43="Mayor"),AND(J43="Muy Alta",N43="Leve"),AND(J43="Muy Alta",N43="Menor"),AND(J43="Muy Alta",N43="Moderado"),AND(J43="Muy Alta",N43="Mayor")),"Alto",IF(OR(AND(J43="Muy Baja",N43="Catastrófico"),AND(J43="Baja",N43="Catastrófico"),AND(J43="Media",N43="Catastrófico"),AND(J43="Alta",N43="Catastrófico"),AND(J43="Muy Alta",N43="Catastrófico")),"Extremo",""))))</f>
        <v/>
      </c>
      <c r="Q43" s="123">
        <v>1</v>
      </c>
      <c r="R43" s="124"/>
      <c r="S43" s="125" t="str">
        <f>IF(OR(T43="Preventivo",T43="Detectivo"),"Probabilidad",IF(T43="Correctivo","Impacto",""))</f>
        <v/>
      </c>
      <c r="T43" s="126"/>
      <c r="U43" s="126"/>
      <c r="V43" s="127" t="str">
        <f>IF(AND(T43="Preventivo",U43="Automático"),"50%",IF(AND(T43="Preventivo",U43="Manual"),"40%",IF(AND(T43="Detectivo",U43="Automático"),"40%",IF(AND(T43="Detectivo",U43="Manual"),"30%",IF(AND(T43="Correctivo",U43="Automático"),"35%",IF(AND(T43="Correctivo",U43="Manual"),"25%",""))))))</f>
        <v/>
      </c>
      <c r="W43" s="126"/>
      <c r="X43" s="126"/>
      <c r="Y43" s="126"/>
      <c r="Z43" s="8"/>
      <c r="AA43" s="8"/>
      <c r="AB43" s="8"/>
      <c r="AC43" s="8"/>
      <c r="AD43" s="8"/>
      <c r="AE43" s="8"/>
      <c r="AF43" s="8"/>
      <c r="AG43" s="8"/>
      <c r="AH43" s="8"/>
      <c r="AI43" s="8"/>
      <c r="AJ43" s="8"/>
      <c r="AK43" s="8"/>
      <c r="AL43" s="8"/>
      <c r="AM43" s="8"/>
      <c r="AN43" s="8"/>
      <c r="AO43" s="8"/>
      <c r="AP43" s="8"/>
      <c r="AQ43" s="8"/>
      <c r="AR43" s="8"/>
      <c r="AS43" s="8"/>
      <c r="AT43" s="8"/>
      <c r="AU43" s="8"/>
      <c r="AV43" s="8"/>
    </row>
    <row r="44" spans="1:48" ht="151.5" customHeight="1" x14ac:dyDescent="0.3">
      <c r="A44" s="223"/>
      <c r="B44" s="226"/>
      <c r="C44" s="226"/>
      <c r="D44" s="226"/>
      <c r="E44" s="130"/>
      <c r="F44" s="229"/>
      <c r="G44" s="226"/>
      <c r="H44" s="130"/>
      <c r="I44" s="232"/>
      <c r="J44" s="235"/>
      <c r="K44" s="217"/>
      <c r="L44" s="238"/>
      <c r="M44" s="217">
        <f ca="1">IF(NOT(ISERROR(MATCH(L44,_xlfn.ANCHORARRAY(F55),0))),K57&amp;"Por favor no seleccionar los criterios de impacto",L44)</f>
        <v>0</v>
      </c>
      <c r="N44" s="235"/>
      <c r="O44" s="217"/>
      <c r="P44" s="220"/>
      <c r="Q44" s="123">
        <v>2</v>
      </c>
      <c r="R44" s="124"/>
      <c r="S44" s="125" t="str">
        <f>IF(OR(T44="Preventivo",T44="Detectivo"),"Probabilidad",IF(T44="Correctivo","Impacto",""))</f>
        <v/>
      </c>
      <c r="T44" s="126"/>
      <c r="U44" s="126"/>
      <c r="V44" s="127" t="str">
        <f t="shared" ref="V44:V48" si="9">IF(AND(T44="Preventivo",U44="Automático"),"50%",IF(AND(T44="Preventivo",U44="Manual"),"40%",IF(AND(T44="Detectivo",U44="Automático"),"40%",IF(AND(T44="Detectivo",U44="Manual"),"30%",IF(AND(T44="Correctivo",U44="Automático"),"35%",IF(AND(T44="Correctivo",U44="Manual"),"25%",""))))))</f>
        <v/>
      </c>
      <c r="W44" s="126"/>
      <c r="X44" s="126"/>
      <c r="Y44" s="126"/>
      <c r="Z44" s="8"/>
      <c r="AA44" s="8"/>
      <c r="AB44" s="8"/>
      <c r="AC44" s="8"/>
      <c r="AD44" s="8"/>
      <c r="AE44" s="8"/>
      <c r="AF44" s="8"/>
      <c r="AG44" s="8"/>
      <c r="AH44" s="8"/>
      <c r="AI44" s="8"/>
      <c r="AJ44" s="8"/>
      <c r="AK44" s="8"/>
      <c r="AL44" s="8"/>
      <c r="AM44" s="8"/>
      <c r="AN44" s="8"/>
      <c r="AO44" s="8"/>
      <c r="AP44" s="8"/>
      <c r="AQ44" s="8"/>
      <c r="AR44" s="8"/>
      <c r="AS44" s="8"/>
      <c r="AT44" s="8"/>
      <c r="AU44" s="8"/>
      <c r="AV44" s="8"/>
    </row>
    <row r="45" spans="1:48" ht="151.5" customHeight="1" x14ac:dyDescent="0.3">
      <c r="A45" s="223"/>
      <c r="B45" s="226"/>
      <c r="C45" s="226"/>
      <c r="D45" s="226"/>
      <c r="E45" s="130"/>
      <c r="F45" s="229"/>
      <c r="G45" s="226"/>
      <c r="H45" s="130"/>
      <c r="I45" s="232"/>
      <c r="J45" s="235"/>
      <c r="K45" s="217"/>
      <c r="L45" s="238"/>
      <c r="M45" s="217">
        <f ca="1">IF(NOT(ISERROR(MATCH(L45,_xlfn.ANCHORARRAY(F56),0))),K58&amp;"Por favor no seleccionar los criterios de impacto",L45)</f>
        <v>0</v>
      </c>
      <c r="N45" s="235"/>
      <c r="O45" s="217"/>
      <c r="P45" s="220"/>
      <c r="Q45" s="123">
        <v>3</v>
      </c>
      <c r="R45" s="128"/>
      <c r="S45" s="125" t="str">
        <f>IF(OR(T45="Preventivo",T45="Detectivo"),"Probabilidad",IF(T45="Correctivo","Impacto",""))</f>
        <v/>
      </c>
      <c r="T45" s="126"/>
      <c r="U45" s="126"/>
      <c r="V45" s="127" t="str">
        <f t="shared" si="9"/>
        <v/>
      </c>
      <c r="W45" s="126"/>
      <c r="X45" s="126"/>
      <c r="Y45" s="126"/>
      <c r="Z45" s="8"/>
      <c r="AA45" s="8"/>
      <c r="AB45" s="8"/>
      <c r="AC45" s="8"/>
      <c r="AD45" s="8"/>
      <c r="AE45" s="8"/>
      <c r="AF45" s="8"/>
      <c r="AG45" s="8"/>
      <c r="AH45" s="8"/>
      <c r="AI45" s="8"/>
      <c r="AJ45" s="8"/>
      <c r="AK45" s="8"/>
      <c r="AL45" s="8"/>
      <c r="AM45" s="8"/>
      <c r="AN45" s="8"/>
      <c r="AO45" s="8"/>
      <c r="AP45" s="8"/>
      <c r="AQ45" s="8"/>
      <c r="AR45" s="8"/>
      <c r="AS45" s="8"/>
      <c r="AT45" s="8"/>
      <c r="AU45" s="8"/>
      <c r="AV45" s="8"/>
    </row>
    <row r="46" spans="1:48" ht="151.5" customHeight="1" x14ac:dyDescent="0.3">
      <c r="A46" s="223"/>
      <c r="B46" s="226"/>
      <c r="C46" s="226"/>
      <c r="D46" s="226"/>
      <c r="E46" s="130"/>
      <c r="F46" s="229"/>
      <c r="G46" s="226"/>
      <c r="H46" s="130"/>
      <c r="I46" s="232"/>
      <c r="J46" s="235"/>
      <c r="K46" s="217"/>
      <c r="L46" s="238"/>
      <c r="M46" s="217">
        <f ca="1">IF(NOT(ISERROR(MATCH(L46,_xlfn.ANCHORARRAY(F57),0))),K59&amp;"Por favor no seleccionar los criterios de impacto",L46)</f>
        <v>0</v>
      </c>
      <c r="N46" s="235"/>
      <c r="O46" s="217"/>
      <c r="P46" s="220"/>
      <c r="Q46" s="123">
        <v>4</v>
      </c>
      <c r="R46" s="124"/>
      <c r="S46" s="125" t="str">
        <f t="shared" ref="S46:S48" si="10">IF(OR(T46="Preventivo",T46="Detectivo"),"Probabilidad",IF(T46="Correctivo","Impacto",""))</f>
        <v/>
      </c>
      <c r="T46" s="126"/>
      <c r="U46" s="126"/>
      <c r="V46" s="127" t="str">
        <f t="shared" si="9"/>
        <v/>
      </c>
      <c r="W46" s="126"/>
      <c r="X46" s="126"/>
      <c r="Y46" s="126"/>
      <c r="Z46" s="8"/>
      <c r="AA46" s="8"/>
      <c r="AB46" s="8"/>
      <c r="AC46" s="8"/>
      <c r="AD46" s="8"/>
      <c r="AE46" s="8"/>
      <c r="AF46" s="8"/>
      <c r="AG46" s="8"/>
      <c r="AH46" s="8"/>
      <c r="AI46" s="8"/>
      <c r="AJ46" s="8"/>
      <c r="AK46" s="8"/>
      <c r="AL46" s="8"/>
      <c r="AM46" s="8"/>
      <c r="AN46" s="8"/>
      <c r="AO46" s="8"/>
      <c r="AP46" s="8"/>
      <c r="AQ46" s="8"/>
      <c r="AR46" s="8"/>
      <c r="AS46" s="8"/>
      <c r="AT46" s="8"/>
      <c r="AU46" s="8"/>
      <c r="AV46" s="8"/>
    </row>
    <row r="47" spans="1:48" ht="151.5" customHeight="1" x14ac:dyDescent="0.3">
      <c r="A47" s="223"/>
      <c r="B47" s="226"/>
      <c r="C47" s="226"/>
      <c r="D47" s="226"/>
      <c r="E47" s="130"/>
      <c r="F47" s="229"/>
      <c r="G47" s="226"/>
      <c r="H47" s="130"/>
      <c r="I47" s="232"/>
      <c r="J47" s="235"/>
      <c r="K47" s="217"/>
      <c r="L47" s="238"/>
      <c r="M47" s="217">
        <f ca="1">IF(NOT(ISERROR(MATCH(L47,_xlfn.ANCHORARRAY(F58),0))),K60&amp;"Por favor no seleccionar los criterios de impacto",L47)</f>
        <v>0</v>
      </c>
      <c r="N47" s="235"/>
      <c r="O47" s="217"/>
      <c r="P47" s="220"/>
      <c r="Q47" s="123">
        <v>5</v>
      </c>
      <c r="R47" s="124"/>
      <c r="S47" s="125" t="str">
        <f t="shared" si="10"/>
        <v/>
      </c>
      <c r="T47" s="126"/>
      <c r="U47" s="126"/>
      <c r="V47" s="127" t="str">
        <f t="shared" si="9"/>
        <v/>
      </c>
      <c r="W47" s="126"/>
      <c r="X47" s="126"/>
      <c r="Y47" s="126"/>
      <c r="Z47" s="8"/>
      <c r="AA47" s="8"/>
      <c r="AB47" s="8"/>
      <c r="AC47" s="8"/>
      <c r="AD47" s="8"/>
      <c r="AE47" s="8"/>
      <c r="AF47" s="8"/>
      <c r="AG47" s="8"/>
      <c r="AH47" s="8"/>
      <c r="AI47" s="8"/>
      <c r="AJ47" s="8"/>
      <c r="AK47" s="8"/>
      <c r="AL47" s="8"/>
      <c r="AM47" s="8"/>
      <c r="AN47" s="8"/>
      <c r="AO47" s="8"/>
      <c r="AP47" s="8"/>
      <c r="AQ47" s="8"/>
      <c r="AR47" s="8"/>
      <c r="AS47" s="8"/>
      <c r="AT47" s="8"/>
      <c r="AU47" s="8"/>
      <c r="AV47" s="8"/>
    </row>
    <row r="48" spans="1:48" ht="151.5" customHeight="1" x14ac:dyDescent="0.3">
      <c r="A48" s="224"/>
      <c r="B48" s="227"/>
      <c r="C48" s="227"/>
      <c r="D48" s="227"/>
      <c r="E48" s="131"/>
      <c r="F48" s="230"/>
      <c r="G48" s="227"/>
      <c r="H48" s="131"/>
      <c r="I48" s="233"/>
      <c r="J48" s="236"/>
      <c r="K48" s="218"/>
      <c r="L48" s="239"/>
      <c r="M48" s="218">
        <f ca="1">IF(NOT(ISERROR(MATCH(L48,_xlfn.ANCHORARRAY(F59),0))),K61&amp;"Por favor no seleccionar los criterios de impacto",L48)</f>
        <v>0</v>
      </c>
      <c r="N48" s="236"/>
      <c r="O48" s="218"/>
      <c r="P48" s="221"/>
      <c r="Q48" s="123">
        <v>6</v>
      </c>
      <c r="R48" s="124"/>
      <c r="S48" s="125" t="str">
        <f t="shared" si="10"/>
        <v/>
      </c>
      <c r="T48" s="126"/>
      <c r="U48" s="126"/>
      <c r="V48" s="127" t="str">
        <f t="shared" si="9"/>
        <v/>
      </c>
      <c r="W48" s="126"/>
      <c r="X48" s="126"/>
      <c r="Y48" s="126"/>
      <c r="Z48" s="8"/>
      <c r="AA48" s="8"/>
      <c r="AB48" s="8"/>
      <c r="AC48" s="8"/>
      <c r="AD48" s="8"/>
      <c r="AE48" s="8"/>
      <c r="AF48" s="8"/>
      <c r="AG48" s="8"/>
      <c r="AH48" s="8"/>
      <c r="AI48" s="8"/>
      <c r="AJ48" s="8"/>
      <c r="AK48" s="8"/>
      <c r="AL48" s="8"/>
      <c r="AM48" s="8"/>
      <c r="AN48" s="8"/>
      <c r="AO48" s="8"/>
      <c r="AP48" s="8"/>
      <c r="AQ48" s="8"/>
      <c r="AR48" s="8"/>
      <c r="AS48" s="8"/>
      <c r="AT48" s="8"/>
      <c r="AU48" s="8"/>
      <c r="AV48" s="8"/>
    </row>
    <row r="49" spans="1:48" ht="151.5" customHeight="1" x14ac:dyDescent="0.3">
      <c r="A49" s="222">
        <v>8</v>
      </c>
      <c r="B49" s="225"/>
      <c r="C49" s="225"/>
      <c r="D49" s="225"/>
      <c r="E49" s="129"/>
      <c r="F49" s="228"/>
      <c r="G49" s="225"/>
      <c r="H49" s="129"/>
      <c r="I49" s="231"/>
      <c r="J49" s="234" t="str">
        <f>IF(I49&lt;=0,"",IF(I49&lt;=2,"Muy Baja",IF(I49&lt;=24,"Baja",IF(I49&lt;=500,"Media",IF(I49&lt;=5000,"Alta","Muy Alta")))))</f>
        <v/>
      </c>
      <c r="K49" s="216" t="str">
        <f>IF(J49="","",IF(J49="Muy Baja",0.2,IF(J49="Baja",0.4,IF(J49="Media",0.6,IF(J49="Alta",0.8,IF(J49="Muy Alta",1,))))))</f>
        <v/>
      </c>
      <c r="L49" s="237"/>
      <c r="M49" s="216">
        <f ca="1">IF(NOT(ISERROR(MATCH(L49,'Tabla Impacto'!$B$221:$B$223,0))),'Tabla Impacto'!$F$223&amp;"Por favor no seleccionar los criterios de impacto(Afectación Económica o presupuestal y Pérdida Reputacional)",L49)</f>
        <v>0</v>
      </c>
      <c r="N49" s="234" t="str">
        <f ca="1">IF(OR(M49='Tabla Impacto'!$C$11,M49='Tabla Impacto'!$D$11),"Leve",IF(OR(M49='Tabla Impacto'!$C$12,M49='Tabla Impacto'!$D$12),"Menor",IF(OR(M49='Tabla Impacto'!$C$13,M49='Tabla Impacto'!$D$13),"Moderado",IF(OR(M49='Tabla Impacto'!$C$14,M49='Tabla Impacto'!$D$14),"Mayor",IF(OR(M49='Tabla Impacto'!$C$15,M49='Tabla Impacto'!$D$15),"Catastrófico","")))))</f>
        <v/>
      </c>
      <c r="O49" s="216" t="str">
        <f ca="1">IF(N49="","",IF(N49="Leve",0.2,IF(N49="Menor",0.4,IF(N49="Moderado",0.6,IF(N49="Mayor",0.8,IF(N49="Catastrófico",1,))))))</f>
        <v/>
      </c>
      <c r="P49" s="219" t="str">
        <f ca="1">IF(OR(AND(J49="Muy Baja",N49="Leve"),AND(J49="Muy Baja",N49="Menor"),AND(J49="Baja",N49="Leve")),"Bajo",IF(OR(AND(J49="Muy baja",N49="Moderado"),AND(J49="Baja",N49="Menor"),AND(J49="Baja",N49="Moderado"),AND(J49="Media",N49="Leve"),AND(J49="Media",N49="Menor"),AND(J49="Media",N49="Moderado"),AND(J49="Alta",N49="Leve"),AND(J49="Alta",N49="Menor")),"Moderado",IF(OR(AND(J49="Muy Baja",N49="Mayor"),AND(J49="Baja",N49="Mayor"),AND(J49="Media",N49="Mayor"),AND(J49="Alta",N49="Moderado"),AND(J49="Alta",N49="Mayor"),AND(J49="Muy Alta",N49="Leve"),AND(J49="Muy Alta",N49="Menor"),AND(J49="Muy Alta",N49="Moderado"),AND(J49="Muy Alta",N49="Mayor")),"Alto",IF(OR(AND(J49="Muy Baja",N49="Catastrófico"),AND(J49="Baja",N49="Catastrófico"),AND(J49="Media",N49="Catastrófico"),AND(J49="Alta",N49="Catastrófico"),AND(J49="Muy Alta",N49="Catastrófico")),"Extremo",""))))</f>
        <v/>
      </c>
      <c r="Q49" s="123">
        <v>1</v>
      </c>
      <c r="R49" s="124"/>
      <c r="S49" s="125" t="str">
        <f>IF(OR(T49="Preventivo",T49="Detectivo"),"Probabilidad",IF(T49="Correctivo","Impacto",""))</f>
        <v/>
      </c>
      <c r="T49" s="126"/>
      <c r="U49" s="126"/>
      <c r="V49" s="127" t="str">
        <f>IF(AND(T49="Preventivo",U49="Automático"),"50%",IF(AND(T49="Preventivo",U49="Manual"),"40%",IF(AND(T49="Detectivo",U49="Automático"),"40%",IF(AND(T49="Detectivo",U49="Manual"),"30%",IF(AND(T49="Correctivo",U49="Automático"),"35%",IF(AND(T49="Correctivo",U49="Manual"),"25%",""))))))</f>
        <v/>
      </c>
      <c r="W49" s="126"/>
      <c r="X49" s="126"/>
      <c r="Y49" s="126"/>
      <c r="Z49" s="8"/>
      <c r="AA49" s="8"/>
      <c r="AB49" s="8"/>
      <c r="AC49" s="8"/>
      <c r="AD49" s="8"/>
      <c r="AE49" s="8"/>
      <c r="AF49" s="8"/>
      <c r="AG49" s="8"/>
      <c r="AH49" s="8"/>
      <c r="AI49" s="8"/>
      <c r="AJ49" s="8"/>
      <c r="AK49" s="8"/>
      <c r="AL49" s="8"/>
      <c r="AM49" s="8"/>
      <c r="AN49" s="8"/>
      <c r="AO49" s="8"/>
      <c r="AP49" s="8"/>
      <c r="AQ49" s="8"/>
      <c r="AR49" s="8"/>
      <c r="AS49" s="8"/>
      <c r="AT49" s="8"/>
      <c r="AU49" s="8"/>
      <c r="AV49" s="8"/>
    </row>
    <row r="50" spans="1:48" ht="151.5" customHeight="1" x14ac:dyDescent="0.3">
      <c r="A50" s="223"/>
      <c r="B50" s="226"/>
      <c r="C50" s="226"/>
      <c r="D50" s="226"/>
      <c r="E50" s="130"/>
      <c r="F50" s="229"/>
      <c r="G50" s="226"/>
      <c r="H50" s="130"/>
      <c r="I50" s="232"/>
      <c r="J50" s="235"/>
      <c r="K50" s="217"/>
      <c r="L50" s="238"/>
      <c r="M50" s="217">
        <f ca="1">IF(NOT(ISERROR(MATCH(L50,_xlfn.ANCHORARRAY(F61),0))),K63&amp;"Por favor no seleccionar los criterios de impacto",L50)</f>
        <v>0</v>
      </c>
      <c r="N50" s="235"/>
      <c r="O50" s="217"/>
      <c r="P50" s="220"/>
      <c r="Q50" s="123">
        <v>2</v>
      </c>
      <c r="R50" s="124"/>
      <c r="S50" s="125" t="str">
        <f>IF(OR(T50="Preventivo",T50="Detectivo"),"Probabilidad",IF(T50="Correctivo","Impacto",""))</f>
        <v/>
      </c>
      <c r="T50" s="126"/>
      <c r="U50" s="126"/>
      <c r="V50" s="127" t="str">
        <f t="shared" ref="V50:V54" si="11">IF(AND(T50="Preventivo",U50="Automático"),"50%",IF(AND(T50="Preventivo",U50="Manual"),"40%",IF(AND(T50="Detectivo",U50="Automático"),"40%",IF(AND(T50="Detectivo",U50="Manual"),"30%",IF(AND(T50="Correctivo",U50="Automático"),"35%",IF(AND(T50="Correctivo",U50="Manual"),"25%",""))))))</f>
        <v/>
      </c>
      <c r="W50" s="126"/>
      <c r="X50" s="126"/>
      <c r="Y50" s="126"/>
      <c r="Z50" s="8"/>
      <c r="AA50" s="8"/>
      <c r="AB50" s="8"/>
      <c r="AC50" s="8"/>
      <c r="AD50" s="8"/>
      <c r="AE50" s="8"/>
      <c r="AF50" s="8"/>
      <c r="AG50" s="8"/>
      <c r="AH50" s="8"/>
      <c r="AI50" s="8"/>
      <c r="AJ50" s="8"/>
      <c r="AK50" s="8"/>
      <c r="AL50" s="8"/>
      <c r="AM50" s="8"/>
      <c r="AN50" s="8"/>
      <c r="AO50" s="8"/>
      <c r="AP50" s="8"/>
      <c r="AQ50" s="8"/>
      <c r="AR50" s="8"/>
      <c r="AS50" s="8"/>
      <c r="AT50" s="8"/>
      <c r="AU50" s="8"/>
      <c r="AV50" s="8"/>
    </row>
    <row r="51" spans="1:48" ht="151.5" customHeight="1" x14ac:dyDescent="0.3">
      <c r="A51" s="223"/>
      <c r="B51" s="226"/>
      <c r="C51" s="226"/>
      <c r="D51" s="226"/>
      <c r="E51" s="130"/>
      <c r="F51" s="229"/>
      <c r="G51" s="226"/>
      <c r="H51" s="130"/>
      <c r="I51" s="232"/>
      <c r="J51" s="235"/>
      <c r="K51" s="217"/>
      <c r="L51" s="238"/>
      <c r="M51" s="217">
        <f ca="1">IF(NOT(ISERROR(MATCH(L51,_xlfn.ANCHORARRAY(F62),0))),K64&amp;"Por favor no seleccionar los criterios de impacto",L51)</f>
        <v>0</v>
      </c>
      <c r="N51" s="235"/>
      <c r="O51" s="217"/>
      <c r="P51" s="220"/>
      <c r="Q51" s="123">
        <v>3</v>
      </c>
      <c r="R51" s="128"/>
      <c r="S51" s="125" t="str">
        <f>IF(OR(T51="Preventivo",T51="Detectivo"),"Probabilidad",IF(T51="Correctivo","Impacto",""))</f>
        <v/>
      </c>
      <c r="T51" s="126"/>
      <c r="U51" s="126"/>
      <c r="V51" s="127" t="str">
        <f t="shared" si="11"/>
        <v/>
      </c>
      <c r="W51" s="126"/>
      <c r="X51" s="126"/>
      <c r="Y51" s="126"/>
      <c r="Z51" s="8"/>
      <c r="AA51" s="8"/>
      <c r="AB51" s="8"/>
      <c r="AC51" s="8"/>
      <c r="AD51" s="8"/>
      <c r="AE51" s="8"/>
      <c r="AF51" s="8"/>
      <c r="AG51" s="8"/>
      <c r="AH51" s="8"/>
      <c r="AI51" s="8"/>
      <c r="AJ51" s="8"/>
      <c r="AK51" s="8"/>
      <c r="AL51" s="8"/>
      <c r="AM51" s="8"/>
      <c r="AN51" s="8"/>
      <c r="AO51" s="8"/>
      <c r="AP51" s="8"/>
      <c r="AQ51" s="8"/>
      <c r="AR51" s="8"/>
      <c r="AS51" s="8"/>
      <c r="AT51" s="8"/>
      <c r="AU51" s="8"/>
      <c r="AV51" s="8"/>
    </row>
    <row r="52" spans="1:48" ht="151.5" customHeight="1" x14ac:dyDescent="0.3">
      <c r="A52" s="223"/>
      <c r="B52" s="226"/>
      <c r="C52" s="226"/>
      <c r="D52" s="226"/>
      <c r="E52" s="130"/>
      <c r="F52" s="229"/>
      <c r="G52" s="226"/>
      <c r="H52" s="130"/>
      <c r="I52" s="232"/>
      <c r="J52" s="235"/>
      <c r="K52" s="217"/>
      <c r="L52" s="238"/>
      <c r="M52" s="217">
        <f ca="1">IF(NOT(ISERROR(MATCH(L52,_xlfn.ANCHORARRAY(F63),0))),K65&amp;"Por favor no seleccionar los criterios de impacto",L52)</f>
        <v>0</v>
      </c>
      <c r="N52" s="235"/>
      <c r="O52" s="217"/>
      <c r="P52" s="220"/>
      <c r="Q52" s="123">
        <v>4</v>
      </c>
      <c r="R52" s="124"/>
      <c r="S52" s="125" t="str">
        <f t="shared" ref="S52:S54" si="12">IF(OR(T52="Preventivo",T52="Detectivo"),"Probabilidad",IF(T52="Correctivo","Impacto",""))</f>
        <v/>
      </c>
      <c r="T52" s="126"/>
      <c r="U52" s="126"/>
      <c r="V52" s="127" t="str">
        <f t="shared" si="11"/>
        <v/>
      </c>
      <c r="W52" s="126"/>
      <c r="X52" s="126"/>
      <c r="Y52" s="126"/>
      <c r="Z52" s="8"/>
      <c r="AA52" s="8"/>
      <c r="AB52" s="8"/>
      <c r="AC52" s="8"/>
      <c r="AD52" s="8"/>
      <c r="AE52" s="8"/>
      <c r="AF52" s="8"/>
      <c r="AG52" s="8"/>
      <c r="AH52" s="8"/>
      <c r="AI52" s="8"/>
      <c r="AJ52" s="8"/>
      <c r="AK52" s="8"/>
      <c r="AL52" s="8"/>
      <c r="AM52" s="8"/>
      <c r="AN52" s="8"/>
      <c r="AO52" s="8"/>
      <c r="AP52" s="8"/>
      <c r="AQ52" s="8"/>
      <c r="AR52" s="8"/>
      <c r="AS52" s="8"/>
      <c r="AT52" s="8"/>
      <c r="AU52" s="8"/>
      <c r="AV52" s="8"/>
    </row>
    <row r="53" spans="1:48" ht="151.5" customHeight="1" x14ac:dyDescent="0.3">
      <c r="A53" s="223"/>
      <c r="B53" s="226"/>
      <c r="C53" s="226"/>
      <c r="D53" s="226"/>
      <c r="E53" s="130"/>
      <c r="F53" s="229"/>
      <c r="G53" s="226"/>
      <c r="H53" s="130"/>
      <c r="I53" s="232"/>
      <c r="J53" s="235"/>
      <c r="K53" s="217"/>
      <c r="L53" s="238"/>
      <c r="M53" s="217">
        <f ca="1">IF(NOT(ISERROR(MATCH(L53,_xlfn.ANCHORARRAY(F64),0))),K66&amp;"Por favor no seleccionar los criterios de impacto",L53)</f>
        <v>0</v>
      </c>
      <c r="N53" s="235"/>
      <c r="O53" s="217"/>
      <c r="P53" s="220"/>
      <c r="Q53" s="123">
        <v>5</v>
      </c>
      <c r="R53" s="124"/>
      <c r="S53" s="125" t="str">
        <f t="shared" si="12"/>
        <v/>
      </c>
      <c r="T53" s="126"/>
      <c r="U53" s="126"/>
      <c r="V53" s="127" t="str">
        <f t="shared" si="11"/>
        <v/>
      </c>
      <c r="W53" s="126"/>
      <c r="X53" s="126"/>
      <c r="Y53" s="126"/>
      <c r="Z53" s="8"/>
      <c r="AA53" s="8"/>
      <c r="AB53" s="8"/>
      <c r="AC53" s="8"/>
      <c r="AD53" s="8"/>
      <c r="AE53" s="8"/>
      <c r="AF53" s="8"/>
      <c r="AG53" s="8"/>
      <c r="AH53" s="8"/>
      <c r="AI53" s="8"/>
      <c r="AJ53" s="8"/>
      <c r="AK53" s="8"/>
      <c r="AL53" s="8"/>
      <c r="AM53" s="8"/>
      <c r="AN53" s="8"/>
      <c r="AO53" s="8"/>
      <c r="AP53" s="8"/>
      <c r="AQ53" s="8"/>
      <c r="AR53" s="8"/>
      <c r="AS53" s="8"/>
      <c r="AT53" s="8"/>
      <c r="AU53" s="8"/>
      <c r="AV53" s="8"/>
    </row>
    <row r="54" spans="1:48" ht="151.5" customHeight="1" x14ac:dyDescent="0.3">
      <c r="A54" s="224"/>
      <c r="B54" s="227"/>
      <c r="C54" s="227"/>
      <c r="D54" s="227"/>
      <c r="E54" s="131"/>
      <c r="F54" s="230"/>
      <c r="G54" s="227"/>
      <c r="H54" s="131"/>
      <c r="I54" s="233"/>
      <c r="J54" s="236"/>
      <c r="K54" s="218"/>
      <c r="L54" s="239"/>
      <c r="M54" s="218">
        <f ca="1">IF(NOT(ISERROR(MATCH(L54,_xlfn.ANCHORARRAY(F65),0))),K67&amp;"Por favor no seleccionar los criterios de impacto",L54)</f>
        <v>0</v>
      </c>
      <c r="N54" s="236"/>
      <c r="O54" s="218"/>
      <c r="P54" s="221"/>
      <c r="Q54" s="123">
        <v>6</v>
      </c>
      <c r="R54" s="124"/>
      <c r="S54" s="125" t="str">
        <f t="shared" si="12"/>
        <v/>
      </c>
      <c r="T54" s="126"/>
      <c r="U54" s="126"/>
      <c r="V54" s="127" t="str">
        <f t="shared" si="11"/>
        <v/>
      </c>
      <c r="W54" s="126"/>
      <c r="X54" s="126"/>
      <c r="Y54" s="126"/>
      <c r="Z54" s="8"/>
      <c r="AA54" s="8"/>
      <c r="AB54" s="8"/>
      <c r="AC54" s="8"/>
      <c r="AD54" s="8"/>
      <c r="AE54" s="8"/>
      <c r="AF54" s="8"/>
      <c r="AG54" s="8"/>
      <c r="AH54" s="8"/>
      <c r="AI54" s="8"/>
      <c r="AJ54" s="8"/>
      <c r="AK54" s="8"/>
      <c r="AL54" s="8"/>
      <c r="AM54" s="8"/>
      <c r="AN54" s="8"/>
      <c r="AO54" s="8"/>
      <c r="AP54" s="8"/>
      <c r="AQ54" s="8"/>
      <c r="AR54" s="8"/>
      <c r="AS54" s="8"/>
      <c r="AT54" s="8"/>
      <c r="AU54" s="8"/>
      <c r="AV54" s="8"/>
    </row>
    <row r="55" spans="1:48" ht="151.5" customHeight="1" x14ac:dyDescent="0.3">
      <c r="A55" s="222">
        <v>9</v>
      </c>
      <c r="B55" s="225"/>
      <c r="C55" s="225"/>
      <c r="D55" s="225"/>
      <c r="E55" s="129"/>
      <c r="F55" s="228"/>
      <c r="G55" s="225"/>
      <c r="H55" s="129"/>
      <c r="I55" s="231"/>
      <c r="J55" s="234" t="str">
        <f>IF(I55&lt;=0,"",IF(I55&lt;=2,"Muy Baja",IF(I55&lt;=24,"Baja",IF(I55&lt;=500,"Media",IF(I55&lt;=5000,"Alta","Muy Alta")))))</f>
        <v/>
      </c>
      <c r="K55" s="216" t="str">
        <f>IF(J55="","",IF(J55="Muy Baja",0.2,IF(J55="Baja",0.4,IF(J55="Media",0.6,IF(J55="Alta",0.8,IF(J55="Muy Alta",1,))))))</f>
        <v/>
      </c>
      <c r="L55" s="237"/>
      <c r="M55" s="216">
        <f ca="1">IF(NOT(ISERROR(MATCH(L55,'Tabla Impacto'!$B$221:$B$223,0))),'Tabla Impacto'!$F$223&amp;"Por favor no seleccionar los criterios de impacto(Afectación Económica o presupuestal y Pérdida Reputacional)",L55)</f>
        <v>0</v>
      </c>
      <c r="N55" s="234" t="str">
        <f ca="1">IF(OR(M55='Tabla Impacto'!$C$11,M55='Tabla Impacto'!$D$11),"Leve",IF(OR(M55='Tabla Impacto'!$C$12,M55='Tabla Impacto'!$D$12),"Menor",IF(OR(M55='Tabla Impacto'!$C$13,M55='Tabla Impacto'!$D$13),"Moderado",IF(OR(M55='Tabla Impacto'!$C$14,M55='Tabla Impacto'!$D$14),"Mayor",IF(OR(M55='Tabla Impacto'!$C$15,M55='Tabla Impacto'!$D$15),"Catastrófico","")))))</f>
        <v/>
      </c>
      <c r="O55" s="216" t="str">
        <f ca="1">IF(N55="","",IF(N55="Leve",0.2,IF(N55="Menor",0.4,IF(N55="Moderado",0.6,IF(N55="Mayor",0.8,IF(N55="Catastrófico",1,))))))</f>
        <v/>
      </c>
      <c r="P55" s="219" t="str">
        <f ca="1">IF(OR(AND(J55="Muy Baja",N55="Leve"),AND(J55="Muy Baja",N55="Menor"),AND(J55="Baja",N55="Leve")),"Bajo",IF(OR(AND(J55="Muy baja",N55="Moderado"),AND(J55="Baja",N55="Menor"),AND(J55="Baja",N55="Moderado"),AND(J55="Media",N55="Leve"),AND(J55="Media",N55="Menor"),AND(J55="Media",N55="Moderado"),AND(J55="Alta",N55="Leve"),AND(J55="Alta",N55="Menor")),"Moderado",IF(OR(AND(J55="Muy Baja",N55="Mayor"),AND(J55="Baja",N55="Mayor"),AND(J55="Media",N55="Mayor"),AND(J55="Alta",N55="Moderado"),AND(J55="Alta",N55="Mayor"),AND(J55="Muy Alta",N55="Leve"),AND(J55="Muy Alta",N55="Menor"),AND(J55="Muy Alta",N55="Moderado"),AND(J55="Muy Alta",N55="Mayor")),"Alto",IF(OR(AND(J55="Muy Baja",N55="Catastrófico"),AND(J55="Baja",N55="Catastrófico"),AND(J55="Media",N55="Catastrófico"),AND(J55="Alta",N55="Catastrófico"),AND(J55="Muy Alta",N55="Catastrófico")),"Extremo",""))))</f>
        <v/>
      </c>
      <c r="Q55" s="123">
        <v>1</v>
      </c>
      <c r="R55" s="124"/>
      <c r="S55" s="125" t="str">
        <f>IF(OR(T55="Preventivo",T55="Detectivo"),"Probabilidad",IF(T55="Correctivo","Impacto",""))</f>
        <v/>
      </c>
      <c r="T55" s="126"/>
      <c r="U55" s="126"/>
      <c r="V55" s="127" t="str">
        <f>IF(AND(T55="Preventivo",U55="Automático"),"50%",IF(AND(T55="Preventivo",U55="Manual"),"40%",IF(AND(T55="Detectivo",U55="Automático"),"40%",IF(AND(T55="Detectivo",U55="Manual"),"30%",IF(AND(T55="Correctivo",U55="Automático"),"35%",IF(AND(T55="Correctivo",U55="Manual"),"25%",""))))))</f>
        <v/>
      </c>
      <c r="W55" s="126"/>
      <c r="X55" s="126"/>
      <c r="Y55" s="126"/>
      <c r="Z55" s="8"/>
      <c r="AA55" s="8"/>
      <c r="AB55" s="8"/>
      <c r="AC55" s="8"/>
      <c r="AD55" s="8"/>
      <c r="AE55" s="8"/>
      <c r="AF55" s="8"/>
      <c r="AG55" s="8"/>
      <c r="AH55" s="8"/>
      <c r="AI55" s="8"/>
      <c r="AJ55" s="8"/>
      <c r="AK55" s="8"/>
      <c r="AL55" s="8"/>
      <c r="AM55" s="8"/>
      <c r="AN55" s="8"/>
      <c r="AO55" s="8"/>
      <c r="AP55" s="8"/>
      <c r="AQ55" s="8"/>
      <c r="AR55" s="8"/>
      <c r="AS55" s="8"/>
      <c r="AT55" s="8"/>
      <c r="AU55" s="8"/>
      <c r="AV55" s="8"/>
    </row>
    <row r="56" spans="1:48" ht="151.5" customHeight="1" x14ac:dyDescent="0.3">
      <c r="A56" s="223"/>
      <c r="B56" s="226"/>
      <c r="C56" s="226"/>
      <c r="D56" s="226"/>
      <c r="E56" s="130"/>
      <c r="F56" s="229"/>
      <c r="G56" s="226"/>
      <c r="H56" s="130"/>
      <c r="I56" s="232"/>
      <c r="J56" s="235"/>
      <c r="K56" s="217"/>
      <c r="L56" s="238"/>
      <c r="M56" s="217">
        <f ca="1">IF(NOT(ISERROR(MATCH(L56,_xlfn.ANCHORARRAY(F67),0))),K69&amp;"Por favor no seleccionar los criterios de impacto",L56)</f>
        <v>0</v>
      </c>
      <c r="N56" s="235"/>
      <c r="O56" s="217"/>
      <c r="P56" s="220"/>
      <c r="Q56" s="123">
        <v>2</v>
      </c>
      <c r="R56" s="124"/>
      <c r="S56" s="125" t="str">
        <f>IF(OR(T56="Preventivo",T56="Detectivo"),"Probabilidad",IF(T56="Correctivo","Impacto",""))</f>
        <v/>
      </c>
      <c r="T56" s="126"/>
      <c r="U56" s="126"/>
      <c r="V56" s="127" t="str">
        <f t="shared" ref="V56:V60" si="13">IF(AND(T56="Preventivo",U56="Automático"),"50%",IF(AND(T56="Preventivo",U56="Manual"),"40%",IF(AND(T56="Detectivo",U56="Automático"),"40%",IF(AND(T56="Detectivo",U56="Manual"),"30%",IF(AND(T56="Correctivo",U56="Automático"),"35%",IF(AND(T56="Correctivo",U56="Manual"),"25%",""))))))</f>
        <v/>
      </c>
      <c r="W56" s="126"/>
      <c r="X56" s="126"/>
      <c r="Y56" s="126"/>
      <c r="Z56" s="8"/>
      <c r="AA56" s="8"/>
      <c r="AB56" s="8"/>
      <c r="AC56" s="8"/>
      <c r="AD56" s="8"/>
      <c r="AE56" s="8"/>
      <c r="AF56" s="8"/>
      <c r="AG56" s="8"/>
      <c r="AH56" s="8"/>
      <c r="AI56" s="8"/>
      <c r="AJ56" s="8"/>
      <c r="AK56" s="8"/>
      <c r="AL56" s="8"/>
      <c r="AM56" s="8"/>
      <c r="AN56" s="8"/>
      <c r="AO56" s="8"/>
      <c r="AP56" s="8"/>
      <c r="AQ56" s="8"/>
      <c r="AR56" s="8"/>
      <c r="AS56" s="8"/>
      <c r="AT56" s="8"/>
      <c r="AU56" s="8"/>
      <c r="AV56" s="8"/>
    </row>
    <row r="57" spans="1:48" ht="151.5" customHeight="1" x14ac:dyDescent="0.3">
      <c r="A57" s="223"/>
      <c r="B57" s="226"/>
      <c r="C57" s="226"/>
      <c r="D57" s="226"/>
      <c r="E57" s="130"/>
      <c r="F57" s="229"/>
      <c r="G57" s="226"/>
      <c r="H57" s="130"/>
      <c r="I57" s="232"/>
      <c r="J57" s="235"/>
      <c r="K57" s="217"/>
      <c r="L57" s="238"/>
      <c r="M57" s="217">
        <f ca="1">IF(NOT(ISERROR(MATCH(L57,_xlfn.ANCHORARRAY(F68),0))),K70&amp;"Por favor no seleccionar los criterios de impacto",L57)</f>
        <v>0</v>
      </c>
      <c r="N57" s="235"/>
      <c r="O57" s="217"/>
      <c r="P57" s="220"/>
      <c r="Q57" s="123">
        <v>3</v>
      </c>
      <c r="R57" s="128"/>
      <c r="S57" s="125" t="str">
        <f>IF(OR(T57="Preventivo",T57="Detectivo"),"Probabilidad",IF(T57="Correctivo","Impacto",""))</f>
        <v/>
      </c>
      <c r="T57" s="126"/>
      <c r="U57" s="126"/>
      <c r="V57" s="127" t="str">
        <f t="shared" si="13"/>
        <v/>
      </c>
      <c r="W57" s="126"/>
      <c r="X57" s="126"/>
      <c r="Y57" s="126"/>
      <c r="Z57" s="8"/>
      <c r="AA57" s="8"/>
      <c r="AB57" s="8"/>
      <c r="AC57" s="8"/>
      <c r="AD57" s="8"/>
      <c r="AE57" s="8"/>
      <c r="AF57" s="8"/>
      <c r="AG57" s="8"/>
      <c r="AH57" s="8"/>
      <c r="AI57" s="8"/>
      <c r="AJ57" s="8"/>
      <c r="AK57" s="8"/>
      <c r="AL57" s="8"/>
      <c r="AM57" s="8"/>
      <c r="AN57" s="8"/>
      <c r="AO57" s="8"/>
      <c r="AP57" s="8"/>
      <c r="AQ57" s="8"/>
      <c r="AR57" s="8"/>
      <c r="AS57" s="8"/>
      <c r="AT57" s="8"/>
      <c r="AU57" s="8"/>
      <c r="AV57" s="8"/>
    </row>
    <row r="58" spans="1:48" ht="151.5" customHeight="1" x14ac:dyDescent="0.3">
      <c r="A58" s="223"/>
      <c r="B58" s="226"/>
      <c r="C58" s="226"/>
      <c r="D58" s="226"/>
      <c r="E58" s="130"/>
      <c r="F58" s="229"/>
      <c r="G58" s="226"/>
      <c r="H58" s="130"/>
      <c r="I58" s="232"/>
      <c r="J58" s="235"/>
      <c r="K58" s="217"/>
      <c r="L58" s="238"/>
      <c r="M58" s="217">
        <f ca="1">IF(NOT(ISERROR(MATCH(L58,_xlfn.ANCHORARRAY(F69),0))),K71&amp;"Por favor no seleccionar los criterios de impacto",L58)</f>
        <v>0</v>
      </c>
      <c r="N58" s="235"/>
      <c r="O58" s="217"/>
      <c r="P58" s="220"/>
      <c r="Q58" s="123">
        <v>4</v>
      </c>
      <c r="R58" s="124"/>
      <c r="S58" s="125" t="str">
        <f t="shared" ref="S58:S60" si="14">IF(OR(T58="Preventivo",T58="Detectivo"),"Probabilidad",IF(T58="Correctivo","Impacto",""))</f>
        <v/>
      </c>
      <c r="T58" s="126"/>
      <c r="U58" s="126"/>
      <c r="V58" s="127" t="str">
        <f t="shared" si="13"/>
        <v/>
      </c>
      <c r="W58" s="126"/>
      <c r="X58" s="126"/>
      <c r="Y58" s="126"/>
      <c r="Z58" s="8"/>
      <c r="AA58" s="8"/>
      <c r="AB58" s="8"/>
      <c r="AC58" s="8"/>
      <c r="AD58" s="8"/>
      <c r="AE58" s="8"/>
      <c r="AF58" s="8"/>
      <c r="AG58" s="8"/>
      <c r="AH58" s="8"/>
      <c r="AI58" s="8"/>
      <c r="AJ58" s="8"/>
      <c r="AK58" s="8"/>
      <c r="AL58" s="8"/>
      <c r="AM58" s="8"/>
      <c r="AN58" s="8"/>
      <c r="AO58" s="8"/>
      <c r="AP58" s="8"/>
      <c r="AQ58" s="8"/>
      <c r="AR58" s="8"/>
      <c r="AS58" s="8"/>
      <c r="AT58" s="8"/>
      <c r="AU58" s="8"/>
      <c r="AV58" s="8"/>
    </row>
    <row r="59" spans="1:48" ht="151.5" customHeight="1" x14ac:dyDescent="0.3">
      <c r="A59" s="223"/>
      <c r="B59" s="226"/>
      <c r="C59" s="226"/>
      <c r="D59" s="226"/>
      <c r="E59" s="130"/>
      <c r="F59" s="229"/>
      <c r="G59" s="226"/>
      <c r="H59" s="130"/>
      <c r="I59" s="232"/>
      <c r="J59" s="235"/>
      <c r="K59" s="217"/>
      <c r="L59" s="238"/>
      <c r="M59" s="217">
        <f ca="1">IF(NOT(ISERROR(MATCH(L59,_xlfn.ANCHORARRAY(F70),0))),K72&amp;"Por favor no seleccionar los criterios de impacto",L59)</f>
        <v>0</v>
      </c>
      <c r="N59" s="235"/>
      <c r="O59" s="217"/>
      <c r="P59" s="220"/>
      <c r="Q59" s="123">
        <v>5</v>
      </c>
      <c r="R59" s="124"/>
      <c r="S59" s="125" t="str">
        <f t="shared" si="14"/>
        <v/>
      </c>
      <c r="T59" s="126"/>
      <c r="U59" s="126"/>
      <c r="V59" s="127" t="str">
        <f t="shared" si="13"/>
        <v/>
      </c>
      <c r="W59" s="126"/>
      <c r="X59" s="126"/>
      <c r="Y59" s="126"/>
      <c r="Z59" s="8"/>
      <c r="AA59" s="8"/>
      <c r="AB59" s="8"/>
      <c r="AC59" s="8"/>
      <c r="AD59" s="8"/>
      <c r="AE59" s="8"/>
      <c r="AF59" s="8"/>
      <c r="AG59" s="8"/>
      <c r="AH59" s="8"/>
      <c r="AI59" s="8"/>
      <c r="AJ59" s="8"/>
      <c r="AK59" s="8"/>
      <c r="AL59" s="8"/>
      <c r="AM59" s="8"/>
      <c r="AN59" s="8"/>
      <c r="AO59" s="8"/>
      <c r="AP59" s="8"/>
      <c r="AQ59" s="8"/>
      <c r="AR59" s="8"/>
      <c r="AS59" s="8"/>
      <c r="AT59" s="8"/>
      <c r="AU59" s="8"/>
      <c r="AV59" s="8"/>
    </row>
    <row r="60" spans="1:48" ht="151.5" customHeight="1" x14ac:dyDescent="0.3">
      <c r="A60" s="224"/>
      <c r="B60" s="227"/>
      <c r="C60" s="227"/>
      <c r="D60" s="227"/>
      <c r="E60" s="131"/>
      <c r="F60" s="230"/>
      <c r="G60" s="227"/>
      <c r="H60" s="131"/>
      <c r="I60" s="233"/>
      <c r="J60" s="236"/>
      <c r="K60" s="218"/>
      <c r="L60" s="239"/>
      <c r="M60" s="218">
        <f ca="1">IF(NOT(ISERROR(MATCH(L60,_xlfn.ANCHORARRAY(F71),0))),K73&amp;"Por favor no seleccionar los criterios de impacto",L60)</f>
        <v>0</v>
      </c>
      <c r="N60" s="236"/>
      <c r="O60" s="218"/>
      <c r="P60" s="221"/>
      <c r="Q60" s="123">
        <v>6</v>
      </c>
      <c r="R60" s="124"/>
      <c r="S60" s="125" t="str">
        <f t="shared" si="14"/>
        <v/>
      </c>
      <c r="T60" s="126"/>
      <c r="U60" s="126"/>
      <c r="V60" s="127" t="str">
        <f t="shared" si="13"/>
        <v/>
      </c>
      <c r="W60" s="126"/>
      <c r="X60" s="126"/>
      <c r="Y60" s="126"/>
      <c r="Z60" s="8"/>
      <c r="AA60" s="8"/>
      <c r="AB60" s="8"/>
      <c r="AC60" s="8"/>
      <c r="AD60" s="8"/>
      <c r="AE60" s="8"/>
      <c r="AF60" s="8"/>
      <c r="AG60" s="8"/>
      <c r="AH60" s="8"/>
      <c r="AI60" s="8"/>
      <c r="AJ60" s="8"/>
      <c r="AK60" s="8"/>
      <c r="AL60" s="8"/>
      <c r="AM60" s="8"/>
      <c r="AN60" s="8"/>
      <c r="AO60" s="8"/>
      <c r="AP60" s="8"/>
      <c r="AQ60" s="8"/>
      <c r="AR60" s="8"/>
      <c r="AS60" s="8"/>
      <c r="AT60" s="8"/>
      <c r="AU60" s="8"/>
      <c r="AV60" s="8"/>
    </row>
    <row r="61" spans="1:48" ht="151.5" customHeight="1" x14ac:dyDescent="0.3">
      <c r="A61" s="222">
        <v>10</v>
      </c>
      <c r="B61" s="225"/>
      <c r="C61" s="225"/>
      <c r="D61" s="225"/>
      <c r="E61" s="129"/>
      <c r="F61" s="228"/>
      <c r="G61" s="225"/>
      <c r="H61" s="129"/>
      <c r="I61" s="231"/>
      <c r="J61" s="234" t="str">
        <f>IF(I61&lt;=0,"",IF(I61&lt;=2,"Muy Baja",IF(I61&lt;=24,"Baja",IF(I61&lt;=500,"Media",IF(I61&lt;=5000,"Alta","Muy Alta")))))</f>
        <v/>
      </c>
      <c r="K61" s="216" t="str">
        <f>IF(J61="","",IF(J61="Muy Baja",0.2,IF(J61="Baja",0.4,IF(J61="Media",0.6,IF(J61="Alta",0.8,IF(J61="Muy Alta",1,))))))</f>
        <v/>
      </c>
      <c r="L61" s="237"/>
      <c r="M61" s="216">
        <f ca="1">IF(NOT(ISERROR(MATCH(L61,'Tabla Impacto'!$B$221:$B$223,0))),'Tabla Impacto'!$F$223&amp;"Por favor no seleccionar los criterios de impacto(Afectación Económica o presupuestal y Pérdida Reputacional)",L61)</f>
        <v>0</v>
      </c>
      <c r="N61" s="234" t="str">
        <f ca="1">IF(OR(M61='Tabla Impacto'!$C$11,M61='Tabla Impacto'!$D$11),"Leve",IF(OR(M61='Tabla Impacto'!$C$12,M61='Tabla Impacto'!$D$12),"Menor",IF(OR(M61='Tabla Impacto'!$C$13,M61='Tabla Impacto'!$D$13),"Moderado",IF(OR(M61='Tabla Impacto'!$C$14,M61='Tabla Impacto'!$D$14),"Mayor",IF(OR(M61='Tabla Impacto'!$C$15,M61='Tabla Impacto'!$D$15),"Catastrófico","")))))</f>
        <v/>
      </c>
      <c r="O61" s="216" t="str">
        <f ca="1">IF(N61="","",IF(N61="Leve",0.2,IF(N61="Menor",0.4,IF(N61="Moderado",0.6,IF(N61="Mayor",0.8,IF(N61="Catastrófico",1,))))))</f>
        <v/>
      </c>
      <c r="P61" s="219" t="str">
        <f ca="1">IF(OR(AND(J61="Muy Baja",N61="Leve"),AND(J61="Muy Baja",N61="Menor"),AND(J61="Baja",N61="Leve")),"Bajo",IF(OR(AND(J61="Muy baja",N61="Moderado"),AND(J61="Baja",N61="Menor"),AND(J61="Baja",N61="Moderado"),AND(J61="Media",N61="Leve"),AND(J61="Media",N61="Menor"),AND(J61="Media",N61="Moderado"),AND(J61="Alta",N61="Leve"),AND(J61="Alta",N61="Menor")),"Moderado",IF(OR(AND(J61="Muy Baja",N61="Mayor"),AND(J61="Baja",N61="Mayor"),AND(J61="Media",N61="Mayor"),AND(J61="Alta",N61="Moderado"),AND(J61="Alta",N61="Mayor"),AND(J61="Muy Alta",N61="Leve"),AND(J61="Muy Alta",N61="Menor"),AND(J61="Muy Alta",N61="Moderado"),AND(J61="Muy Alta",N61="Mayor")),"Alto",IF(OR(AND(J61="Muy Baja",N61="Catastrófico"),AND(J61="Baja",N61="Catastrófico"),AND(J61="Media",N61="Catastrófico"),AND(J61="Alta",N61="Catastrófico"),AND(J61="Muy Alta",N61="Catastrófico")),"Extremo",""))))</f>
        <v/>
      </c>
      <c r="Q61" s="123">
        <v>1</v>
      </c>
      <c r="R61" s="124"/>
      <c r="S61" s="125" t="str">
        <f>IF(OR(T61="Preventivo",T61="Detectivo"),"Probabilidad",IF(T61="Correctivo","Impacto",""))</f>
        <v/>
      </c>
      <c r="T61" s="126"/>
      <c r="U61" s="126"/>
      <c r="V61" s="127" t="str">
        <f>IF(AND(T61="Preventivo",U61="Automático"),"50%",IF(AND(T61="Preventivo",U61="Manual"),"40%",IF(AND(T61="Detectivo",U61="Automático"),"40%",IF(AND(T61="Detectivo",U61="Manual"),"30%",IF(AND(T61="Correctivo",U61="Automático"),"35%",IF(AND(T61="Correctivo",U61="Manual"),"25%",""))))))</f>
        <v/>
      </c>
      <c r="W61" s="126"/>
      <c r="X61" s="126"/>
      <c r="Y61" s="126"/>
      <c r="Z61" s="8"/>
      <c r="AA61" s="8"/>
      <c r="AB61" s="8"/>
      <c r="AC61" s="8"/>
      <c r="AD61" s="8"/>
      <c r="AE61" s="8"/>
      <c r="AF61" s="8"/>
      <c r="AG61" s="8"/>
      <c r="AH61" s="8"/>
      <c r="AI61" s="8"/>
      <c r="AJ61" s="8"/>
      <c r="AK61" s="8"/>
      <c r="AL61" s="8"/>
      <c r="AM61" s="8"/>
      <c r="AN61" s="8"/>
      <c r="AO61" s="8"/>
      <c r="AP61" s="8"/>
      <c r="AQ61" s="8"/>
      <c r="AR61" s="8"/>
      <c r="AS61" s="8"/>
      <c r="AT61" s="8"/>
      <c r="AU61" s="8"/>
      <c r="AV61" s="8"/>
    </row>
    <row r="62" spans="1:48" ht="151.5" customHeight="1" x14ac:dyDescent="0.3">
      <c r="A62" s="223"/>
      <c r="B62" s="226"/>
      <c r="C62" s="226"/>
      <c r="D62" s="226"/>
      <c r="E62" s="130"/>
      <c r="F62" s="229"/>
      <c r="G62" s="226"/>
      <c r="H62" s="130"/>
      <c r="I62" s="232"/>
      <c r="J62" s="235"/>
      <c r="K62" s="217"/>
      <c r="L62" s="238"/>
      <c r="M62" s="217">
        <f ca="1">IF(NOT(ISERROR(MATCH(L62,_xlfn.ANCHORARRAY(F73),0))),K75&amp;"Por favor no seleccionar los criterios de impacto",L62)</f>
        <v>0</v>
      </c>
      <c r="N62" s="235"/>
      <c r="O62" s="217"/>
      <c r="P62" s="220"/>
      <c r="Q62" s="123">
        <v>2</v>
      </c>
      <c r="R62" s="124"/>
      <c r="S62" s="125" t="str">
        <f>IF(OR(T62="Preventivo",T62="Detectivo"),"Probabilidad",IF(T62="Correctivo","Impacto",""))</f>
        <v/>
      </c>
      <c r="T62" s="126"/>
      <c r="U62" s="126"/>
      <c r="V62" s="127" t="str">
        <f t="shared" ref="V62:V66" si="15">IF(AND(T62="Preventivo",U62="Automático"),"50%",IF(AND(T62="Preventivo",U62="Manual"),"40%",IF(AND(T62="Detectivo",U62="Automático"),"40%",IF(AND(T62="Detectivo",U62="Manual"),"30%",IF(AND(T62="Correctivo",U62="Automático"),"35%",IF(AND(T62="Correctivo",U62="Manual"),"25%",""))))))</f>
        <v/>
      </c>
      <c r="W62" s="126"/>
      <c r="X62" s="126"/>
      <c r="Y62" s="126"/>
    </row>
    <row r="63" spans="1:48" ht="151.5" customHeight="1" x14ac:dyDescent="0.3">
      <c r="A63" s="223"/>
      <c r="B63" s="226"/>
      <c r="C63" s="226"/>
      <c r="D63" s="226"/>
      <c r="E63" s="130"/>
      <c r="F63" s="229"/>
      <c r="G63" s="226"/>
      <c r="H63" s="130"/>
      <c r="I63" s="232"/>
      <c r="J63" s="235"/>
      <c r="K63" s="217"/>
      <c r="L63" s="238"/>
      <c r="M63" s="217">
        <f ca="1">IF(NOT(ISERROR(MATCH(L63,_xlfn.ANCHORARRAY(F74),0))),K76&amp;"Por favor no seleccionar los criterios de impacto",L63)</f>
        <v>0</v>
      </c>
      <c r="N63" s="235"/>
      <c r="O63" s="217"/>
      <c r="P63" s="220"/>
      <c r="Q63" s="123">
        <v>3</v>
      </c>
      <c r="R63" s="128"/>
      <c r="S63" s="125" t="str">
        <f>IF(OR(T63="Preventivo",T63="Detectivo"),"Probabilidad",IF(T63="Correctivo","Impacto",""))</f>
        <v/>
      </c>
      <c r="T63" s="126"/>
      <c r="U63" s="126"/>
      <c r="V63" s="127" t="str">
        <f t="shared" si="15"/>
        <v/>
      </c>
      <c r="W63" s="126"/>
      <c r="X63" s="126"/>
      <c r="Y63" s="126"/>
    </row>
    <row r="64" spans="1:48" ht="151.5" customHeight="1" x14ac:dyDescent="0.3">
      <c r="A64" s="223"/>
      <c r="B64" s="226"/>
      <c r="C64" s="226"/>
      <c r="D64" s="226"/>
      <c r="E64" s="130"/>
      <c r="F64" s="229"/>
      <c r="G64" s="226"/>
      <c r="H64" s="130"/>
      <c r="I64" s="232"/>
      <c r="J64" s="235"/>
      <c r="K64" s="217"/>
      <c r="L64" s="238"/>
      <c r="M64" s="217">
        <f ca="1">IF(NOT(ISERROR(MATCH(L64,_xlfn.ANCHORARRAY(F75),0))),K77&amp;"Por favor no seleccionar los criterios de impacto",L64)</f>
        <v>0</v>
      </c>
      <c r="N64" s="235"/>
      <c r="O64" s="217"/>
      <c r="P64" s="220"/>
      <c r="Q64" s="123">
        <v>4</v>
      </c>
      <c r="R64" s="124"/>
      <c r="S64" s="125" t="str">
        <f t="shared" ref="S64:S66" si="16">IF(OR(T64="Preventivo",T64="Detectivo"),"Probabilidad",IF(T64="Correctivo","Impacto",""))</f>
        <v/>
      </c>
      <c r="T64" s="126"/>
      <c r="U64" s="126"/>
      <c r="V64" s="127" t="str">
        <f t="shared" si="15"/>
        <v/>
      </c>
      <c r="W64" s="126"/>
      <c r="X64" s="126"/>
      <c r="Y64" s="126"/>
    </row>
    <row r="65" spans="1:25" ht="151.5" customHeight="1" x14ac:dyDescent="0.3">
      <c r="A65" s="223"/>
      <c r="B65" s="226"/>
      <c r="C65" s="226"/>
      <c r="D65" s="226"/>
      <c r="E65" s="130"/>
      <c r="F65" s="229"/>
      <c r="G65" s="226"/>
      <c r="H65" s="130"/>
      <c r="I65" s="232"/>
      <c r="J65" s="235"/>
      <c r="K65" s="217"/>
      <c r="L65" s="238"/>
      <c r="M65" s="217">
        <f ca="1">IF(NOT(ISERROR(MATCH(L65,_xlfn.ANCHORARRAY(F76),0))),K78&amp;"Por favor no seleccionar los criterios de impacto",L65)</f>
        <v>0</v>
      </c>
      <c r="N65" s="235"/>
      <c r="O65" s="217"/>
      <c r="P65" s="220"/>
      <c r="Q65" s="123">
        <v>5</v>
      </c>
      <c r="R65" s="124"/>
      <c r="S65" s="125" t="str">
        <f t="shared" si="16"/>
        <v/>
      </c>
      <c r="T65" s="126"/>
      <c r="U65" s="126"/>
      <c r="V65" s="127" t="str">
        <f t="shared" si="15"/>
        <v/>
      </c>
      <c r="W65" s="126"/>
      <c r="X65" s="126"/>
      <c r="Y65" s="126"/>
    </row>
    <row r="66" spans="1:25" ht="151.5" customHeight="1" x14ac:dyDescent="0.3">
      <c r="A66" s="224"/>
      <c r="B66" s="227"/>
      <c r="C66" s="227"/>
      <c r="D66" s="227"/>
      <c r="E66" s="131"/>
      <c r="F66" s="230"/>
      <c r="G66" s="227"/>
      <c r="H66" s="131"/>
      <c r="I66" s="233"/>
      <c r="J66" s="236"/>
      <c r="K66" s="218"/>
      <c r="L66" s="239"/>
      <c r="M66" s="218">
        <f ca="1">IF(NOT(ISERROR(MATCH(L66,_xlfn.ANCHORARRAY(F77),0))),K79&amp;"Por favor no seleccionar los criterios de impacto",L66)</f>
        <v>0</v>
      </c>
      <c r="N66" s="236"/>
      <c r="O66" s="218"/>
      <c r="P66" s="221"/>
      <c r="Q66" s="123">
        <v>6</v>
      </c>
      <c r="R66" s="124"/>
      <c r="S66" s="125" t="str">
        <f t="shared" si="16"/>
        <v/>
      </c>
      <c r="T66" s="126"/>
      <c r="U66" s="126"/>
      <c r="V66" s="127" t="str">
        <f t="shared" si="15"/>
        <v/>
      </c>
      <c r="W66" s="126"/>
      <c r="X66" s="126"/>
      <c r="Y66" s="126"/>
    </row>
    <row r="67" spans="1:25" ht="49.5" customHeight="1" x14ac:dyDescent="0.3">
      <c r="A67" s="6"/>
      <c r="B67" s="214" t="s">
        <v>123</v>
      </c>
      <c r="C67" s="215"/>
      <c r="D67" s="215"/>
      <c r="E67" s="215"/>
      <c r="F67" s="215"/>
      <c r="G67" s="215"/>
      <c r="H67" s="215"/>
      <c r="I67" s="215"/>
      <c r="J67" s="215"/>
      <c r="K67" s="215"/>
      <c r="L67" s="215"/>
      <c r="M67" s="215"/>
      <c r="N67" s="215"/>
      <c r="O67" s="215"/>
      <c r="P67" s="215"/>
      <c r="Q67" s="215"/>
      <c r="R67" s="215"/>
      <c r="S67" s="215"/>
      <c r="T67" s="215"/>
      <c r="U67" s="215"/>
      <c r="V67" s="215"/>
      <c r="W67" s="215"/>
      <c r="X67" s="215"/>
      <c r="Y67" s="215"/>
    </row>
    <row r="69" spans="1:25" x14ac:dyDescent="0.3">
      <c r="A69" s="1"/>
      <c r="B69" s="24" t="s">
        <v>133</v>
      </c>
      <c r="C69" s="1"/>
      <c r="D69" s="1"/>
      <c r="E69" s="1"/>
      <c r="G69" s="1"/>
      <c r="H69" s="1"/>
    </row>
  </sheetData>
  <dataConsolidate/>
  <mergeCells count="149">
    <mergeCell ref="A10:A12"/>
    <mergeCell ref="B10:B12"/>
    <mergeCell ref="M10:M12"/>
    <mergeCell ref="G10:G12"/>
    <mergeCell ref="G8:G9"/>
    <mergeCell ref="F8:F9"/>
    <mergeCell ref="D8:D9"/>
    <mergeCell ref="C8:C9"/>
    <mergeCell ref="C5:P5"/>
    <mergeCell ref="C6:P6"/>
    <mergeCell ref="L19:L24"/>
    <mergeCell ref="M19:M24"/>
    <mergeCell ref="N19:N24"/>
    <mergeCell ref="A13:A18"/>
    <mergeCell ref="B13:B18"/>
    <mergeCell ref="C13:C18"/>
    <mergeCell ref="O19:O24"/>
    <mergeCell ref="P19:P24"/>
    <mergeCell ref="A19:A24"/>
    <mergeCell ref="B19:B24"/>
    <mergeCell ref="C19:C24"/>
    <mergeCell ref="D19:D24"/>
    <mergeCell ref="F19:F24"/>
    <mergeCell ref="G19:G24"/>
    <mergeCell ref="I19:I24"/>
    <mergeCell ref="J19:J24"/>
    <mergeCell ref="K19:K24"/>
    <mergeCell ref="A25:A30"/>
    <mergeCell ref="B25:B30"/>
    <mergeCell ref="C25:C30"/>
    <mergeCell ref="D25:D30"/>
    <mergeCell ref="F25:F30"/>
    <mergeCell ref="G25:G30"/>
    <mergeCell ref="I25:I30"/>
    <mergeCell ref="J25:J30"/>
    <mergeCell ref="K25:K30"/>
    <mergeCell ref="L25:L30"/>
    <mergeCell ref="M25:M30"/>
    <mergeCell ref="N25:N30"/>
    <mergeCell ref="O25:O30"/>
    <mergeCell ref="P25:P30"/>
    <mergeCell ref="O31:O36"/>
    <mergeCell ref="P31:P36"/>
    <mergeCell ref="O37:O42"/>
    <mergeCell ref="P37:P42"/>
    <mergeCell ref="G37:G42"/>
    <mergeCell ref="D31:D36"/>
    <mergeCell ref="F31:F36"/>
    <mergeCell ref="L37:L42"/>
    <mergeCell ref="M37:M42"/>
    <mergeCell ref="N37:N42"/>
    <mergeCell ref="G31:G36"/>
    <mergeCell ref="I31:I36"/>
    <mergeCell ref="J31:J36"/>
    <mergeCell ref="K31:K36"/>
    <mergeCell ref="L31:L36"/>
    <mergeCell ref="I37:I42"/>
    <mergeCell ref="J37:J42"/>
    <mergeCell ref="K37:K42"/>
    <mergeCell ref="M31:M36"/>
    <mergeCell ref="N31:N36"/>
    <mergeCell ref="A31:A36"/>
    <mergeCell ref="B31:B36"/>
    <mergeCell ref="C31:C36"/>
    <mergeCell ref="A37:A42"/>
    <mergeCell ref="B37:B42"/>
    <mergeCell ref="C37:C42"/>
    <mergeCell ref="D37:D42"/>
    <mergeCell ref="F37:F42"/>
    <mergeCell ref="A49:A54"/>
    <mergeCell ref="B49:B54"/>
    <mergeCell ref="C49:C54"/>
    <mergeCell ref="D49:D54"/>
    <mergeCell ref="F49:F54"/>
    <mergeCell ref="A43:A48"/>
    <mergeCell ref="B43:B48"/>
    <mergeCell ref="C43:C48"/>
    <mergeCell ref="D43:D48"/>
    <mergeCell ref="F43:F48"/>
    <mergeCell ref="F55:F60"/>
    <mergeCell ref="G55:G60"/>
    <mergeCell ref="I55:I60"/>
    <mergeCell ref="J55:J60"/>
    <mergeCell ref="K55:K60"/>
    <mergeCell ref="O43:O48"/>
    <mergeCell ref="P43:P48"/>
    <mergeCell ref="G49:G54"/>
    <mergeCell ref="I49:I54"/>
    <mergeCell ref="J49:J54"/>
    <mergeCell ref="K49:K54"/>
    <mergeCell ref="L49:L54"/>
    <mergeCell ref="G43:G48"/>
    <mergeCell ref="I43:I48"/>
    <mergeCell ref="J43:J48"/>
    <mergeCell ref="K43:K48"/>
    <mergeCell ref="M49:M54"/>
    <mergeCell ref="N49:N54"/>
    <mergeCell ref="O49:O54"/>
    <mergeCell ref="P49:P54"/>
    <mergeCell ref="L43:L48"/>
    <mergeCell ref="M43:M48"/>
    <mergeCell ref="N43:N48"/>
    <mergeCell ref="B67:Y67"/>
    <mergeCell ref="O55:O60"/>
    <mergeCell ref="P55:P60"/>
    <mergeCell ref="A61:A66"/>
    <mergeCell ref="B61:B66"/>
    <mergeCell ref="C61:C66"/>
    <mergeCell ref="D61:D66"/>
    <mergeCell ref="F61:F66"/>
    <mergeCell ref="G61:G66"/>
    <mergeCell ref="I61:I66"/>
    <mergeCell ref="J61:J66"/>
    <mergeCell ref="K61:K66"/>
    <mergeCell ref="L61:L66"/>
    <mergeCell ref="M61:M66"/>
    <mergeCell ref="N61:N66"/>
    <mergeCell ref="O61:O66"/>
    <mergeCell ref="P61:P66"/>
    <mergeCell ref="L55:L60"/>
    <mergeCell ref="M55:M60"/>
    <mergeCell ref="N55:N60"/>
    <mergeCell ref="A55:A60"/>
    <mergeCell ref="B55:B60"/>
    <mergeCell ref="C55:C60"/>
    <mergeCell ref="D55:D60"/>
    <mergeCell ref="A1:Y2"/>
    <mergeCell ref="A7:I7"/>
    <mergeCell ref="J7:P7"/>
    <mergeCell ref="Q7:Y7"/>
    <mergeCell ref="I8:I9"/>
    <mergeCell ref="J8:J9"/>
    <mergeCell ref="K8:K9"/>
    <mergeCell ref="N8:N9"/>
    <mergeCell ref="O8:O9"/>
    <mergeCell ref="B8:B9"/>
    <mergeCell ref="P8:P9"/>
    <mergeCell ref="L8:L9"/>
    <mergeCell ref="M8:M9"/>
    <mergeCell ref="S8:S9"/>
    <mergeCell ref="T8:Y8"/>
    <mergeCell ref="A4:B4"/>
    <mergeCell ref="A5:B5"/>
    <mergeCell ref="A6:B6"/>
    <mergeCell ref="A8:A9"/>
    <mergeCell ref="Q4:S4"/>
    <mergeCell ref="D4:P4"/>
    <mergeCell ref="Q8:Q9"/>
    <mergeCell ref="R8:R9"/>
  </mergeCells>
  <conditionalFormatting sqref="J10:J12 J55 J19 J25 J31 J37 J43 J49 J61">
    <cfRule type="cellIs" dxfId="18" priority="324" operator="equal">
      <formula>"Muy Alta"</formula>
    </cfRule>
    <cfRule type="cellIs" dxfId="17" priority="325" operator="equal">
      <formula>"Alta"</formula>
    </cfRule>
    <cfRule type="cellIs" dxfId="16" priority="326" operator="equal">
      <formula>"Media"</formula>
    </cfRule>
    <cfRule type="cellIs" dxfId="15" priority="327" operator="equal">
      <formula>"Baja"</formula>
    </cfRule>
    <cfRule type="cellIs" dxfId="14" priority="328" operator="equal">
      <formula>"Muy Baja"</formula>
    </cfRule>
  </conditionalFormatting>
  <conditionalFormatting sqref="N19 N25 N31 N37 N43 N49 N55 N61 N10:N12">
    <cfRule type="cellIs" dxfId="13" priority="319" operator="equal">
      <formula>"Catastrófico"</formula>
    </cfRule>
    <cfRule type="cellIs" dxfId="12" priority="320" operator="equal">
      <formula>"Mayor"</formula>
    </cfRule>
    <cfRule type="cellIs" dxfId="11" priority="321" operator="equal">
      <formula>"Moderado"</formula>
    </cfRule>
    <cfRule type="cellIs" dxfId="10" priority="322" operator="equal">
      <formula>"Menor"</formula>
    </cfRule>
    <cfRule type="cellIs" dxfId="9" priority="323" operator="equal">
      <formula>"Leve"</formula>
    </cfRule>
  </conditionalFormatting>
  <conditionalFormatting sqref="P10:P12 P19 P25 P31 P37 P43 P49 P55 P61">
    <cfRule type="cellIs" dxfId="8" priority="315" operator="equal">
      <formula>"Extremo"</formula>
    </cfRule>
    <cfRule type="cellIs" dxfId="7" priority="316" operator="equal">
      <formula>"Alto"</formula>
    </cfRule>
    <cfRule type="cellIs" dxfId="6" priority="317" operator="equal">
      <formula>"Moderado"</formula>
    </cfRule>
    <cfRule type="cellIs" dxfId="5" priority="318" operator="equal">
      <formula>"Bajo"</formula>
    </cfRule>
  </conditionalFormatting>
  <conditionalFormatting sqref="M10:M12 M19:M66">
    <cfRule type="containsText" dxfId="4" priority="6" operator="containsText" text="❌">
      <formula>NOT(ISERROR(SEARCH("❌",M10)))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'Opciones Tratamiento'!$B$13:$B$19</xm:f>
          </x14:formula1>
          <xm:sqref>H12 G10:G12 G19:H66</xm:sqref>
        </x14:dataValidation>
        <x14:dataValidation type="list" allowBlank="1" showInputMessage="1" showErrorMessage="1">
          <x14:formula1>
            <xm:f>'Opciones Tratamiento'!$E$2:$E$4</xm:f>
          </x14:formula1>
          <xm:sqref>B10:B66</xm:sqref>
        </x14:dataValidation>
        <x14:dataValidation type="list" allowBlank="1" showInputMessage="1" showErrorMessage="1">
          <x14:formula1>
            <xm:f>'Tabla Valoración controles'!$D$4:$D$6</xm:f>
          </x14:formula1>
          <xm:sqref>T10:T12 T19:T66</xm:sqref>
        </x14:dataValidation>
        <x14:dataValidation type="list" allowBlank="1" showInputMessage="1" showErrorMessage="1">
          <x14:formula1>
            <xm:f>'Tabla Valoración controles'!$D$7:$D$8</xm:f>
          </x14:formula1>
          <xm:sqref>U10:U12 U19:U66</xm:sqref>
        </x14:dataValidation>
        <x14:dataValidation type="list" allowBlank="1" showInputMessage="1" showErrorMessage="1">
          <x14:formula1>
            <xm:f>'Tabla Valoración controles'!$D$9:$D$10</xm:f>
          </x14:formula1>
          <xm:sqref>W10:W12 W19:W66</xm:sqref>
        </x14:dataValidation>
        <x14:dataValidation type="list" allowBlank="1" showInputMessage="1" showErrorMessage="1">
          <x14:formula1>
            <xm:f>'Tabla Valoración controles'!$D$11:$D$12</xm:f>
          </x14:formula1>
          <xm:sqref>X10:X12 X19:X66</xm:sqref>
        </x14:dataValidation>
        <x14:dataValidation type="list" allowBlank="1" showInputMessage="1" showErrorMessage="1">
          <x14:formula1>
            <xm:f>'Tabla Valoración controles'!$D$13:$D$14</xm:f>
          </x14:formula1>
          <xm:sqref>Y10:Y12 Y19:Y66</xm:sqref>
        </x14:dataValidation>
        <x14:dataValidation type="list" allowBlank="1" showInputMessage="1" showErrorMessage="1">
          <x14:formula1>
            <xm:f>'Tabla Impacto'!$F$210:$F$221</xm:f>
          </x14:formula1>
          <xm:sqref>L10:L12 L19:L66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topLeftCell="A6"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34" t="s">
        <v>151</v>
      </c>
      <c r="C2" s="334"/>
      <c r="D2" s="334"/>
      <c r="E2" s="334"/>
      <c r="F2" s="334"/>
      <c r="G2" s="334"/>
      <c r="H2" s="334"/>
      <c r="I2" s="334"/>
      <c r="J2" s="302" t="s">
        <v>2</v>
      </c>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34"/>
      <c r="C3" s="334"/>
      <c r="D3" s="334"/>
      <c r="E3" s="334"/>
      <c r="F3" s="334"/>
      <c r="G3" s="334"/>
      <c r="H3" s="334"/>
      <c r="I3" s="334"/>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34"/>
      <c r="C4" s="334"/>
      <c r="D4" s="334"/>
      <c r="E4" s="334"/>
      <c r="F4" s="334"/>
      <c r="G4" s="334"/>
      <c r="H4" s="334"/>
      <c r="I4" s="334"/>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49" t="s">
        <v>4</v>
      </c>
      <c r="C6" s="249"/>
      <c r="D6" s="250"/>
      <c r="E6" s="287" t="s">
        <v>108</v>
      </c>
      <c r="F6" s="288"/>
      <c r="G6" s="288"/>
      <c r="H6" s="288"/>
      <c r="I6" s="289"/>
      <c r="J6" s="298" t="str">
        <f ca="1">IF(AND('Mapa final'!$J$10="Muy Alta",'Mapa final'!$N$10="Leve"),CONCATENATE("R",'Mapa final'!$A$10),"")</f>
        <v/>
      </c>
      <c r="K6" s="299"/>
      <c r="L6" s="299" t="str">
        <f>IF(AND([1]Hoja1!$G$2="Muy Alta",[1]Hoja1!$K$3="Leve"),CONCATENATE("R",'Mapa final'!$A$13),"")</f>
        <v/>
      </c>
      <c r="M6" s="299"/>
      <c r="N6" s="299" t="str">
        <f ca="1">IF(AND('Mapa final'!$J$19="Muy Alta",'Mapa final'!$N$19="Leve"),CONCATENATE("R",'Mapa final'!$A$19),"")</f>
        <v/>
      </c>
      <c r="O6" s="301"/>
      <c r="P6" s="298" t="str">
        <f ca="1">IF(AND('Mapa final'!$J$10="Muy Alta",'Mapa final'!$N$10="Menor"),CONCATENATE("R",'Mapa final'!$A$10),"")</f>
        <v/>
      </c>
      <c r="Q6" s="299"/>
      <c r="R6" s="299" t="str">
        <f>IF(AND([1]Hoja1!$G$2="Muy Alta",[1]Hoja1!$K$3="Menor"),CONCATENATE("R",'Mapa final'!$A$13),"")</f>
        <v/>
      </c>
      <c r="S6" s="299"/>
      <c r="T6" s="299" t="str">
        <f ca="1">IF(AND('Mapa final'!$J$19="Muy Alta",'Mapa final'!$N$19="Menor"),CONCATENATE("R",'Mapa final'!$A$19),"")</f>
        <v/>
      </c>
      <c r="U6" s="301"/>
      <c r="V6" s="298" t="str">
        <f ca="1">IF(AND('Mapa final'!$J$10="Muy Alta",'Mapa final'!$N$10="Moderado"),CONCATENATE("R",'Mapa final'!$A$10),"")</f>
        <v/>
      </c>
      <c r="W6" s="299"/>
      <c r="X6" s="299" t="str">
        <f>IF(AND([1]Hoja1!$G$2="Muy Alta",[1]Hoja1!$K$3="Moderado"),CONCATENATE("R",'Mapa final'!$A$13),"")</f>
        <v/>
      </c>
      <c r="Y6" s="299"/>
      <c r="Z6" s="299" t="str">
        <f ca="1">IF(AND('Mapa final'!$J$19="Muy Alta",'Mapa final'!$N$19="Moderado"),CONCATENATE("R",'Mapa final'!$A$19),"")</f>
        <v/>
      </c>
      <c r="AA6" s="301"/>
      <c r="AB6" s="298" t="str">
        <f ca="1">IF(AND('Mapa final'!$J$10="Muy Alta",'Mapa final'!$N$10="Mayor"),CONCATENATE("R",'Mapa final'!$A$10),"")</f>
        <v/>
      </c>
      <c r="AC6" s="299"/>
      <c r="AD6" s="299" t="str">
        <f>IF(AND([1]Hoja1!$G$2="Muy Alta",[1]Hoja1!$K$3="Mayor"),CONCATENATE("R",'Mapa final'!$A$13),"")</f>
        <v/>
      </c>
      <c r="AE6" s="299"/>
      <c r="AF6" s="299" t="str">
        <f ca="1">IF(AND('Mapa final'!$J$19="Muy Alta",'Mapa final'!$N$19="Mayor"),CONCATENATE("R",'Mapa final'!$A$19),"")</f>
        <v/>
      </c>
      <c r="AG6" s="301"/>
      <c r="AH6" s="313" t="str">
        <f ca="1">IF(AND('Mapa final'!$J$10="Muy Alta",'Mapa final'!$N$10="Catastrófico"),CONCATENATE("R",'Mapa final'!$A$10),"")</f>
        <v/>
      </c>
      <c r="AI6" s="314"/>
      <c r="AJ6" s="314" t="str">
        <f>IF(AND([1]Hoja1!$G$2="Muy Alta",[1]Hoja1!$K$3="Catastrófico"),CONCATENATE("R",'Mapa final'!$A$13),"")</f>
        <v/>
      </c>
      <c r="AK6" s="314"/>
      <c r="AL6" s="314" t="str">
        <f ca="1">IF(AND('Mapa final'!$J$19="Muy Alta",'Mapa final'!$N$19="Catastrófico"),CONCATENATE("R",'Mapa final'!$A$19),"")</f>
        <v/>
      </c>
      <c r="AM6" s="315"/>
      <c r="AO6" s="251" t="s">
        <v>71</v>
      </c>
      <c r="AP6" s="252"/>
      <c r="AQ6" s="252"/>
      <c r="AR6" s="252"/>
      <c r="AS6" s="252"/>
      <c r="AT6" s="25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49"/>
      <c r="C7" s="249"/>
      <c r="D7" s="250"/>
      <c r="E7" s="290"/>
      <c r="F7" s="291"/>
      <c r="G7" s="291"/>
      <c r="H7" s="291"/>
      <c r="I7" s="292"/>
      <c r="J7" s="300"/>
      <c r="K7" s="296"/>
      <c r="L7" s="296"/>
      <c r="M7" s="296"/>
      <c r="N7" s="296"/>
      <c r="O7" s="297"/>
      <c r="P7" s="300"/>
      <c r="Q7" s="296"/>
      <c r="R7" s="296"/>
      <c r="S7" s="296"/>
      <c r="T7" s="296"/>
      <c r="U7" s="297"/>
      <c r="V7" s="300"/>
      <c r="W7" s="296"/>
      <c r="X7" s="296"/>
      <c r="Y7" s="296"/>
      <c r="Z7" s="296"/>
      <c r="AA7" s="297"/>
      <c r="AB7" s="300"/>
      <c r="AC7" s="296"/>
      <c r="AD7" s="296"/>
      <c r="AE7" s="296"/>
      <c r="AF7" s="296"/>
      <c r="AG7" s="297"/>
      <c r="AH7" s="307"/>
      <c r="AI7" s="308"/>
      <c r="AJ7" s="308"/>
      <c r="AK7" s="308"/>
      <c r="AL7" s="308"/>
      <c r="AM7" s="309"/>
      <c r="AN7" s="83"/>
      <c r="AO7" s="254"/>
      <c r="AP7" s="255"/>
      <c r="AQ7" s="255"/>
      <c r="AR7" s="255"/>
      <c r="AS7" s="255"/>
      <c r="AT7" s="25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49"/>
      <c r="C8" s="249"/>
      <c r="D8" s="250"/>
      <c r="E8" s="290"/>
      <c r="F8" s="291"/>
      <c r="G8" s="291"/>
      <c r="H8" s="291"/>
      <c r="I8" s="292"/>
      <c r="J8" s="300" t="str">
        <f ca="1">IF(AND('Mapa final'!$J$25="Muy Alta",'Mapa final'!$N$25="Leve"),CONCATENATE("R",'Mapa final'!$A$25),"")</f>
        <v/>
      </c>
      <c r="K8" s="296"/>
      <c r="L8" s="296" t="str">
        <f ca="1">IF(AND('Mapa final'!$J$31="Muy Alta",'Mapa final'!$N$31="Leve"),CONCATENATE("R",'Mapa final'!$A$31),"")</f>
        <v/>
      </c>
      <c r="M8" s="296"/>
      <c r="N8" s="296" t="str">
        <f ca="1">IF(AND('Mapa final'!$J$37="Muy Alta",'Mapa final'!$N$37="Leve"),CONCATENATE("R",'Mapa final'!$A$37),"")</f>
        <v/>
      </c>
      <c r="O8" s="297"/>
      <c r="P8" s="300" t="str">
        <f ca="1">IF(AND('Mapa final'!$J$25="Muy Alta",'Mapa final'!$N$25="Menor"),CONCATENATE("R",'Mapa final'!$A$25),"")</f>
        <v/>
      </c>
      <c r="Q8" s="296"/>
      <c r="R8" s="296" t="str">
        <f ca="1">IF(AND('Mapa final'!$J$31="Muy Alta",'Mapa final'!$N$31="Menor"),CONCATENATE("R",'Mapa final'!$A$31),"")</f>
        <v/>
      </c>
      <c r="S8" s="296"/>
      <c r="T8" s="296" t="str">
        <f ca="1">IF(AND('Mapa final'!$J$37="Muy Alta",'Mapa final'!$N$37="Menor"),CONCATENATE("R",'Mapa final'!$A$37),"")</f>
        <v/>
      </c>
      <c r="U8" s="297"/>
      <c r="V8" s="300" t="str">
        <f ca="1">IF(AND('Mapa final'!$J$25="Muy Alta",'Mapa final'!$N$25="Moderado"),CONCATENATE("R",'Mapa final'!$A$25),"")</f>
        <v/>
      </c>
      <c r="W8" s="296"/>
      <c r="X8" s="296" t="str">
        <f ca="1">IF(AND('Mapa final'!$J$31="Muy Alta",'Mapa final'!$N$31="Moderado"),CONCATENATE("R",'Mapa final'!$A$31),"")</f>
        <v/>
      </c>
      <c r="Y8" s="296"/>
      <c r="Z8" s="296" t="str">
        <f ca="1">IF(AND('Mapa final'!$J$37="Muy Alta",'Mapa final'!$N$37="Moderado"),CONCATENATE("R",'Mapa final'!$A$37),"")</f>
        <v/>
      </c>
      <c r="AA8" s="297"/>
      <c r="AB8" s="300" t="str">
        <f ca="1">IF(AND('Mapa final'!$J$25="Muy Alta",'Mapa final'!$N$25="Mayor"),CONCATENATE("R",'Mapa final'!$A$25),"")</f>
        <v/>
      </c>
      <c r="AC8" s="296"/>
      <c r="AD8" s="296" t="str">
        <f ca="1">IF(AND('Mapa final'!$J$31="Muy Alta",'Mapa final'!$N$31="Mayor"),CONCATENATE("R",'Mapa final'!$A$31),"")</f>
        <v/>
      </c>
      <c r="AE8" s="296"/>
      <c r="AF8" s="296" t="str">
        <f ca="1">IF(AND('Mapa final'!$J$37="Muy Alta",'Mapa final'!$N$37="Mayor"),CONCATENATE("R",'Mapa final'!$A$37),"")</f>
        <v/>
      </c>
      <c r="AG8" s="297"/>
      <c r="AH8" s="307" t="str">
        <f ca="1">IF(AND('Mapa final'!$J$25="Muy Alta",'Mapa final'!$N$25="Catastrófico"),CONCATENATE("R",'Mapa final'!$A$25),"")</f>
        <v/>
      </c>
      <c r="AI8" s="308"/>
      <c r="AJ8" s="308" t="str">
        <f ca="1">IF(AND('Mapa final'!$J$31="Muy Alta",'Mapa final'!$N$31="Catastrófico"),CONCATENATE("R",'Mapa final'!$A$31),"")</f>
        <v/>
      </c>
      <c r="AK8" s="308"/>
      <c r="AL8" s="308" t="str">
        <f ca="1">IF(AND('Mapa final'!$J$37="Muy Alta",'Mapa final'!$N$37="Catastrófico"),CONCATENATE("R",'Mapa final'!$A$37),"")</f>
        <v/>
      </c>
      <c r="AM8" s="309"/>
      <c r="AN8" s="83"/>
      <c r="AO8" s="254"/>
      <c r="AP8" s="255"/>
      <c r="AQ8" s="255"/>
      <c r="AR8" s="255"/>
      <c r="AS8" s="255"/>
      <c r="AT8" s="25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49"/>
      <c r="C9" s="249"/>
      <c r="D9" s="250"/>
      <c r="E9" s="290"/>
      <c r="F9" s="291"/>
      <c r="G9" s="291"/>
      <c r="H9" s="291"/>
      <c r="I9" s="292"/>
      <c r="J9" s="300"/>
      <c r="K9" s="296"/>
      <c r="L9" s="296"/>
      <c r="M9" s="296"/>
      <c r="N9" s="296"/>
      <c r="O9" s="297"/>
      <c r="P9" s="300"/>
      <c r="Q9" s="296"/>
      <c r="R9" s="296"/>
      <c r="S9" s="296"/>
      <c r="T9" s="296"/>
      <c r="U9" s="297"/>
      <c r="V9" s="300"/>
      <c r="W9" s="296"/>
      <c r="X9" s="296"/>
      <c r="Y9" s="296"/>
      <c r="Z9" s="296"/>
      <c r="AA9" s="297"/>
      <c r="AB9" s="300"/>
      <c r="AC9" s="296"/>
      <c r="AD9" s="296"/>
      <c r="AE9" s="296"/>
      <c r="AF9" s="296"/>
      <c r="AG9" s="297"/>
      <c r="AH9" s="307"/>
      <c r="AI9" s="308"/>
      <c r="AJ9" s="308"/>
      <c r="AK9" s="308"/>
      <c r="AL9" s="308"/>
      <c r="AM9" s="309"/>
      <c r="AN9" s="83"/>
      <c r="AO9" s="254"/>
      <c r="AP9" s="255"/>
      <c r="AQ9" s="255"/>
      <c r="AR9" s="255"/>
      <c r="AS9" s="255"/>
      <c r="AT9" s="25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49"/>
      <c r="C10" s="249"/>
      <c r="D10" s="250"/>
      <c r="E10" s="290"/>
      <c r="F10" s="291"/>
      <c r="G10" s="291"/>
      <c r="H10" s="291"/>
      <c r="I10" s="292"/>
      <c r="J10" s="300" t="str">
        <f ca="1">IF(AND('Mapa final'!$J$43="Muy Alta",'Mapa final'!$N$43="Leve"),CONCATENATE("R",'Mapa final'!$A$43),"")</f>
        <v/>
      </c>
      <c r="K10" s="296"/>
      <c r="L10" s="296" t="str">
        <f ca="1">IF(AND('Mapa final'!$J$49="Muy Alta",'Mapa final'!$N$49="Leve"),CONCATENATE("R",'Mapa final'!$A$49),"")</f>
        <v/>
      </c>
      <c r="M10" s="296"/>
      <c r="N10" s="296" t="str">
        <f ca="1">IF(AND('Mapa final'!$J$55="Muy Alta",'Mapa final'!$N$55="Leve"),CONCATENATE("R",'Mapa final'!$A$55),"")</f>
        <v/>
      </c>
      <c r="O10" s="297"/>
      <c r="P10" s="300" t="str">
        <f ca="1">IF(AND('Mapa final'!$J$43="Muy Alta",'Mapa final'!$N$43="Menor"),CONCATENATE("R",'Mapa final'!$A$43),"")</f>
        <v/>
      </c>
      <c r="Q10" s="296"/>
      <c r="R10" s="296" t="str">
        <f ca="1">IF(AND('Mapa final'!$J$49="Muy Alta",'Mapa final'!$N$49="Menor"),CONCATENATE("R",'Mapa final'!$A$49),"")</f>
        <v/>
      </c>
      <c r="S10" s="296"/>
      <c r="T10" s="296" t="str">
        <f ca="1">IF(AND('Mapa final'!$J$55="Muy Alta",'Mapa final'!$N$55="Menor"),CONCATENATE("R",'Mapa final'!$A$55),"")</f>
        <v/>
      </c>
      <c r="U10" s="297"/>
      <c r="V10" s="300" t="str">
        <f ca="1">IF(AND('Mapa final'!$J$43="Muy Alta",'Mapa final'!$N$43="Moderado"),CONCATENATE("R",'Mapa final'!$A$43),"")</f>
        <v/>
      </c>
      <c r="W10" s="296"/>
      <c r="X10" s="296" t="str">
        <f ca="1">IF(AND('Mapa final'!$J$49="Muy Alta",'Mapa final'!$N$49="Moderado"),CONCATENATE("R",'Mapa final'!$A$49),"")</f>
        <v/>
      </c>
      <c r="Y10" s="296"/>
      <c r="Z10" s="296" t="str">
        <f ca="1">IF(AND('Mapa final'!$J$55="Muy Alta",'Mapa final'!$N$55="Moderado"),CONCATENATE("R",'Mapa final'!$A$55),"")</f>
        <v/>
      </c>
      <c r="AA10" s="297"/>
      <c r="AB10" s="300" t="str">
        <f ca="1">IF(AND('Mapa final'!$J$43="Muy Alta",'Mapa final'!$N$43="Mayor"),CONCATENATE("R",'Mapa final'!$A$43),"")</f>
        <v/>
      </c>
      <c r="AC10" s="296"/>
      <c r="AD10" s="296" t="str">
        <f ca="1">IF(AND('Mapa final'!$J$49="Muy Alta",'Mapa final'!$N$49="Mayor"),CONCATENATE("R",'Mapa final'!$A$49),"")</f>
        <v/>
      </c>
      <c r="AE10" s="296"/>
      <c r="AF10" s="296" t="str">
        <f ca="1">IF(AND('Mapa final'!$J$55="Muy Alta",'Mapa final'!$N$55="Mayor"),CONCATENATE("R",'Mapa final'!$A$55),"")</f>
        <v/>
      </c>
      <c r="AG10" s="297"/>
      <c r="AH10" s="307" t="str">
        <f ca="1">IF(AND('Mapa final'!$J$43="Muy Alta",'Mapa final'!$N$43="Catastrófico"),CONCATENATE("R",'Mapa final'!$A$43),"")</f>
        <v/>
      </c>
      <c r="AI10" s="308"/>
      <c r="AJ10" s="308" t="str">
        <f ca="1">IF(AND('Mapa final'!$J$49="Muy Alta",'Mapa final'!$N$49="Catastrófico"),CONCATENATE("R",'Mapa final'!$A$49),"")</f>
        <v/>
      </c>
      <c r="AK10" s="308"/>
      <c r="AL10" s="308" t="str">
        <f ca="1">IF(AND('Mapa final'!$J$55="Muy Alta",'Mapa final'!$N$55="Catastrófico"),CONCATENATE("R",'Mapa final'!$A$55),"")</f>
        <v/>
      </c>
      <c r="AM10" s="309"/>
      <c r="AN10" s="83"/>
      <c r="AO10" s="254"/>
      <c r="AP10" s="255"/>
      <c r="AQ10" s="255"/>
      <c r="AR10" s="255"/>
      <c r="AS10" s="255"/>
      <c r="AT10" s="25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49"/>
      <c r="C11" s="249"/>
      <c r="D11" s="250"/>
      <c r="E11" s="290"/>
      <c r="F11" s="291"/>
      <c r="G11" s="291"/>
      <c r="H11" s="291"/>
      <c r="I11" s="292"/>
      <c r="J11" s="300"/>
      <c r="K11" s="296"/>
      <c r="L11" s="296"/>
      <c r="M11" s="296"/>
      <c r="N11" s="296"/>
      <c r="O11" s="297"/>
      <c r="P11" s="300"/>
      <c r="Q11" s="296"/>
      <c r="R11" s="296"/>
      <c r="S11" s="296"/>
      <c r="T11" s="296"/>
      <c r="U11" s="297"/>
      <c r="V11" s="300"/>
      <c r="W11" s="296"/>
      <c r="X11" s="296"/>
      <c r="Y11" s="296"/>
      <c r="Z11" s="296"/>
      <c r="AA11" s="297"/>
      <c r="AB11" s="300"/>
      <c r="AC11" s="296"/>
      <c r="AD11" s="296"/>
      <c r="AE11" s="296"/>
      <c r="AF11" s="296"/>
      <c r="AG11" s="297"/>
      <c r="AH11" s="307"/>
      <c r="AI11" s="308"/>
      <c r="AJ11" s="308"/>
      <c r="AK11" s="308"/>
      <c r="AL11" s="308"/>
      <c r="AM11" s="309"/>
      <c r="AN11" s="83"/>
      <c r="AO11" s="254"/>
      <c r="AP11" s="255"/>
      <c r="AQ11" s="255"/>
      <c r="AR11" s="255"/>
      <c r="AS11" s="255"/>
      <c r="AT11" s="25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49"/>
      <c r="C12" s="249"/>
      <c r="D12" s="250"/>
      <c r="E12" s="290"/>
      <c r="F12" s="291"/>
      <c r="G12" s="291"/>
      <c r="H12" s="291"/>
      <c r="I12" s="292"/>
      <c r="J12" s="300" t="str">
        <f ca="1">IF(AND('Mapa final'!$J$61="Muy Alta",'Mapa final'!$N$61="Leve"),CONCATENATE("R",'Mapa final'!$A$61),"")</f>
        <v/>
      </c>
      <c r="K12" s="296"/>
      <c r="L12" s="296" t="str">
        <f>IF(AND('Mapa final'!$J$67="Muy Alta",'Mapa final'!$N$67="Leve"),CONCATENATE("R",'Mapa final'!$A$67),"")</f>
        <v/>
      </c>
      <c r="M12" s="296"/>
      <c r="N12" s="296" t="str">
        <f>IF(AND('Mapa final'!$J$73="Muy Alta",'Mapa final'!$N$73="Leve"),CONCATENATE("R",'Mapa final'!$A$73),"")</f>
        <v/>
      </c>
      <c r="O12" s="297"/>
      <c r="P12" s="300" t="str">
        <f ca="1">IF(AND('Mapa final'!$J$61="Muy Alta",'Mapa final'!$N$61="Menor"),CONCATENATE("R",'Mapa final'!$A$61),"")</f>
        <v/>
      </c>
      <c r="Q12" s="296"/>
      <c r="R12" s="296" t="str">
        <f>IF(AND('Mapa final'!$J$67="Muy Alta",'Mapa final'!$N$67="Menor"),CONCATENATE("R",'Mapa final'!$A$67),"")</f>
        <v/>
      </c>
      <c r="S12" s="296"/>
      <c r="T12" s="296" t="str">
        <f>IF(AND('Mapa final'!$J$73="Muy Alta",'Mapa final'!$N$73="Menor"),CONCATENATE("R",'Mapa final'!$A$73),"")</f>
        <v/>
      </c>
      <c r="U12" s="297"/>
      <c r="V12" s="300" t="str">
        <f ca="1">IF(AND('Mapa final'!$J$61="Muy Alta",'Mapa final'!$N$61="Moderado"),CONCATENATE("R",'Mapa final'!$A$61),"")</f>
        <v/>
      </c>
      <c r="W12" s="296"/>
      <c r="X12" s="296" t="str">
        <f>IF(AND('Mapa final'!$J$67="Muy Alta",'Mapa final'!$N$67="Moderado"),CONCATENATE("R",'Mapa final'!$A$67),"")</f>
        <v/>
      </c>
      <c r="Y12" s="296"/>
      <c r="Z12" s="296" t="str">
        <f>IF(AND('Mapa final'!$J$73="Muy Alta",'Mapa final'!$N$73="Moderado"),CONCATENATE("R",'Mapa final'!$A$73),"")</f>
        <v/>
      </c>
      <c r="AA12" s="297"/>
      <c r="AB12" s="300" t="str">
        <f ca="1">IF(AND('Mapa final'!$J$61="Muy Alta",'Mapa final'!$N$61="Mayor"),CONCATENATE("R",'Mapa final'!$A$61),"")</f>
        <v/>
      </c>
      <c r="AC12" s="296"/>
      <c r="AD12" s="296" t="str">
        <f>IF(AND('Mapa final'!$J$67="Muy Alta",'Mapa final'!$N$67="Mayor"),CONCATENATE("R",'Mapa final'!$A$67),"")</f>
        <v/>
      </c>
      <c r="AE12" s="296"/>
      <c r="AF12" s="296" t="str">
        <f>IF(AND('Mapa final'!$J$73="Muy Alta",'Mapa final'!$N$73="Mayor"),CONCATENATE("R",'Mapa final'!$A$73),"")</f>
        <v/>
      </c>
      <c r="AG12" s="297"/>
      <c r="AH12" s="307" t="str">
        <f ca="1">IF(AND('Mapa final'!$J$61="Muy Alta",'Mapa final'!$N$61="Catastrófico"),CONCATENATE("R",'Mapa final'!$A$61),"")</f>
        <v/>
      </c>
      <c r="AI12" s="308"/>
      <c r="AJ12" s="308" t="str">
        <f>IF(AND('Mapa final'!$J$67="Muy Alta",'Mapa final'!$N$67="Catastrófico"),CONCATENATE("R",'Mapa final'!$A$67),"")</f>
        <v/>
      </c>
      <c r="AK12" s="308"/>
      <c r="AL12" s="308" t="str">
        <f>IF(AND('Mapa final'!$J$73="Muy Alta",'Mapa final'!$N$73="Catastrófico"),CONCATENATE("R",'Mapa final'!$A$73),"")</f>
        <v/>
      </c>
      <c r="AM12" s="309"/>
      <c r="AN12" s="83"/>
      <c r="AO12" s="254"/>
      <c r="AP12" s="255"/>
      <c r="AQ12" s="255"/>
      <c r="AR12" s="255"/>
      <c r="AS12" s="255"/>
      <c r="AT12" s="25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49"/>
      <c r="C13" s="249"/>
      <c r="D13" s="250"/>
      <c r="E13" s="293"/>
      <c r="F13" s="294"/>
      <c r="G13" s="294"/>
      <c r="H13" s="294"/>
      <c r="I13" s="295"/>
      <c r="J13" s="300"/>
      <c r="K13" s="296"/>
      <c r="L13" s="296"/>
      <c r="M13" s="296"/>
      <c r="N13" s="296"/>
      <c r="O13" s="297"/>
      <c r="P13" s="300"/>
      <c r="Q13" s="296"/>
      <c r="R13" s="296"/>
      <c r="S13" s="296"/>
      <c r="T13" s="296"/>
      <c r="U13" s="297"/>
      <c r="V13" s="300"/>
      <c r="W13" s="296"/>
      <c r="X13" s="296"/>
      <c r="Y13" s="296"/>
      <c r="Z13" s="296"/>
      <c r="AA13" s="297"/>
      <c r="AB13" s="300"/>
      <c r="AC13" s="296"/>
      <c r="AD13" s="296"/>
      <c r="AE13" s="296"/>
      <c r="AF13" s="296"/>
      <c r="AG13" s="297"/>
      <c r="AH13" s="310"/>
      <c r="AI13" s="311"/>
      <c r="AJ13" s="311"/>
      <c r="AK13" s="311"/>
      <c r="AL13" s="311"/>
      <c r="AM13" s="312"/>
      <c r="AN13" s="83"/>
      <c r="AO13" s="257"/>
      <c r="AP13" s="258"/>
      <c r="AQ13" s="258"/>
      <c r="AR13" s="258"/>
      <c r="AS13" s="258"/>
      <c r="AT13" s="25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49"/>
      <c r="C14" s="249"/>
      <c r="D14" s="250"/>
      <c r="E14" s="287" t="s">
        <v>107</v>
      </c>
      <c r="F14" s="288"/>
      <c r="G14" s="288"/>
      <c r="H14" s="288"/>
      <c r="I14" s="288"/>
      <c r="J14" s="322" t="str">
        <f ca="1">IF(AND('Mapa final'!$J$10="Alta",'Mapa final'!$N$10="Leve"),CONCATENATE("R",'Mapa final'!$A$10),"")</f>
        <v/>
      </c>
      <c r="K14" s="323"/>
      <c r="L14" s="323" t="str">
        <f>IF(AND([1]Hoja1!$G$2="Alta",[1]Hoja1!$K$3="Leve"),CONCATENATE("R",'Mapa final'!$A$13),"")</f>
        <v/>
      </c>
      <c r="M14" s="323"/>
      <c r="N14" s="323" t="str">
        <f ca="1">IF(AND('Mapa final'!$J$19="Alta",'Mapa final'!$N$19="Leve"),CONCATENATE("R",'Mapa final'!$A$19),"")</f>
        <v/>
      </c>
      <c r="O14" s="324"/>
      <c r="P14" s="322" t="str">
        <f ca="1">IF(AND('Mapa final'!$J$10="Alta",'Mapa final'!$N$10="Menor"),CONCATENATE("R",'Mapa final'!$A$10),"")</f>
        <v/>
      </c>
      <c r="Q14" s="323"/>
      <c r="R14" s="323" t="str">
        <f>IF(AND([1]Hoja1!$G$2="Alta",[1]Hoja1!$K$3="Menor"),CONCATENATE("R",'Mapa final'!$A$13),"")</f>
        <v/>
      </c>
      <c r="S14" s="323"/>
      <c r="T14" s="323" t="str">
        <f ca="1">IF(AND('Mapa final'!$J$19="Alta",'Mapa final'!$N$19="Menor"),CONCATENATE("R",'Mapa final'!$A$19),"")</f>
        <v/>
      </c>
      <c r="U14" s="324"/>
      <c r="V14" s="298" t="str">
        <f ca="1">IF(AND('Mapa final'!$J$10="Alta",'Mapa final'!$N$10="Moderado"),CONCATENATE("R",'Mapa final'!$A$10),"")</f>
        <v/>
      </c>
      <c r="W14" s="299"/>
      <c r="X14" s="299" t="str">
        <f>IF(AND([1]Hoja1!$G$2="Alta",[1]Hoja1!$K$3="Moderado"),CONCATENATE("R",'Mapa final'!$A$13),"")</f>
        <v/>
      </c>
      <c r="Y14" s="299"/>
      <c r="Z14" s="299" t="str">
        <f ca="1">IF(AND('Mapa final'!$J$19="Alta",'Mapa final'!$N$19="Moderado"),CONCATENATE("R",'Mapa final'!$A$19),"")</f>
        <v/>
      </c>
      <c r="AA14" s="301"/>
      <c r="AB14" s="298" t="str">
        <f ca="1">IF(AND('Mapa final'!$J$10="Alta",'Mapa final'!$N$10="Mayor"),CONCATENATE("R",'Mapa final'!$A$10),"")</f>
        <v/>
      </c>
      <c r="AC14" s="299"/>
      <c r="AD14" s="299" t="str">
        <f>IF(AND([1]Hoja1!$G$2="Alta",[1]Hoja1!$K$3="Mayor"),CONCATENATE("R",'Mapa final'!$A$13),"")</f>
        <v/>
      </c>
      <c r="AE14" s="299"/>
      <c r="AF14" s="299" t="str">
        <f ca="1">IF(AND('Mapa final'!$J$19="Alta",'Mapa final'!$N$19="Mayor"),CONCATENATE("R",'Mapa final'!$A$19),"")</f>
        <v/>
      </c>
      <c r="AG14" s="301"/>
      <c r="AH14" s="313" t="str">
        <f ca="1">IF(AND('Mapa final'!$J$10="Alta",'Mapa final'!$N$10="Catastrófico"),CONCATENATE("R",'Mapa final'!$A$10),"")</f>
        <v/>
      </c>
      <c r="AI14" s="314"/>
      <c r="AJ14" s="314" t="str">
        <f>IF(AND([1]Hoja1!$G$2="Alta",[1]Hoja1!$K$3="Catastrófico"),CONCATENATE("R",'Mapa final'!$A$13),"")</f>
        <v/>
      </c>
      <c r="AK14" s="314"/>
      <c r="AL14" s="314" t="str">
        <f ca="1">IF(AND('Mapa final'!$J$19="Alta",'Mapa final'!$N$19="Catastrófico"),CONCATENATE("R",'Mapa final'!$A$19),"")</f>
        <v/>
      </c>
      <c r="AM14" s="315"/>
      <c r="AN14" s="83"/>
      <c r="AO14" s="260" t="s">
        <v>72</v>
      </c>
      <c r="AP14" s="261"/>
      <c r="AQ14" s="261"/>
      <c r="AR14" s="261"/>
      <c r="AS14" s="261"/>
      <c r="AT14" s="262"/>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49"/>
      <c r="C15" s="249"/>
      <c r="D15" s="250"/>
      <c r="E15" s="290"/>
      <c r="F15" s="291"/>
      <c r="G15" s="291"/>
      <c r="H15" s="291"/>
      <c r="I15" s="291"/>
      <c r="J15" s="316"/>
      <c r="K15" s="317"/>
      <c r="L15" s="317"/>
      <c r="M15" s="317"/>
      <c r="N15" s="317"/>
      <c r="O15" s="318"/>
      <c r="P15" s="316"/>
      <c r="Q15" s="317"/>
      <c r="R15" s="317"/>
      <c r="S15" s="317"/>
      <c r="T15" s="317"/>
      <c r="U15" s="318"/>
      <c r="V15" s="300"/>
      <c r="W15" s="296"/>
      <c r="X15" s="296"/>
      <c r="Y15" s="296"/>
      <c r="Z15" s="296"/>
      <c r="AA15" s="297"/>
      <c r="AB15" s="300"/>
      <c r="AC15" s="296"/>
      <c r="AD15" s="296"/>
      <c r="AE15" s="296"/>
      <c r="AF15" s="296"/>
      <c r="AG15" s="297"/>
      <c r="AH15" s="307"/>
      <c r="AI15" s="308"/>
      <c r="AJ15" s="308"/>
      <c r="AK15" s="308"/>
      <c r="AL15" s="308"/>
      <c r="AM15" s="309"/>
      <c r="AN15" s="83"/>
      <c r="AO15" s="263"/>
      <c r="AP15" s="264"/>
      <c r="AQ15" s="264"/>
      <c r="AR15" s="264"/>
      <c r="AS15" s="264"/>
      <c r="AT15" s="265"/>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49"/>
      <c r="C16" s="249"/>
      <c r="D16" s="250"/>
      <c r="E16" s="290"/>
      <c r="F16" s="291"/>
      <c r="G16" s="291"/>
      <c r="H16" s="291"/>
      <c r="I16" s="291"/>
      <c r="J16" s="316" t="str">
        <f ca="1">IF(AND('Mapa final'!$J$25="Alta",'Mapa final'!$N$25="Leve"),CONCATENATE("R",'Mapa final'!$A$25),"")</f>
        <v/>
      </c>
      <c r="K16" s="317"/>
      <c r="L16" s="317" t="str">
        <f ca="1">IF(AND('Mapa final'!$J$31="Alta",'Mapa final'!$N$31="Leve"),CONCATENATE("R",'Mapa final'!$A$31),"")</f>
        <v/>
      </c>
      <c r="M16" s="317"/>
      <c r="N16" s="317" t="str">
        <f ca="1">IF(AND('Mapa final'!$J$37="Alta",'Mapa final'!$N$37="Leve"),CONCATENATE("R",'Mapa final'!$A$37),"")</f>
        <v/>
      </c>
      <c r="O16" s="318"/>
      <c r="P16" s="316" t="str">
        <f ca="1">IF(AND('Mapa final'!$J$25="Alta",'Mapa final'!$N$25="Menor"),CONCATENATE("R",'Mapa final'!$A$25),"")</f>
        <v/>
      </c>
      <c r="Q16" s="317"/>
      <c r="R16" s="317" t="str">
        <f ca="1">IF(AND('Mapa final'!$J$31="Alta",'Mapa final'!$N$31="Menor"),CONCATENATE("R",'Mapa final'!$A$31),"")</f>
        <v/>
      </c>
      <c r="S16" s="317"/>
      <c r="T16" s="317" t="str">
        <f ca="1">IF(AND('Mapa final'!$J$37="Alta",'Mapa final'!$N$37="Menor"),CONCATENATE("R",'Mapa final'!$A$37),"")</f>
        <v/>
      </c>
      <c r="U16" s="318"/>
      <c r="V16" s="300" t="str">
        <f ca="1">IF(AND('Mapa final'!$J$25="Alta",'Mapa final'!$N$25="Moderado"),CONCATENATE("R",'Mapa final'!$A$25),"")</f>
        <v/>
      </c>
      <c r="W16" s="296"/>
      <c r="X16" s="296" t="str">
        <f ca="1">IF(AND('Mapa final'!$J$31="Alta",'Mapa final'!$N$31="Moderado"),CONCATENATE("R",'Mapa final'!$A$31),"")</f>
        <v/>
      </c>
      <c r="Y16" s="296"/>
      <c r="Z16" s="296" t="str">
        <f ca="1">IF(AND('Mapa final'!$J$37="Alta",'Mapa final'!$N$37="Moderado"),CONCATENATE("R",'Mapa final'!$A$37),"")</f>
        <v/>
      </c>
      <c r="AA16" s="297"/>
      <c r="AB16" s="300" t="str">
        <f ca="1">IF(AND('Mapa final'!$J$25="Alta",'Mapa final'!$N$25="Mayor"),CONCATENATE("R",'Mapa final'!$A$25),"")</f>
        <v/>
      </c>
      <c r="AC16" s="296"/>
      <c r="AD16" s="296" t="str">
        <f ca="1">IF(AND('Mapa final'!$J$31="Alta",'Mapa final'!$N$31="Mayor"),CONCATENATE("R",'Mapa final'!$A$31),"")</f>
        <v/>
      </c>
      <c r="AE16" s="296"/>
      <c r="AF16" s="296" t="str">
        <f ca="1">IF(AND('Mapa final'!$J$37="Alta",'Mapa final'!$N$37="Mayor"),CONCATENATE("R",'Mapa final'!$A$37),"")</f>
        <v/>
      </c>
      <c r="AG16" s="297"/>
      <c r="AH16" s="307" t="str">
        <f ca="1">IF(AND('Mapa final'!$J$25="Alta",'Mapa final'!$N$25="Catastrófico"),CONCATENATE("R",'Mapa final'!$A$25),"")</f>
        <v/>
      </c>
      <c r="AI16" s="308"/>
      <c r="AJ16" s="308" t="str">
        <f ca="1">IF(AND('Mapa final'!$J$31="Alta",'Mapa final'!$N$31="Catastrófico"),CONCATENATE("R",'Mapa final'!$A$31),"")</f>
        <v/>
      </c>
      <c r="AK16" s="308"/>
      <c r="AL16" s="308" t="str">
        <f ca="1">IF(AND('Mapa final'!$J$37="Alta",'Mapa final'!$N$37="Catastrófico"),CONCATENATE("R",'Mapa final'!$A$37),"")</f>
        <v/>
      </c>
      <c r="AM16" s="309"/>
      <c r="AN16" s="83"/>
      <c r="AO16" s="263"/>
      <c r="AP16" s="264"/>
      <c r="AQ16" s="264"/>
      <c r="AR16" s="264"/>
      <c r="AS16" s="264"/>
      <c r="AT16" s="26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49"/>
      <c r="C17" s="249"/>
      <c r="D17" s="250"/>
      <c r="E17" s="290"/>
      <c r="F17" s="291"/>
      <c r="G17" s="291"/>
      <c r="H17" s="291"/>
      <c r="I17" s="291"/>
      <c r="J17" s="316"/>
      <c r="K17" s="317"/>
      <c r="L17" s="317"/>
      <c r="M17" s="317"/>
      <c r="N17" s="317"/>
      <c r="O17" s="318"/>
      <c r="P17" s="316"/>
      <c r="Q17" s="317"/>
      <c r="R17" s="317"/>
      <c r="S17" s="317"/>
      <c r="T17" s="317"/>
      <c r="U17" s="318"/>
      <c r="V17" s="300"/>
      <c r="W17" s="296"/>
      <c r="X17" s="296"/>
      <c r="Y17" s="296"/>
      <c r="Z17" s="296"/>
      <c r="AA17" s="297"/>
      <c r="AB17" s="300"/>
      <c r="AC17" s="296"/>
      <c r="AD17" s="296"/>
      <c r="AE17" s="296"/>
      <c r="AF17" s="296"/>
      <c r="AG17" s="297"/>
      <c r="AH17" s="307"/>
      <c r="AI17" s="308"/>
      <c r="AJ17" s="308"/>
      <c r="AK17" s="308"/>
      <c r="AL17" s="308"/>
      <c r="AM17" s="309"/>
      <c r="AN17" s="83"/>
      <c r="AO17" s="263"/>
      <c r="AP17" s="264"/>
      <c r="AQ17" s="264"/>
      <c r="AR17" s="264"/>
      <c r="AS17" s="264"/>
      <c r="AT17" s="265"/>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49"/>
      <c r="C18" s="249"/>
      <c r="D18" s="250"/>
      <c r="E18" s="290"/>
      <c r="F18" s="291"/>
      <c r="G18" s="291"/>
      <c r="H18" s="291"/>
      <c r="I18" s="291"/>
      <c r="J18" s="316" t="str">
        <f ca="1">IF(AND('Mapa final'!$J$43="Alta",'Mapa final'!$N$43="Leve"),CONCATENATE("R",'Mapa final'!$A$43),"")</f>
        <v/>
      </c>
      <c r="K18" s="317"/>
      <c r="L18" s="317" t="str">
        <f ca="1">IF(AND('Mapa final'!$J$49="Alta",'Mapa final'!$N$49="Leve"),CONCATENATE("R",'Mapa final'!$A$49),"")</f>
        <v/>
      </c>
      <c r="M18" s="317"/>
      <c r="N18" s="317" t="str">
        <f ca="1">IF(AND('Mapa final'!$J$55="Alta",'Mapa final'!$N$55="Leve"),CONCATENATE("R",'Mapa final'!$A$55),"")</f>
        <v/>
      </c>
      <c r="O18" s="318"/>
      <c r="P18" s="316" t="str">
        <f ca="1">IF(AND('Mapa final'!$J$43="Alta",'Mapa final'!$N$43="Menor"),CONCATENATE("R",'Mapa final'!$A$43),"")</f>
        <v/>
      </c>
      <c r="Q18" s="317"/>
      <c r="R18" s="317" t="str">
        <f ca="1">IF(AND('Mapa final'!$J$49="Alta",'Mapa final'!$N$49="Menor"),CONCATENATE("R",'Mapa final'!$A$49),"")</f>
        <v/>
      </c>
      <c r="S18" s="317"/>
      <c r="T18" s="317" t="str">
        <f ca="1">IF(AND('Mapa final'!$J$55="Alta",'Mapa final'!$N$55="Menor"),CONCATENATE("R",'Mapa final'!$A$55),"")</f>
        <v/>
      </c>
      <c r="U18" s="318"/>
      <c r="V18" s="300" t="str">
        <f ca="1">IF(AND('Mapa final'!$J$43="Alta",'Mapa final'!$N$43="Moderado"),CONCATENATE("R",'Mapa final'!$A$43),"")</f>
        <v/>
      </c>
      <c r="W18" s="296"/>
      <c r="X18" s="296" t="str">
        <f ca="1">IF(AND('Mapa final'!$J$49="Alta",'Mapa final'!$N$49="Moderado"),CONCATENATE("R",'Mapa final'!$A$49),"")</f>
        <v/>
      </c>
      <c r="Y18" s="296"/>
      <c r="Z18" s="296" t="str">
        <f ca="1">IF(AND('Mapa final'!$J$55="Alta",'Mapa final'!$N$55="Moderado"),CONCATENATE("R",'Mapa final'!$A$55),"")</f>
        <v/>
      </c>
      <c r="AA18" s="297"/>
      <c r="AB18" s="300" t="str">
        <f ca="1">IF(AND('Mapa final'!$J$43="Alta",'Mapa final'!$N$43="Mayor"),CONCATENATE("R",'Mapa final'!$A$43),"")</f>
        <v/>
      </c>
      <c r="AC18" s="296"/>
      <c r="AD18" s="296" t="str">
        <f ca="1">IF(AND('Mapa final'!$J$49="Alta",'Mapa final'!$N$49="Mayor"),CONCATENATE("R",'Mapa final'!$A$49),"")</f>
        <v/>
      </c>
      <c r="AE18" s="296"/>
      <c r="AF18" s="296" t="str">
        <f ca="1">IF(AND('Mapa final'!$J$55="Alta",'Mapa final'!$N$55="Mayor"),CONCATENATE("R",'Mapa final'!$A$55),"")</f>
        <v/>
      </c>
      <c r="AG18" s="297"/>
      <c r="AH18" s="307" t="str">
        <f ca="1">IF(AND('Mapa final'!$J$43="Alta",'Mapa final'!$N$43="Catastrófico"),CONCATENATE("R",'Mapa final'!$A$43),"")</f>
        <v/>
      </c>
      <c r="AI18" s="308"/>
      <c r="AJ18" s="308" t="str">
        <f ca="1">IF(AND('Mapa final'!$J$49="Alta",'Mapa final'!$N$49="Catastrófico"),CONCATENATE("R",'Mapa final'!$A$49),"")</f>
        <v/>
      </c>
      <c r="AK18" s="308"/>
      <c r="AL18" s="308" t="str">
        <f ca="1">IF(AND('Mapa final'!$J$55="Alta",'Mapa final'!$N$55="Catastrófico"),CONCATENATE("R",'Mapa final'!$A$55),"")</f>
        <v/>
      </c>
      <c r="AM18" s="309"/>
      <c r="AN18" s="83"/>
      <c r="AO18" s="263"/>
      <c r="AP18" s="264"/>
      <c r="AQ18" s="264"/>
      <c r="AR18" s="264"/>
      <c r="AS18" s="264"/>
      <c r="AT18" s="265"/>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49"/>
      <c r="C19" s="249"/>
      <c r="D19" s="250"/>
      <c r="E19" s="290"/>
      <c r="F19" s="291"/>
      <c r="G19" s="291"/>
      <c r="H19" s="291"/>
      <c r="I19" s="291"/>
      <c r="J19" s="316"/>
      <c r="K19" s="317"/>
      <c r="L19" s="317"/>
      <c r="M19" s="317"/>
      <c r="N19" s="317"/>
      <c r="O19" s="318"/>
      <c r="P19" s="316"/>
      <c r="Q19" s="317"/>
      <c r="R19" s="317"/>
      <c r="S19" s="317"/>
      <c r="T19" s="317"/>
      <c r="U19" s="318"/>
      <c r="V19" s="300"/>
      <c r="W19" s="296"/>
      <c r="X19" s="296"/>
      <c r="Y19" s="296"/>
      <c r="Z19" s="296"/>
      <c r="AA19" s="297"/>
      <c r="AB19" s="300"/>
      <c r="AC19" s="296"/>
      <c r="AD19" s="296"/>
      <c r="AE19" s="296"/>
      <c r="AF19" s="296"/>
      <c r="AG19" s="297"/>
      <c r="AH19" s="307"/>
      <c r="AI19" s="308"/>
      <c r="AJ19" s="308"/>
      <c r="AK19" s="308"/>
      <c r="AL19" s="308"/>
      <c r="AM19" s="309"/>
      <c r="AN19" s="83"/>
      <c r="AO19" s="263"/>
      <c r="AP19" s="264"/>
      <c r="AQ19" s="264"/>
      <c r="AR19" s="264"/>
      <c r="AS19" s="264"/>
      <c r="AT19" s="265"/>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49"/>
      <c r="C20" s="249"/>
      <c r="D20" s="250"/>
      <c r="E20" s="290"/>
      <c r="F20" s="291"/>
      <c r="G20" s="291"/>
      <c r="H20" s="291"/>
      <c r="I20" s="291"/>
      <c r="J20" s="316" t="str">
        <f ca="1">IF(AND('Mapa final'!$J$61="Alta",'Mapa final'!$N$61="Leve"),CONCATENATE("R",'Mapa final'!$A$61),"")</f>
        <v/>
      </c>
      <c r="K20" s="317"/>
      <c r="L20" s="317" t="str">
        <f>IF(AND('Mapa final'!$J$67="Alta",'Mapa final'!$N$67="Leve"),CONCATENATE("R",'Mapa final'!$A$67),"")</f>
        <v/>
      </c>
      <c r="M20" s="317"/>
      <c r="N20" s="317" t="str">
        <f>IF(AND('Mapa final'!$J$73="Alta",'Mapa final'!$N$73="Leve"),CONCATENATE("R",'Mapa final'!$A$73),"")</f>
        <v/>
      </c>
      <c r="O20" s="318"/>
      <c r="P20" s="316" t="str">
        <f ca="1">IF(AND('Mapa final'!$J$61="Alta",'Mapa final'!$N$61="Menor"),CONCATENATE("R",'Mapa final'!$A$61),"")</f>
        <v/>
      </c>
      <c r="Q20" s="317"/>
      <c r="R20" s="317" t="str">
        <f>IF(AND('Mapa final'!$J$67="Alta",'Mapa final'!$N$67="Menor"),CONCATENATE("R",'Mapa final'!$A$67),"")</f>
        <v/>
      </c>
      <c r="S20" s="317"/>
      <c r="T20" s="317" t="str">
        <f>IF(AND('Mapa final'!$J$73="Alta",'Mapa final'!$N$73="Menor"),CONCATENATE("R",'Mapa final'!$A$73),"")</f>
        <v/>
      </c>
      <c r="U20" s="318"/>
      <c r="V20" s="300" t="str">
        <f ca="1">IF(AND('Mapa final'!$J$61="Alta",'Mapa final'!$N$61="Moderado"),CONCATENATE("R",'Mapa final'!$A$61),"")</f>
        <v/>
      </c>
      <c r="W20" s="296"/>
      <c r="X20" s="296" t="str">
        <f>IF(AND('Mapa final'!$J$67="Alta",'Mapa final'!$N$67="Moderado"),CONCATENATE("R",'Mapa final'!$A$67),"")</f>
        <v/>
      </c>
      <c r="Y20" s="296"/>
      <c r="Z20" s="296" t="str">
        <f>IF(AND('Mapa final'!$J$73="Alta",'Mapa final'!$N$73="Moderado"),CONCATENATE("R",'Mapa final'!$A$73),"")</f>
        <v/>
      </c>
      <c r="AA20" s="297"/>
      <c r="AB20" s="300" t="str">
        <f ca="1">IF(AND('Mapa final'!$J$61="Alta",'Mapa final'!$N$61="Mayor"),CONCATENATE("R",'Mapa final'!$A$61),"")</f>
        <v/>
      </c>
      <c r="AC20" s="296"/>
      <c r="AD20" s="296" t="str">
        <f>IF(AND('Mapa final'!$J$67="Alta",'Mapa final'!$N$67="Mayor"),CONCATENATE("R",'Mapa final'!$A$67),"")</f>
        <v/>
      </c>
      <c r="AE20" s="296"/>
      <c r="AF20" s="296" t="str">
        <f>IF(AND('Mapa final'!$J$73="Alta",'Mapa final'!$N$73="Mayor"),CONCATENATE("R",'Mapa final'!$A$73),"")</f>
        <v/>
      </c>
      <c r="AG20" s="297"/>
      <c r="AH20" s="307" t="str">
        <f ca="1">IF(AND('Mapa final'!$J$61="Alta",'Mapa final'!$N$61="Catastrófico"),CONCATENATE("R",'Mapa final'!$A$61),"")</f>
        <v/>
      </c>
      <c r="AI20" s="308"/>
      <c r="AJ20" s="308" t="str">
        <f>IF(AND('Mapa final'!$J$67="Alta",'Mapa final'!$N$67="Catastrófico"),CONCATENATE("R",'Mapa final'!$A$67),"")</f>
        <v/>
      </c>
      <c r="AK20" s="308"/>
      <c r="AL20" s="308" t="str">
        <f>IF(AND('Mapa final'!$J$73="Alta",'Mapa final'!$N$73="Catastrófico"),CONCATENATE("R",'Mapa final'!$A$73),"")</f>
        <v/>
      </c>
      <c r="AM20" s="309"/>
      <c r="AN20" s="83"/>
      <c r="AO20" s="263"/>
      <c r="AP20" s="264"/>
      <c r="AQ20" s="264"/>
      <c r="AR20" s="264"/>
      <c r="AS20" s="264"/>
      <c r="AT20" s="265"/>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49"/>
      <c r="C21" s="249"/>
      <c r="D21" s="250"/>
      <c r="E21" s="293"/>
      <c r="F21" s="294"/>
      <c r="G21" s="294"/>
      <c r="H21" s="294"/>
      <c r="I21" s="294"/>
      <c r="J21" s="319"/>
      <c r="K21" s="320"/>
      <c r="L21" s="320"/>
      <c r="M21" s="320"/>
      <c r="N21" s="320"/>
      <c r="O21" s="321"/>
      <c r="P21" s="319"/>
      <c r="Q21" s="320"/>
      <c r="R21" s="320"/>
      <c r="S21" s="320"/>
      <c r="T21" s="320"/>
      <c r="U21" s="321"/>
      <c r="V21" s="304"/>
      <c r="W21" s="305"/>
      <c r="X21" s="305"/>
      <c r="Y21" s="305"/>
      <c r="Z21" s="305"/>
      <c r="AA21" s="306"/>
      <c r="AB21" s="304"/>
      <c r="AC21" s="305"/>
      <c r="AD21" s="305"/>
      <c r="AE21" s="305"/>
      <c r="AF21" s="305"/>
      <c r="AG21" s="306"/>
      <c r="AH21" s="310"/>
      <c r="AI21" s="311"/>
      <c r="AJ21" s="311"/>
      <c r="AK21" s="311"/>
      <c r="AL21" s="311"/>
      <c r="AM21" s="312"/>
      <c r="AN21" s="83"/>
      <c r="AO21" s="266"/>
      <c r="AP21" s="267"/>
      <c r="AQ21" s="267"/>
      <c r="AR21" s="267"/>
      <c r="AS21" s="267"/>
      <c r="AT21" s="26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49"/>
      <c r="C22" s="249"/>
      <c r="D22" s="250"/>
      <c r="E22" s="287" t="s">
        <v>109</v>
      </c>
      <c r="F22" s="288"/>
      <c r="G22" s="288"/>
      <c r="H22" s="288"/>
      <c r="I22" s="289"/>
      <c r="J22" s="322" t="str">
        <f ca="1">IF(AND('Mapa final'!$J$10="Media",'Mapa final'!$N$10="Leve"),CONCATENATE("R",'Mapa final'!$A$10),"")</f>
        <v/>
      </c>
      <c r="K22" s="323"/>
      <c r="L22" s="323" t="str">
        <f>IF(AND([1]Hoja1!$G$2="Media",[1]Hoja1!$K$3="Leve"),CONCATENATE("R",'Mapa final'!$A$13),"")</f>
        <v/>
      </c>
      <c r="M22" s="323"/>
      <c r="N22" s="323" t="str">
        <f ca="1">IF(AND('Mapa final'!$J$19="Media",'Mapa final'!$N$19="Leve"),CONCATENATE("R",'Mapa final'!$A$19),"")</f>
        <v/>
      </c>
      <c r="O22" s="324"/>
      <c r="P22" s="322" t="str">
        <f ca="1">IF(AND('Mapa final'!$J$10="Media",'Mapa final'!$N$10="Menor"),CONCATENATE("R",'Mapa final'!$A$10),"")</f>
        <v/>
      </c>
      <c r="Q22" s="323"/>
      <c r="R22" s="323" t="str">
        <f>IF(AND([1]Hoja1!$G$2="Media",[1]Hoja1!$K$3="Menor"),CONCATENATE("R",'Mapa final'!$A$13),"")</f>
        <v/>
      </c>
      <c r="S22" s="323"/>
      <c r="T22" s="323" t="str">
        <f ca="1">IF(AND('Mapa final'!$J$19="Media",'Mapa final'!$N$19="Menor"),CONCATENATE("R",'Mapa final'!$A$19),"")</f>
        <v/>
      </c>
      <c r="U22" s="324"/>
      <c r="V22" s="322" t="str">
        <f ca="1">IF(AND('Mapa final'!$J$10="Media",'Mapa final'!$N$10="Moderado"),CONCATENATE("R",'Mapa final'!$A$10),"")</f>
        <v/>
      </c>
      <c r="W22" s="323"/>
      <c r="X22" s="323" t="str">
        <f>IF(AND([1]Hoja1!$G$2="Media",[1]Hoja1!$K$3="Moderado"),CONCATENATE("R",'Mapa final'!$A$13),"")</f>
        <v/>
      </c>
      <c r="Y22" s="323"/>
      <c r="Z22" s="323" t="str">
        <f ca="1">IF(AND('Mapa final'!$J$19="Media",'Mapa final'!$N$19="Moderado"),CONCATENATE("R",'Mapa final'!$A$19),"")</f>
        <v/>
      </c>
      <c r="AA22" s="324"/>
      <c r="AB22" s="298" t="str">
        <f ca="1">IF(AND('Mapa final'!$J$10="Media",'Mapa final'!$N$10="Mayor"),CONCATENATE("R",'Mapa final'!$A$10),"")</f>
        <v/>
      </c>
      <c r="AC22" s="299"/>
      <c r="AD22" s="299" t="str">
        <f>IF(AND([1]Hoja1!$G$2="Media",[1]Hoja1!$K$3="Mayor"),CONCATENATE("R",'Mapa final'!$A$13),"")</f>
        <v>R2</v>
      </c>
      <c r="AE22" s="299"/>
      <c r="AF22" s="299" t="str">
        <f ca="1">IF(AND('Mapa final'!$J$19="Media",'Mapa final'!$N$19="Mayor"),CONCATENATE("R",'Mapa final'!$A$19),"")</f>
        <v/>
      </c>
      <c r="AG22" s="301"/>
      <c r="AH22" s="313" t="str">
        <f ca="1">IF(AND('Mapa final'!$J$10="Media",'Mapa final'!$N$10="Catastrófico"),CONCATENATE("R",'Mapa final'!$A$10),"")</f>
        <v/>
      </c>
      <c r="AI22" s="314"/>
      <c r="AJ22" s="314" t="str">
        <f>IF(AND([1]Hoja1!$G$2="Media",[1]Hoja1!$K$3="Catastrófico"),CONCATENATE("R",'Mapa final'!$A$13),"")</f>
        <v/>
      </c>
      <c r="AK22" s="314"/>
      <c r="AL22" s="314" t="str">
        <f ca="1">IF(AND('Mapa final'!$J$19="Media",'Mapa final'!$N$19="Catastrófico"),CONCATENATE("R",'Mapa final'!$A$19),"")</f>
        <v/>
      </c>
      <c r="AM22" s="315"/>
      <c r="AN22" s="83"/>
      <c r="AO22" s="269" t="s">
        <v>73</v>
      </c>
      <c r="AP22" s="270"/>
      <c r="AQ22" s="270"/>
      <c r="AR22" s="270"/>
      <c r="AS22" s="270"/>
      <c r="AT22" s="271"/>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49"/>
      <c r="C23" s="249"/>
      <c r="D23" s="250"/>
      <c r="E23" s="290"/>
      <c r="F23" s="291"/>
      <c r="G23" s="291"/>
      <c r="H23" s="291"/>
      <c r="I23" s="292"/>
      <c r="J23" s="316"/>
      <c r="K23" s="317"/>
      <c r="L23" s="317"/>
      <c r="M23" s="317"/>
      <c r="N23" s="317"/>
      <c r="O23" s="318"/>
      <c r="P23" s="316"/>
      <c r="Q23" s="317"/>
      <c r="R23" s="317"/>
      <c r="S23" s="317"/>
      <c r="T23" s="317"/>
      <c r="U23" s="318"/>
      <c r="V23" s="316"/>
      <c r="W23" s="317"/>
      <c r="X23" s="317"/>
      <c r="Y23" s="317"/>
      <c r="Z23" s="317"/>
      <c r="AA23" s="318"/>
      <c r="AB23" s="300"/>
      <c r="AC23" s="296"/>
      <c r="AD23" s="296"/>
      <c r="AE23" s="296"/>
      <c r="AF23" s="296"/>
      <c r="AG23" s="297"/>
      <c r="AH23" s="307"/>
      <c r="AI23" s="308"/>
      <c r="AJ23" s="308"/>
      <c r="AK23" s="308"/>
      <c r="AL23" s="308"/>
      <c r="AM23" s="309"/>
      <c r="AN23" s="83"/>
      <c r="AO23" s="272"/>
      <c r="AP23" s="273"/>
      <c r="AQ23" s="273"/>
      <c r="AR23" s="273"/>
      <c r="AS23" s="273"/>
      <c r="AT23" s="274"/>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49"/>
      <c r="C24" s="249"/>
      <c r="D24" s="250"/>
      <c r="E24" s="290"/>
      <c r="F24" s="291"/>
      <c r="G24" s="291"/>
      <c r="H24" s="291"/>
      <c r="I24" s="292"/>
      <c r="J24" s="316" t="str">
        <f ca="1">IF(AND('Mapa final'!$J$25="Media",'Mapa final'!$N$25="Leve"),CONCATENATE("R",'Mapa final'!$A$25),"")</f>
        <v/>
      </c>
      <c r="K24" s="317"/>
      <c r="L24" s="317" t="str">
        <f ca="1">IF(AND('Mapa final'!$J$31="Media",'Mapa final'!$N$31="Leve"),CONCATENATE("R",'Mapa final'!$A$31),"")</f>
        <v/>
      </c>
      <c r="M24" s="317"/>
      <c r="N24" s="317" t="str">
        <f ca="1">IF(AND('Mapa final'!$J$37="Media",'Mapa final'!$N$37="Leve"),CONCATENATE("R",'Mapa final'!$A$37),"")</f>
        <v/>
      </c>
      <c r="O24" s="318"/>
      <c r="P24" s="316" t="str">
        <f ca="1">IF(AND('Mapa final'!$J$25="Media",'Mapa final'!$N$25="Menor"),CONCATENATE("R",'Mapa final'!$A$25),"")</f>
        <v/>
      </c>
      <c r="Q24" s="317"/>
      <c r="R24" s="317" t="str">
        <f ca="1">IF(AND('Mapa final'!$J$31="Media",'Mapa final'!$N$31="Menor"),CONCATENATE("R",'Mapa final'!$A$31),"")</f>
        <v/>
      </c>
      <c r="S24" s="317"/>
      <c r="T24" s="317" t="str">
        <f ca="1">IF(AND('Mapa final'!$J$37="Media",'Mapa final'!$N$37="Menor"),CONCATENATE("R",'Mapa final'!$A$37),"")</f>
        <v/>
      </c>
      <c r="U24" s="318"/>
      <c r="V24" s="316" t="str">
        <f ca="1">IF(AND('Mapa final'!$J$25="Media",'Mapa final'!$N$25="Moderado"),CONCATENATE("R",'Mapa final'!$A$25),"")</f>
        <v/>
      </c>
      <c r="W24" s="317"/>
      <c r="X24" s="317" t="str">
        <f ca="1">IF(AND('Mapa final'!$J$31="Media",'Mapa final'!$N$31="Moderado"),CONCATENATE("R",'Mapa final'!$A$31),"")</f>
        <v/>
      </c>
      <c r="Y24" s="317"/>
      <c r="Z24" s="317" t="str">
        <f ca="1">IF(AND('Mapa final'!$J$37="Media",'Mapa final'!$N$37="Moderado"),CONCATENATE("R",'Mapa final'!$A$37),"")</f>
        <v/>
      </c>
      <c r="AA24" s="318"/>
      <c r="AB24" s="300" t="str">
        <f ca="1">IF(AND('Mapa final'!$J$25="Media",'Mapa final'!$N$25="Mayor"),CONCATENATE("R",'Mapa final'!$A$25),"")</f>
        <v/>
      </c>
      <c r="AC24" s="296"/>
      <c r="AD24" s="296" t="str">
        <f ca="1">IF(AND('Mapa final'!$J$31="Media",'Mapa final'!$N$31="Mayor"),CONCATENATE("R",'Mapa final'!$A$31),"")</f>
        <v/>
      </c>
      <c r="AE24" s="296"/>
      <c r="AF24" s="296" t="str">
        <f ca="1">IF(AND('Mapa final'!$J$37="Media",'Mapa final'!$N$37="Mayor"),CONCATENATE("R",'Mapa final'!$A$37),"")</f>
        <v/>
      </c>
      <c r="AG24" s="297"/>
      <c r="AH24" s="307" t="str">
        <f ca="1">IF(AND('Mapa final'!$J$25="Media",'Mapa final'!$N$25="Catastrófico"),CONCATENATE("R",'Mapa final'!$A$25),"")</f>
        <v/>
      </c>
      <c r="AI24" s="308"/>
      <c r="AJ24" s="308" t="str">
        <f ca="1">IF(AND('Mapa final'!$J$31="Media",'Mapa final'!$N$31="Catastrófico"),CONCATENATE("R",'Mapa final'!$A$31),"")</f>
        <v/>
      </c>
      <c r="AK24" s="308"/>
      <c r="AL24" s="308" t="str">
        <f ca="1">IF(AND('Mapa final'!$J$37="Media",'Mapa final'!$N$37="Catastrófico"),CONCATENATE("R",'Mapa final'!$A$37),"")</f>
        <v/>
      </c>
      <c r="AM24" s="309"/>
      <c r="AN24" s="83"/>
      <c r="AO24" s="272"/>
      <c r="AP24" s="273"/>
      <c r="AQ24" s="273"/>
      <c r="AR24" s="273"/>
      <c r="AS24" s="273"/>
      <c r="AT24" s="274"/>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49"/>
      <c r="C25" s="249"/>
      <c r="D25" s="250"/>
      <c r="E25" s="290"/>
      <c r="F25" s="291"/>
      <c r="G25" s="291"/>
      <c r="H25" s="291"/>
      <c r="I25" s="292"/>
      <c r="J25" s="316"/>
      <c r="K25" s="317"/>
      <c r="L25" s="317"/>
      <c r="M25" s="317"/>
      <c r="N25" s="317"/>
      <c r="O25" s="318"/>
      <c r="P25" s="316"/>
      <c r="Q25" s="317"/>
      <c r="R25" s="317"/>
      <c r="S25" s="317"/>
      <c r="T25" s="317"/>
      <c r="U25" s="318"/>
      <c r="V25" s="316"/>
      <c r="W25" s="317"/>
      <c r="X25" s="317"/>
      <c r="Y25" s="317"/>
      <c r="Z25" s="317"/>
      <c r="AA25" s="318"/>
      <c r="AB25" s="300"/>
      <c r="AC25" s="296"/>
      <c r="AD25" s="296"/>
      <c r="AE25" s="296"/>
      <c r="AF25" s="296"/>
      <c r="AG25" s="297"/>
      <c r="AH25" s="307"/>
      <c r="AI25" s="308"/>
      <c r="AJ25" s="308"/>
      <c r="AK25" s="308"/>
      <c r="AL25" s="308"/>
      <c r="AM25" s="309"/>
      <c r="AN25" s="83"/>
      <c r="AO25" s="272"/>
      <c r="AP25" s="273"/>
      <c r="AQ25" s="273"/>
      <c r="AR25" s="273"/>
      <c r="AS25" s="273"/>
      <c r="AT25" s="274"/>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49"/>
      <c r="C26" s="249"/>
      <c r="D26" s="250"/>
      <c r="E26" s="290"/>
      <c r="F26" s="291"/>
      <c r="G26" s="291"/>
      <c r="H26" s="291"/>
      <c r="I26" s="292"/>
      <c r="J26" s="316" t="str">
        <f ca="1">IF(AND('Mapa final'!$J$43="Media",'Mapa final'!$N$43="Leve"),CONCATENATE("R",'Mapa final'!$A$43),"")</f>
        <v/>
      </c>
      <c r="K26" s="317"/>
      <c r="L26" s="317" t="str">
        <f ca="1">IF(AND('Mapa final'!$J$49="Media",'Mapa final'!$N$49="Leve"),CONCATENATE("R",'Mapa final'!$A$49),"")</f>
        <v/>
      </c>
      <c r="M26" s="317"/>
      <c r="N26" s="317" t="str">
        <f ca="1">IF(AND('Mapa final'!$J$55="Media",'Mapa final'!$N$55="Leve"),CONCATENATE("R",'Mapa final'!$A$55),"")</f>
        <v/>
      </c>
      <c r="O26" s="318"/>
      <c r="P26" s="316" t="str">
        <f ca="1">IF(AND('Mapa final'!$J$43="Media",'Mapa final'!$N$43="Menor"),CONCATENATE("R",'Mapa final'!$A$43),"")</f>
        <v/>
      </c>
      <c r="Q26" s="317"/>
      <c r="R26" s="317" t="str">
        <f ca="1">IF(AND('Mapa final'!$J$49="Media",'Mapa final'!$N$49="Menor"),CONCATENATE("R",'Mapa final'!$A$49),"")</f>
        <v/>
      </c>
      <c r="S26" s="317"/>
      <c r="T26" s="317" t="str">
        <f ca="1">IF(AND('Mapa final'!$J$55="Media",'Mapa final'!$N$55="Menor"),CONCATENATE("R",'Mapa final'!$A$55),"")</f>
        <v/>
      </c>
      <c r="U26" s="318"/>
      <c r="V26" s="316" t="str">
        <f ca="1">IF(AND('Mapa final'!$J$43="Media",'Mapa final'!$N$43="Moderado"),CONCATENATE("R",'Mapa final'!$A$43),"")</f>
        <v/>
      </c>
      <c r="W26" s="317"/>
      <c r="X26" s="317" t="str">
        <f ca="1">IF(AND('Mapa final'!$J$49="Media",'Mapa final'!$N$49="Moderado"),CONCATENATE("R",'Mapa final'!$A$49),"")</f>
        <v/>
      </c>
      <c r="Y26" s="317"/>
      <c r="Z26" s="317" t="str">
        <f ca="1">IF(AND('Mapa final'!$J$55="Media",'Mapa final'!$N$55="Moderado"),CONCATENATE("R",'Mapa final'!$A$55),"")</f>
        <v/>
      </c>
      <c r="AA26" s="318"/>
      <c r="AB26" s="300" t="str">
        <f ca="1">IF(AND('Mapa final'!$J$43="Media",'Mapa final'!$N$43="Mayor"),CONCATENATE("R",'Mapa final'!$A$43),"")</f>
        <v/>
      </c>
      <c r="AC26" s="296"/>
      <c r="AD26" s="296" t="str">
        <f ca="1">IF(AND('Mapa final'!$J$49="Media",'Mapa final'!$N$49="Mayor"),CONCATENATE("R",'Mapa final'!$A$49),"")</f>
        <v/>
      </c>
      <c r="AE26" s="296"/>
      <c r="AF26" s="296" t="str">
        <f ca="1">IF(AND('Mapa final'!$J$55="Media",'Mapa final'!$N$55="Mayor"),CONCATENATE("R",'Mapa final'!$A$55),"")</f>
        <v/>
      </c>
      <c r="AG26" s="297"/>
      <c r="AH26" s="307" t="str">
        <f ca="1">IF(AND('Mapa final'!$J$43="Media",'Mapa final'!$N$43="Catastrófico"),CONCATENATE("R",'Mapa final'!$A$43),"")</f>
        <v/>
      </c>
      <c r="AI26" s="308"/>
      <c r="AJ26" s="308" t="str">
        <f ca="1">IF(AND('Mapa final'!$J$49="Media",'Mapa final'!$N$49="Catastrófico"),CONCATENATE("R",'Mapa final'!$A$49),"")</f>
        <v/>
      </c>
      <c r="AK26" s="308"/>
      <c r="AL26" s="308" t="str">
        <f ca="1">IF(AND('Mapa final'!$J$55="Media",'Mapa final'!$N$55="Catastrófico"),CONCATENATE("R",'Mapa final'!$A$55),"")</f>
        <v/>
      </c>
      <c r="AM26" s="309"/>
      <c r="AN26" s="83"/>
      <c r="AO26" s="272"/>
      <c r="AP26" s="273"/>
      <c r="AQ26" s="273"/>
      <c r="AR26" s="273"/>
      <c r="AS26" s="273"/>
      <c r="AT26" s="27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49"/>
      <c r="C27" s="249"/>
      <c r="D27" s="250"/>
      <c r="E27" s="290"/>
      <c r="F27" s="291"/>
      <c r="G27" s="291"/>
      <c r="H27" s="291"/>
      <c r="I27" s="292"/>
      <c r="J27" s="316"/>
      <c r="K27" s="317"/>
      <c r="L27" s="317"/>
      <c r="M27" s="317"/>
      <c r="N27" s="317"/>
      <c r="O27" s="318"/>
      <c r="P27" s="316"/>
      <c r="Q27" s="317"/>
      <c r="R27" s="317"/>
      <c r="S27" s="317"/>
      <c r="T27" s="317"/>
      <c r="U27" s="318"/>
      <c r="V27" s="316"/>
      <c r="W27" s="317"/>
      <c r="X27" s="317"/>
      <c r="Y27" s="317"/>
      <c r="Z27" s="317"/>
      <c r="AA27" s="318"/>
      <c r="AB27" s="300"/>
      <c r="AC27" s="296"/>
      <c r="AD27" s="296"/>
      <c r="AE27" s="296"/>
      <c r="AF27" s="296"/>
      <c r="AG27" s="297"/>
      <c r="AH27" s="307"/>
      <c r="AI27" s="308"/>
      <c r="AJ27" s="308"/>
      <c r="AK27" s="308"/>
      <c r="AL27" s="308"/>
      <c r="AM27" s="309"/>
      <c r="AN27" s="83"/>
      <c r="AO27" s="272"/>
      <c r="AP27" s="273"/>
      <c r="AQ27" s="273"/>
      <c r="AR27" s="273"/>
      <c r="AS27" s="273"/>
      <c r="AT27" s="274"/>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49"/>
      <c r="C28" s="249"/>
      <c r="D28" s="250"/>
      <c r="E28" s="290"/>
      <c r="F28" s="291"/>
      <c r="G28" s="291"/>
      <c r="H28" s="291"/>
      <c r="I28" s="292"/>
      <c r="J28" s="316" t="str">
        <f ca="1">IF(AND('Mapa final'!$J$61="Media",'Mapa final'!$N$61="Leve"),CONCATENATE("R",'Mapa final'!$A$61),"")</f>
        <v/>
      </c>
      <c r="K28" s="317"/>
      <c r="L28" s="317" t="str">
        <f>IF(AND('Mapa final'!$J$67="Media",'Mapa final'!$N$67="Leve"),CONCATENATE("R",'Mapa final'!$A$67),"")</f>
        <v/>
      </c>
      <c r="M28" s="317"/>
      <c r="N28" s="317" t="str">
        <f>IF(AND('Mapa final'!$J$73="Media",'Mapa final'!$N$73="Leve"),CONCATENATE("R",'Mapa final'!$A$73),"")</f>
        <v/>
      </c>
      <c r="O28" s="318"/>
      <c r="P28" s="316" t="str">
        <f ca="1">IF(AND('Mapa final'!$J$61="Media",'Mapa final'!$N$61="Menor"),CONCATENATE("R",'Mapa final'!$A$61),"")</f>
        <v/>
      </c>
      <c r="Q28" s="317"/>
      <c r="R28" s="317" t="str">
        <f>IF(AND('Mapa final'!$J$67="Media",'Mapa final'!$N$67="Menor"),CONCATENATE("R",'Mapa final'!$A$67),"")</f>
        <v/>
      </c>
      <c r="S28" s="317"/>
      <c r="T28" s="317" t="str">
        <f>IF(AND('Mapa final'!$J$73="Media",'Mapa final'!$N$73="Menor"),CONCATENATE("R",'Mapa final'!$A$73),"")</f>
        <v/>
      </c>
      <c r="U28" s="318"/>
      <c r="V28" s="316" t="str">
        <f ca="1">IF(AND('Mapa final'!$J$61="Media",'Mapa final'!$N$61="Moderado"),CONCATENATE("R",'Mapa final'!$A$61),"")</f>
        <v/>
      </c>
      <c r="W28" s="317"/>
      <c r="X28" s="317" t="str">
        <f>IF(AND('Mapa final'!$J$67="Media",'Mapa final'!$N$67="Moderado"),CONCATENATE("R",'Mapa final'!$A$67),"")</f>
        <v/>
      </c>
      <c r="Y28" s="317"/>
      <c r="Z28" s="317" t="str">
        <f>IF(AND('Mapa final'!$J$73="Media",'Mapa final'!$N$73="Moderado"),CONCATENATE("R",'Mapa final'!$A$73),"")</f>
        <v/>
      </c>
      <c r="AA28" s="318"/>
      <c r="AB28" s="300" t="str">
        <f ca="1">IF(AND('Mapa final'!$J$61="Media",'Mapa final'!$N$61="Mayor"),CONCATENATE("R",'Mapa final'!$A$61),"")</f>
        <v/>
      </c>
      <c r="AC28" s="296"/>
      <c r="AD28" s="296" t="str">
        <f>IF(AND('Mapa final'!$J$67="Media",'Mapa final'!$N$67="Mayor"),CONCATENATE("R",'Mapa final'!$A$67),"")</f>
        <v/>
      </c>
      <c r="AE28" s="296"/>
      <c r="AF28" s="296" t="str">
        <f>IF(AND('Mapa final'!$J$73="Media",'Mapa final'!$N$73="Mayor"),CONCATENATE("R",'Mapa final'!$A$73),"")</f>
        <v/>
      </c>
      <c r="AG28" s="297"/>
      <c r="AH28" s="307" t="str">
        <f ca="1">IF(AND('Mapa final'!$J$61="Media",'Mapa final'!$N$61="Catastrófico"),CONCATENATE("R",'Mapa final'!$A$61),"")</f>
        <v/>
      </c>
      <c r="AI28" s="308"/>
      <c r="AJ28" s="308" t="str">
        <f>IF(AND('Mapa final'!$J$67="Media",'Mapa final'!$N$67="Catastrófico"),CONCATENATE("R",'Mapa final'!$A$67),"")</f>
        <v/>
      </c>
      <c r="AK28" s="308"/>
      <c r="AL28" s="308" t="str">
        <f>IF(AND('Mapa final'!$J$73="Media",'Mapa final'!$N$73="Catastrófico"),CONCATENATE("R",'Mapa final'!$A$73),"")</f>
        <v/>
      </c>
      <c r="AM28" s="309"/>
      <c r="AN28" s="83"/>
      <c r="AO28" s="272"/>
      <c r="AP28" s="273"/>
      <c r="AQ28" s="273"/>
      <c r="AR28" s="273"/>
      <c r="AS28" s="273"/>
      <c r="AT28" s="274"/>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49"/>
      <c r="C29" s="249"/>
      <c r="D29" s="250"/>
      <c r="E29" s="293"/>
      <c r="F29" s="294"/>
      <c r="G29" s="294"/>
      <c r="H29" s="294"/>
      <c r="I29" s="295"/>
      <c r="J29" s="316"/>
      <c r="K29" s="317"/>
      <c r="L29" s="317"/>
      <c r="M29" s="317"/>
      <c r="N29" s="317"/>
      <c r="O29" s="318"/>
      <c r="P29" s="319"/>
      <c r="Q29" s="320"/>
      <c r="R29" s="320"/>
      <c r="S29" s="320"/>
      <c r="T29" s="320"/>
      <c r="U29" s="321"/>
      <c r="V29" s="319"/>
      <c r="W29" s="320"/>
      <c r="X29" s="320"/>
      <c r="Y29" s="320"/>
      <c r="Z29" s="320"/>
      <c r="AA29" s="321"/>
      <c r="AB29" s="304"/>
      <c r="AC29" s="305"/>
      <c r="AD29" s="305"/>
      <c r="AE29" s="305"/>
      <c r="AF29" s="305"/>
      <c r="AG29" s="306"/>
      <c r="AH29" s="310"/>
      <c r="AI29" s="311"/>
      <c r="AJ29" s="311"/>
      <c r="AK29" s="311"/>
      <c r="AL29" s="311"/>
      <c r="AM29" s="312"/>
      <c r="AN29" s="83"/>
      <c r="AO29" s="275"/>
      <c r="AP29" s="276"/>
      <c r="AQ29" s="276"/>
      <c r="AR29" s="276"/>
      <c r="AS29" s="276"/>
      <c r="AT29" s="27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49"/>
      <c r="C30" s="249"/>
      <c r="D30" s="250"/>
      <c r="E30" s="287" t="s">
        <v>106</v>
      </c>
      <c r="F30" s="288"/>
      <c r="G30" s="288"/>
      <c r="H30" s="288"/>
      <c r="I30" s="288"/>
      <c r="J30" s="331" t="str">
        <f ca="1">IF(AND('Mapa final'!$J$10="Baja",'Mapa final'!$N$10="Leve"),CONCATENATE("R",'Mapa final'!$A$10),"")</f>
        <v/>
      </c>
      <c r="K30" s="332"/>
      <c r="L30" s="332" t="str">
        <f>IF(AND([1]Hoja1!$G$2="Baja",[1]Hoja1!$K$3="Leve"),CONCATENATE("R",'Mapa final'!$A$13),"")</f>
        <v/>
      </c>
      <c r="M30" s="332"/>
      <c r="N30" s="332" t="str">
        <f ca="1">IF(AND('Mapa final'!$J$19="Baja",'Mapa final'!$N$19="Leve"),CONCATENATE("R",'Mapa final'!$A$19),"")</f>
        <v/>
      </c>
      <c r="O30" s="333"/>
      <c r="P30" s="323" t="str">
        <f ca="1">IF(AND('Mapa final'!$J$10="Baja",'Mapa final'!$N$10="Menor"),CONCATENATE("R",'Mapa final'!$A$10),"")</f>
        <v/>
      </c>
      <c r="Q30" s="323"/>
      <c r="R30" s="323" t="str">
        <f>IF(AND([1]Hoja1!$G$2="Baja",[1]Hoja1!$K$3="Menor"),CONCATENATE("R",'Mapa final'!$A$13),"")</f>
        <v/>
      </c>
      <c r="S30" s="323"/>
      <c r="T30" s="323" t="str">
        <f ca="1">IF(AND('Mapa final'!$J$19="Baja",'Mapa final'!$N$19="Menor"),CONCATENATE("R",'Mapa final'!$A$19),"")</f>
        <v/>
      </c>
      <c r="U30" s="324"/>
      <c r="V30" s="322" t="str">
        <f ca="1">IF(AND('Mapa final'!$J$10="Baja",'Mapa final'!$N$10="Moderado"),CONCATENATE("R",'Mapa final'!$A$10),"")</f>
        <v/>
      </c>
      <c r="W30" s="323"/>
      <c r="X30" s="323" t="str">
        <f>IF(AND([1]Hoja1!$G$2="Baja",[1]Hoja1!$K$3="Moderado"),CONCATENATE("R",'Mapa final'!$A$13),"")</f>
        <v/>
      </c>
      <c r="Y30" s="323"/>
      <c r="Z30" s="323" t="str">
        <f ca="1">IF(AND('Mapa final'!$J$19="Baja",'Mapa final'!$N$19="Moderado"),CONCATENATE("R",'Mapa final'!$A$19),"")</f>
        <v/>
      </c>
      <c r="AA30" s="324"/>
      <c r="AB30" s="298" t="str">
        <f ca="1">IF(AND('Mapa final'!$J$10="Baja",'Mapa final'!$N$10="Mayor"),CONCATENATE("R",'Mapa final'!$A$10),"")</f>
        <v>R1</v>
      </c>
      <c r="AC30" s="299"/>
      <c r="AD30" s="299" t="str">
        <f>IF(AND([1]Hoja1!$G$2="Baja",[1]Hoja1!$K$3="Mayor"),CONCATENATE("R",'Mapa final'!$A$13),"")</f>
        <v/>
      </c>
      <c r="AE30" s="299"/>
      <c r="AF30" s="299" t="str">
        <f ca="1">IF(AND('Mapa final'!$J$19="Baja",'Mapa final'!$N$19="Mayor"),CONCATENATE("R",'Mapa final'!$A$19),"")</f>
        <v/>
      </c>
      <c r="AG30" s="301"/>
      <c r="AH30" s="313" t="str">
        <f ca="1">IF(AND('Mapa final'!$J$10="Baja",'Mapa final'!$N$10="Catastrófico"),CONCATENATE("R",'Mapa final'!$A$10),"")</f>
        <v/>
      </c>
      <c r="AI30" s="314"/>
      <c r="AJ30" s="314" t="str">
        <f>IF(AND([1]Hoja1!$G$2="Baja",[1]Hoja1!$K$3="Catastrófico"),CONCATENATE("R",'Mapa final'!$A$13),"")</f>
        <v/>
      </c>
      <c r="AK30" s="314"/>
      <c r="AL30" s="314" t="str">
        <f ca="1">IF(AND('Mapa final'!$J$19="Baja",'Mapa final'!$N$19="Catastrófico"),CONCATENATE("R",'Mapa final'!$A$19),"")</f>
        <v/>
      </c>
      <c r="AM30" s="315"/>
      <c r="AN30" s="83"/>
      <c r="AO30" s="278" t="s">
        <v>74</v>
      </c>
      <c r="AP30" s="279"/>
      <c r="AQ30" s="279"/>
      <c r="AR30" s="279"/>
      <c r="AS30" s="279"/>
      <c r="AT30" s="28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49"/>
      <c r="C31" s="249"/>
      <c r="D31" s="250"/>
      <c r="E31" s="290"/>
      <c r="F31" s="291"/>
      <c r="G31" s="291"/>
      <c r="H31" s="291"/>
      <c r="I31" s="291"/>
      <c r="J31" s="327"/>
      <c r="K31" s="325"/>
      <c r="L31" s="325"/>
      <c r="M31" s="325"/>
      <c r="N31" s="325"/>
      <c r="O31" s="326"/>
      <c r="P31" s="317"/>
      <c r="Q31" s="317"/>
      <c r="R31" s="317"/>
      <c r="S31" s="317"/>
      <c r="T31" s="317"/>
      <c r="U31" s="318"/>
      <c r="V31" s="316"/>
      <c r="W31" s="317"/>
      <c r="X31" s="317"/>
      <c r="Y31" s="317"/>
      <c r="Z31" s="317"/>
      <c r="AA31" s="318"/>
      <c r="AB31" s="300"/>
      <c r="AC31" s="296"/>
      <c r="AD31" s="296"/>
      <c r="AE31" s="296"/>
      <c r="AF31" s="296"/>
      <c r="AG31" s="297"/>
      <c r="AH31" s="307"/>
      <c r="AI31" s="308"/>
      <c r="AJ31" s="308"/>
      <c r="AK31" s="308"/>
      <c r="AL31" s="308"/>
      <c r="AM31" s="309"/>
      <c r="AN31" s="83"/>
      <c r="AO31" s="281"/>
      <c r="AP31" s="282"/>
      <c r="AQ31" s="282"/>
      <c r="AR31" s="282"/>
      <c r="AS31" s="282"/>
      <c r="AT31" s="2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49"/>
      <c r="C32" s="249"/>
      <c r="D32" s="250"/>
      <c r="E32" s="290"/>
      <c r="F32" s="291"/>
      <c r="G32" s="291"/>
      <c r="H32" s="291"/>
      <c r="I32" s="291"/>
      <c r="J32" s="327" t="str">
        <f ca="1">IF(AND('Mapa final'!$J$25="Baja",'Mapa final'!$N$25="Leve"),CONCATENATE("R",'Mapa final'!$A$25),"")</f>
        <v/>
      </c>
      <c r="K32" s="325"/>
      <c r="L32" s="325" t="str">
        <f ca="1">IF(AND('Mapa final'!$J$31="Baja",'Mapa final'!$N$31="Leve"),CONCATENATE("R",'Mapa final'!$A$31),"")</f>
        <v/>
      </c>
      <c r="M32" s="325"/>
      <c r="N32" s="325" t="str">
        <f ca="1">IF(AND('Mapa final'!$J$37="Baja",'Mapa final'!$N$37="Leve"),CONCATENATE("R",'Mapa final'!$A$37),"")</f>
        <v/>
      </c>
      <c r="O32" s="326"/>
      <c r="P32" s="317" t="str">
        <f ca="1">IF(AND('Mapa final'!$J$25="Baja",'Mapa final'!$N$25="Menor"),CONCATENATE("R",'Mapa final'!$A$25),"")</f>
        <v/>
      </c>
      <c r="Q32" s="317"/>
      <c r="R32" s="317" t="str">
        <f ca="1">IF(AND('Mapa final'!$J$31="Baja",'Mapa final'!$N$31="Menor"),CONCATENATE("R",'Mapa final'!$A$31),"")</f>
        <v/>
      </c>
      <c r="S32" s="317"/>
      <c r="T32" s="317" t="str">
        <f ca="1">IF(AND('Mapa final'!$J$37="Baja",'Mapa final'!$N$37="Menor"),CONCATENATE("R",'Mapa final'!$A$37),"")</f>
        <v/>
      </c>
      <c r="U32" s="318"/>
      <c r="V32" s="316" t="str">
        <f ca="1">IF(AND('Mapa final'!$J$25="Baja",'Mapa final'!$N$25="Moderado"),CONCATENATE("R",'Mapa final'!$A$25),"")</f>
        <v/>
      </c>
      <c r="W32" s="317"/>
      <c r="X32" s="317" t="str">
        <f ca="1">IF(AND('Mapa final'!$J$31="Baja",'Mapa final'!$N$31="Moderado"),CONCATENATE("R",'Mapa final'!$A$31),"")</f>
        <v/>
      </c>
      <c r="Y32" s="317"/>
      <c r="Z32" s="317" t="str">
        <f ca="1">IF(AND('Mapa final'!$J$37="Baja",'Mapa final'!$N$37="Moderado"),CONCATENATE("R",'Mapa final'!$A$37),"")</f>
        <v/>
      </c>
      <c r="AA32" s="318"/>
      <c r="AB32" s="300" t="str">
        <f ca="1">IF(AND('Mapa final'!$J$25="Baja",'Mapa final'!$N$25="Mayor"),CONCATENATE("R",'Mapa final'!$A$25),"")</f>
        <v/>
      </c>
      <c r="AC32" s="296"/>
      <c r="AD32" s="296" t="str">
        <f ca="1">IF(AND('Mapa final'!$J$31="Baja",'Mapa final'!$N$31="Mayor"),CONCATENATE("R",'Mapa final'!$A$31),"")</f>
        <v/>
      </c>
      <c r="AE32" s="296"/>
      <c r="AF32" s="296" t="str">
        <f ca="1">IF(AND('Mapa final'!$J$37="Baja",'Mapa final'!$N$37="Mayor"),CONCATENATE("R",'Mapa final'!$A$37),"")</f>
        <v/>
      </c>
      <c r="AG32" s="297"/>
      <c r="AH32" s="307" t="str">
        <f ca="1">IF(AND('Mapa final'!$J$25="Baja",'Mapa final'!$N$25="Catastrófico"),CONCATENATE("R",'Mapa final'!$A$25),"")</f>
        <v/>
      </c>
      <c r="AI32" s="308"/>
      <c r="AJ32" s="308" t="str">
        <f ca="1">IF(AND('Mapa final'!$J$31="Baja",'Mapa final'!$N$31="Catastrófico"),CONCATENATE("R",'Mapa final'!$A$31),"")</f>
        <v/>
      </c>
      <c r="AK32" s="308"/>
      <c r="AL32" s="308" t="str">
        <f ca="1">IF(AND('Mapa final'!$J$37="Baja",'Mapa final'!$N$37="Catastrófico"),CONCATENATE("R",'Mapa final'!$A$37),"")</f>
        <v/>
      </c>
      <c r="AM32" s="309"/>
      <c r="AN32" s="83"/>
      <c r="AO32" s="281"/>
      <c r="AP32" s="282"/>
      <c r="AQ32" s="282"/>
      <c r="AR32" s="282"/>
      <c r="AS32" s="282"/>
      <c r="AT32" s="2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49"/>
      <c r="C33" s="249"/>
      <c r="D33" s="250"/>
      <c r="E33" s="290"/>
      <c r="F33" s="291"/>
      <c r="G33" s="291"/>
      <c r="H33" s="291"/>
      <c r="I33" s="291"/>
      <c r="J33" s="327"/>
      <c r="K33" s="325"/>
      <c r="L33" s="325"/>
      <c r="M33" s="325"/>
      <c r="N33" s="325"/>
      <c r="O33" s="326"/>
      <c r="P33" s="317"/>
      <c r="Q33" s="317"/>
      <c r="R33" s="317"/>
      <c r="S33" s="317"/>
      <c r="T33" s="317"/>
      <c r="U33" s="318"/>
      <c r="V33" s="316"/>
      <c r="W33" s="317"/>
      <c r="X33" s="317"/>
      <c r="Y33" s="317"/>
      <c r="Z33" s="317"/>
      <c r="AA33" s="318"/>
      <c r="AB33" s="300"/>
      <c r="AC33" s="296"/>
      <c r="AD33" s="296"/>
      <c r="AE33" s="296"/>
      <c r="AF33" s="296"/>
      <c r="AG33" s="297"/>
      <c r="AH33" s="307"/>
      <c r="AI33" s="308"/>
      <c r="AJ33" s="308"/>
      <c r="AK33" s="308"/>
      <c r="AL33" s="308"/>
      <c r="AM33" s="309"/>
      <c r="AN33" s="83"/>
      <c r="AO33" s="281"/>
      <c r="AP33" s="282"/>
      <c r="AQ33" s="282"/>
      <c r="AR33" s="282"/>
      <c r="AS33" s="282"/>
      <c r="AT33" s="2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49"/>
      <c r="C34" s="249"/>
      <c r="D34" s="250"/>
      <c r="E34" s="290"/>
      <c r="F34" s="291"/>
      <c r="G34" s="291"/>
      <c r="H34" s="291"/>
      <c r="I34" s="291"/>
      <c r="J34" s="327" t="str">
        <f ca="1">IF(AND('Mapa final'!$J$43="Baja",'Mapa final'!$N$43="Leve"),CONCATENATE("R",'Mapa final'!$A$43),"")</f>
        <v/>
      </c>
      <c r="K34" s="325"/>
      <c r="L34" s="325" t="str">
        <f ca="1">IF(AND('Mapa final'!$J$49="Baja",'Mapa final'!$N$49="Leve"),CONCATENATE("R",'Mapa final'!$A$49),"")</f>
        <v/>
      </c>
      <c r="M34" s="325"/>
      <c r="N34" s="325" t="str">
        <f ca="1">IF(AND('Mapa final'!$J$55="Baja",'Mapa final'!$N$55="Leve"),CONCATENATE("R",'Mapa final'!$A$55),"")</f>
        <v/>
      </c>
      <c r="O34" s="326"/>
      <c r="P34" s="317" t="str">
        <f ca="1">IF(AND('Mapa final'!$J$43="Baja",'Mapa final'!$N$43="Menor"),CONCATENATE("R",'Mapa final'!$A$43),"")</f>
        <v/>
      </c>
      <c r="Q34" s="317"/>
      <c r="R34" s="317" t="str">
        <f ca="1">IF(AND('Mapa final'!$J$49="Baja",'Mapa final'!$N$49="Menor"),CONCATENATE("R",'Mapa final'!$A$49),"")</f>
        <v/>
      </c>
      <c r="S34" s="317"/>
      <c r="T34" s="317" t="str">
        <f ca="1">IF(AND('Mapa final'!$J$55="Baja",'Mapa final'!$N$55="Menor"),CONCATENATE("R",'Mapa final'!$A$55),"")</f>
        <v/>
      </c>
      <c r="U34" s="318"/>
      <c r="V34" s="316" t="str">
        <f ca="1">IF(AND('Mapa final'!$J$43="Baja",'Mapa final'!$N$43="Moderado"),CONCATENATE("R",'Mapa final'!$A$43),"")</f>
        <v/>
      </c>
      <c r="W34" s="317"/>
      <c r="X34" s="317" t="str">
        <f ca="1">IF(AND('Mapa final'!$J$49="Baja",'Mapa final'!$N$49="Moderado"),CONCATENATE("R",'Mapa final'!$A$49),"")</f>
        <v/>
      </c>
      <c r="Y34" s="317"/>
      <c r="Z34" s="317" t="str">
        <f ca="1">IF(AND('Mapa final'!$J$55="Baja",'Mapa final'!$N$55="Moderado"),CONCATENATE("R",'Mapa final'!$A$55),"")</f>
        <v/>
      </c>
      <c r="AA34" s="318"/>
      <c r="AB34" s="300" t="str">
        <f ca="1">IF(AND('Mapa final'!$J$43="Baja",'Mapa final'!$N$43="Mayor"),CONCATENATE("R",'Mapa final'!$A$43),"")</f>
        <v/>
      </c>
      <c r="AC34" s="296"/>
      <c r="AD34" s="296" t="str">
        <f ca="1">IF(AND('Mapa final'!$J$49="Baja",'Mapa final'!$N$49="Mayor"),CONCATENATE("R",'Mapa final'!$A$49),"")</f>
        <v/>
      </c>
      <c r="AE34" s="296"/>
      <c r="AF34" s="296" t="str">
        <f ca="1">IF(AND('Mapa final'!$J$55="Baja",'Mapa final'!$N$55="Mayor"),CONCATENATE("R",'Mapa final'!$A$55),"")</f>
        <v/>
      </c>
      <c r="AG34" s="297"/>
      <c r="AH34" s="307" t="str">
        <f ca="1">IF(AND('Mapa final'!$J$43="Baja",'Mapa final'!$N$43="Catastrófico"),CONCATENATE("R",'Mapa final'!$A$43),"")</f>
        <v/>
      </c>
      <c r="AI34" s="308"/>
      <c r="AJ34" s="308" t="str">
        <f ca="1">IF(AND('Mapa final'!$J$49="Baja",'Mapa final'!$N$49="Catastrófico"),CONCATENATE("R",'Mapa final'!$A$49),"")</f>
        <v/>
      </c>
      <c r="AK34" s="308"/>
      <c r="AL34" s="308" t="str">
        <f ca="1">IF(AND('Mapa final'!$J$55="Baja",'Mapa final'!$N$55="Catastrófico"),CONCATENATE("R",'Mapa final'!$A$55),"")</f>
        <v/>
      </c>
      <c r="AM34" s="309"/>
      <c r="AN34" s="83"/>
      <c r="AO34" s="281"/>
      <c r="AP34" s="282"/>
      <c r="AQ34" s="282"/>
      <c r="AR34" s="282"/>
      <c r="AS34" s="282"/>
      <c r="AT34" s="2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49"/>
      <c r="C35" s="249"/>
      <c r="D35" s="250"/>
      <c r="E35" s="290"/>
      <c r="F35" s="291"/>
      <c r="G35" s="291"/>
      <c r="H35" s="291"/>
      <c r="I35" s="291"/>
      <c r="J35" s="327"/>
      <c r="K35" s="325"/>
      <c r="L35" s="325"/>
      <c r="M35" s="325"/>
      <c r="N35" s="325"/>
      <c r="O35" s="326"/>
      <c r="P35" s="317"/>
      <c r="Q35" s="317"/>
      <c r="R35" s="317"/>
      <c r="S35" s="317"/>
      <c r="T35" s="317"/>
      <c r="U35" s="318"/>
      <c r="V35" s="316"/>
      <c r="W35" s="317"/>
      <c r="X35" s="317"/>
      <c r="Y35" s="317"/>
      <c r="Z35" s="317"/>
      <c r="AA35" s="318"/>
      <c r="AB35" s="300"/>
      <c r="AC35" s="296"/>
      <c r="AD35" s="296"/>
      <c r="AE35" s="296"/>
      <c r="AF35" s="296"/>
      <c r="AG35" s="297"/>
      <c r="AH35" s="307"/>
      <c r="AI35" s="308"/>
      <c r="AJ35" s="308"/>
      <c r="AK35" s="308"/>
      <c r="AL35" s="308"/>
      <c r="AM35" s="309"/>
      <c r="AN35" s="83"/>
      <c r="AO35" s="281"/>
      <c r="AP35" s="282"/>
      <c r="AQ35" s="282"/>
      <c r="AR35" s="282"/>
      <c r="AS35" s="282"/>
      <c r="AT35" s="2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49"/>
      <c r="C36" s="249"/>
      <c r="D36" s="250"/>
      <c r="E36" s="290"/>
      <c r="F36" s="291"/>
      <c r="G36" s="291"/>
      <c r="H36" s="291"/>
      <c r="I36" s="291"/>
      <c r="J36" s="327" t="str">
        <f ca="1">IF(AND('Mapa final'!$J$61="Baja",'Mapa final'!$N$61="Leve"),CONCATENATE("R",'Mapa final'!$A$61),"")</f>
        <v/>
      </c>
      <c r="K36" s="325"/>
      <c r="L36" s="325" t="str">
        <f>IF(AND('Mapa final'!$J$67="Baja",'Mapa final'!$N$67="Leve"),CONCATENATE("R",'Mapa final'!$A$67),"")</f>
        <v/>
      </c>
      <c r="M36" s="325"/>
      <c r="N36" s="325" t="str">
        <f>IF(AND('Mapa final'!$J$73="Baja",'Mapa final'!$N$73="Leve"),CONCATENATE("R",'Mapa final'!$A$73),"")</f>
        <v/>
      </c>
      <c r="O36" s="326"/>
      <c r="P36" s="317" t="str">
        <f ca="1">IF(AND('Mapa final'!$J$61="Baja",'Mapa final'!$N$61="Menor"),CONCATENATE("R",'Mapa final'!$A$61),"")</f>
        <v/>
      </c>
      <c r="Q36" s="317"/>
      <c r="R36" s="317" t="str">
        <f>IF(AND('Mapa final'!$J$67="Baja",'Mapa final'!$N$67="Menor"),CONCATENATE("R",'Mapa final'!$A$67),"")</f>
        <v/>
      </c>
      <c r="S36" s="317"/>
      <c r="T36" s="317" t="str">
        <f>IF(AND('Mapa final'!$J$73="Baja",'Mapa final'!$N$73="Menor"),CONCATENATE("R",'Mapa final'!$A$73),"")</f>
        <v/>
      </c>
      <c r="U36" s="318"/>
      <c r="V36" s="316" t="str">
        <f ca="1">IF(AND('Mapa final'!$J$61="Baja",'Mapa final'!$N$61="Moderado"),CONCATENATE("R",'Mapa final'!$A$61),"")</f>
        <v/>
      </c>
      <c r="W36" s="317"/>
      <c r="X36" s="317" t="str">
        <f>IF(AND('Mapa final'!$J$67="Baja",'Mapa final'!$N$67="Moderado"),CONCATENATE("R",'Mapa final'!$A$67),"")</f>
        <v/>
      </c>
      <c r="Y36" s="317"/>
      <c r="Z36" s="317" t="str">
        <f>IF(AND('Mapa final'!$J$73="Baja",'Mapa final'!$N$73="Moderado"),CONCATENATE("R",'Mapa final'!$A$73),"")</f>
        <v/>
      </c>
      <c r="AA36" s="318"/>
      <c r="AB36" s="300" t="str">
        <f ca="1">IF(AND('Mapa final'!$J$61="Baja",'Mapa final'!$N$61="Mayor"),CONCATENATE("R",'Mapa final'!$A$61),"")</f>
        <v/>
      </c>
      <c r="AC36" s="296"/>
      <c r="AD36" s="296" t="str">
        <f>IF(AND('Mapa final'!$J$67="Baja",'Mapa final'!$N$67="Mayor"),CONCATENATE("R",'Mapa final'!$A$67),"")</f>
        <v/>
      </c>
      <c r="AE36" s="296"/>
      <c r="AF36" s="296" t="str">
        <f>IF(AND('Mapa final'!$J$73="Baja",'Mapa final'!$N$73="Mayor"),CONCATENATE("R",'Mapa final'!$A$73),"")</f>
        <v/>
      </c>
      <c r="AG36" s="297"/>
      <c r="AH36" s="307" t="str">
        <f ca="1">IF(AND('Mapa final'!$J$61="Baja",'Mapa final'!$N$61="Catastrófico"),CONCATENATE("R",'Mapa final'!$A$61),"")</f>
        <v/>
      </c>
      <c r="AI36" s="308"/>
      <c r="AJ36" s="308" t="str">
        <f>IF(AND('Mapa final'!$J$67="Baja",'Mapa final'!$N$67="Catastrófico"),CONCATENATE("R",'Mapa final'!$A$67),"")</f>
        <v/>
      </c>
      <c r="AK36" s="308"/>
      <c r="AL36" s="308" t="str">
        <f>IF(AND('Mapa final'!$J$73="Baja",'Mapa final'!$N$73="Catastrófico"),CONCATENATE("R",'Mapa final'!$A$73),"")</f>
        <v/>
      </c>
      <c r="AM36" s="309"/>
      <c r="AN36" s="83"/>
      <c r="AO36" s="281"/>
      <c r="AP36" s="282"/>
      <c r="AQ36" s="282"/>
      <c r="AR36" s="282"/>
      <c r="AS36" s="282"/>
      <c r="AT36" s="2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49"/>
      <c r="C37" s="249"/>
      <c r="D37" s="250"/>
      <c r="E37" s="293"/>
      <c r="F37" s="294"/>
      <c r="G37" s="294"/>
      <c r="H37" s="294"/>
      <c r="I37" s="294"/>
      <c r="J37" s="328"/>
      <c r="K37" s="329"/>
      <c r="L37" s="329"/>
      <c r="M37" s="329"/>
      <c r="N37" s="329"/>
      <c r="O37" s="330"/>
      <c r="P37" s="320"/>
      <c r="Q37" s="320"/>
      <c r="R37" s="320"/>
      <c r="S37" s="320"/>
      <c r="T37" s="320"/>
      <c r="U37" s="321"/>
      <c r="V37" s="319"/>
      <c r="W37" s="320"/>
      <c r="X37" s="320"/>
      <c r="Y37" s="320"/>
      <c r="Z37" s="320"/>
      <c r="AA37" s="321"/>
      <c r="AB37" s="304"/>
      <c r="AC37" s="305"/>
      <c r="AD37" s="305"/>
      <c r="AE37" s="305"/>
      <c r="AF37" s="305"/>
      <c r="AG37" s="306"/>
      <c r="AH37" s="310"/>
      <c r="AI37" s="311"/>
      <c r="AJ37" s="311"/>
      <c r="AK37" s="311"/>
      <c r="AL37" s="311"/>
      <c r="AM37" s="312"/>
      <c r="AN37" s="83"/>
      <c r="AO37" s="284"/>
      <c r="AP37" s="285"/>
      <c r="AQ37" s="285"/>
      <c r="AR37" s="285"/>
      <c r="AS37" s="285"/>
      <c r="AT37" s="28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49"/>
      <c r="C38" s="249"/>
      <c r="D38" s="250"/>
      <c r="E38" s="287" t="s">
        <v>105</v>
      </c>
      <c r="F38" s="288"/>
      <c r="G38" s="288"/>
      <c r="H38" s="288"/>
      <c r="I38" s="289"/>
      <c r="J38" s="331" t="str">
        <f ca="1">IF(AND('Mapa final'!$J$10="Muy Baja",'Mapa final'!$N$10="Leve"),CONCATENATE("R",'Mapa final'!$A$10),"")</f>
        <v/>
      </c>
      <c r="K38" s="332"/>
      <c r="L38" s="332" t="str">
        <f>IF(AND([1]Hoja1!$G$2="Muy Baja",[1]Hoja1!$K$3="Leve"),CONCATENATE("R",'Mapa final'!$A$13),"")</f>
        <v/>
      </c>
      <c r="M38" s="332"/>
      <c r="N38" s="332" t="str">
        <f ca="1">IF(AND('Mapa final'!$J$19="Muy Baja",'Mapa final'!$N$19="Leve"),CONCATENATE("R",'Mapa final'!$A$19),"")</f>
        <v/>
      </c>
      <c r="O38" s="333"/>
      <c r="P38" s="331" t="str">
        <f ca="1">IF(AND('Mapa final'!$J$10="Muy Baja",'Mapa final'!$N$10="Menor"),CONCATENATE("R",'Mapa final'!$A$10),"")</f>
        <v/>
      </c>
      <c r="Q38" s="332"/>
      <c r="R38" s="332" t="str">
        <f>IF(AND([1]Hoja1!$G$2="Muy Baja",[1]Hoja1!$K$3="Menor"),CONCATENATE("R",'Mapa final'!$A$13),"")</f>
        <v/>
      </c>
      <c r="S38" s="332"/>
      <c r="T38" s="332" t="str">
        <f ca="1">IF(AND('Mapa final'!$J$19="Muy Baja",'Mapa final'!$N$19="Menor"),CONCATENATE("R",'Mapa final'!$A$19),"")</f>
        <v/>
      </c>
      <c r="U38" s="333"/>
      <c r="V38" s="322" t="str">
        <f ca="1">IF(AND('Mapa final'!$J$10="Muy Baja",'Mapa final'!$N$10="Moderado"),CONCATENATE("R",'Mapa final'!$A$10),"")</f>
        <v/>
      </c>
      <c r="W38" s="323"/>
      <c r="X38" s="323" t="str">
        <f>IF(AND([1]Hoja1!$G$2="Muy Baja",[1]Hoja1!$K$3="Moderado"),CONCATENATE("R",'Mapa final'!$A$13),"")</f>
        <v/>
      </c>
      <c r="Y38" s="323"/>
      <c r="Z38" s="323" t="str">
        <f ca="1">IF(AND('Mapa final'!$J$19="Muy Baja",'Mapa final'!$N$19="Moderado"),CONCATENATE("R",'Mapa final'!$A$19),"")</f>
        <v/>
      </c>
      <c r="AA38" s="324"/>
      <c r="AB38" s="298" t="str">
        <f ca="1">IF(AND('Mapa final'!$J$10="Muy Baja",'Mapa final'!$N$10="Mayor"),CONCATENATE("R",'Mapa final'!$A$10),"")</f>
        <v/>
      </c>
      <c r="AC38" s="299"/>
      <c r="AD38" s="299" t="str">
        <f>IF(AND([1]Hoja1!$G$2="Muy Baja",[1]Hoja1!$K$3="Mayor"),CONCATENATE("R",'Mapa final'!$A$13),"")</f>
        <v/>
      </c>
      <c r="AE38" s="299"/>
      <c r="AF38" s="299" t="str">
        <f ca="1">IF(AND('Mapa final'!$J$19="Muy Baja",'Mapa final'!$N$19="Mayor"),CONCATENATE("R",'Mapa final'!$A$19),"")</f>
        <v/>
      </c>
      <c r="AG38" s="301"/>
      <c r="AH38" s="313" t="str">
        <f ca="1">IF(AND('Mapa final'!$J$10="Muy Baja",'Mapa final'!$N$10="Catastrófico"),CONCATENATE("R",'Mapa final'!$A$10),"")</f>
        <v/>
      </c>
      <c r="AI38" s="314"/>
      <c r="AJ38" s="314" t="str">
        <f>IF(AND([1]Hoja1!$G$2="Muy Baja",[1]Hoja1!$K$3="Catastrófico"),CONCATENATE("R",'Mapa final'!$A$13),"")</f>
        <v/>
      </c>
      <c r="AK38" s="314"/>
      <c r="AL38" s="314" t="str">
        <f ca="1">IF(AND('Mapa final'!$J$19="Muy Baja",'Mapa final'!$N$19="Catastrófico"),CONCATENATE("R",'Mapa final'!$A$19),"")</f>
        <v/>
      </c>
      <c r="AM38" s="315"/>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49"/>
      <c r="C39" s="249"/>
      <c r="D39" s="250"/>
      <c r="E39" s="290"/>
      <c r="F39" s="291"/>
      <c r="G39" s="291"/>
      <c r="H39" s="291"/>
      <c r="I39" s="292"/>
      <c r="J39" s="327"/>
      <c r="K39" s="325"/>
      <c r="L39" s="325"/>
      <c r="M39" s="325"/>
      <c r="N39" s="325"/>
      <c r="O39" s="326"/>
      <c r="P39" s="327"/>
      <c r="Q39" s="325"/>
      <c r="R39" s="325"/>
      <c r="S39" s="325"/>
      <c r="T39" s="325"/>
      <c r="U39" s="326"/>
      <c r="V39" s="316"/>
      <c r="W39" s="317"/>
      <c r="X39" s="317"/>
      <c r="Y39" s="317"/>
      <c r="Z39" s="317"/>
      <c r="AA39" s="318"/>
      <c r="AB39" s="300"/>
      <c r="AC39" s="296"/>
      <c r="AD39" s="296"/>
      <c r="AE39" s="296"/>
      <c r="AF39" s="296"/>
      <c r="AG39" s="297"/>
      <c r="AH39" s="307"/>
      <c r="AI39" s="308"/>
      <c r="AJ39" s="308"/>
      <c r="AK39" s="308"/>
      <c r="AL39" s="308"/>
      <c r="AM39" s="309"/>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49"/>
      <c r="C40" s="249"/>
      <c r="D40" s="250"/>
      <c r="E40" s="290"/>
      <c r="F40" s="291"/>
      <c r="G40" s="291"/>
      <c r="H40" s="291"/>
      <c r="I40" s="292"/>
      <c r="J40" s="327" t="str">
        <f ca="1">IF(AND('Mapa final'!$J$25="Muy Baja",'Mapa final'!$N$25="Leve"),CONCATENATE("R",'Mapa final'!$A$25),"")</f>
        <v/>
      </c>
      <c r="K40" s="325"/>
      <c r="L40" s="325" t="str">
        <f ca="1">IF(AND('Mapa final'!$J$31="Muy Baja",'Mapa final'!$N$31="Leve"),CONCATENATE("R",'Mapa final'!$A$31),"")</f>
        <v/>
      </c>
      <c r="M40" s="325"/>
      <c r="N40" s="325" t="str">
        <f ca="1">IF(AND('Mapa final'!$J$37="Muy Baja",'Mapa final'!$N$37="Leve"),CONCATENATE("R",'Mapa final'!$A$37),"")</f>
        <v/>
      </c>
      <c r="O40" s="326"/>
      <c r="P40" s="327" t="str">
        <f ca="1">IF(AND('Mapa final'!$J$25="Muy Baja",'Mapa final'!$N$25="Menor"),CONCATENATE("R",'Mapa final'!$A$25),"")</f>
        <v/>
      </c>
      <c r="Q40" s="325"/>
      <c r="R40" s="325" t="str">
        <f ca="1">IF(AND('Mapa final'!$J$31="Muy Baja",'Mapa final'!$N$31="Menor"),CONCATENATE("R",'Mapa final'!$A$31),"")</f>
        <v/>
      </c>
      <c r="S40" s="325"/>
      <c r="T40" s="325" t="str">
        <f ca="1">IF(AND('Mapa final'!$J$37="Muy Baja",'Mapa final'!$N$37="Menor"),CONCATENATE("R",'Mapa final'!$A$37),"")</f>
        <v/>
      </c>
      <c r="U40" s="326"/>
      <c r="V40" s="316" t="str">
        <f ca="1">IF(AND('Mapa final'!$J$25="Muy Baja",'Mapa final'!$N$25="Moderado"),CONCATENATE("R",'Mapa final'!$A$25),"")</f>
        <v/>
      </c>
      <c r="W40" s="317"/>
      <c r="X40" s="317" t="str">
        <f ca="1">IF(AND('Mapa final'!$J$31="Muy Baja",'Mapa final'!$N$31="Moderado"),CONCATENATE("R",'Mapa final'!$A$31),"")</f>
        <v/>
      </c>
      <c r="Y40" s="317"/>
      <c r="Z40" s="317" t="str">
        <f ca="1">IF(AND('Mapa final'!$J$37="Muy Baja",'Mapa final'!$N$37="Moderado"),CONCATENATE("R",'Mapa final'!$A$37),"")</f>
        <v/>
      </c>
      <c r="AA40" s="318"/>
      <c r="AB40" s="300" t="str">
        <f ca="1">IF(AND('Mapa final'!$J$25="Muy Baja",'Mapa final'!$N$25="Mayor"),CONCATENATE("R",'Mapa final'!$A$25),"")</f>
        <v/>
      </c>
      <c r="AC40" s="296"/>
      <c r="AD40" s="296" t="str">
        <f ca="1">IF(AND('Mapa final'!$J$31="Muy Baja",'Mapa final'!$N$31="Mayor"),CONCATENATE("R",'Mapa final'!$A$31),"")</f>
        <v/>
      </c>
      <c r="AE40" s="296"/>
      <c r="AF40" s="296" t="str">
        <f ca="1">IF(AND('Mapa final'!$J$37="Muy Baja",'Mapa final'!$N$37="Mayor"),CONCATENATE("R",'Mapa final'!$A$37),"")</f>
        <v/>
      </c>
      <c r="AG40" s="297"/>
      <c r="AH40" s="307" t="str">
        <f ca="1">IF(AND('Mapa final'!$J$25="Muy Baja",'Mapa final'!$N$25="Catastrófico"),CONCATENATE("R",'Mapa final'!$A$25),"")</f>
        <v/>
      </c>
      <c r="AI40" s="308"/>
      <c r="AJ40" s="308" t="str">
        <f ca="1">IF(AND('Mapa final'!$J$31="Muy Baja",'Mapa final'!$N$31="Catastrófico"),CONCATENATE("R",'Mapa final'!$A$31),"")</f>
        <v/>
      </c>
      <c r="AK40" s="308"/>
      <c r="AL40" s="308" t="str">
        <f ca="1">IF(AND('Mapa final'!$J$37="Muy Baja",'Mapa final'!$N$37="Catastrófico"),CONCATENATE("R",'Mapa final'!$A$37),"")</f>
        <v/>
      </c>
      <c r="AM40" s="309"/>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49"/>
      <c r="C41" s="249"/>
      <c r="D41" s="250"/>
      <c r="E41" s="290"/>
      <c r="F41" s="291"/>
      <c r="G41" s="291"/>
      <c r="H41" s="291"/>
      <c r="I41" s="292"/>
      <c r="J41" s="327"/>
      <c r="K41" s="325"/>
      <c r="L41" s="325"/>
      <c r="M41" s="325"/>
      <c r="N41" s="325"/>
      <c r="O41" s="326"/>
      <c r="P41" s="327"/>
      <c r="Q41" s="325"/>
      <c r="R41" s="325"/>
      <c r="S41" s="325"/>
      <c r="T41" s="325"/>
      <c r="U41" s="326"/>
      <c r="V41" s="316"/>
      <c r="W41" s="317"/>
      <c r="X41" s="317"/>
      <c r="Y41" s="317"/>
      <c r="Z41" s="317"/>
      <c r="AA41" s="318"/>
      <c r="AB41" s="300"/>
      <c r="AC41" s="296"/>
      <c r="AD41" s="296"/>
      <c r="AE41" s="296"/>
      <c r="AF41" s="296"/>
      <c r="AG41" s="297"/>
      <c r="AH41" s="307"/>
      <c r="AI41" s="308"/>
      <c r="AJ41" s="308"/>
      <c r="AK41" s="308"/>
      <c r="AL41" s="308"/>
      <c r="AM41" s="309"/>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49"/>
      <c r="C42" s="249"/>
      <c r="D42" s="250"/>
      <c r="E42" s="290"/>
      <c r="F42" s="291"/>
      <c r="G42" s="291"/>
      <c r="H42" s="291"/>
      <c r="I42" s="292"/>
      <c r="J42" s="327" t="str">
        <f ca="1">IF(AND('Mapa final'!$J$43="Muy Baja",'Mapa final'!$N$43="Leve"),CONCATENATE("R",'Mapa final'!$A$43),"")</f>
        <v/>
      </c>
      <c r="K42" s="325"/>
      <c r="L42" s="325" t="str">
        <f ca="1">IF(AND('Mapa final'!$J$49="Muy Baja",'Mapa final'!$N$49="Leve"),CONCATENATE("R",'Mapa final'!$A$49),"")</f>
        <v/>
      </c>
      <c r="M42" s="325"/>
      <c r="N42" s="325" t="str">
        <f ca="1">IF(AND('Mapa final'!$J$55="Muy Baja",'Mapa final'!$N$55="Leve"),CONCATENATE("R",'Mapa final'!$A$55),"")</f>
        <v/>
      </c>
      <c r="O42" s="326"/>
      <c r="P42" s="327" t="str">
        <f ca="1">IF(AND('Mapa final'!$J$43="Muy Baja",'Mapa final'!$N$43="Menor"),CONCATENATE("R",'Mapa final'!$A$43),"")</f>
        <v/>
      </c>
      <c r="Q42" s="325"/>
      <c r="R42" s="325" t="str">
        <f ca="1">IF(AND('Mapa final'!$J$49="Muy Baja",'Mapa final'!$N$49="Menor"),CONCATENATE("R",'Mapa final'!$A$49),"")</f>
        <v/>
      </c>
      <c r="S42" s="325"/>
      <c r="T42" s="325" t="str">
        <f ca="1">IF(AND('Mapa final'!$J$55="Muy Baja",'Mapa final'!$N$55="Menor"),CONCATENATE("R",'Mapa final'!$A$55),"")</f>
        <v/>
      </c>
      <c r="U42" s="326"/>
      <c r="V42" s="316" t="str">
        <f ca="1">IF(AND('Mapa final'!$J$43="Muy Baja",'Mapa final'!$N$43="Moderado"),CONCATENATE("R",'Mapa final'!$A$43),"")</f>
        <v/>
      </c>
      <c r="W42" s="317"/>
      <c r="X42" s="317" t="str">
        <f ca="1">IF(AND('Mapa final'!$J$49="Muy Baja",'Mapa final'!$N$49="Moderado"),CONCATENATE("R",'Mapa final'!$A$49),"")</f>
        <v/>
      </c>
      <c r="Y42" s="317"/>
      <c r="Z42" s="317" t="str">
        <f ca="1">IF(AND('Mapa final'!$J$55="Muy Baja",'Mapa final'!$N$55="Moderado"),CONCATENATE("R",'Mapa final'!$A$55),"")</f>
        <v/>
      </c>
      <c r="AA42" s="318"/>
      <c r="AB42" s="300" t="str">
        <f ca="1">IF(AND('Mapa final'!$J$43="Muy Baja",'Mapa final'!$N$43="Mayor"),CONCATENATE("R",'Mapa final'!$A$43),"")</f>
        <v/>
      </c>
      <c r="AC42" s="296"/>
      <c r="AD42" s="296" t="str">
        <f ca="1">IF(AND('Mapa final'!$J$49="Muy Baja",'Mapa final'!$N$49="Mayor"),CONCATENATE("R",'Mapa final'!$A$49),"")</f>
        <v/>
      </c>
      <c r="AE42" s="296"/>
      <c r="AF42" s="296" t="str">
        <f ca="1">IF(AND('Mapa final'!$J$55="Muy Baja",'Mapa final'!$N$55="Mayor"),CONCATENATE("R",'Mapa final'!$A$55),"")</f>
        <v/>
      </c>
      <c r="AG42" s="297"/>
      <c r="AH42" s="307" t="str">
        <f ca="1">IF(AND('Mapa final'!$J$43="Muy Baja",'Mapa final'!$N$43="Catastrófico"),CONCATENATE("R",'Mapa final'!$A$43),"")</f>
        <v/>
      </c>
      <c r="AI42" s="308"/>
      <c r="AJ42" s="308" t="str">
        <f ca="1">IF(AND('Mapa final'!$J$49="Muy Baja",'Mapa final'!$N$49="Catastrófico"),CONCATENATE("R",'Mapa final'!$A$49),"")</f>
        <v/>
      </c>
      <c r="AK42" s="308"/>
      <c r="AL42" s="308" t="str">
        <f ca="1">IF(AND('Mapa final'!$J$55="Muy Baja",'Mapa final'!$N$55="Catastrófico"),CONCATENATE("R",'Mapa final'!$A$55),"")</f>
        <v/>
      </c>
      <c r="AM42" s="309"/>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49"/>
      <c r="C43" s="249"/>
      <c r="D43" s="250"/>
      <c r="E43" s="290"/>
      <c r="F43" s="291"/>
      <c r="G43" s="291"/>
      <c r="H43" s="291"/>
      <c r="I43" s="292"/>
      <c r="J43" s="327"/>
      <c r="K43" s="325"/>
      <c r="L43" s="325"/>
      <c r="M43" s="325"/>
      <c r="N43" s="325"/>
      <c r="O43" s="326"/>
      <c r="P43" s="327"/>
      <c r="Q43" s="325"/>
      <c r="R43" s="325"/>
      <c r="S43" s="325"/>
      <c r="T43" s="325"/>
      <c r="U43" s="326"/>
      <c r="V43" s="316"/>
      <c r="W43" s="317"/>
      <c r="X43" s="317"/>
      <c r="Y43" s="317"/>
      <c r="Z43" s="317"/>
      <c r="AA43" s="318"/>
      <c r="AB43" s="300"/>
      <c r="AC43" s="296"/>
      <c r="AD43" s="296"/>
      <c r="AE43" s="296"/>
      <c r="AF43" s="296"/>
      <c r="AG43" s="297"/>
      <c r="AH43" s="307"/>
      <c r="AI43" s="308"/>
      <c r="AJ43" s="308"/>
      <c r="AK43" s="308"/>
      <c r="AL43" s="308"/>
      <c r="AM43" s="309"/>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49"/>
      <c r="C44" s="249"/>
      <c r="D44" s="250"/>
      <c r="E44" s="290"/>
      <c r="F44" s="291"/>
      <c r="G44" s="291"/>
      <c r="H44" s="291"/>
      <c r="I44" s="292"/>
      <c r="J44" s="327" t="str">
        <f ca="1">IF(AND('Mapa final'!$J$61="Muy Baja",'Mapa final'!$N$61="Leve"),CONCATENATE("R",'Mapa final'!$A$61),"")</f>
        <v/>
      </c>
      <c r="K44" s="325"/>
      <c r="L44" s="325" t="str">
        <f>IF(AND('Mapa final'!$J$67="Muy Baja",'Mapa final'!$N$67="Leve"),CONCATENATE("R",'Mapa final'!$A$67),"")</f>
        <v/>
      </c>
      <c r="M44" s="325"/>
      <c r="N44" s="325" t="str">
        <f>IF(AND('Mapa final'!$J$73="Muy Baja",'Mapa final'!$N$73="Leve"),CONCATENATE("R",'Mapa final'!$A$73),"")</f>
        <v/>
      </c>
      <c r="O44" s="326"/>
      <c r="P44" s="327" t="str">
        <f ca="1">IF(AND('Mapa final'!$J$61="Muy Baja",'Mapa final'!$N$61="Menor"),CONCATENATE("R",'Mapa final'!$A$61),"")</f>
        <v/>
      </c>
      <c r="Q44" s="325"/>
      <c r="R44" s="325" t="str">
        <f>IF(AND('Mapa final'!$J$67="Muy Baja",'Mapa final'!$N$67="Menor"),CONCATENATE("R",'Mapa final'!$A$67),"")</f>
        <v/>
      </c>
      <c r="S44" s="325"/>
      <c r="T44" s="325" t="str">
        <f>IF(AND('Mapa final'!$J$73="Muy Baja",'Mapa final'!$N$73="Menor"),CONCATENATE("R",'Mapa final'!$A$73),"")</f>
        <v/>
      </c>
      <c r="U44" s="326"/>
      <c r="V44" s="316" t="str">
        <f ca="1">IF(AND('Mapa final'!$J$61="Muy Baja",'Mapa final'!$N$61="Moderado"),CONCATENATE("R",'Mapa final'!$A$61),"")</f>
        <v/>
      </c>
      <c r="W44" s="317"/>
      <c r="X44" s="317" t="str">
        <f>IF(AND('Mapa final'!$J$67="Muy Baja",'Mapa final'!$N$67="Moderado"),CONCATENATE("R",'Mapa final'!$A$67),"")</f>
        <v/>
      </c>
      <c r="Y44" s="317"/>
      <c r="Z44" s="317" t="str">
        <f>IF(AND('Mapa final'!$J$73="Muy Baja",'Mapa final'!$N$73="Moderado"),CONCATENATE("R",'Mapa final'!$A$73),"")</f>
        <v/>
      </c>
      <c r="AA44" s="318"/>
      <c r="AB44" s="300" t="str">
        <f ca="1">IF(AND('Mapa final'!$J$61="Muy Baja",'Mapa final'!$N$61="Mayor"),CONCATENATE("R",'Mapa final'!$A$61),"")</f>
        <v/>
      </c>
      <c r="AC44" s="296"/>
      <c r="AD44" s="296" t="str">
        <f>IF(AND('Mapa final'!$J$67="Muy Baja",'Mapa final'!$N$67="Mayor"),CONCATENATE("R",'Mapa final'!$A$67),"")</f>
        <v/>
      </c>
      <c r="AE44" s="296"/>
      <c r="AF44" s="296" t="str">
        <f>IF(AND('Mapa final'!$J$73="Muy Baja",'Mapa final'!$N$73="Mayor"),CONCATENATE("R",'Mapa final'!$A$73),"")</f>
        <v/>
      </c>
      <c r="AG44" s="297"/>
      <c r="AH44" s="307" t="str">
        <f ca="1">IF(AND('Mapa final'!$J$61="Muy Baja",'Mapa final'!$N$61="Catastrófico"),CONCATENATE("R",'Mapa final'!$A$61),"")</f>
        <v/>
      </c>
      <c r="AI44" s="308"/>
      <c r="AJ44" s="308" t="str">
        <f>IF(AND('Mapa final'!$J$67="Muy Baja",'Mapa final'!$N$67="Catastrófico"),CONCATENATE("R",'Mapa final'!$A$67),"")</f>
        <v/>
      </c>
      <c r="AK44" s="308"/>
      <c r="AL44" s="308" t="str">
        <f>IF(AND('Mapa final'!$J$73="Muy Baja",'Mapa final'!$N$73="Catastrófico"),CONCATENATE("R",'Mapa final'!$A$73),"")</f>
        <v/>
      </c>
      <c r="AM44" s="309"/>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49"/>
      <c r="C45" s="249"/>
      <c r="D45" s="250"/>
      <c r="E45" s="293"/>
      <c r="F45" s="294"/>
      <c r="G45" s="294"/>
      <c r="H45" s="294"/>
      <c r="I45" s="295"/>
      <c r="J45" s="328"/>
      <c r="K45" s="329"/>
      <c r="L45" s="329"/>
      <c r="M45" s="329"/>
      <c r="N45" s="329"/>
      <c r="O45" s="330"/>
      <c r="P45" s="328"/>
      <c r="Q45" s="329"/>
      <c r="R45" s="329"/>
      <c r="S45" s="329"/>
      <c r="T45" s="329"/>
      <c r="U45" s="330"/>
      <c r="V45" s="319"/>
      <c r="W45" s="320"/>
      <c r="X45" s="320"/>
      <c r="Y45" s="320"/>
      <c r="Z45" s="320"/>
      <c r="AA45" s="321"/>
      <c r="AB45" s="304"/>
      <c r="AC45" s="305"/>
      <c r="AD45" s="305"/>
      <c r="AE45" s="305"/>
      <c r="AF45" s="305"/>
      <c r="AG45" s="306"/>
      <c r="AH45" s="310"/>
      <c r="AI45" s="311"/>
      <c r="AJ45" s="311"/>
      <c r="AK45" s="311"/>
      <c r="AL45" s="311"/>
      <c r="AM45" s="312"/>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87" t="s">
        <v>104</v>
      </c>
      <c r="K46" s="288"/>
      <c r="L46" s="288"/>
      <c r="M46" s="288"/>
      <c r="N46" s="288"/>
      <c r="O46" s="289"/>
      <c r="P46" s="287" t="s">
        <v>103</v>
      </c>
      <c r="Q46" s="288"/>
      <c r="R46" s="288"/>
      <c r="S46" s="288"/>
      <c r="T46" s="288"/>
      <c r="U46" s="289"/>
      <c r="V46" s="287" t="s">
        <v>102</v>
      </c>
      <c r="W46" s="288"/>
      <c r="X46" s="288"/>
      <c r="Y46" s="288"/>
      <c r="Z46" s="288"/>
      <c r="AA46" s="289"/>
      <c r="AB46" s="287" t="s">
        <v>101</v>
      </c>
      <c r="AC46" s="303"/>
      <c r="AD46" s="288"/>
      <c r="AE46" s="288"/>
      <c r="AF46" s="288"/>
      <c r="AG46" s="289"/>
      <c r="AH46" s="287" t="s">
        <v>100</v>
      </c>
      <c r="AI46" s="288"/>
      <c r="AJ46" s="288"/>
      <c r="AK46" s="288"/>
      <c r="AL46" s="288"/>
      <c r="AM46" s="289"/>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90"/>
      <c r="K47" s="291"/>
      <c r="L47" s="291"/>
      <c r="M47" s="291"/>
      <c r="N47" s="291"/>
      <c r="O47" s="292"/>
      <c r="P47" s="290"/>
      <c r="Q47" s="291"/>
      <c r="R47" s="291"/>
      <c r="S47" s="291"/>
      <c r="T47" s="291"/>
      <c r="U47" s="292"/>
      <c r="V47" s="290"/>
      <c r="W47" s="291"/>
      <c r="X47" s="291"/>
      <c r="Y47" s="291"/>
      <c r="Z47" s="291"/>
      <c r="AA47" s="292"/>
      <c r="AB47" s="290"/>
      <c r="AC47" s="291"/>
      <c r="AD47" s="291"/>
      <c r="AE47" s="291"/>
      <c r="AF47" s="291"/>
      <c r="AG47" s="292"/>
      <c r="AH47" s="290"/>
      <c r="AI47" s="291"/>
      <c r="AJ47" s="291"/>
      <c r="AK47" s="291"/>
      <c r="AL47" s="291"/>
      <c r="AM47" s="292"/>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90"/>
      <c r="K48" s="291"/>
      <c r="L48" s="291"/>
      <c r="M48" s="291"/>
      <c r="N48" s="291"/>
      <c r="O48" s="292"/>
      <c r="P48" s="290"/>
      <c r="Q48" s="291"/>
      <c r="R48" s="291"/>
      <c r="S48" s="291"/>
      <c r="T48" s="291"/>
      <c r="U48" s="292"/>
      <c r="V48" s="290"/>
      <c r="W48" s="291"/>
      <c r="X48" s="291"/>
      <c r="Y48" s="291"/>
      <c r="Z48" s="291"/>
      <c r="AA48" s="292"/>
      <c r="AB48" s="290"/>
      <c r="AC48" s="291"/>
      <c r="AD48" s="291"/>
      <c r="AE48" s="291"/>
      <c r="AF48" s="291"/>
      <c r="AG48" s="292"/>
      <c r="AH48" s="290"/>
      <c r="AI48" s="291"/>
      <c r="AJ48" s="291"/>
      <c r="AK48" s="291"/>
      <c r="AL48" s="291"/>
      <c r="AM48" s="292"/>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90"/>
      <c r="K49" s="291"/>
      <c r="L49" s="291"/>
      <c r="M49" s="291"/>
      <c r="N49" s="291"/>
      <c r="O49" s="292"/>
      <c r="P49" s="290"/>
      <c r="Q49" s="291"/>
      <c r="R49" s="291"/>
      <c r="S49" s="291"/>
      <c r="T49" s="291"/>
      <c r="U49" s="292"/>
      <c r="V49" s="290"/>
      <c r="W49" s="291"/>
      <c r="X49" s="291"/>
      <c r="Y49" s="291"/>
      <c r="Z49" s="291"/>
      <c r="AA49" s="292"/>
      <c r="AB49" s="290"/>
      <c r="AC49" s="291"/>
      <c r="AD49" s="291"/>
      <c r="AE49" s="291"/>
      <c r="AF49" s="291"/>
      <c r="AG49" s="292"/>
      <c r="AH49" s="290"/>
      <c r="AI49" s="291"/>
      <c r="AJ49" s="291"/>
      <c r="AK49" s="291"/>
      <c r="AL49" s="291"/>
      <c r="AM49" s="292"/>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90"/>
      <c r="K50" s="291"/>
      <c r="L50" s="291"/>
      <c r="M50" s="291"/>
      <c r="N50" s="291"/>
      <c r="O50" s="292"/>
      <c r="P50" s="290"/>
      <c r="Q50" s="291"/>
      <c r="R50" s="291"/>
      <c r="S50" s="291"/>
      <c r="T50" s="291"/>
      <c r="U50" s="292"/>
      <c r="V50" s="290"/>
      <c r="W50" s="291"/>
      <c r="X50" s="291"/>
      <c r="Y50" s="291"/>
      <c r="Z50" s="291"/>
      <c r="AA50" s="292"/>
      <c r="AB50" s="290"/>
      <c r="AC50" s="291"/>
      <c r="AD50" s="291"/>
      <c r="AE50" s="291"/>
      <c r="AF50" s="291"/>
      <c r="AG50" s="292"/>
      <c r="AH50" s="290"/>
      <c r="AI50" s="291"/>
      <c r="AJ50" s="291"/>
      <c r="AK50" s="291"/>
      <c r="AL50" s="291"/>
      <c r="AM50" s="29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93"/>
      <c r="K51" s="294"/>
      <c r="L51" s="294"/>
      <c r="M51" s="294"/>
      <c r="N51" s="294"/>
      <c r="O51" s="295"/>
      <c r="P51" s="293"/>
      <c r="Q51" s="294"/>
      <c r="R51" s="294"/>
      <c r="S51" s="294"/>
      <c r="T51" s="294"/>
      <c r="U51" s="295"/>
      <c r="V51" s="293"/>
      <c r="W51" s="294"/>
      <c r="X51" s="294"/>
      <c r="Y51" s="294"/>
      <c r="Z51" s="294"/>
      <c r="AA51" s="295"/>
      <c r="AB51" s="293"/>
      <c r="AC51" s="294"/>
      <c r="AD51" s="294"/>
      <c r="AE51" s="294"/>
      <c r="AF51" s="294"/>
      <c r="AG51" s="295"/>
      <c r="AH51" s="293"/>
      <c r="AI51" s="294"/>
      <c r="AJ51" s="294"/>
      <c r="AK51" s="294"/>
      <c r="AL51" s="294"/>
      <c r="AM51" s="295"/>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30" zoomScale="50" zoomScaleNormal="50" workbookViewId="0">
      <selection activeCell="T11" sqref="T11"/>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60" t="s">
        <v>150</v>
      </c>
      <c r="C2" s="361"/>
      <c r="D2" s="361"/>
      <c r="E2" s="361"/>
      <c r="F2" s="361"/>
      <c r="G2" s="361"/>
      <c r="H2" s="361"/>
      <c r="I2" s="361"/>
      <c r="J2" s="302" t="s">
        <v>2</v>
      </c>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61"/>
      <c r="C3" s="361"/>
      <c r="D3" s="361"/>
      <c r="E3" s="361"/>
      <c r="F3" s="361"/>
      <c r="G3" s="361"/>
      <c r="H3" s="361"/>
      <c r="I3" s="361"/>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61"/>
      <c r="C4" s="361"/>
      <c r="D4" s="361"/>
      <c r="E4" s="361"/>
      <c r="F4" s="361"/>
      <c r="G4" s="361"/>
      <c r="H4" s="361"/>
      <c r="I4" s="361"/>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49" t="s">
        <v>4</v>
      </c>
      <c r="C6" s="249"/>
      <c r="D6" s="250"/>
      <c r="E6" s="344" t="s">
        <v>108</v>
      </c>
      <c r="F6" s="345"/>
      <c r="G6" s="345"/>
      <c r="H6" s="345"/>
      <c r="I6" s="362"/>
      <c r="J6" s="46" t="e">
        <f>IF(AND('Mapa final'!#REF!="Muy Alta",'Mapa final'!#REF!="Leve"),CONCATENATE("R1C",'Mapa final'!$Q$10),"")</f>
        <v>#REF!</v>
      </c>
      <c r="K6" s="47" t="e">
        <f>IF(AND('Mapa final'!#REF!="Muy Alta",'Mapa final'!#REF!="Leve"),CONCATENATE("R1C",'Mapa final'!$Q$11),"")</f>
        <v>#REF!</v>
      </c>
      <c r="L6" s="47" t="e">
        <f>IF(AND('Mapa final'!#REF!="Muy Alta",'Mapa final'!#REF!="Leve"),CONCATENATE("R1C",'Mapa final'!$Q$12),"")</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e">
        <f>IF(AND('Mapa final'!#REF!="Muy Alta",'Mapa final'!#REF!="Menor"),CONCATENATE("R1C",'Mapa final'!$Q$10),"")</f>
        <v>#REF!</v>
      </c>
      <c r="Q6" s="47" t="e">
        <f>IF(AND('Mapa final'!#REF!="Muy Alta",'Mapa final'!#REF!="Menor"),CONCATENATE("R1C",'Mapa final'!$Q$11),"")</f>
        <v>#REF!</v>
      </c>
      <c r="R6" s="47" t="e">
        <f>IF(AND('Mapa final'!#REF!="Muy Alta",'Mapa final'!#REF!="Menor"),CONCATENATE("R1C",'Mapa final'!$Q$12),"")</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e">
        <f>IF(AND('Mapa final'!#REF!="Muy Alta",'Mapa final'!#REF!="Moderado"),CONCATENATE("R1C",'Mapa final'!$Q$10),"")</f>
        <v>#REF!</v>
      </c>
      <c r="W6" s="47" t="e">
        <f>IF(AND('Mapa final'!#REF!="Muy Alta",'Mapa final'!#REF!="Moderado"),CONCATENATE("R1C",'Mapa final'!$Q$11),"")</f>
        <v>#REF!</v>
      </c>
      <c r="X6" s="47" t="e">
        <f>IF(AND('Mapa final'!#REF!="Muy Alta",'Mapa final'!#REF!="Moderado"),CONCATENATE("R1C",'Mapa final'!$Q$12),"")</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e">
        <f>IF(AND('Mapa final'!#REF!="Muy Alta",'Mapa final'!#REF!="Mayor"),CONCATENATE("R1C",'Mapa final'!$Q$10),"")</f>
        <v>#REF!</v>
      </c>
      <c r="AC6" s="47" t="e">
        <f>IF(AND('Mapa final'!#REF!="Muy Alta",'Mapa final'!#REF!="Mayor"),CONCATENATE("R1C",'Mapa final'!$Q$11),"")</f>
        <v>#REF!</v>
      </c>
      <c r="AD6" s="47" t="e">
        <f>IF(AND('Mapa final'!#REF!="Muy Alta",'Mapa final'!#REF!="Mayor"),CONCATENATE("R1C",'Mapa final'!$Q$12),"")</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e">
        <f>IF(AND('Mapa final'!#REF!="Muy Alta",'Mapa final'!#REF!="Catastrófico"),CONCATENATE("R1C",'Mapa final'!$Q$10),"")</f>
        <v>#REF!</v>
      </c>
      <c r="AI6" s="50" t="e">
        <f>IF(AND('Mapa final'!#REF!="Muy Alta",'Mapa final'!#REF!="Catastrófico"),CONCATENATE("R1C",'Mapa final'!$Q$11),"")</f>
        <v>#REF!</v>
      </c>
      <c r="AJ6" s="50" t="e">
        <f>IF(AND('Mapa final'!#REF!="Muy Alta",'Mapa final'!#REF!="Catastrófico"),CONCATENATE("R1C",'Mapa final'!$Q$12),"")</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3"/>
      <c r="AO6" s="351" t="s">
        <v>71</v>
      </c>
      <c r="AP6" s="352"/>
      <c r="AQ6" s="352"/>
      <c r="AR6" s="352"/>
      <c r="AS6" s="352"/>
      <c r="AT6" s="35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49"/>
      <c r="C7" s="249"/>
      <c r="D7" s="250"/>
      <c r="E7" s="348"/>
      <c r="F7" s="347"/>
      <c r="G7" s="347"/>
      <c r="H7" s="347"/>
      <c r="I7" s="363"/>
      <c r="J7" s="52" t="str">
        <f>IF(AND([1]Hoja1!$X$2="Muy Alta",[1]Hoja1!$Z$2="Leve"),CONCATENATE("R2C",[1]Hoja1!$N$2),"")</f>
        <v/>
      </c>
      <c r="K7" s="53" t="str">
        <f>IF(AND([1]Hoja1!$X$3="Muy Alta",[1]Hoja1!$Z$3="Leve"),CONCATENATE("R2C",[1]Hoja1!$N$3),"")</f>
        <v/>
      </c>
      <c r="L7" s="53" t="str">
        <f>IF(AND([1]Hoja1!$X$4="Muy Alta",[1]Hoja1!$Z$4="Leve"),CONCATENATE("R2C",[1]Hoja1!$N$4),"")</f>
        <v/>
      </c>
      <c r="M7" s="53" t="str">
        <f>IF(AND([1]Hoja1!$X$5="Muy Alta",[1]Hoja1!$Z$5="Leve"),CONCATENATE("R2C",[1]Hoja1!$N$5),"")</f>
        <v/>
      </c>
      <c r="N7" s="53" t="str">
        <f>IF(AND([1]Hoja1!$X$6="Muy Alta",[1]Hoja1!$Z$6="Leve"),CONCATENATE("R2C",[1]Hoja1!$N$6),"")</f>
        <v/>
      </c>
      <c r="O7" s="54" t="str">
        <f>IF(AND([1]Hoja1!$X$7="Muy Alta",[1]Hoja1!$Z$7="Leve"),CONCATENATE("R2C",[1]Hoja1!$N$7),"")</f>
        <v/>
      </c>
      <c r="P7" s="52" t="str">
        <f>IF(AND([1]Hoja1!$X$2="Muy Alta",[1]Hoja1!$Z$2="Menor"),CONCATENATE("R2C",[1]Hoja1!$N$2),"")</f>
        <v/>
      </c>
      <c r="Q7" s="53" t="str">
        <f>IF(AND([1]Hoja1!$X$3="Muy Alta",[1]Hoja1!$Z$3="Menor"),CONCATENATE("R2C",[1]Hoja1!$N$3),"")</f>
        <v/>
      </c>
      <c r="R7" s="53" t="str">
        <f>IF(AND([1]Hoja1!$X$4="Muy Alta",[1]Hoja1!$Z$4="Menor"),CONCATENATE("R2C",[1]Hoja1!$N$4),"")</f>
        <v/>
      </c>
      <c r="S7" s="53" t="str">
        <f>IF(AND([1]Hoja1!$X$5="Muy Alta",[1]Hoja1!$Z$5="Menor"),CONCATENATE("R2C",[1]Hoja1!$N$5),"")</f>
        <v/>
      </c>
      <c r="T7" s="53" t="str">
        <f>IF(AND([1]Hoja1!$X$6="Muy Alta",[1]Hoja1!$Z$6="Menor"),CONCATENATE("R2C",[1]Hoja1!$N$6),"")</f>
        <v/>
      </c>
      <c r="U7" s="54" t="str">
        <f>IF(AND([1]Hoja1!$X$7="Muy Alta",[1]Hoja1!$Z$7="Menor"),CONCATENATE("R2C",[1]Hoja1!$N$7),"")</f>
        <v/>
      </c>
      <c r="V7" s="52" t="str">
        <f>IF(AND([1]Hoja1!$X$2="Muy Alta",[1]Hoja1!$Z$2="Moderado"),CONCATENATE("R2C",[1]Hoja1!$N$2),"")</f>
        <v/>
      </c>
      <c r="W7" s="53" t="str">
        <f>IF(AND([1]Hoja1!$X$3="Muy Alta",[1]Hoja1!$Z$3="Moderado"),CONCATENATE("R2C",[1]Hoja1!$N$3),"")</f>
        <v/>
      </c>
      <c r="X7" s="53" t="str">
        <f>IF(AND([1]Hoja1!$X$4="Muy Alta",[1]Hoja1!$Z$4="Moderado"),CONCATENATE("R2C",[1]Hoja1!$N$4),"")</f>
        <v/>
      </c>
      <c r="Y7" s="53" t="str">
        <f>IF(AND([1]Hoja1!$X$5="Muy Alta",[1]Hoja1!$Z$5="Moderado"),CONCATENATE("R2C",[1]Hoja1!$N$5),"")</f>
        <v/>
      </c>
      <c r="Z7" s="53" t="str">
        <f>IF(AND([1]Hoja1!$X$6="Muy Alta",[1]Hoja1!$Z$6="Moderado"),CONCATENATE("R2C",[1]Hoja1!$N$6),"")</f>
        <v/>
      </c>
      <c r="AA7" s="54" t="str">
        <f>IF(AND([1]Hoja1!$X$7="Muy Alta",[1]Hoja1!$Z$7="Moderado"),CONCATENATE("R2C",[1]Hoja1!$N$7),"")</f>
        <v/>
      </c>
      <c r="AB7" s="52" t="str">
        <f>IF(AND([1]Hoja1!$X$2="Muy Alta",[1]Hoja1!$Z$2="Mayor"),CONCATENATE("R2C",[1]Hoja1!$N$2),"")</f>
        <v/>
      </c>
      <c r="AC7" s="53" t="str">
        <f>IF(AND([1]Hoja1!$X$3="Muy Alta",[1]Hoja1!$Z$3="Mayor"),CONCATENATE("R2C",[1]Hoja1!$N$3),"")</f>
        <v/>
      </c>
      <c r="AD7" s="53" t="str">
        <f>IF(AND([1]Hoja1!$X$4="Muy Alta",[1]Hoja1!$Z$4="Mayor"),CONCATENATE("R2C",[1]Hoja1!$N$4),"")</f>
        <v/>
      </c>
      <c r="AE7" s="53" t="str">
        <f>IF(AND([1]Hoja1!$X$5="Muy Alta",[1]Hoja1!$Z$5="Mayor"),CONCATENATE("R2C",[1]Hoja1!$N$5),"")</f>
        <v/>
      </c>
      <c r="AF7" s="53" t="str">
        <f>IF(AND([1]Hoja1!$X$6="Muy Alta",[1]Hoja1!$Z$6="Mayor"),CONCATENATE("R2C",[1]Hoja1!$N$6),"")</f>
        <v/>
      </c>
      <c r="AG7" s="54" t="str">
        <f>IF(AND([1]Hoja1!$X$7="Muy Alta",[1]Hoja1!$Z$7="Mayor"),CONCATENATE("R2C",[1]Hoja1!$N$7),"")</f>
        <v/>
      </c>
      <c r="AH7" s="55" t="str">
        <f>IF(AND([1]Hoja1!$X$2="Muy Alta",[1]Hoja1!$Z$2="Catastrófico"),CONCATENATE("R2C",[1]Hoja1!$N$2),"")</f>
        <v/>
      </c>
      <c r="AI7" s="56" t="str">
        <f>IF(AND([1]Hoja1!$X$3="Muy Alta",[1]Hoja1!$Z$3="Catastrófico"),CONCATENATE("R2C",[1]Hoja1!$N$3),"")</f>
        <v/>
      </c>
      <c r="AJ7" s="56" t="str">
        <f>IF(AND([1]Hoja1!$X$4="Muy Alta",[1]Hoja1!$Z$4="Catastrófico"),CONCATENATE("R2C",[1]Hoja1!$N$4),"")</f>
        <v/>
      </c>
      <c r="AK7" s="56" t="str">
        <f>IF(AND([1]Hoja1!$X$5="Muy Alta",[1]Hoja1!$Z$5="Catastrófico"),CONCATENATE("R2C",[1]Hoja1!$N$5),"")</f>
        <v/>
      </c>
      <c r="AL7" s="56" t="str">
        <f>IF(AND([1]Hoja1!$X$6="Muy Alta",[1]Hoja1!$Z$6="Catastrófico"),CONCATENATE("R2C",[1]Hoja1!$N$6),"")</f>
        <v/>
      </c>
      <c r="AM7" s="57" t="str">
        <f>IF(AND([1]Hoja1!$X$7="Muy Alta",[1]Hoja1!$Z$7="Catastrófico"),CONCATENATE("R2C",[1]Hoja1!$N$7),"")</f>
        <v/>
      </c>
      <c r="AN7" s="83"/>
      <c r="AO7" s="354"/>
      <c r="AP7" s="355"/>
      <c r="AQ7" s="355"/>
      <c r="AR7" s="355"/>
      <c r="AS7" s="355"/>
      <c r="AT7" s="35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49"/>
      <c r="C8" s="249"/>
      <c r="D8" s="250"/>
      <c r="E8" s="348"/>
      <c r="F8" s="347"/>
      <c r="G8" s="347"/>
      <c r="H8" s="347"/>
      <c r="I8" s="363"/>
      <c r="J8" s="52" t="e">
        <f>IF(AND('Mapa final'!#REF!="Muy Alta",'Mapa final'!#REF!="Leve"),CONCATENATE("R3C",'Mapa final'!$Q$19),"")</f>
        <v>#REF!</v>
      </c>
      <c r="K8" s="53" t="e">
        <f>IF(AND('Mapa final'!#REF!="Muy Alta",'Mapa final'!#REF!="Leve"),CONCATENATE("R3C",'Mapa final'!$Q$20),"")</f>
        <v>#REF!</v>
      </c>
      <c r="L8" s="53" t="e">
        <f>IF(AND('Mapa final'!#REF!="Muy Alta",'Mapa final'!#REF!="Leve"),CONCATENATE("R3C",'Mapa final'!$Q$21),"")</f>
        <v>#REF!</v>
      </c>
      <c r="M8" s="53" t="e">
        <f>IF(AND('Mapa final'!#REF!="Muy Alta",'Mapa final'!#REF!="Leve"),CONCATENATE("R3C",'Mapa final'!$Q$22),"")</f>
        <v>#REF!</v>
      </c>
      <c r="N8" s="53" t="e">
        <f>IF(AND('Mapa final'!#REF!="Muy Alta",'Mapa final'!#REF!="Leve"),CONCATENATE("R3C",'Mapa final'!$Q$23),"")</f>
        <v>#REF!</v>
      </c>
      <c r="O8" s="54" t="e">
        <f>IF(AND('Mapa final'!#REF!="Muy Alta",'Mapa final'!#REF!="Leve"),CONCATENATE("R3C",'Mapa final'!$Q$24),"")</f>
        <v>#REF!</v>
      </c>
      <c r="P8" s="52" t="e">
        <f>IF(AND('Mapa final'!#REF!="Muy Alta",'Mapa final'!#REF!="Menor"),CONCATENATE("R3C",'Mapa final'!$Q$19),"")</f>
        <v>#REF!</v>
      </c>
      <c r="Q8" s="53" t="e">
        <f>IF(AND('Mapa final'!#REF!="Muy Alta",'Mapa final'!#REF!="Menor"),CONCATENATE("R3C",'Mapa final'!$Q$20),"")</f>
        <v>#REF!</v>
      </c>
      <c r="R8" s="53" t="e">
        <f>IF(AND('Mapa final'!#REF!="Muy Alta",'Mapa final'!#REF!="Menor"),CONCATENATE("R3C",'Mapa final'!$Q$21),"")</f>
        <v>#REF!</v>
      </c>
      <c r="S8" s="53" t="e">
        <f>IF(AND('Mapa final'!#REF!="Muy Alta",'Mapa final'!#REF!="Menor"),CONCATENATE("R3C",'Mapa final'!$Q$22),"")</f>
        <v>#REF!</v>
      </c>
      <c r="T8" s="53" t="e">
        <f>IF(AND('Mapa final'!#REF!="Muy Alta",'Mapa final'!#REF!="Menor"),CONCATENATE("R3C",'Mapa final'!$Q$23),"")</f>
        <v>#REF!</v>
      </c>
      <c r="U8" s="54" t="e">
        <f>IF(AND('Mapa final'!#REF!="Muy Alta",'Mapa final'!#REF!="Menor"),CONCATENATE("R3C",'Mapa final'!$Q$24),"")</f>
        <v>#REF!</v>
      </c>
      <c r="V8" s="52" t="e">
        <f>IF(AND('Mapa final'!#REF!="Muy Alta",'Mapa final'!#REF!="Moderado"),CONCATENATE("R3C",'Mapa final'!$Q$19),"")</f>
        <v>#REF!</v>
      </c>
      <c r="W8" s="53" t="e">
        <f>IF(AND('Mapa final'!#REF!="Muy Alta",'Mapa final'!#REF!="Moderado"),CONCATENATE("R3C",'Mapa final'!$Q$20),"")</f>
        <v>#REF!</v>
      </c>
      <c r="X8" s="53" t="e">
        <f>IF(AND('Mapa final'!#REF!="Muy Alta",'Mapa final'!#REF!="Moderado"),CONCATENATE("R3C",'Mapa final'!$Q$21),"")</f>
        <v>#REF!</v>
      </c>
      <c r="Y8" s="53" t="e">
        <f>IF(AND('Mapa final'!#REF!="Muy Alta",'Mapa final'!#REF!="Moderado"),CONCATENATE("R3C",'Mapa final'!$Q$22),"")</f>
        <v>#REF!</v>
      </c>
      <c r="Z8" s="53" t="e">
        <f>IF(AND('Mapa final'!#REF!="Muy Alta",'Mapa final'!#REF!="Moderado"),CONCATENATE("R3C",'Mapa final'!$Q$23),"")</f>
        <v>#REF!</v>
      </c>
      <c r="AA8" s="54" t="e">
        <f>IF(AND('Mapa final'!#REF!="Muy Alta",'Mapa final'!#REF!="Moderado"),CONCATENATE("R3C",'Mapa final'!$Q$24),"")</f>
        <v>#REF!</v>
      </c>
      <c r="AB8" s="52" t="e">
        <f>IF(AND('Mapa final'!#REF!="Muy Alta",'Mapa final'!#REF!="Mayor"),CONCATENATE("R3C",'Mapa final'!$Q$19),"")</f>
        <v>#REF!</v>
      </c>
      <c r="AC8" s="53" t="e">
        <f>IF(AND('Mapa final'!#REF!="Muy Alta",'Mapa final'!#REF!="Mayor"),CONCATENATE("R3C",'Mapa final'!$Q$20),"")</f>
        <v>#REF!</v>
      </c>
      <c r="AD8" s="53" t="e">
        <f>IF(AND('Mapa final'!#REF!="Muy Alta",'Mapa final'!#REF!="Mayor"),CONCATENATE("R3C",'Mapa final'!$Q$21),"")</f>
        <v>#REF!</v>
      </c>
      <c r="AE8" s="53" t="e">
        <f>IF(AND('Mapa final'!#REF!="Muy Alta",'Mapa final'!#REF!="Mayor"),CONCATENATE("R3C",'Mapa final'!$Q$22),"")</f>
        <v>#REF!</v>
      </c>
      <c r="AF8" s="53" t="e">
        <f>IF(AND('Mapa final'!#REF!="Muy Alta",'Mapa final'!#REF!="Mayor"),CONCATENATE("R3C",'Mapa final'!$Q$23),"")</f>
        <v>#REF!</v>
      </c>
      <c r="AG8" s="54" t="e">
        <f>IF(AND('Mapa final'!#REF!="Muy Alta",'Mapa final'!#REF!="Mayor"),CONCATENATE("R3C",'Mapa final'!$Q$24),"")</f>
        <v>#REF!</v>
      </c>
      <c r="AH8" s="55" t="e">
        <f>IF(AND('Mapa final'!#REF!="Muy Alta",'Mapa final'!#REF!="Catastrófico"),CONCATENATE("R3C",'Mapa final'!$Q$19),"")</f>
        <v>#REF!</v>
      </c>
      <c r="AI8" s="56" t="e">
        <f>IF(AND('Mapa final'!#REF!="Muy Alta",'Mapa final'!#REF!="Catastrófico"),CONCATENATE("R3C",'Mapa final'!$Q$20),"")</f>
        <v>#REF!</v>
      </c>
      <c r="AJ8" s="56" t="e">
        <f>IF(AND('Mapa final'!#REF!="Muy Alta",'Mapa final'!#REF!="Catastrófico"),CONCATENATE("R3C",'Mapa final'!$Q$21),"")</f>
        <v>#REF!</v>
      </c>
      <c r="AK8" s="56" t="e">
        <f>IF(AND('Mapa final'!#REF!="Muy Alta",'Mapa final'!#REF!="Catastrófico"),CONCATENATE("R3C",'Mapa final'!$Q$22),"")</f>
        <v>#REF!</v>
      </c>
      <c r="AL8" s="56" t="e">
        <f>IF(AND('Mapa final'!#REF!="Muy Alta",'Mapa final'!#REF!="Catastrófico"),CONCATENATE("R3C",'Mapa final'!$Q$23),"")</f>
        <v>#REF!</v>
      </c>
      <c r="AM8" s="57" t="e">
        <f>IF(AND('Mapa final'!#REF!="Muy Alta",'Mapa final'!#REF!="Catastrófico"),CONCATENATE("R3C",'Mapa final'!$Q$24),"")</f>
        <v>#REF!</v>
      </c>
      <c r="AN8" s="83"/>
      <c r="AO8" s="354"/>
      <c r="AP8" s="355"/>
      <c r="AQ8" s="355"/>
      <c r="AR8" s="355"/>
      <c r="AS8" s="355"/>
      <c r="AT8" s="35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49"/>
      <c r="C9" s="249"/>
      <c r="D9" s="250"/>
      <c r="E9" s="348"/>
      <c r="F9" s="347"/>
      <c r="G9" s="347"/>
      <c r="H9" s="347"/>
      <c r="I9" s="363"/>
      <c r="J9" s="52" t="e">
        <f>IF(AND('Mapa final'!#REF!="Muy Alta",'Mapa final'!#REF!="Leve"),CONCATENATE("R4C",'Mapa final'!$Q$25),"")</f>
        <v>#REF!</v>
      </c>
      <c r="K9" s="53" t="e">
        <f>IF(AND('Mapa final'!#REF!="Muy Alta",'Mapa final'!#REF!="Leve"),CONCATENATE("R4C",'Mapa final'!$Q$26),"")</f>
        <v>#REF!</v>
      </c>
      <c r="L9" s="53" t="e">
        <f>IF(AND('Mapa final'!#REF!="Muy Alta",'Mapa final'!#REF!="Leve"),CONCATENATE("R4C",'Mapa final'!$Q$27),"")</f>
        <v>#REF!</v>
      </c>
      <c r="M9" s="53" t="e">
        <f>IF(AND('Mapa final'!#REF!="Muy Alta",'Mapa final'!#REF!="Leve"),CONCATENATE("R4C",'Mapa final'!$Q$28),"")</f>
        <v>#REF!</v>
      </c>
      <c r="N9" s="53" t="e">
        <f>IF(AND('Mapa final'!#REF!="Muy Alta",'Mapa final'!#REF!="Leve"),CONCATENATE("R4C",'Mapa final'!$Q$29),"")</f>
        <v>#REF!</v>
      </c>
      <c r="O9" s="54" t="e">
        <f>IF(AND('Mapa final'!#REF!="Muy Alta",'Mapa final'!#REF!="Leve"),CONCATENATE("R4C",'Mapa final'!$Q$30),"")</f>
        <v>#REF!</v>
      </c>
      <c r="P9" s="52" t="e">
        <f>IF(AND('Mapa final'!#REF!="Muy Alta",'Mapa final'!#REF!="Menor"),CONCATENATE("R4C",'Mapa final'!$Q$25),"")</f>
        <v>#REF!</v>
      </c>
      <c r="Q9" s="53" t="e">
        <f>IF(AND('Mapa final'!#REF!="Muy Alta",'Mapa final'!#REF!="Menor"),CONCATENATE("R4C",'Mapa final'!$Q$26),"")</f>
        <v>#REF!</v>
      </c>
      <c r="R9" s="53" t="e">
        <f>IF(AND('Mapa final'!#REF!="Muy Alta",'Mapa final'!#REF!="Menor"),CONCATENATE("R4C",'Mapa final'!$Q$27),"")</f>
        <v>#REF!</v>
      </c>
      <c r="S9" s="53" t="e">
        <f>IF(AND('Mapa final'!#REF!="Muy Alta",'Mapa final'!#REF!="Menor"),CONCATENATE("R4C",'Mapa final'!$Q$28),"")</f>
        <v>#REF!</v>
      </c>
      <c r="T9" s="53" t="e">
        <f>IF(AND('Mapa final'!#REF!="Muy Alta",'Mapa final'!#REF!="Menor"),CONCATENATE("R4C",'Mapa final'!$Q$29),"")</f>
        <v>#REF!</v>
      </c>
      <c r="U9" s="54" t="e">
        <f>IF(AND('Mapa final'!#REF!="Muy Alta",'Mapa final'!#REF!="Menor"),CONCATENATE("R4C",'Mapa final'!$Q$30),"")</f>
        <v>#REF!</v>
      </c>
      <c r="V9" s="52" t="e">
        <f>IF(AND('Mapa final'!#REF!="Muy Alta",'Mapa final'!#REF!="Moderado"),CONCATENATE("R4C",'Mapa final'!$Q$25),"")</f>
        <v>#REF!</v>
      </c>
      <c r="W9" s="53" t="e">
        <f>IF(AND('Mapa final'!#REF!="Muy Alta",'Mapa final'!#REF!="Moderado"),CONCATENATE("R4C",'Mapa final'!$Q$26),"")</f>
        <v>#REF!</v>
      </c>
      <c r="X9" s="53" t="e">
        <f>IF(AND('Mapa final'!#REF!="Muy Alta",'Mapa final'!#REF!="Moderado"),CONCATENATE("R4C",'Mapa final'!$Q$27),"")</f>
        <v>#REF!</v>
      </c>
      <c r="Y9" s="53" t="e">
        <f>IF(AND('Mapa final'!#REF!="Muy Alta",'Mapa final'!#REF!="Moderado"),CONCATENATE("R4C",'Mapa final'!$Q$28),"")</f>
        <v>#REF!</v>
      </c>
      <c r="Z9" s="53" t="e">
        <f>IF(AND('Mapa final'!#REF!="Muy Alta",'Mapa final'!#REF!="Moderado"),CONCATENATE("R4C",'Mapa final'!$Q$29),"")</f>
        <v>#REF!</v>
      </c>
      <c r="AA9" s="54" t="e">
        <f>IF(AND('Mapa final'!#REF!="Muy Alta",'Mapa final'!#REF!="Moderado"),CONCATENATE("R4C",'Mapa final'!$Q$30),"")</f>
        <v>#REF!</v>
      </c>
      <c r="AB9" s="52" t="e">
        <f>IF(AND('Mapa final'!#REF!="Muy Alta",'Mapa final'!#REF!="Mayor"),CONCATENATE("R4C",'Mapa final'!$Q$25),"")</f>
        <v>#REF!</v>
      </c>
      <c r="AC9" s="53" t="e">
        <f>IF(AND('Mapa final'!#REF!="Muy Alta",'Mapa final'!#REF!="Mayor"),CONCATENATE("R4C",'Mapa final'!$Q$26),"")</f>
        <v>#REF!</v>
      </c>
      <c r="AD9" s="53" t="e">
        <f>IF(AND('Mapa final'!#REF!="Muy Alta",'Mapa final'!#REF!="Mayor"),CONCATENATE("R4C",'Mapa final'!$Q$27),"")</f>
        <v>#REF!</v>
      </c>
      <c r="AE9" s="53" t="e">
        <f>IF(AND('Mapa final'!#REF!="Muy Alta",'Mapa final'!#REF!="Mayor"),CONCATENATE("R4C",'Mapa final'!$Q$28),"")</f>
        <v>#REF!</v>
      </c>
      <c r="AF9" s="53" t="e">
        <f>IF(AND('Mapa final'!#REF!="Muy Alta",'Mapa final'!#REF!="Mayor"),CONCATENATE("R4C",'Mapa final'!$Q$29),"")</f>
        <v>#REF!</v>
      </c>
      <c r="AG9" s="54" t="e">
        <f>IF(AND('Mapa final'!#REF!="Muy Alta",'Mapa final'!#REF!="Mayor"),CONCATENATE("R4C",'Mapa final'!$Q$30),"")</f>
        <v>#REF!</v>
      </c>
      <c r="AH9" s="55" t="e">
        <f>IF(AND('Mapa final'!#REF!="Muy Alta",'Mapa final'!#REF!="Catastrófico"),CONCATENATE("R4C",'Mapa final'!$Q$25),"")</f>
        <v>#REF!</v>
      </c>
      <c r="AI9" s="56" t="e">
        <f>IF(AND('Mapa final'!#REF!="Muy Alta",'Mapa final'!#REF!="Catastrófico"),CONCATENATE("R4C",'Mapa final'!$Q$26),"")</f>
        <v>#REF!</v>
      </c>
      <c r="AJ9" s="56" t="e">
        <f>IF(AND('Mapa final'!#REF!="Muy Alta",'Mapa final'!#REF!="Catastrófico"),CONCATENATE("R4C",'Mapa final'!$Q$27),"")</f>
        <v>#REF!</v>
      </c>
      <c r="AK9" s="56" t="e">
        <f>IF(AND('Mapa final'!#REF!="Muy Alta",'Mapa final'!#REF!="Catastrófico"),CONCATENATE("R4C",'Mapa final'!$Q$28),"")</f>
        <v>#REF!</v>
      </c>
      <c r="AL9" s="56" t="e">
        <f>IF(AND('Mapa final'!#REF!="Muy Alta",'Mapa final'!#REF!="Catastrófico"),CONCATENATE("R4C",'Mapa final'!$Q$29),"")</f>
        <v>#REF!</v>
      </c>
      <c r="AM9" s="57" t="e">
        <f>IF(AND('Mapa final'!#REF!="Muy Alta",'Mapa final'!#REF!="Catastrófico"),CONCATENATE("R4C",'Mapa final'!$Q$30),"")</f>
        <v>#REF!</v>
      </c>
      <c r="AN9" s="83"/>
      <c r="AO9" s="354"/>
      <c r="AP9" s="355"/>
      <c r="AQ9" s="355"/>
      <c r="AR9" s="355"/>
      <c r="AS9" s="355"/>
      <c r="AT9" s="35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49"/>
      <c r="C10" s="249"/>
      <c r="D10" s="250"/>
      <c r="E10" s="348"/>
      <c r="F10" s="347"/>
      <c r="G10" s="347"/>
      <c r="H10" s="347"/>
      <c r="I10" s="363"/>
      <c r="J10" s="52" t="e">
        <f>IF(AND('Mapa final'!#REF!="Muy Alta",'Mapa final'!#REF!="Leve"),CONCATENATE("R5C",'Mapa final'!$Q$31),"")</f>
        <v>#REF!</v>
      </c>
      <c r="K10" s="53" t="e">
        <f>IF(AND('Mapa final'!#REF!="Muy Alta",'Mapa final'!#REF!="Leve"),CONCATENATE("R5C",'Mapa final'!$Q$32),"")</f>
        <v>#REF!</v>
      </c>
      <c r="L10" s="53" t="e">
        <f>IF(AND('Mapa final'!#REF!="Muy Alta",'Mapa final'!#REF!="Leve"),CONCATENATE("R5C",'Mapa final'!$Q$33),"")</f>
        <v>#REF!</v>
      </c>
      <c r="M10" s="53" t="e">
        <f>IF(AND('Mapa final'!#REF!="Muy Alta",'Mapa final'!#REF!="Leve"),CONCATENATE("R5C",'Mapa final'!$Q$34),"")</f>
        <v>#REF!</v>
      </c>
      <c r="N10" s="53" t="e">
        <f>IF(AND('Mapa final'!#REF!="Muy Alta",'Mapa final'!#REF!="Leve"),CONCATENATE("R5C",'Mapa final'!$Q$35),"")</f>
        <v>#REF!</v>
      </c>
      <c r="O10" s="54" t="e">
        <f>IF(AND('Mapa final'!#REF!="Muy Alta",'Mapa final'!#REF!="Leve"),CONCATENATE("R5C",'Mapa final'!$Q$36),"")</f>
        <v>#REF!</v>
      </c>
      <c r="P10" s="52" t="e">
        <f>IF(AND('Mapa final'!#REF!="Muy Alta",'Mapa final'!#REF!="Menor"),CONCATENATE("R5C",'Mapa final'!$Q$31),"")</f>
        <v>#REF!</v>
      </c>
      <c r="Q10" s="53" t="e">
        <f>IF(AND('Mapa final'!#REF!="Muy Alta",'Mapa final'!#REF!="Menor"),CONCATENATE("R5C",'Mapa final'!$Q$32),"")</f>
        <v>#REF!</v>
      </c>
      <c r="R10" s="53" t="e">
        <f>IF(AND('Mapa final'!#REF!="Muy Alta",'Mapa final'!#REF!="Menor"),CONCATENATE("R5C",'Mapa final'!$Q$33),"")</f>
        <v>#REF!</v>
      </c>
      <c r="S10" s="53" t="e">
        <f>IF(AND('Mapa final'!#REF!="Muy Alta",'Mapa final'!#REF!="Menor"),CONCATENATE("R5C",'Mapa final'!$Q$34),"")</f>
        <v>#REF!</v>
      </c>
      <c r="T10" s="53" t="e">
        <f>IF(AND('Mapa final'!#REF!="Muy Alta",'Mapa final'!#REF!="Menor"),CONCATENATE("R5C",'Mapa final'!$Q$35),"")</f>
        <v>#REF!</v>
      </c>
      <c r="U10" s="54" t="e">
        <f>IF(AND('Mapa final'!#REF!="Muy Alta",'Mapa final'!#REF!="Menor"),CONCATENATE("R5C",'Mapa final'!$Q$36),"")</f>
        <v>#REF!</v>
      </c>
      <c r="V10" s="52" t="e">
        <f>IF(AND('Mapa final'!#REF!="Muy Alta",'Mapa final'!#REF!="Moderado"),CONCATENATE("R5C",'Mapa final'!$Q$31),"")</f>
        <v>#REF!</v>
      </c>
      <c r="W10" s="53" t="e">
        <f>IF(AND('Mapa final'!#REF!="Muy Alta",'Mapa final'!#REF!="Moderado"),CONCATENATE("R5C",'Mapa final'!$Q$32),"")</f>
        <v>#REF!</v>
      </c>
      <c r="X10" s="53" t="e">
        <f>IF(AND('Mapa final'!#REF!="Muy Alta",'Mapa final'!#REF!="Moderado"),CONCATENATE("R5C",'Mapa final'!$Q$33),"")</f>
        <v>#REF!</v>
      </c>
      <c r="Y10" s="53" t="e">
        <f>IF(AND('Mapa final'!#REF!="Muy Alta",'Mapa final'!#REF!="Moderado"),CONCATENATE("R5C",'Mapa final'!$Q$34),"")</f>
        <v>#REF!</v>
      </c>
      <c r="Z10" s="53" t="e">
        <f>IF(AND('Mapa final'!#REF!="Muy Alta",'Mapa final'!#REF!="Moderado"),CONCATENATE("R5C",'Mapa final'!$Q$35),"")</f>
        <v>#REF!</v>
      </c>
      <c r="AA10" s="54" t="e">
        <f>IF(AND('Mapa final'!#REF!="Muy Alta",'Mapa final'!#REF!="Moderado"),CONCATENATE("R5C",'Mapa final'!$Q$36),"")</f>
        <v>#REF!</v>
      </c>
      <c r="AB10" s="52" t="e">
        <f>IF(AND('Mapa final'!#REF!="Muy Alta",'Mapa final'!#REF!="Mayor"),CONCATENATE("R5C",'Mapa final'!$Q$31),"")</f>
        <v>#REF!</v>
      </c>
      <c r="AC10" s="53" t="e">
        <f>IF(AND('Mapa final'!#REF!="Muy Alta",'Mapa final'!#REF!="Mayor"),CONCATENATE("R5C",'Mapa final'!$Q$32),"")</f>
        <v>#REF!</v>
      </c>
      <c r="AD10" s="53" t="e">
        <f>IF(AND('Mapa final'!#REF!="Muy Alta",'Mapa final'!#REF!="Mayor"),CONCATENATE("R5C",'Mapa final'!$Q$33),"")</f>
        <v>#REF!</v>
      </c>
      <c r="AE10" s="53" t="e">
        <f>IF(AND('Mapa final'!#REF!="Muy Alta",'Mapa final'!#REF!="Mayor"),CONCATENATE("R5C",'Mapa final'!$Q$34),"")</f>
        <v>#REF!</v>
      </c>
      <c r="AF10" s="53" t="e">
        <f>IF(AND('Mapa final'!#REF!="Muy Alta",'Mapa final'!#REF!="Mayor"),CONCATENATE("R5C",'Mapa final'!$Q$35),"")</f>
        <v>#REF!</v>
      </c>
      <c r="AG10" s="54" t="e">
        <f>IF(AND('Mapa final'!#REF!="Muy Alta",'Mapa final'!#REF!="Mayor"),CONCATENATE("R5C",'Mapa final'!$Q$36),"")</f>
        <v>#REF!</v>
      </c>
      <c r="AH10" s="55" t="e">
        <f>IF(AND('Mapa final'!#REF!="Muy Alta",'Mapa final'!#REF!="Catastrófico"),CONCATENATE("R5C",'Mapa final'!$Q$31),"")</f>
        <v>#REF!</v>
      </c>
      <c r="AI10" s="56" t="e">
        <f>IF(AND('Mapa final'!#REF!="Muy Alta",'Mapa final'!#REF!="Catastrófico"),CONCATENATE("R5C",'Mapa final'!$Q$32),"")</f>
        <v>#REF!</v>
      </c>
      <c r="AJ10" s="56" t="e">
        <f>IF(AND('Mapa final'!#REF!="Muy Alta",'Mapa final'!#REF!="Catastrófico"),CONCATENATE("R5C",'Mapa final'!$Q$33),"")</f>
        <v>#REF!</v>
      </c>
      <c r="AK10" s="56" t="e">
        <f>IF(AND('Mapa final'!#REF!="Muy Alta",'Mapa final'!#REF!="Catastrófico"),CONCATENATE("R5C",'Mapa final'!$Q$34),"")</f>
        <v>#REF!</v>
      </c>
      <c r="AL10" s="56" t="e">
        <f>IF(AND('Mapa final'!#REF!="Muy Alta",'Mapa final'!#REF!="Catastrófico"),CONCATENATE("R5C",'Mapa final'!$Q$35),"")</f>
        <v>#REF!</v>
      </c>
      <c r="AM10" s="57" t="e">
        <f>IF(AND('Mapa final'!#REF!="Muy Alta",'Mapa final'!#REF!="Catastrófico"),CONCATENATE("R5C",'Mapa final'!$Q$36),"")</f>
        <v>#REF!</v>
      </c>
      <c r="AN10" s="83"/>
      <c r="AO10" s="354"/>
      <c r="AP10" s="355"/>
      <c r="AQ10" s="355"/>
      <c r="AR10" s="355"/>
      <c r="AS10" s="355"/>
      <c r="AT10" s="35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49"/>
      <c r="C11" s="249"/>
      <c r="D11" s="250"/>
      <c r="E11" s="348"/>
      <c r="F11" s="347"/>
      <c r="G11" s="347"/>
      <c r="H11" s="347"/>
      <c r="I11" s="363"/>
      <c r="J11" s="52" t="e">
        <f>IF(AND('Mapa final'!#REF!="Muy Alta",'Mapa final'!#REF!="Leve"),CONCATENATE("R6C",'Mapa final'!$Q$37),"")</f>
        <v>#REF!</v>
      </c>
      <c r="K11" s="53" t="e">
        <f>IF(AND('Mapa final'!#REF!="Muy Alta",'Mapa final'!#REF!="Leve"),CONCATENATE("R6C",'Mapa final'!$Q$38),"")</f>
        <v>#REF!</v>
      </c>
      <c r="L11" s="53" t="e">
        <f>IF(AND('Mapa final'!#REF!="Muy Alta",'Mapa final'!#REF!="Leve"),CONCATENATE("R6C",'Mapa final'!$Q$39),"")</f>
        <v>#REF!</v>
      </c>
      <c r="M11" s="53" t="e">
        <f>IF(AND('Mapa final'!#REF!="Muy Alta",'Mapa final'!#REF!="Leve"),CONCATENATE("R6C",'Mapa final'!$Q$40),"")</f>
        <v>#REF!</v>
      </c>
      <c r="N11" s="53" t="e">
        <f>IF(AND('Mapa final'!#REF!="Muy Alta",'Mapa final'!#REF!="Leve"),CONCATENATE("R6C",'Mapa final'!$Q$41),"")</f>
        <v>#REF!</v>
      </c>
      <c r="O11" s="54" t="e">
        <f>IF(AND('Mapa final'!#REF!="Muy Alta",'Mapa final'!#REF!="Leve"),CONCATENATE("R6C",'Mapa final'!$Q$42),"")</f>
        <v>#REF!</v>
      </c>
      <c r="P11" s="52" t="e">
        <f>IF(AND('Mapa final'!#REF!="Muy Alta",'Mapa final'!#REF!="Menor"),CONCATENATE("R6C",'Mapa final'!$Q$37),"")</f>
        <v>#REF!</v>
      </c>
      <c r="Q11" s="53" t="e">
        <f>IF(AND('Mapa final'!#REF!="Muy Alta",'Mapa final'!#REF!="Menor"),CONCATENATE("R6C",'Mapa final'!$Q$38),"")</f>
        <v>#REF!</v>
      </c>
      <c r="R11" s="53" t="e">
        <f>IF(AND('Mapa final'!#REF!="Muy Alta",'Mapa final'!#REF!="Menor"),CONCATENATE("R6C",'Mapa final'!$Q$39),"")</f>
        <v>#REF!</v>
      </c>
      <c r="S11" s="53" t="e">
        <f>IF(AND('Mapa final'!#REF!="Muy Alta",'Mapa final'!#REF!="Menor"),CONCATENATE("R6C",'Mapa final'!$Q$40),"")</f>
        <v>#REF!</v>
      </c>
      <c r="T11" s="53" t="e">
        <f>IF(AND('Mapa final'!#REF!="Muy Alta",'Mapa final'!#REF!="Menor"),CONCATENATE("R6C",'Mapa final'!$Q$41),"")</f>
        <v>#REF!</v>
      </c>
      <c r="U11" s="54" t="e">
        <f>IF(AND('Mapa final'!#REF!="Muy Alta",'Mapa final'!#REF!="Menor"),CONCATENATE("R6C",'Mapa final'!$Q$42),"")</f>
        <v>#REF!</v>
      </c>
      <c r="V11" s="52" t="e">
        <f>IF(AND('Mapa final'!#REF!="Muy Alta",'Mapa final'!#REF!="Moderado"),CONCATENATE("R6C",'Mapa final'!$Q$37),"")</f>
        <v>#REF!</v>
      </c>
      <c r="W11" s="53" t="e">
        <f>IF(AND('Mapa final'!#REF!="Muy Alta",'Mapa final'!#REF!="Moderado"),CONCATENATE("R6C",'Mapa final'!$Q$38),"")</f>
        <v>#REF!</v>
      </c>
      <c r="X11" s="53" t="e">
        <f>IF(AND('Mapa final'!#REF!="Muy Alta",'Mapa final'!#REF!="Moderado"),CONCATENATE("R6C",'Mapa final'!$Q$39),"")</f>
        <v>#REF!</v>
      </c>
      <c r="Y11" s="53" t="e">
        <f>IF(AND('Mapa final'!#REF!="Muy Alta",'Mapa final'!#REF!="Moderado"),CONCATENATE("R6C",'Mapa final'!$Q$40),"")</f>
        <v>#REF!</v>
      </c>
      <c r="Z11" s="53" t="e">
        <f>IF(AND('Mapa final'!#REF!="Muy Alta",'Mapa final'!#REF!="Moderado"),CONCATENATE("R6C",'Mapa final'!$Q$41),"")</f>
        <v>#REF!</v>
      </c>
      <c r="AA11" s="54" t="e">
        <f>IF(AND('Mapa final'!#REF!="Muy Alta",'Mapa final'!#REF!="Moderado"),CONCATENATE("R6C",'Mapa final'!$Q$42),"")</f>
        <v>#REF!</v>
      </c>
      <c r="AB11" s="52" t="e">
        <f>IF(AND('Mapa final'!#REF!="Muy Alta",'Mapa final'!#REF!="Mayor"),CONCATENATE("R6C",'Mapa final'!$Q$37),"")</f>
        <v>#REF!</v>
      </c>
      <c r="AC11" s="53" t="e">
        <f>IF(AND('Mapa final'!#REF!="Muy Alta",'Mapa final'!#REF!="Mayor"),CONCATENATE("R6C",'Mapa final'!$Q$38),"")</f>
        <v>#REF!</v>
      </c>
      <c r="AD11" s="53" t="e">
        <f>IF(AND('Mapa final'!#REF!="Muy Alta",'Mapa final'!#REF!="Mayor"),CONCATENATE("R6C",'Mapa final'!$Q$39),"")</f>
        <v>#REF!</v>
      </c>
      <c r="AE11" s="53" t="e">
        <f>IF(AND('Mapa final'!#REF!="Muy Alta",'Mapa final'!#REF!="Mayor"),CONCATENATE("R6C",'Mapa final'!$Q$40),"")</f>
        <v>#REF!</v>
      </c>
      <c r="AF11" s="53" t="e">
        <f>IF(AND('Mapa final'!#REF!="Muy Alta",'Mapa final'!#REF!="Mayor"),CONCATENATE("R6C",'Mapa final'!$Q$41),"")</f>
        <v>#REF!</v>
      </c>
      <c r="AG11" s="54" t="e">
        <f>IF(AND('Mapa final'!#REF!="Muy Alta",'Mapa final'!#REF!="Mayor"),CONCATENATE("R6C",'Mapa final'!$Q$42),"")</f>
        <v>#REF!</v>
      </c>
      <c r="AH11" s="55" t="e">
        <f>IF(AND('Mapa final'!#REF!="Muy Alta",'Mapa final'!#REF!="Catastrófico"),CONCATENATE("R6C",'Mapa final'!$Q$37),"")</f>
        <v>#REF!</v>
      </c>
      <c r="AI11" s="56" t="e">
        <f>IF(AND('Mapa final'!#REF!="Muy Alta",'Mapa final'!#REF!="Catastrófico"),CONCATENATE("R6C",'Mapa final'!$Q$38),"")</f>
        <v>#REF!</v>
      </c>
      <c r="AJ11" s="56" t="e">
        <f>IF(AND('Mapa final'!#REF!="Muy Alta",'Mapa final'!#REF!="Catastrófico"),CONCATENATE("R6C",'Mapa final'!$Q$39),"")</f>
        <v>#REF!</v>
      </c>
      <c r="AK11" s="56" t="e">
        <f>IF(AND('Mapa final'!#REF!="Muy Alta",'Mapa final'!#REF!="Catastrófico"),CONCATENATE("R6C",'Mapa final'!$Q$40),"")</f>
        <v>#REF!</v>
      </c>
      <c r="AL11" s="56" t="e">
        <f>IF(AND('Mapa final'!#REF!="Muy Alta",'Mapa final'!#REF!="Catastrófico"),CONCATENATE("R6C",'Mapa final'!$Q$41),"")</f>
        <v>#REF!</v>
      </c>
      <c r="AM11" s="57" t="e">
        <f>IF(AND('Mapa final'!#REF!="Muy Alta",'Mapa final'!#REF!="Catastrófico"),CONCATENATE("R6C",'Mapa final'!$Q$42),"")</f>
        <v>#REF!</v>
      </c>
      <c r="AN11" s="83"/>
      <c r="AO11" s="354"/>
      <c r="AP11" s="355"/>
      <c r="AQ11" s="355"/>
      <c r="AR11" s="355"/>
      <c r="AS11" s="355"/>
      <c r="AT11" s="35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49"/>
      <c r="C12" s="249"/>
      <c r="D12" s="250"/>
      <c r="E12" s="348"/>
      <c r="F12" s="347"/>
      <c r="G12" s="347"/>
      <c r="H12" s="347"/>
      <c r="I12" s="363"/>
      <c r="J12" s="52" t="e">
        <f>IF(AND('Mapa final'!#REF!="Muy Alta",'Mapa final'!#REF!="Leve"),CONCATENATE("R7C",'Mapa final'!$Q$43),"")</f>
        <v>#REF!</v>
      </c>
      <c r="K12" s="53" t="e">
        <f>IF(AND('Mapa final'!#REF!="Muy Alta",'Mapa final'!#REF!="Leve"),CONCATENATE("R7C",'Mapa final'!$Q$44),"")</f>
        <v>#REF!</v>
      </c>
      <c r="L12" s="53" t="e">
        <f>IF(AND('Mapa final'!#REF!="Muy Alta",'Mapa final'!#REF!="Leve"),CONCATENATE("R7C",'Mapa final'!$Q$45),"")</f>
        <v>#REF!</v>
      </c>
      <c r="M12" s="53" t="e">
        <f>IF(AND('Mapa final'!#REF!="Muy Alta",'Mapa final'!#REF!="Leve"),CONCATENATE("R7C",'Mapa final'!$Q$46),"")</f>
        <v>#REF!</v>
      </c>
      <c r="N12" s="53" t="e">
        <f>IF(AND('Mapa final'!#REF!="Muy Alta",'Mapa final'!#REF!="Leve"),CONCATENATE("R7C",'Mapa final'!$Q$47),"")</f>
        <v>#REF!</v>
      </c>
      <c r="O12" s="54" t="e">
        <f>IF(AND('Mapa final'!#REF!="Muy Alta",'Mapa final'!#REF!="Leve"),CONCATENATE("R7C",'Mapa final'!$Q$48),"")</f>
        <v>#REF!</v>
      </c>
      <c r="P12" s="52" t="e">
        <f>IF(AND('Mapa final'!#REF!="Muy Alta",'Mapa final'!#REF!="Menor"),CONCATENATE("R7C",'Mapa final'!$Q$43),"")</f>
        <v>#REF!</v>
      </c>
      <c r="Q12" s="53" t="e">
        <f>IF(AND('Mapa final'!#REF!="Muy Alta",'Mapa final'!#REF!="Menor"),CONCATENATE("R7C",'Mapa final'!$Q$44),"")</f>
        <v>#REF!</v>
      </c>
      <c r="R12" s="53" t="e">
        <f>IF(AND('Mapa final'!#REF!="Muy Alta",'Mapa final'!#REF!="Menor"),CONCATENATE("R7C",'Mapa final'!$Q$45),"")</f>
        <v>#REF!</v>
      </c>
      <c r="S12" s="53" t="e">
        <f>IF(AND('Mapa final'!#REF!="Muy Alta",'Mapa final'!#REF!="Menor"),CONCATENATE("R7C",'Mapa final'!$Q$46),"")</f>
        <v>#REF!</v>
      </c>
      <c r="T12" s="53" t="e">
        <f>IF(AND('Mapa final'!#REF!="Muy Alta",'Mapa final'!#REF!="Menor"),CONCATENATE("R7C",'Mapa final'!$Q$47),"")</f>
        <v>#REF!</v>
      </c>
      <c r="U12" s="54" t="e">
        <f>IF(AND('Mapa final'!#REF!="Muy Alta",'Mapa final'!#REF!="Menor"),CONCATENATE("R7C",'Mapa final'!$Q$48),"")</f>
        <v>#REF!</v>
      </c>
      <c r="V12" s="52" t="e">
        <f>IF(AND('Mapa final'!#REF!="Muy Alta",'Mapa final'!#REF!="Moderado"),CONCATENATE("R7C",'Mapa final'!$Q$43),"")</f>
        <v>#REF!</v>
      </c>
      <c r="W12" s="53" t="e">
        <f>IF(AND('Mapa final'!#REF!="Muy Alta",'Mapa final'!#REF!="Moderado"),CONCATENATE("R7C",'Mapa final'!$Q$44),"")</f>
        <v>#REF!</v>
      </c>
      <c r="X12" s="53" t="e">
        <f>IF(AND('Mapa final'!#REF!="Muy Alta",'Mapa final'!#REF!="Moderado"),CONCATENATE("R7C",'Mapa final'!$Q$45),"")</f>
        <v>#REF!</v>
      </c>
      <c r="Y12" s="53" t="e">
        <f>IF(AND('Mapa final'!#REF!="Muy Alta",'Mapa final'!#REF!="Moderado"),CONCATENATE("R7C",'Mapa final'!$Q$46),"")</f>
        <v>#REF!</v>
      </c>
      <c r="Z12" s="53" t="e">
        <f>IF(AND('Mapa final'!#REF!="Muy Alta",'Mapa final'!#REF!="Moderado"),CONCATENATE("R7C",'Mapa final'!$Q$47),"")</f>
        <v>#REF!</v>
      </c>
      <c r="AA12" s="54" t="e">
        <f>IF(AND('Mapa final'!#REF!="Muy Alta",'Mapa final'!#REF!="Moderado"),CONCATENATE("R7C",'Mapa final'!$Q$48),"")</f>
        <v>#REF!</v>
      </c>
      <c r="AB12" s="52" t="e">
        <f>IF(AND('Mapa final'!#REF!="Muy Alta",'Mapa final'!#REF!="Mayor"),CONCATENATE("R7C",'Mapa final'!$Q$43),"")</f>
        <v>#REF!</v>
      </c>
      <c r="AC12" s="53" t="e">
        <f>IF(AND('Mapa final'!#REF!="Muy Alta",'Mapa final'!#REF!="Mayor"),CONCATENATE("R7C",'Mapa final'!$Q$44),"")</f>
        <v>#REF!</v>
      </c>
      <c r="AD12" s="53" t="e">
        <f>IF(AND('Mapa final'!#REF!="Muy Alta",'Mapa final'!#REF!="Mayor"),CONCATENATE("R7C",'Mapa final'!$Q$45),"")</f>
        <v>#REF!</v>
      </c>
      <c r="AE12" s="53" t="e">
        <f>IF(AND('Mapa final'!#REF!="Muy Alta",'Mapa final'!#REF!="Mayor"),CONCATENATE("R7C",'Mapa final'!$Q$46),"")</f>
        <v>#REF!</v>
      </c>
      <c r="AF12" s="53" t="e">
        <f>IF(AND('Mapa final'!#REF!="Muy Alta",'Mapa final'!#REF!="Mayor"),CONCATENATE("R7C",'Mapa final'!$Q$47),"")</f>
        <v>#REF!</v>
      </c>
      <c r="AG12" s="54" t="e">
        <f>IF(AND('Mapa final'!#REF!="Muy Alta",'Mapa final'!#REF!="Mayor"),CONCATENATE("R7C",'Mapa final'!$Q$48),"")</f>
        <v>#REF!</v>
      </c>
      <c r="AH12" s="55" t="e">
        <f>IF(AND('Mapa final'!#REF!="Muy Alta",'Mapa final'!#REF!="Catastrófico"),CONCATENATE("R7C",'Mapa final'!$Q$43),"")</f>
        <v>#REF!</v>
      </c>
      <c r="AI12" s="56" t="e">
        <f>IF(AND('Mapa final'!#REF!="Muy Alta",'Mapa final'!#REF!="Catastrófico"),CONCATENATE("R7C",'Mapa final'!$Q$44),"")</f>
        <v>#REF!</v>
      </c>
      <c r="AJ12" s="56" t="e">
        <f>IF(AND('Mapa final'!#REF!="Muy Alta",'Mapa final'!#REF!="Catastrófico"),CONCATENATE("R7C",'Mapa final'!$Q$45),"")</f>
        <v>#REF!</v>
      </c>
      <c r="AK12" s="56" t="e">
        <f>IF(AND('Mapa final'!#REF!="Muy Alta",'Mapa final'!#REF!="Catastrófico"),CONCATENATE("R7C",'Mapa final'!$Q$46),"")</f>
        <v>#REF!</v>
      </c>
      <c r="AL12" s="56" t="e">
        <f>IF(AND('Mapa final'!#REF!="Muy Alta",'Mapa final'!#REF!="Catastrófico"),CONCATENATE("R7C",'Mapa final'!$Q$47),"")</f>
        <v>#REF!</v>
      </c>
      <c r="AM12" s="57" t="e">
        <f>IF(AND('Mapa final'!#REF!="Muy Alta",'Mapa final'!#REF!="Catastrófico"),CONCATENATE("R7C",'Mapa final'!$Q$48),"")</f>
        <v>#REF!</v>
      </c>
      <c r="AN12" s="83"/>
      <c r="AO12" s="354"/>
      <c r="AP12" s="355"/>
      <c r="AQ12" s="355"/>
      <c r="AR12" s="355"/>
      <c r="AS12" s="355"/>
      <c r="AT12" s="35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49"/>
      <c r="C13" s="249"/>
      <c r="D13" s="250"/>
      <c r="E13" s="348"/>
      <c r="F13" s="347"/>
      <c r="G13" s="347"/>
      <c r="H13" s="347"/>
      <c r="I13" s="363"/>
      <c r="J13" s="52" t="e">
        <f>IF(AND('Mapa final'!#REF!="Muy Alta",'Mapa final'!#REF!="Leve"),CONCATENATE("R8C",'Mapa final'!$Q$49),"")</f>
        <v>#REF!</v>
      </c>
      <c r="K13" s="53" t="e">
        <f>IF(AND('Mapa final'!#REF!="Muy Alta",'Mapa final'!#REF!="Leve"),CONCATENATE("R8C",'Mapa final'!$Q$50),"")</f>
        <v>#REF!</v>
      </c>
      <c r="L13" s="53" t="e">
        <f>IF(AND('Mapa final'!#REF!="Muy Alta",'Mapa final'!#REF!="Leve"),CONCATENATE("R8C",'Mapa final'!$Q$51),"")</f>
        <v>#REF!</v>
      </c>
      <c r="M13" s="53" t="e">
        <f>IF(AND('Mapa final'!#REF!="Muy Alta",'Mapa final'!#REF!="Leve"),CONCATENATE("R8C",'Mapa final'!$Q$52),"")</f>
        <v>#REF!</v>
      </c>
      <c r="N13" s="53" t="e">
        <f>IF(AND('Mapa final'!#REF!="Muy Alta",'Mapa final'!#REF!="Leve"),CONCATENATE("R8C",'Mapa final'!$Q$53),"")</f>
        <v>#REF!</v>
      </c>
      <c r="O13" s="54" t="e">
        <f>IF(AND('Mapa final'!#REF!="Muy Alta",'Mapa final'!#REF!="Leve"),CONCATENATE("R8C",'Mapa final'!$Q$54),"")</f>
        <v>#REF!</v>
      </c>
      <c r="P13" s="52" t="e">
        <f>IF(AND('Mapa final'!#REF!="Muy Alta",'Mapa final'!#REF!="Menor"),CONCATENATE("R8C",'Mapa final'!$Q$49),"")</f>
        <v>#REF!</v>
      </c>
      <c r="Q13" s="53" t="e">
        <f>IF(AND('Mapa final'!#REF!="Muy Alta",'Mapa final'!#REF!="Menor"),CONCATENATE("R8C",'Mapa final'!$Q$50),"")</f>
        <v>#REF!</v>
      </c>
      <c r="R13" s="53" t="e">
        <f>IF(AND('Mapa final'!#REF!="Muy Alta",'Mapa final'!#REF!="Menor"),CONCATENATE("R8C",'Mapa final'!$Q$51),"")</f>
        <v>#REF!</v>
      </c>
      <c r="S13" s="53" t="e">
        <f>IF(AND('Mapa final'!#REF!="Muy Alta",'Mapa final'!#REF!="Menor"),CONCATENATE("R8C",'Mapa final'!$Q$52),"")</f>
        <v>#REF!</v>
      </c>
      <c r="T13" s="53" t="e">
        <f>IF(AND('Mapa final'!#REF!="Muy Alta",'Mapa final'!#REF!="Menor"),CONCATENATE("R8C",'Mapa final'!$Q$53),"")</f>
        <v>#REF!</v>
      </c>
      <c r="U13" s="54" t="e">
        <f>IF(AND('Mapa final'!#REF!="Muy Alta",'Mapa final'!#REF!="Menor"),CONCATENATE("R8C",'Mapa final'!$Q$54),"")</f>
        <v>#REF!</v>
      </c>
      <c r="V13" s="52" t="e">
        <f>IF(AND('Mapa final'!#REF!="Muy Alta",'Mapa final'!#REF!="Moderado"),CONCATENATE("R8C",'Mapa final'!$Q$49),"")</f>
        <v>#REF!</v>
      </c>
      <c r="W13" s="53" t="e">
        <f>IF(AND('Mapa final'!#REF!="Muy Alta",'Mapa final'!#REF!="Moderado"),CONCATENATE("R8C",'Mapa final'!$Q$50),"")</f>
        <v>#REF!</v>
      </c>
      <c r="X13" s="53" t="e">
        <f>IF(AND('Mapa final'!#REF!="Muy Alta",'Mapa final'!#REF!="Moderado"),CONCATENATE("R8C",'Mapa final'!$Q$51),"")</f>
        <v>#REF!</v>
      </c>
      <c r="Y13" s="53" t="e">
        <f>IF(AND('Mapa final'!#REF!="Muy Alta",'Mapa final'!#REF!="Moderado"),CONCATENATE("R8C",'Mapa final'!$Q$52),"")</f>
        <v>#REF!</v>
      </c>
      <c r="Z13" s="53" t="e">
        <f>IF(AND('Mapa final'!#REF!="Muy Alta",'Mapa final'!#REF!="Moderado"),CONCATENATE("R8C",'Mapa final'!$Q$53),"")</f>
        <v>#REF!</v>
      </c>
      <c r="AA13" s="54" t="e">
        <f>IF(AND('Mapa final'!#REF!="Muy Alta",'Mapa final'!#REF!="Moderado"),CONCATENATE("R8C",'Mapa final'!$Q$54),"")</f>
        <v>#REF!</v>
      </c>
      <c r="AB13" s="52" t="e">
        <f>IF(AND('Mapa final'!#REF!="Muy Alta",'Mapa final'!#REF!="Mayor"),CONCATENATE("R8C",'Mapa final'!$Q$49),"")</f>
        <v>#REF!</v>
      </c>
      <c r="AC13" s="53" t="e">
        <f>IF(AND('Mapa final'!#REF!="Muy Alta",'Mapa final'!#REF!="Mayor"),CONCATENATE("R8C",'Mapa final'!$Q$50),"")</f>
        <v>#REF!</v>
      </c>
      <c r="AD13" s="53" t="e">
        <f>IF(AND('Mapa final'!#REF!="Muy Alta",'Mapa final'!#REF!="Mayor"),CONCATENATE("R8C",'Mapa final'!$Q$51),"")</f>
        <v>#REF!</v>
      </c>
      <c r="AE13" s="53" t="e">
        <f>IF(AND('Mapa final'!#REF!="Muy Alta",'Mapa final'!#REF!="Mayor"),CONCATENATE("R8C",'Mapa final'!$Q$52),"")</f>
        <v>#REF!</v>
      </c>
      <c r="AF13" s="53" t="e">
        <f>IF(AND('Mapa final'!#REF!="Muy Alta",'Mapa final'!#REF!="Mayor"),CONCATENATE("R8C",'Mapa final'!$Q$53),"")</f>
        <v>#REF!</v>
      </c>
      <c r="AG13" s="54" t="e">
        <f>IF(AND('Mapa final'!#REF!="Muy Alta",'Mapa final'!#REF!="Mayor"),CONCATENATE("R8C",'Mapa final'!$Q$54),"")</f>
        <v>#REF!</v>
      </c>
      <c r="AH13" s="55" t="e">
        <f>IF(AND('Mapa final'!#REF!="Muy Alta",'Mapa final'!#REF!="Catastrófico"),CONCATENATE("R8C",'Mapa final'!$Q$49),"")</f>
        <v>#REF!</v>
      </c>
      <c r="AI13" s="56" t="e">
        <f>IF(AND('Mapa final'!#REF!="Muy Alta",'Mapa final'!#REF!="Catastrófico"),CONCATENATE("R8C",'Mapa final'!$Q$50),"")</f>
        <v>#REF!</v>
      </c>
      <c r="AJ13" s="56" t="e">
        <f>IF(AND('Mapa final'!#REF!="Muy Alta",'Mapa final'!#REF!="Catastrófico"),CONCATENATE("R8C",'Mapa final'!$Q$51),"")</f>
        <v>#REF!</v>
      </c>
      <c r="AK13" s="56" t="e">
        <f>IF(AND('Mapa final'!#REF!="Muy Alta",'Mapa final'!#REF!="Catastrófico"),CONCATENATE("R8C",'Mapa final'!$Q$52),"")</f>
        <v>#REF!</v>
      </c>
      <c r="AL13" s="56" t="e">
        <f>IF(AND('Mapa final'!#REF!="Muy Alta",'Mapa final'!#REF!="Catastrófico"),CONCATENATE("R8C",'Mapa final'!$Q$53),"")</f>
        <v>#REF!</v>
      </c>
      <c r="AM13" s="57" t="e">
        <f>IF(AND('Mapa final'!#REF!="Muy Alta",'Mapa final'!#REF!="Catastrófico"),CONCATENATE("R8C",'Mapa final'!$Q$54),"")</f>
        <v>#REF!</v>
      </c>
      <c r="AN13" s="83"/>
      <c r="AO13" s="354"/>
      <c r="AP13" s="355"/>
      <c r="AQ13" s="355"/>
      <c r="AR13" s="355"/>
      <c r="AS13" s="355"/>
      <c r="AT13" s="35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49"/>
      <c r="C14" s="249"/>
      <c r="D14" s="250"/>
      <c r="E14" s="348"/>
      <c r="F14" s="347"/>
      <c r="G14" s="347"/>
      <c r="H14" s="347"/>
      <c r="I14" s="363"/>
      <c r="J14" s="52" t="e">
        <f>IF(AND('Mapa final'!#REF!="Muy Alta",'Mapa final'!#REF!="Leve"),CONCATENATE("R9C",'Mapa final'!$Q$55),"")</f>
        <v>#REF!</v>
      </c>
      <c r="K14" s="53" t="e">
        <f>IF(AND('Mapa final'!#REF!="Muy Alta",'Mapa final'!#REF!="Leve"),CONCATENATE("R9C",'Mapa final'!$Q$56),"")</f>
        <v>#REF!</v>
      </c>
      <c r="L14" s="53" t="e">
        <f>IF(AND('Mapa final'!#REF!="Muy Alta",'Mapa final'!#REF!="Leve"),CONCATENATE("R9C",'Mapa final'!$Q$57),"")</f>
        <v>#REF!</v>
      </c>
      <c r="M14" s="53" t="e">
        <f>IF(AND('Mapa final'!#REF!="Muy Alta",'Mapa final'!#REF!="Leve"),CONCATENATE("R9C",'Mapa final'!$Q$58),"")</f>
        <v>#REF!</v>
      </c>
      <c r="N14" s="53" t="e">
        <f>IF(AND('Mapa final'!#REF!="Muy Alta",'Mapa final'!#REF!="Leve"),CONCATENATE("R9C",'Mapa final'!$Q$59),"")</f>
        <v>#REF!</v>
      </c>
      <c r="O14" s="54" t="e">
        <f>IF(AND('Mapa final'!#REF!="Muy Alta",'Mapa final'!#REF!="Leve"),CONCATENATE("R9C",'Mapa final'!$Q$60),"")</f>
        <v>#REF!</v>
      </c>
      <c r="P14" s="52" t="e">
        <f>IF(AND('Mapa final'!#REF!="Muy Alta",'Mapa final'!#REF!="Menor"),CONCATENATE("R9C",'Mapa final'!$Q$55),"")</f>
        <v>#REF!</v>
      </c>
      <c r="Q14" s="53" t="e">
        <f>IF(AND('Mapa final'!#REF!="Muy Alta",'Mapa final'!#REF!="Menor"),CONCATENATE("R9C",'Mapa final'!$Q$56),"")</f>
        <v>#REF!</v>
      </c>
      <c r="R14" s="53" t="e">
        <f>IF(AND('Mapa final'!#REF!="Muy Alta",'Mapa final'!#REF!="Menor"),CONCATENATE("R9C",'Mapa final'!$Q$57),"")</f>
        <v>#REF!</v>
      </c>
      <c r="S14" s="53" t="e">
        <f>IF(AND('Mapa final'!#REF!="Muy Alta",'Mapa final'!#REF!="Menor"),CONCATENATE("R9C",'Mapa final'!$Q$58),"")</f>
        <v>#REF!</v>
      </c>
      <c r="T14" s="53" t="e">
        <f>IF(AND('Mapa final'!#REF!="Muy Alta",'Mapa final'!#REF!="Menor"),CONCATENATE("R9C",'Mapa final'!$Q$59),"")</f>
        <v>#REF!</v>
      </c>
      <c r="U14" s="54" t="e">
        <f>IF(AND('Mapa final'!#REF!="Muy Alta",'Mapa final'!#REF!="Menor"),CONCATENATE("R9C",'Mapa final'!$Q$60),"")</f>
        <v>#REF!</v>
      </c>
      <c r="V14" s="52" t="e">
        <f>IF(AND('Mapa final'!#REF!="Muy Alta",'Mapa final'!#REF!="Moderado"),CONCATENATE("R9C",'Mapa final'!$Q$55),"")</f>
        <v>#REF!</v>
      </c>
      <c r="W14" s="53" t="e">
        <f>IF(AND('Mapa final'!#REF!="Muy Alta",'Mapa final'!#REF!="Moderado"),CONCATENATE("R9C",'Mapa final'!$Q$56),"")</f>
        <v>#REF!</v>
      </c>
      <c r="X14" s="53" t="e">
        <f>IF(AND('Mapa final'!#REF!="Muy Alta",'Mapa final'!#REF!="Moderado"),CONCATENATE("R9C",'Mapa final'!$Q$57),"")</f>
        <v>#REF!</v>
      </c>
      <c r="Y14" s="53" t="e">
        <f>IF(AND('Mapa final'!#REF!="Muy Alta",'Mapa final'!#REF!="Moderado"),CONCATENATE("R9C",'Mapa final'!$Q$58),"")</f>
        <v>#REF!</v>
      </c>
      <c r="Z14" s="53" t="e">
        <f>IF(AND('Mapa final'!#REF!="Muy Alta",'Mapa final'!#REF!="Moderado"),CONCATENATE("R9C",'Mapa final'!$Q$59),"")</f>
        <v>#REF!</v>
      </c>
      <c r="AA14" s="54" t="e">
        <f>IF(AND('Mapa final'!#REF!="Muy Alta",'Mapa final'!#REF!="Moderado"),CONCATENATE("R9C",'Mapa final'!$Q$60),"")</f>
        <v>#REF!</v>
      </c>
      <c r="AB14" s="52" t="e">
        <f>IF(AND('Mapa final'!#REF!="Muy Alta",'Mapa final'!#REF!="Mayor"),CONCATENATE("R9C",'Mapa final'!$Q$55),"")</f>
        <v>#REF!</v>
      </c>
      <c r="AC14" s="53" t="e">
        <f>IF(AND('Mapa final'!#REF!="Muy Alta",'Mapa final'!#REF!="Mayor"),CONCATENATE("R9C",'Mapa final'!$Q$56),"")</f>
        <v>#REF!</v>
      </c>
      <c r="AD14" s="53" t="e">
        <f>IF(AND('Mapa final'!#REF!="Muy Alta",'Mapa final'!#REF!="Mayor"),CONCATENATE("R9C",'Mapa final'!$Q$57),"")</f>
        <v>#REF!</v>
      </c>
      <c r="AE14" s="53" t="e">
        <f>IF(AND('Mapa final'!#REF!="Muy Alta",'Mapa final'!#REF!="Mayor"),CONCATENATE("R9C",'Mapa final'!$Q$58),"")</f>
        <v>#REF!</v>
      </c>
      <c r="AF14" s="53" t="e">
        <f>IF(AND('Mapa final'!#REF!="Muy Alta",'Mapa final'!#REF!="Mayor"),CONCATENATE("R9C",'Mapa final'!$Q$59),"")</f>
        <v>#REF!</v>
      </c>
      <c r="AG14" s="54" t="e">
        <f>IF(AND('Mapa final'!#REF!="Muy Alta",'Mapa final'!#REF!="Mayor"),CONCATENATE("R9C",'Mapa final'!$Q$60),"")</f>
        <v>#REF!</v>
      </c>
      <c r="AH14" s="55" t="e">
        <f>IF(AND('Mapa final'!#REF!="Muy Alta",'Mapa final'!#REF!="Catastrófico"),CONCATENATE("R9C",'Mapa final'!$Q$55),"")</f>
        <v>#REF!</v>
      </c>
      <c r="AI14" s="56" t="e">
        <f>IF(AND('Mapa final'!#REF!="Muy Alta",'Mapa final'!#REF!="Catastrófico"),CONCATENATE("R9C",'Mapa final'!$Q$56),"")</f>
        <v>#REF!</v>
      </c>
      <c r="AJ14" s="56" t="e">
        <f>IF(AND('Mapa final'!#REF!="Muy Alta",'Mapa final'!#REF!="Catastrófico"),CONCATENATE("R9C",'Mapa final'!$Q$57),"")</f>
        <v>#REF!</v>
      </c>
      <c r="AK14" s="56" t="e">
        <f>IF(AND('Mapa final'!#REF!="Muy Alta",'Mapa final'!#REF!="Catastrófico"),CONCATENATE("R9C",'Mapa final'!$Q$58),"")</f>
        <v>#REF!</v>
      </c>
      <c r="AL14" s="56" t="e">
        <f>IF(AND('Mapa final'!#REF!="Muy Alta",'Mapa final'!#REF!="Catastrófico"),CONCATENATE("R9C",'Mapa final'!$Q$59),"")</f>
        <v>#REF!</v>
      </c>
      <c r="AM14" s="57" t="e">
        <f>IF(AND('Mapa final'!#REF!="Muy Alta",'Mapa final'!#REF!="Catastrófico"),CONCATENATE("R9C",'Mapa final'!$Q$60),"")</f>
        <v>#REF!</v>
      </c>
      <c r="AN14" s="83"/>
      <c r="AO14" s="354"/>
      <c r="AP14" s="355"/>
      <c r="AQ14" s="355"/>
      <c r="AR14" s="355"/>
      <c r="AS14" s="355"/>
      <c r="AT14" s="356"/>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49"/>
      <c r="C15" s="249"/>
      <c r="D15" s="250"/>
      <c r="E15" s="349"/>
      <c r="F15" s="350"/>
      <c r="G15" s="350"/>
      <c r="H15" s="350"/>
      <c r="I15" s="364"/>
      <c r="J15" s="58" t="e">
        <f>IF(AND('Mapa final'!#REF!="Muy Alta",'Mapa final'!#REF!="Leve"),CONCATENATE("R10C",'Mapa final'!$Q$61),"")</f>
        <v>#REF!</v>
      </c>
      <c r="K15" s="59" t="e">
        <f>IF(AND('Mapa final'!#REF!="Muy Alta",'Mapa final'!#REF!="Leve"),CONCATENATE("R10C",'Mapa final'!$Q$62),"")</f>
        <v>#REF!</v>
      </c>
      <c r="L15" s="59" t="e">
        <f>IF(AND('Mapa final'!#REF!="Muy Alta",'Mapa final'!#REF!="Leve"),CONCATENATE("R10C",'Mapa final'!$Q$63),"")</f>
        <v>#REF!</v>
      </c>
      <c r="M15" s="59" t="e">
        <f>IF(AND('Mapa final'!#REF!="Muy Alta",'Mapa final'!#REF!="Leve"),CONCATENATE("R10C",'Mapa final'!$Q$64),"")</f>
        <v>#REF!</v>
      </c>
      <c r="N15" s="59" t="e">
        <f>IF(AND('Mapa final'!#REF!="Muy Alta",'Mapa final'!#REF!="Leve"),CONCATENATE("R10C",'Mapa final'!$Q$65),"")</f>
        <v>#REF!</v>
      </c>
      <c r="O15" s="60" t="e">
        <f>IF(AND('Mapa final'!#REF!="Muy Alta",'Mapa final'!#REF!="Leve"),CONCATENATE("R10C",'Mapa final'!$Q$66),"")</f>
        <v>#REF!</v>
      </c>
      <c r="P15" s="52" t="e">
        <f>IF(AND('Mapa final'!#REF!="Muy Alta",'Mapa final'!#REF!="Menor"),CONCATENATE("R10C",'Mapa final'!$Q$61),"")</f>
        <v>#REF!</v>
      </c>
      <c r="Q15" s="53" t="e">
        <f>IF(AND('Mapa final'!#REF!="Muy Alta",'Mapa final'!#REF!="Menor"),CONCATENATE("R10C",'Mapa final'!$Q$62),"")</f>
        <v>#REF!</v>
      </c>
      <c r="R15" s="53" t="e">
        <f>IF(AND('Mapa final'!#REF!="Muy Alta",'Mapa final'!#REF!="Menor"),CONCATENATE("R10C",'Mapa final'!$Q$63),"")</f>
        <v>#REF!</v>
      </c>
      <c r="S15" s="53" t="e">
        <f>IF(AND('Mapa final'!#REF!="Muy Alta",'Mapa final'!#REF!="Menor"),CONCATENATE("R10C",'Mapa final'!$Q$64),"")</f>
        <v>#REF!</v>
      </c>
      <c r="T15" s="53" t="e">
        <f>IF(AND('Mapa final'!#REF!="Muy Alta",'Mapa final'!#REF!="Menor"),CONCATENATE("R10C",'Mapa final'!$Q$65),"")</f>
        <v>#REF!</v>
      </c>
      <c r="U15" s="54" t="e">
        <f>IF(AND('Mapa final'!#REF!="Muy Alta",'Mapa final'!#REF!="Menor"),CONCATENATE("R10C",'Mapa final'!$Q$66),"")</f>
        <v>#REF!</v>
      </c>
      <c r="V15" s="58" t="e">
        <f>IF(AND('Mapa final'!#REF!="Muy Alta",'Mapa final'!#REF!="Moderado"),CONCATENATE("R10C",'Mapa final'!$Q$61),"")</f>
        <v>#REF!</v>
      </c>
      <c r="W15" s="59" t="e">
        <f>IF(AND('Mapa final'!#REF!="Muy Alta",'Mapa final'!#REF!="Moderado"),CONCATENATE("R10C",'Mapa final'!$Q$62),"")</f>
        <v>#REF!</v>
      </c>
      <c r="X15" s="59" t="e">
        <f>IF(AND('Mapa final'!#REF!="Muy Alta",'Mapa final'!#REF!="Moderado"),CONCATENATE("R10C",'Mapa final'!$Q$63),"")</f>
        <v>#REF!</v>
      </c>
      <c r="Y15" s="59" t="e">
        <f>IF(AND('Mapa final'!#REF!="Muy Alta",'Mapa final'!#REF!="Moderado"),CONCATENATE("R10C",'Mapa final'!$Q$64),"")</f>
        <v>#REF!</v>
      </c>
      <c r="Z15" s="59" t="e">
        <f>IF(AND('Mapa final'!#REF!="Muy Alta",'Mapa final'!#REF!="Moderado"),CONCATENATE("R10C",'Mapa final'!$Q$65),"")</f>
        <v>#REF!</v>
      </c>
      <c r="AA15" s="60" t="e">
        <f>IF(AND('Mapa final'!#REF!="Muy Alta",'Mapa final'!#REF!="Moderado"),CONCATENATE("R10C",'Mapa final'!$Q$66),"")</f>
        <v>#REF!</v>
      </c>
      <c r="AB15" s="52" t="e">
        <f>IF(AND('Mapa final'!#REF!="Muy Alta",'Mapa final'!#REF!="Mayor"),CONCATENATE("R10C",'Mapa final'!$Q$61),"")</f>
        <v>#REF!</v>
      </c>
      <c r="AC15" s="53" t="e">
        <f>IF(AND('Mapa final'!#REF!="Muy Alta",'Mapa final'!#REF!="Mayor"),CONCATENATE("R10C",'Mapa final'!$Q$62),"")</f>
        <v>#REF!</v>
      </c>
      <c r="AD15" s="53" t="e">
        <f>IF(AND('Mapa final'!#REF!="Muy Alta",'Mapa final'!#REF!="Mayor"),CONCATENATE("R10C",'Mapa final'!$Q$63),"")</f>
        <v>#REF!</v>
      </c>
      <c r="AE15" s="53" t="e">
        <f>IF(AND('Mapa final'!#REF!="Muy Alta",'Mapa final'!#REF!="Mayor"),CONCATENATE("R10C",'Mapa final'!$Q$64),"")</f>
        <v>#REF!</v>
      </c>
      <c r="AF15" s="53" t="e">
        <f>IF(AND('Mapa final'!#REF!="Muy Alta",'Mapa final'!#REF!="Mayor"),CONCATENATE("R10C",'Mapa final'!$Q$65),"")</f>
        <v>#REF!</v>
      </c>
      <c r="AG15" s="54" t="e">
        <f>IF(AND('Mapa final'!#REF!="Muy Alta",'Mapa final'!#REF!="Mayor"),CONCATENATE("R10C",'Mapa final'!$Q$66),"")</f>
        <v>#REF!</v>
      </c>
      <c r="AH15" s="61" t="e">
        <f>IF(AND('Mapa final'!#REF!="Muy Alta",'Mapa final'!#REF!="Catastrófico"),CONCATENATE("R10C",'Mapa final'!$Q$61),"")</f>
        <v>#REF!</v>
      </c>
      <c r="AI15" s="62" t="e">
        <f>IF(AND('Mapa final'!#REF!="Muy Alta",'Mapa final'!#REF!="Catastrófico"),CONCATENATE("R10C",'Mapa final'!$Q$62),"")</f>
        <v>#REF!</v>
      </c>
      <c r="AJ15" s="62" t="e">
        <f>IF(AND('Mapa final'!#REF!="Muy Alta",'Mapa final'!#REF!="Catastrófico"),CONCATENATE("R10C",'Mapa final'!$Q$63),"")</f>
        <v>#REF!</v>
      </c>
      <c r="AK15" s="62" t="e">
        <f>IF(AND('Mapa final'!#REF!="Muy Alta",'Mapa final'!#REF!="Catastrófico"),CONCATENATE("R10C",'Mapa final'!$Q$64),"")</f>
        <v>#REF!</v>
      </c>
      <c r="AL15" s="62" t="e">
        <f>IF(AND('Mapa final'!#REF!="Muy Alta",'Mapa final'!#REF!="Catastrófico"),CONCATENATE("R10C",'Mapa final'!$Q$65),"")</f>
        <v>#REF!</v>
      </c>
      <c r="AM15" s="63" t="e">
        <f>IF(AND('Mapa final'!#REF!="Muy Alta",'Mapa final'!#REF!="Catastrófico"),CONCATENATE("R10C",'Mapa final'!$Q$66),"")</f>
        <v>#REF!</v>
      </c>
      <c r="AN15" s="83"/>
      <c r="AO15" s="357"/>
      <c r="AP15" s="358"/>
      <c r="AQ15" s="358"/>
      <c r="AR15" s="358"/>
      <c r="AS15" s="358"/>
      <c r="AT15" s="359"/>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49"/>
      <c r="C16" s="249"/>
      <c r="D16" s="250"/>
      <c r="E16" s="344" t="s">
        <v>107</v>
      </c>
      <c r="F16" s="345"/>
      <c r="G16" s="345"/>
      <c r="H16" s="345"/>
      <c r="I16" s="345"/>
      <c r="J16" s="64" t="e">
        <f>IF(AND('Mapa final'!#REF!="Alta",'Mapa final'!#REF!="Leve"),CONCATENATE("R1C",'Mapa final'!$Q$10),"")</f>
        <v>#REF!</v>
      </c>
      <c r="K16" s="65" t="e">
        <f>IF(AND('Mapa final'!#REF!="Alta",'Mapa final'!#REF!="Leve"),CONCATENATE("R1C",'Mapa final'!$Q$11),"")</f>
        <v>#REF!</v>
      </c>
      <c r="L16" s="65" t="e">
        <f>IF(AND('Mapa final'!#REF!="Alta",'Mapa final'!#REF!="Leve"),CONCATENATE("R1C",'Mapa final'!$Q$12),"")</f>
        <v>#REF!</v>
      </c>
      <c r="M16" s="65" t="e">
        <f>IF(AND('Mapa final'!#REF!="Alta",'Mapa final'!#REF!="Leve"),CONCATENATE("R1C",'Mapa final'!#REF!),"")</f>
        <v>#REF!</v>
      </c>
      <c r="N16" s="65" t="e">
        <f>IF(AND('Mapa final'!#REF!="Alta",'Mapa final'!#REF!="Leve"),CONCATENATE("R1C",'Mapa final'!#REF!),"")</f>
        <v>#REF!</v>
      </c>
      <c r="O16" s="66" t="e">
        <f>IF(AND('Mapa final'!#REF!="Alta",'Mapa final'!#REF!="Leve"),CONCATENATE("R1C",'Mapa final'!#REF!),"")</f>
        <v>#REF!</v>
      </c>
      <c r="P16" s="64" t="e">
        <f>IF(AND('Mapa final'!#REF!="Alta",'Mapa final'!#REF!="Menor"),CONCATENATE("R1C",'Mapa final'!$Q$10),"")</f>
        <v>#REF!</v>
      </c>
      <c r="Q16" s="65" t="e">
        <f>IF(AND('Mapa final'!#REF!="Alta",'Mapa final'!#REF!="Menor"),CONCATENATE("R1C",'Mapa final'!$Q$11),"")</f>
        <v>#REF!</v>
      </c>
      <c r="R16" s="65" t="e">
        <f>IF(AND('Mapa final'!#REF!="Alta",'Mapa final'!#REF!="Menor"),CONCATENATE("R1C",'Mapa final'!$Q$12),"")</f>
        <v>#REF!</v>
      </c>
      <c r="S16" s="65" t="e">
        <f>IF(AND('Mapa final'!#REF!="Alta",'Mapa final'!#REF!="Menor"),CONCATENATE("R1C",'Mapa final'!#REF!),"")</f>
        <v>#REF!</v>
      </c>
      <c r="T16" s="65" t="e">
        <f>IF(AND('Mapa final'!#REF!="Alta",'Mapa final'!#REF!="Menor"),CONCATENATE("R1C",'Mapa final'!#REF!),"")</f>
        <v>#REF!</v>
      </c>
      <c r="U16" s="66" t="e">
        <f>IF(AND('Mapa final'!#REF!="Alta",'Mapa final'!#REF!="Menor"),CONCATENATE("R1C",'Mapa final'!#REF!),"")</f>
        <v>#REF!</v>
      </c>
      <c r="V16" s="46" t="e">
        <f>IF(AND('Mapa final'!#REF!="Alta",'Mapa final'!#REF!="Moderado"),CONCATENATE("R1C",'Mapa final'!$Q$10),"")</f>
        <v>#REF!</v>
      </c>
      <c r="W16" s="47" t="e">
        <f>IF(AND('Mapa final'!#REF!="Alta",'Mapa final'!#REF!="Moderado"),CONCATENATE("R1C",'Mapa final'!$Q$11),"")</f>
        <v>#REF!</v>
      </c>
      <c r="X16" s="47" t="e">
        <f>IF(AND('Mapa final'!#REF!="Alta",'Mapa final'!#REF!="Moderado"),CONCATENATE("R1C",'Mapa final'!$Q$12),"")</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e">
        <f>IF(AND('Mapa final'!#REF!="Alta",'Mapa final'!#REF!="Mayor"),CONCATENATE("R1C",'Mapa final'!$Q$10),"")</f>
        <v>#REF!</v>
      </c>
      <c r="AC16" s="47" t="e">
        <f>IF(AND('Mapa final'!#REF!="Alta",'Mapa final'!#REF!="Mayor"),CONCATENATE("R1C",'Mapa final'!$Q$11),"")</f>
        <v>#REF!</v>
      </c>
      <c r="AD16" s="47" t="e">
        <f>IF(AND('Mapa final'!#REF!="Alta",'Mapa final'!#REF!="Mayor"),CONCATENATE("R1C",'Mapa final'!$Q$12),"")</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e">
        <f>IF(AND('Mapa final'!#REF!="Alta",'Mapa final'!#REF!="Catastrófico"),CONCATENATE("R1C",'Mapa final'!$Q$10),"")</f>
        <v>#REF!</v>
      </c>
      <c r="AI16" s="50" t="e">
        <f>IF(AND('Mapa final'!#REF!="Alta",'Mapa final'!#REF!="Catastrófico"),CONCATENATE("R1C",'Mapa final'!$Q$11),"")</f>
        <v>#REF!</v>
      </c>
      <c r="AJ16" s="50" t="e">
        <f>IF(AND('Mapa final'!#REF!="Alta",'Mapa final'!#REF!="Catastrófico"),CONCATENATE("R1C",'Mapa final'!$Q$12),"")</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3"/>
      <c r="AO16" s="335" t="s">
        <v>72</v>
      </c>
      <c r="AP16" s="336"/>
      <c r="AQ16" s="336"/>
      <c r="AR16" s="336"/>
      <c r="AS16" s="336"/>
      <c r="AT16" s="33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49"/>
      <c r="C17" s="249"/>
      <c r="D17" s="250"/>
      <c r="E17" s="346"/>
      <c r="F17" s="347"/>
      <c r="G17" s="347"/>
      <c r="H17" s="347"/>
      <c r="I17" s="347"/>
      <c r="J17" s="67" t="str">
        <f>IF(AND([1]Hoja1!$X$2="Alta",[1]Hoja1!$Z$2="Leve"),CONCATENATE("R2C",[1]Hoja1!$N$2),"")</f>
        <v/>
      </c>
      <c r="K17" s="68" t="str">
        <f>IF(AND([1]Hoja1!$X$3="Alta",[1]Hoja1!$Z$3="Leve"),CONCATENATE("R2C",[1]Hoja1!$N$3),"")</f>
        <v/>
      </c>
      <c r="L17" s="68" t="str">
        <f>IF(AND([1]Hoja1!$X$4="Alta",[1]Hoja1!$Z$4="Leve"),CONCATENATE("R2C",[1]Hoja1!$N$4),"")</f>
        <v/>
      </c>
      <c r="M17" s="68" t="str">
        <f>IF(AND([1]Hoja1!$X$5="Alta",[1]Hoja1!$Z$5="Leve"),CONCATENATE("R2C",[1]Hoja1!$N$5),"")</f>
        <v/>
      </c>
      <c r="N17" s="68" t="str">
        <f>IF(AND([1]Hoja1!$X$6="Alta",[1]Hoja1!$Z$6="Leve"),CONCATENATE("R2C",[1]Hoja1!$N$6),"")</f>
        <v/>
      </c>
      <c r="O17" s="69" t="str">
        <f>IF(AND([1]Hoja1!$X$7="Alta",[1]Hoja1!$Z$7="Leve"),CONCATENATE("R2C",[1]Hoja1!$N$7),"")</f>
        <v/>
      </c>
      <c r="P17" s="67" t="str">
        <f>IF(AND([1]Hoja1!$X$2="Alta",[1]Hoja1!$Z$2="Menor"),CONCATENATE("R2C",[1]Hoja1!$N$2),"")</f>
        <v/>
      </c>
      <c r="Q17" s="68" t="str">
        <f>IF(AND([1]Hoja1!$X$3="Alta",[1]Hoja1!$Z$3="Menor"),CONCATENATE("R2C",[1]Hoja1!$N$3),"")</f>
        <v/>
      </c>
      <c r="R17" s="68" t="str">
        <f>IF(AND([1]Hoja1!$X$4="Alta",[1]Hoja1!$Z$4="Menor"),CONCATENATE("R2C",[1]Hoja1!$N$4),"")</f>
        <v/>
      </c>
      <c r="S17" s="68" t="str">
        <f>IF(AND([1]Hoja1!$X$5="Alta",[1]Hoja1!$Z$5="Menor"),CONCATENATE("R2C",[1]Hoja1!$N$5),"")</f>
        <v/>
      </c>
      <c r="T17" s="68" t="str">
        <f>IF(AND([1]Hoja1!$X$6="Alta",[1]Hoja1!$Z$6="Menor"),CONCATENATE("R2C",[1]Hoja1!$N$6),"")</f>
        <v/>
      </c>
      <c r="U17" s="69" t="str">
        <f>IF(AND([1]Hoja1!$X$7="Alta",[1]Hoja1!$Z$7="Menor"),CONCATENATE("R2C",[1]Hoja1!$N$7),"")</f>
        <v/>
      </c>
      <c r="V17" s="52" t="str">
        <f>IF(AND([1]Hoja1!$X$2="Alta",[1]Hoja1!$Z$2="Moderado"),CONCATENATE("R2C",[1]Hoja1!$N$2),"")</f>
        <v/>
      </c>
      <c r="W17" s="53" t="str">
        <f>IF(AND([1]Hoja1!$X$3="Alta",[1]Hoja1!$Z$3="Moderado"),CONCATENATE("R2C",[1]Hoja1!$N$3),"")</f>
        <v/>
      </c>
      <c r="X17" s="53" t="str">
        <f>IF(AND([1]Hoja1!$X$4="Alta",[1]Hoja1!$Z$4="Moderado"),CONCATENATE("R2C",[1]Hoja1!$N$4),"")</f>
        <v/>
      </c>
      <c r="Y17" s="53" t="str">
        <f>IF(AND([1]Hoja1!$X$5="Alta",[1]Hoja1!$Z$5="Moderado"),CONCATENATE("R2C",[1]Hoja1!$N$5),"")</f>
        <v/>
      </c>
      <c r="Z17" s="53" t="str">
        <f>IF(AND([1]Hoja1!$X$6="Alta",[1]Hoja1!$Z$6="Moderado"),CONCATENATE("R2C",[1]Hoja1!$N$6),"")</f>
        <v/>
      </c>
      <c r="AA17" s="54" t="str">
        <f>IF(AND([1]Hoja1!$X$7="Alta",[1]Hoja1!$Z$7="Moderado"),CONCATENATE("R2C",[1]Hoja1!$N$7),"")</f>
        <v/>
      </c>
      <c r="AB17" s="52" t="str">
        <f>IF(AND([1]Hoja1!$X$2="Alta",[1]Hoja1!$Z$2="Mayor"),CONCATENATE("R2C",[1]Hoja1!$N$2),"")</f>
        <v/>
      </c>
      <c r="AC17" s="53" t="str">
        <f>IF(AND([1]Hoja1!$X$3="Alta",[1]Hoja1!$Z$3="Mayor"),CONCATENATE("R2C",[1]Hoja1!$N$3),"")</f>
        <v/>
      </c>
      <c r="AD17" s="53" t="str">
        <f>IF(AND([1]Hoja1!$X$4="Alta",[1]Hoja1!$Z$4="Mayor"),CONCATENATE("R2C",[1]Hoja1!$N$4),"")</f>
        <v/>
      </c>
      <c r="AE17" s="53" t="str">
        <f>IF(AND([1]Hoja1!$X$5="Alta",[1]Hoja1!$Z$5="Mayor"),CONCATENATE("R2C",[1]Hoja1!$N$5),"")</f>
        <v/>
      </c>
      <c r="AF17" s="53" t="str">
        <f>IF(AND([1]Hoja1!$X$6="Alta",[1]Hoja1!$Z$6="Mayor"),CONCATENATE("R2C",[1]Hoja1!$N$6),"")</f>
        <v/>
      </c>
      <c r="AG17" s="54" t="str">
        <f>IF(AND([1]Hoja1!$X$7="Alta",[1]Hoja1!$Z$7="Mayor"),CONCATENATE("R2C",[1]Hoja1!$N$7),"")</f>
        <v/>
      </c>
      <c r="AH17" s="55" t="str">
        <f>IF(AND([1]Hoja1!$X$2="Alta",[1]Hoja1!$Z$2="Catastrófico"),CONCATENATE("R2C",[1]Hoja1!$N$2),"")</f>
        <v/>
      </c>
      <c r="AI17" s="56" t="str">
        <f>IF(AND([1]Hoja1!$X$3="Alta",[1]Hoja1!$Z$3="Catastrófico"),CONCATENATE("R2C",[1]Hoja1!$N$3),"")</f>
        <v/>
      </c>
      <c r="AJ17" s="56" t="str">
        <f>IF(AND([1]Hoja1!$X$4="Alta",[1]Hoja1!$Z$4="Catastrófico"),CONCATENATE("R2C",[1]Hoja1!$N$4),"")</f>
        <v/>
      </c>
      <c r="AK17" s="56" t="str">
        <f>IF(AND([1]Hoja1!$X$5="Alta",[1]Hoja1!$Z$5="Catastrófico"),CONCATENATE("R2C",[1]Hoja1!$N$5),"")</f>
        <v/>
      </c>
      <c r="AL17" s="56" t="str">
        <f>IF(AND([1]Hoja1!$X$6="Alta",[1]Hoja1!$Z$6="Catastrófico"),CONCATENATE("R2C",[1]Hoja1!$N$6),"")</f>
        <v/>
      </c>
      <c r="AM17" s="57" t="str">
        <f>IF(AND([1]Hoja1!$X$7="Alta",[1]Hoja1!$Z$7="Catastrófico"),CONCATENATE("R2C",[1]Hoja1!$N$7),"")</f>
        <v/>
      </c>
      <c r="AN17" s="83"/>
      <c r="AO17" s="338"/>
      <c r="AP17" s="339"/>
      <c r="AQ17" s="339"/>
      <c r="AR17" s="339"/>
      <c r="AS17" s="339"/>
      <c r="AT17" s="34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49"/>
      <c r="C18" s="249"/>
      <c r="D18" s="250"/>
      <c r="E18" s="348"/>
      <c r="F18" s="347"/>
      <c r="G18" s="347"/>
      <c r="H18" s="347"/>
      <c r="I18" s="347"/>
      <c r="J18" s="67" t="e">
        <f>IF(AND('Mapa final'!#REF!="Alta",'Mapa final'!#REF!="Leve"),CONCATENATE("R3C",'Mapa final'!$Q$19),"")</f>
        <v>#REF!</v>
      </c>
      <c r="K18" s="68" t="e">
        <f>IF(AND('Mapa final'!#REF!="Alta",'Mapa final'!#REF!="Leve"),CONCATENATE("R3C",'Mapa final'!$Q$20),"")</f>
        <v>#REF!</v>
      </c>
      <c r="L18" s="68" t="e">
        <f>IF(AND('Mapa final'!#REF!="Alta",'Mapa final'!#REF!="Leve"),CONCATENATE("R3C",'Mapa final'!$Q$21),"")</f>
        <v>#REF!</v>
      </c>
      <c r="M18" s="68" t="e">
        <f>IF(AND('Mapa final'!#REF!="Alta",'Mapa final'!#REF!="Leve"),CONCATENATE("R3C",'Mapa final'!$Q$22),"")</f>
        <v>#REF!</v>
      </c>
      <c r="N18" s="68" t="e">
        <f>IF(AND('Mapa final'!#REF!="Alta",'Mapa final'!#REF!="Leve"),CONCATENATE("R3C",'Mapa final'!$Q$23),"")</f>
        <v>#REF!</v>
      </c>
      <c r="O18" s="69" t="e">
        <f>IF(AND('Mapa final'!#REF!="Alta",'Mapa final'!#REF!="Leve"),CONCATENATE("R3C",'Mapa final'!$Q$24),"")</f>
        <v>#REF!</v>
      </c>
      <c r="P18" s="67" t="e">
        <f>IF(AND('Mapa final'!#REF!="Alta",'Mapa final'!#REF!="Menor"),CONCATENATE("R3C",'Mapa final'!$Q$19),"")</f>
        <v>#REF!</v>
      </c>
      <c r="Q18" s="68" t="e">
        <f>IF(AND('Mapa final'!#REF!="Alta",'Mapa final'!#REF!="Menor"),CONCATENATE("R3C",'Mapa final'!$Q$20),"")</f>
        <v>#REF!</v>
      </c>
      <c r="R18" s="68" t="e">
        <f>IF(AND('Mapa final'!#REF!="Alta",'Mapa final'!#REF!="Menor"),CONCATENATE("R3C",'Mapa final'!$Q$21),"")</f>
        <v>#REF!</v>
      </c>
      <c r="S18" s="68" t="e">
        <f>IF(AND('Mapa final'!#REF!="Alta",'Mapa final'!#REF!="Menor"),CONCATENATE("R3C",'Mapa final'!$Q$22),"")</f>
        <v>#REF!</v>
      </c>
      <c r="T18" s="68" t="e">
        <f>IF(AND('Mapa final'!#REF!="Alta",'Mapa final'!#REF!="Menor"),CONCATENATE("R3C",'Mapa final'!$Q$23),"")</f>
        <v>#REF!</v>
      </c>
      <c r="U18" s="69" t="e">
        <f>IF(AND('Mapa final'!#REF!="Alta",'Mapa final'!#REF!="Menor"),CONCATENATE("R3C",'Mapa final'!$Q$24),"")</f>
        <v>#REF!</v>
      </c>
      <c r="V18" s="52" t="e">
        <f>IF(AND('Mapa final'!#REF!="Alta",'Mapa final'!#REF!="Moderado"),CONCATENATE("R3C",'Mapa final'!$Q$19),"")</f>
        <v>#REF!</v>
      </c>
      <c r="W18" s="53" t="e">
        <f>IF(AND('Mapa final'!#REF!="Alta",'Mapa final'!#REF!="Moderado"),CONCATENATE("R3C",'Mapa final'!$Q$20),"")</f>
        <v>#REF!</v>
      </c>
      <c r="X18" s="53" t="e">
        <f>IF(AND('Mapa final'!#REF!="Alta",'Mapa final'!#REF!="Moderado"),CONCATENATE("R3C",'Mapa final'!$Q$21),"")</f>
        <v>#REF!</v>
      </c>
      <c r="Y18" s="53" t="e">
        <f>IF(AND('Mapa final'!#REF!="Alta",'Mapa final'!#REF!="Moderado"),CONCATENATE("R3C",'Mapa final'!$Q$22),"")</f>
        <v>#REF!</v>
      </c>
      <c r="Z18" s="53" t="e">
        <f>IF(AND('Mapa final'!#REF!="Alta",'Mapa final'!#REF!="Moderado"),CONCATENATE("R3C",'Mapa final'!$Q$23),"")</f>
        <v>#REF!</v>
      </c>
      <c r="AA18" s="54" t="e">
        <f>IF(AND('Mapa final'!#REF!="Alta",'Mapa final'!#REF!="Moderado"),CONCATENATE("R3C",'Mapa final'!$Q$24),"")</f>
        <v>#REF!</v>
      </c>
      <c r="AB18" s="52" t="e">
        <f>IF(AND('Mapa final'!#REF!="Alta",'Mapa final'!#REF!="Mayor"),CONCATENATE("R3C",'Mapa final'!$Q$19),"")</f>
        <v>#REF!</v>
      </c>
      <c r="AC18" s="53" t="e">
        <f>IF(AND('Mapa final'!#REF!="Alta",'Mapa final'!#REF!="Mayor"),CONCATENATE("R3C",'Mapa final'!$Q$20),"")</f>
        <v>#REF!</v>
      </c>
      <c r="AD18" s="53" t="e">
        <f>IF(AND('Mapa final'!#REF!="Alta",'Mapa final'!#REF!="Mayor"),CONCATENATE("R3C",'Mapa final'!$Q$21),"")</f>
        <v>#REF!</v>
      </c>
      <c r="AE18" s="53" t="e">
        <f>IF(AND('Mapa final'!#REF!="Alta",'Mapa final'!#REF!="Mayor"),CONCATENATE("R3C",'Mapa final'!$Q$22),"")</f>
        <v>#REF!</v>
      </c>
      <c r="AF18" s="53" t="e">
        <f>IF(AND('Mapa final'!#REF!="Alta",'Mapa final'!#REF!="Mayor"),CONCATENATE("R3C",'Mapa final'!$Q$23),"")</f>
        <v>#REF!</v>
      </c>
      <c r="AG18" s="54" t="e">
        <f>IF(AND('Mapa final'!#REF!="Alta",'Mapa final'!#REF!="Mayor"),CONCATENATE("R3C",'Mapa final'!$Q$24),"")</f>
        <v>#REF!</v>
      </c>
      <c r="AH18" s="55" t="e">
        <f>IF(AND('Mapa final'!#REF!="Alta",'Mapa final'!#REF!="Catastrófico"),CONCATENATE("R3C",'Mapa final'!$Q$19),"")</f>
        <v>#REF!</v>
      </c>
      <c r="AI18" s="56" t="e">
        <f>IF(AND('Mapa final'!#REF!="Alta",'Mapa final'!#REF!="Catastrófico"),CONCATENATE("R3C",'Mapa final'!$Q$20),"")</f>
        <v>#REF!</v>
      </c>
      <c r="AJ18" s="56" t="e">
        <f>IF(AND('Mapa final'!#REF!="Alta",'Mapa final'!#REF!="Catastrófico"),CONCATENATE("R3C",'Mapa final'!$Q$21),"")</f>
        <v>#REF!</v>
      </c>
      <c r="AK18" s="56" t="e">
        <f>IF(AND('Mapa final'!#REF!="Alta",'Mapa final'!#REF!="Catastrófico"),CONCATENATE("R3C",'Mapa final'!$Q$22),"")</f>
        <v>#REF!</v>
      </c>
      <c r="AL18" s="56" t="e">
        <f>IF(AND('Mapa final'!#REF!="Alta",'Mapa final'!#REF!="Catastrófico"),CONCATENATE("R3C",'Mapa final'!$Q$23),"")</f>
        <v>#REF!</v>
      </c>
      <c r="AM18" s="57" t="e">
        <f>IF(AND('Mapa final'!#REF!="Alta",'Mapa final'!#REF!="Catastrófico"),CONCATENATE("R3C",'Mapa final'!$Q$24),"")</f>
        <v>#REF!</v>
      </c>
      <c r="AN18" s="83"/>
      <c r="AO18" s="338"/>
      <c r="AP18" s="339"/>
      <c r="AQ18" s="339"/>
      <c r="AR18" s="339"/>
      <c r="AS18" s="339"/>
      <c r="AT18" s="34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49"/>
      <c r="C19" s="249"/>
      <c r="D19" s="250"/>
      <c r="E19" s="348"/>
      <c r="F19" s="347"/>
      <c r="G19" s="347"/>
      <c r="H19" s="347"/>
      <c r="I19" s="347"/>
      <c r="J19" s="67" t="e">
        <f>IF(AND('Mapa final'!#REF!="Alta",'Mapa final'!#REF!="Leve"),CONCATENATE("R4C",'Mapa final'!$Q$25),"")</f>
        <v>#REF!</v>
      </c>
      <c r="K19" s="68" t="e">
        <f>IF(AND('Mapa final'!#REF!="Alta",'Mapa final'!#REF!="Leve"),CONCATENATE("R4C",'Mapa final'!$Q$26),"")</f>
        <v>#REF!</v>
      </c>
      <c r="L19" s="68" t="e">
        <f>IF(AND('Mapa final'!#REF!="Alta",'Mapa final'!#REF!="Leve"),CONCATENATE("R4C",'Mapa final'!$Q$27),"")</f>
        <v>#REF!</v>
      </c>
      <c r="M19" s="68" t="e">
        <f>IF(AND('Mapa final'!#REF!="Alta",'Mapa final'!#REF!="Leve"),CONCATENATE("R4C",'Mapa final'!$Q$28),"")</f>
        <v>#REF!</v>
      </c>
      <c r="N19" s="68" t="e">
        <f>IF(AND('Mapa final'!#REF!="Alta",'Mapa final'!#REF!="Leve"),CONCATENATE("R4C",'Mapa final'!$Q$29),"")</f>
        <v>#REF!</v>
      </c>
      <c r="O19" s="69" t="e">
        <f>IF(AND('Mapa final'!#REF!="Alta",'Mapa final'!#REF!="Leve"),CONCATENATE("R4C",'Mapa final'!$Q$30),"")</f>
        <v>#REF!</v>
      </c>
      <c r="P19" s="67" t="e">
        <f>IF(AND('Mapa final'!#REF!="Alta",'Mapa final'!#REF!="Menor"),CONCATENATE("R4C",'Mapa final'!$Q$25),"")</f>
        <v>#REF!</v>
      </c>
      <c r="Q19" s="68" t="e">
        <f>IF(AND('Mapa final'!#REF!="Alta",'Mapa final'!#REF!="Menor"),CONCATENATE("R4C",'Mapa final'!$Q$26),"")</f>
        <v>#REF!</v>
      </c>
      <c r="R19" s="68" t="e">
        <f>IF(AND('Mapa final'!#REF!="Alta",'Mapa final'!#REF!="Menor"),CONCATENATE("R4C",'Mapa final'!$Q$27),"")</f>
        <v>#REF!</v>
      </c>
      <c r="S19" s="68" t="e">
        <f>IF(AND('Mapa final'!#REF!="Alta",'Mapa final'!#REF!="Menor"),CONCATENATE("R4C",'Mapa final'!$Q$28),"")</f>
        <v>#REF!</v>
      </c>
      <c r="T19" s="68" t="e">
        <f>IF(AND('Mapa final'!#REF!="Alta",'Mapa final'!#REF!="Menor"),CONCATENATE("R4C",'Mapa final'!$Q$29),"")</f>
        <v>#REF!</v>
      </c>
      <c r="U19" s="69" t="e">
        <f>IF(AND('Mapa final'!#REF!="Alta",'Mapa final'!#REF!="Menor"),CONCATENATE("R4C",'Mapa final'!$Q$30),"")</f>
        <v>#REF!</v>
      </c>
      <c r="V19" s="52" t="e">
        <f>IF(AND('Mapa final'!#REF!="Alta",'Mapa final'!#REF!="Moderado"),CONCATENATE("R4C",'Mapa final'!$Q$25),"")</f>
        <v>#REF!</v>
      </c>
      <c r="W19" s="53" t="e">
        <f>IF(AND('Mapa final'!#REF!="Alta",'Mapa final'!#REF!="Moderado"),CONCATENATE("R4C",'Mapa final'!$Q$26),"")</f>
        <v>#REF!</v>
      </c>
      <c r="X19" s="53" t="e">
        <f>IF(AND('Mapa final'!#REF!="Alta",'Mapa final'!#REF!="Moderado"),CONCATENATE("R4C",'Mapa final'!$Q$27),"")</f>
        <v>#REF!</v>
      </c>
      <c r="Y19" s="53" t="e">
        <f>IF(AND('Mapa final'!#REF!="Alta",'Mapa final'!#REF!="Moderado"),CONCATENATE("R4C",'Mapa final'!$Q$28),"")</f>
        <v>#REF!</v>
      </c>
      <c r="Z19" s="53" t="e">
        <f>IF(AND('Mapa final'!#REF!="Alta",'Mapa final'!#REF!="Moderado"),CONCATENATE("R4C",'Mapa final'!$Q$29),"")</f>
        <v>#REF!</v>
      </c>
      <c r="AA19" s="54" t="e">
        <f>IF(AND('Mapa final'!#REF!="Alta",'Mapa final'!#REF!="Moderado"),CONCATENATE("R4C",'Mapa final'!$Q$30),"")</f>
        <v>#REF!</v>
      </c>
      <c r="AB19" s="52" t="e">
        <f>IF(AND('Mapa final'!#REF!="Alta",'Mapa final'!#REF!="Mayor"),CONCATENATE("R4C",'Mapa final'!$Q$25),"")</f>
        <v>#REF!</v>
      </c>
      <c r="AC19" s="53" t="e">
        <f>IF(AND('Mapa final'!#REF!="Alta",'Mapa final'!#REF!="Mayor"),CONCATENATE("R4C",'Mapa final'!$Q$26),"")</f>
        <v>#REF!</v>
      </c>
      <c r="AD19" s="53" t="e">
        <f>IF(AND('Mapa final'!#REF!="Alta",'Mapa final'!#REF!="Mayor"),CONCATENATE("R4C",'Mapa final'!$Q$27),"")</f>
        <v>#REF!</v>
      </c>
      <c r="AE19" s="53" t="e">
        <f>IF(AND('Mapa final'!#REF!="Alta",'Mapa final'!#REF!="Mayor"),CONCATENATE("R4C",'Mapa final'!$Q$28),"")</f>
        <v>#REF!</v>
      </c>
      <c r="AF19" s="53" t="e">
        <f>IF(AND('Mapa final'!#REF!="Alta",'Mapa final'!#REF!="Mayor"),CONCATENATE("R4C",'Mapa final'!$Q$29),"")</f>
        <v>#REF!</v>
      </c>
      <c r="AG19" s="54" t="e">
        <f>IF(AND('Mapa final'!#REF!="Alta",'Mapa final'!#REF!="Mayor"),CONCATENATE("R4C",'Mapa final'!$Q$30),"")</f>
        <v>#REF!</v>
      </c>
      <c r="AH19" s="55" t="e">
        <f>IF(AND('Mapa final'!#REF!="Alta",'Mapa final'!#REF!="Catastrófico"),CONCATENATE("R4C",'Mapa final'!$Q$25),"")</f>
        <v>#REF!</v>
      </c>
      <c r="AI19" s="56" t="e">
        <f>IF(AND('Mapa final'!#REF!="Alta",'Mapa final'!#REF!="Catastrófico"),CONCATENATE("R4C",'Mapa final'!$Q$26),"")</f>
        <v>#REF!</v>
      </c>
      <c r="AJ19" s="56" t="e">
        <f>IF(AND('Mapa final'!#REF!="Alta",'Mapa final'!#REF!="Catastrófico"),CONCATENATE("R4C",'Mapa final'!$Q$27),"")</f>
        <v>#REF!</v>
      </c>
      <c r="AK19" s="56" t="e">
        <f>IF(AND('Mapa final'!#REF!="Alta",'Mapa final'!#REF!="Catastrófico"),CONCATENATE("R4C",'Mapa final'!$Q$28),"")</f>
        <v>#REF!</v>
      </c>
      <c r="AL19" s="56" t="e">
        <f>IF(AND('Mapa final'!#REF!="Alta",'Mapa final'!#REF!="Catastrófico"),CONCATENATE("R4C",'Mapa final'!$Q$29),"")</f>
        <v>#REF!</v>
      </c>
      <c r="AM19" s="57" t="e">
        <f>IF(AND('Mapa final'!#REF!="Alta",'Mapa final'!#REF!="Catastrófico"),CONCATENATE("R4C",'Mapa final'!$Q$30),"")</f>
        <v>#REF!</v>
      </c>
      <c r="AN19" s="83"/>
      <c r="AO19" s="338"/>
      <c r="AP19" s="339"/>
      <c r="AQ19" s="339"/>
      <c r="AR19" s="339"/>
      <c r="AS19" s="339"/>
      <c r="AT19" s="34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49"/>
      <c r="C20" s="249"/>
      <c r="D20" s="250"/>
      <c r="E20" s="348"/>
      <c r="F20" s="347"/>
      <c r="G20" s="347"/>
      <c r="H20" s="347"/>
      <c r="I20" s="347"/>
      <c r="J20" s="67" t="e">
        <f>IF(AND('Mapa final'!#REF!="Alta",'Mapa final'!#REF!="Leve"),CONCATENATE("R5C",'Mapa final'!$Q$31),"")</f>
        <v>#REF!</v>
      </c>
      <c r="K20" s="68" t="e">
        <f>IF(AND('Mapa final'!#REF!="Alta",'Mapa final'!#REF!="Leve"),CONCATENATE("R5C",'Mapa final'!$Q$32),"")</f>
        <v>#REF!</v>
      </c>
      <c r="L20" s="68" t="e">
        <f>IF(AND('Mapa final'!#REF!="Alta",'Mapa final'!#REF!="Leve"),CONCATENATE("R5C",'Mapa final'!$Q$33),"")</f>
        <v>#REF!</v>
      </c>
      <c r="M20" s="68" t="e">
        <f>IF(AND('Mapa final'!#REF!="Alta",'Mapa final'!#REF!="Leve"),CONCATENATE("R5C",'Mapa final'!$Q$34),"")</f>
        <v>#REF!</v>
      </c>
      <c r="N20" s="68" t="e">
        <f>IF(AND('Mapa final'!#REF!="Alta",'Mapa final'!#REF!="Leve"),CONCATENATE("R5C",'Mapa final'!$Q$35),"")</f>
        <v>#REF!</v>
      </c>
      <c r="O20" s="69" t="e">
        <f>IF(AND('Mapa final'!#REF!="Alta",'Mapa final'!#REF!="Leve"),CONCATENATE("R5C",'Mapa final'!$Q$36),"")</f>
        <v>#REF!</v>
      </c>
      <c r="P20" s="67" t="e">
        <f>IF(AND('Mapa final'!#REF!="Alta",'Mapa final'!#REF!="Menor"),CONCATENATE("R5C",'Mapa final'!$Q$31),"")</f>
        <v>#REF!</v>
      </c>
      <c r="Q20" s="68" t="e">
        <f>IF(AND('Mapa final'!#REF!="Alta",'Mapa final'!#REF!="Menor"),CONCATENATE("R5C",'Mapa final'!$Q$32),"")</f>
        <v>#REF!</v>
      </c>
      <c r="R20" s="68" t="e">
        <f>IF(AND('Mapa final'!#REF!="Alta",'Mapa final'!#REF!="Menor"),CONCATENATE("R5C",'Mapa final'!$Q$33),"")</f>
        <v>#REF!</v>
      </c>
      <c r="S20" s="68" t="e">
        <f>IF(AND('Mapa final'!#REF!="Alta",'Mapa final'!#REF!="Menor"),CONCATENATE("R5C",'Mapa final'!$Q$34),"")</f>
        <v>#REF!</v>
      </c>
      <c r="T20" s="68" t="e">
        <f>IF(AND('Mapa final'!#REF!="Alta",'Mapa final'!#REF!="Menor"),CONCATENATE("R5C",'Mapa final'!$Q$35),"")</f>
        <v>#REF!</v>
      </c>
      <c r="U20" s="69" t="e">
        <f>IF(AND('Mapa final'!#REF!="Alta",'Mapa final'!#REF!="Menor"),CONCATENATE("R5C",'Mapa final'!$Q$36),"")</f>
        <v>#REF!</v>
      </c>
      <c r="V20" s="52" t="e">
        <f>IF(AND('Mapa final'!#REF!="Alta",'Mapa final'!#REF!="Moderado"),CONCATENATE("R5C",'Mapa final'!$Q$31),"")</f>
        <v>#REF!</v>
      </c>
      <c r="W20" s="53" t="e">
        <f>IF(AND('Mapa final'!#REF!="Alta",'Mapa final'!#REF!="Moderado"),CONCATENATE("R5C",'Mapa final'!$Q$32),"")</f>
        <v>#REF!</v>
      </c>
      <c r="X20" s="53" t="e">
        <f>IF(AND('Mapa final'!#REF!="Alta",'Mapa final'!#REF!="Moderado"),CONCATENATE("R5C",'Mapa final'!$Q$33),"")</f>
        <v>#REF!</v>
      </c>
      <c r="Y20" s="53" t="e">
        <f>IF(AND('Mapa final'!#REF!="Alta",'Mapa final'!#REF!="Moderado"),CONCATENATE("R5C",'Mapa final'!$Q$34),"")</f>
        <v>#REF!</v>
      </c>
      <c r="Z20" s="53" t="e">
        <f>IF(AND('Mapa final'!#REF!="Alta",'Mapa final'!#REF!="Moderado"),CONCATENATE("R5C",'Mapa final'!$Q$35),"")</f>
        <v>#REF!</v>
      </c>
      <c r="AA20" s="54" t="e">
        <f>IF(AND('Mapa final'!#REF!="Alta",'Mapa final'!#REF!="Moderado"),CONCATENATE("R5C",'Mapa final'!$Q$36),"")</f>
        <v>#REF!</v>
      </c>
      <c r="AB20" s="52" t="e">
        <f>IF(AND('Mapa final'!#REF!="Alta",'Mapa final'!#REF!="Mayor"),CONCATENATE("R5C",'Mapa final'!$Q$31),"")</f>
        <v>#REF!</v>
      </c>
      <c r="AC20" s="53" t="e">
        <f>IF(AND('Mapa final'!#REF!="Alta",'Mapa final'!#REF!="Mayor"),CONCATENATE("R5C",'Mapa final'!$Q$32),"")</f>
        <v>#REF!</v>
      </c>
      <c r="AD20" s="53" t="e">
        <f>IF(AND('Mapa final'!#REF!="Alta",'Mapa final'!#REF!="Mayor"),CONCATENATE("R5C",'Mapa final'!$Q$33),"")</f>
        <v>#REF!</v>
      </c>
      <c r="AE20" s="53" t="e">
        <f>IF(AND('Mapa final'!#REF!="Alta",'Mapa final'!#REF!="Mayor"),CONCATENATE("R5C",'Mapa final'!$Q$34),"")</f>
        <v>#REF!</v>
      </c>
      <c r="AF20" s="53" t="e">
        <f>IF(AND('Mapa final'!#REF!="Alta",'Mapa final'!#REF!="Mayor"),CONCATENATE("R5C",'Mapa final'!$Q$35),"")</f>
        <v>#REF!</v>
      </c>
      <c r="AG20" s="54" t="e">
        <f>IF(AND('Mapa final'!#REF!="Alta",'Mapa final'!#REF!="Mayor"),CONCATENATE("R5C",'Mapa final'!$Q$36),"")</f>
        <v>#REF!</v>
      </c>
      <c r="AH20" s="55" t="e">
        <f>IF(AND('Mapa final'!#REF!="Alta",'Mapa final'!#REF!="Catastrófico"),CONCATENATE("R5C",'Mapa final'!$Q$31),"")</f>
        <v>#REF!</v>
      </c>
      <c r="AI20" s="56" t="e">
        <f>IF(AND('Mapa final'!#REF!="Alta",'Mapa final'!#REF!="Catastrófico"),CONCATENATE("R5C",'Mapa final'!$Q$32),"")</f>
        <v>#REF!</v>
      </c>
      <c r="AJ20" s="56" t="e">
        <f>IF(AND('Mapa final'!#REF!="Alta",'Mapa final'!#REF!="Catastrófico"),CONCATENATE("R5C",'Mapa final'!$Q$33),"")</f>
        <v>#REF!</v>
      </c>
      <c r="AK20" s="56" t="e">
        <f>IF(AND('Mapa final'!#REF!="Alta",'Mapa final'!#REF!="Catastrófico"),CONCATENATE("R5C",'Mapa final'!$Q$34),"")</f>
        <v>#REF!</v>
      </c>
      <c r="AL20" s="56" t="e">
        <f>IF(AND('Mapa final'!#REF!="Alta",'Mapa final'!#REF!="Catastrófico"),CONCATENATE("R5C",'Mapa final'!$Q$35),"")</f>
        <v>#REF!</v>
      </c>
      <c r="AM20" s="57" t="e">
        <f>IF(AND('Mapa final'!#REF!="Alta",'Mapa final'!#REF!="Catastrófico"),CONCATENATE("R5C",'Mapa final'!$Q$36),"")</f>
        <v>#REF!</v>
      </c>
      <c r="AN20" s="83"/>
      <c r="AO20" s="338"/>
      <c r="AP20" s="339"/>
      <c r="AQ20" s="339"/>
      <c r="AR20" s="339"/>
      <c r="AS20" s="339"/>
      <c r="AT20" s="34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49"/>
      <c r="C21" s="249"/>
      <c r="D21" s="250"/>
      <c r="E21" s="348"/>
      <c r="F21" s="347"/>
      <c r="G21" s="347"/>
      <c r="H21" s="347"/>
      <c r="I21" s="347"/>
      <c r="J21" s="67" t="e">
        <f>IF(AND('Mapa final'!#REF!="Alta",'Mapa final'!#REF!="Leve"),CONCATENATE("R6C",'Mapa final'!$Q$37),"")</f>
        <v>#REF!</v>
      </c>
      <c r="K21" s="68" t="e">
        <f>IF(AND('Mapa final'!#REF!="Alta",'Mapa final'!#REF!="Leve"),CONCATENATE("R6C",'Mapa final'!$Q$38),"")</f>
        <v>#REF!</v>
      </c>
      <c r="L21" s="68" t="e">
        <f>IF(AND('Mapa final'!#REF!="Alta",'Mapa final'!#REF!="Leve"),CONCATENATE("R6C",'Mapa final'!$Q$39),"")</f>
        <v>#REF!</v>
      </c>
      <c r="M21" s="68" t="e">
        <f>IF(AND('Mapa final'!#REF!="Alta",'Mapa final'!#REF!="Leve"),CONCATENATE("R6C",'Mapa final'!$Q$40),"")</f>
        <v>#REF!</v>
      </c>
      <c r="N21" s="68" t="e">
        <f>IF(AND('Mapa final'!#REF!="Alta",'Mapa final'!#REF!="Leve"),CONCATENATE("R6C",'Mapa final'!$Q$41),"")</f>
        <v>#REF!</v>
      </c>
      <c r="O21" s="69" t="e">
        <f>IF(AND('Mapa final'!#REF!="Alta",'Mapa final'!#REF!="Leve"),CONCATENATE("R6C",'Mapa final'!$Q$42),"")</f>
        <v>#REF!</v>
      </c>
      <c r="P21" s="67" t="e">
        <f>IF(AND('Mapa final'!#REF!="Alta",'Mapa final'!#REF!="Menor"),CONCATENATE("R6C",'Mapa final'!$Q$37),"")</f>
        <v>#REF!</v>
      </c>
      <c r="Q21" s="68" t="e">
        <f>IF(AND('Mapa final'!#REF!="Alta",'Mapa final'!#REF!="Menor"),CONCATENATE("R6C",'Mapa final'!$Q$38),"")</f>
        <v>#REF!</v>
      </c>
      <c r="R21" s="68" t="e">
        <f>IF(AND('Mapa final'!#REF!="Alta",'Mapa final'!#REF!="Menor"),CONCATENATE("R6C",'Mapa final'!$Q$39),"")</f>
        <v>#REF!</v>
      </c>
      <c r="S21" s="68" t="e">
        <f>IF(AND('Mapa final'!#REF!="Alta",'Mapa final'!#REF!="Menor"),CONCATENATE("R6C",'Mapa final'!$Q$40),"")</f>
        <v>#REF!</v>
      </c>
      <c r="T21" s="68" t="e">
        <f>IF(AND('Mapa final'!#REF!="Alta",'Mapa final'!#REF!="Menor"),CONCATENATE("R6C",'Mapa final'!$Q$41),"")</f>
        <v>#REF!</v>
      </c>
      <c r="U21" s="69" t="e">
        <f>IF(AND('Mapa final'!#REF!="Alta",'Mapa final'!#REF!="Menor"),CONCATENATE("R6C",'Mapa final'!$Q$42),"")</f>
        <v>#REF!</v>
      </c>
      <c r="V21" s="52" t="e">
        <f>IF(AND('Mapa final'!#REF!="Alta",'Mapa final'!#REF!="Moderado"),CONCATENATE("R6C",'Mapa final'!$Q$37),"")</f>
        <v>#REF!</v>
      </c>
      <c r="W21" s="53" t="e">
        <f>IF(AND('Mapa final'!#REF!="Alta",'Mapa final'!#REF!="Moderado"),CONCATENATE("R6C",'Mapa final'!$Q$38),"")</f>
        <v>#REF!</v>
      </c>
      <c r="X21" s="53" t="e">
        <f>IF(AND('Mapa final'!#REF!="Alta",'Mapa final'!#REF!="Moderado"),CONCATENATE("R6C",'Mapa final'!$Q$39),"")</f>
        <v>#REF!</v>
      </c>
      <c r="Y21" s="53" t="e">
        <f>IF(AND('Mapa final'!#REF!="Alta",'Mapa final'!#REF!="Moderado"),CONCATENATE("R6C",'Mapa final'!$Q$40),"")</f>
        <v>#REF!</v>
      </c>
      <c r="Z21" s="53" t="e">
        <f>IF(AND('Mapa final'!#REF!="Alta",'Mapa final'!#REF!="Moderado"),CONCATENATE("R6C",'Mapa final'!$Q$41),"")</f>
        <v>#REF!</v>
      </c>
      <c r="AA21" s="54" t="e">
        <f>IF(AND('Mapa final'!#REF!="Alta",'Mapa final'!#REF!="Moderado"),CONCATENATE("R6C",'Mapa final'!$Q$42),"")</f>
        <v>#REF!</v>
      </c>
      <c r="AB21" s="52" t="e">
        <f>IF(AND('Mapa final'!#REF!="Alta",'Mapa final'!#REF!="Mayor"),CONCATENATE("R6C",'Mapa final'!$Q$37),"")</f>
        <v>#REF!</v>
      </c>
      <c r="AC21" s="53" t="e">
        <f>IF(AND('Mapa final'!#REF!="Alta",'Mapa final'!#REF!="Mayor"),CONCATENATE("R6C",'Mapa final'!$Q$38),"")</f>
        <v>#REF!</v>
      </c>
      <c r="AD21" s="53" t="e">
        <f>IF(AND('Mapa final'!#REF!="Alta",'Mapa final'!#REF!="Mayor"),CONCATENATE("R6C",'Mapa final'!$Q$39),"")</f>
        <v>#REF!</v>
      </c>
      <c r="AE21" s="53" t="e">
        <f>IF(AND('Mapa final'!#REF!="Alta",'Mapa final'!#REF!="Mayor"),CONCATENATE("R6C",'Mapa final'!$Q$40),"")</f>
        <v>#REF!</v>
      </c>
      <c r="AF21" s="53" t="e">
        <f>IF(AND('Mapa final'!#REF!="Alta",'Mapa final'!#REF!="Mayor"),CONCATENATE("R6C",'Mapa final'!$Q$41),"")</f>
        <v>#REF!</v>
      </c>
      <c r="AG21" s="54" t="e">
        <f>IF(AND('Mapa final'!#REF!="Alta",'Mapa final'!#REF!="Mayor"),CONCATENATE("R6C",'Mapa final'!$Q$42),"")</f>
        <v>#REF!</v>
      </c>
      <c r="AH21" s="55" t="e">
        <f>IF(AND('Mapa final'!#REF!="Alta",'Mapa final'!#REF!="Catastrófico"),CONCATENATE("R6C",'Mapa final'!$Q$37),"")</f>
        <v>#REF!</v>
      </c>
      <c r="AI21" s="56" t="e">
        <f>IF(AND('Mapa final'!#REF!="Alta",'Mapa final'!#REF!="Catastrófico"),CONCATENATE("R6C",'Mapa final'!$Q$38),"")</f>
        <v>#REF!</v>
      </c>
      <c r="AJ21" s="56" t="e">
        <f>IF(AND('Mapa final'!#REF!="Alta",'Mapa final'!#REF!="Catastrófico"),CONCATENATE("R6C",'Mapa final'!$Q$39),"")</f>
        <v>#REF!</v>
      </c>
      <c r="AK21" s="56" t="e">
        <f>IF(AND('Mapa final'!#REF!="Alta",'Mapa final'!#REF!="Catastrófico"),CONCATENATE("R6C",'Mapa final'!$Q$40),"")</f>
        <v>#REF!</v>
      </c>
      <c r="AL21" s="56" t="e">
        <f>IF(AND('Mapa final'!#REF!="Alta",'Mapa final'!#REF!="Catastrófico"),CONCATENATE("R6C",'Mapa final'!$Q$41),"")</f>
        <v>#REF!</v>
      </c>
      <c r="AM21" s="57" t="e">
        <f>IF(AND('Mapa final'!#REF!="Alta",'Mapa final'!#REF!="Catastrófico"),CONCATENATE("R6C",'Mapa final'!$Q$42),"")</f>
        <v>#REF!</v>
      </c>
      <c r="AN21" s="83"/>
      <c r="AO21" s="338"/>
      <c r="AP21" s="339"/>
      <c r="AQ21" s="339"/>
      <c r="AR21" s="339"/>
      <c r="AS21" s="339"/>
      <c r="AT21" s="34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49"/>
      <c r="C22" s="249"/>
      <c r="D22" s="250"/>
      <c r="E22" s="348"/>
      <c r="F22" s="347"/>
      <c r="G22" s="347"/>
      <c r="H22" s="347"/>
      <c r="I22" s="347"/>
      <c r="J22" s="67" t="e">
        <f>IF(AND('Mapa final'!#REF!="Alta",'Mapa final'!#REF!="Leve"),CONCATENATE("R7C",'Mapa final'!$Q$43),"")</f>
        <v>#REF!</v>
      </c>
      <c r="K22" s="68" t="e">
        <f>IF(AND('Mapa final'!#REF!="Alta",'Mapa final'!#REF!="Leve"),CONCATENATE("R7C",'Mapa final'!$Q$44),"")</f>
        <v>#REF!</v>
      </c>
      <c r="L22" s="68" t="e">
        <f>IF(AND('Mapa final'!#REF!="Alta",'Mapa final'!#REF!="Leve"),CONCATENATE("R7C",'Mapa final'!$Q$45),"")</f>
        <v>#REF!</v>
      </c>
      <c r="M22" s="68" t="e">
        <f>IF(AND('Mapa final'!#REF!="Alta",'Mapa final'!#REF!="Leve"),CONCATENATE("R7C",'Mapa final'!$Q$46),"")</f>
        <v>#REF!</v>
      </c>
      <c r="N22" s="68" t="e">
        <f>IF(AND('Mapa final'!#REF!="Alta",'Mapa final'!#REF!="Leve"),CONCATENATE("R7C",'Mapa final'!$Q$47),"")</f>
        <v>#REF!</v>
      </c>
      <c r="O22" s="69" t="e">
        <f>IF(AND('Mapa final'!#REF!="Alta",'Mapa final'!#REF!="Leve"),CONCATENATE("R7C",'Mapa final'!$Q$48),"")</f>
        <v>#REF!</v>
      </c>
      <c r="P22" s="67" t="e">
        <f>IF(AND('Mapa final'!#REF!="Alta",'Mapa final'!#REF!="Menor"),CONCATENATE("R7C",'Mapa final'!$Q$43),"")</f>
        <v>#REF!</v>
      </c>
      <c r="Q22" s="68" t="e">
        <f>IF(AND('Mapa final'!#REF!="Alta",'Mapa final'!#REF!="Menor"),CONCATENATE("R7C",'Mapa final'!$Q$44),"")</f>
        <v>#REF!</v>
      </c>
      <c r="R22" s="68" t="e">
        <f>IF(AND('Mapa final'!#REF!="Alta",'Mapa final'!#REF!="Menor"),CONCATENATE("R7C",'Mapa final'!$Q$45),"")</f>
        <v>#REF!</v>
      </c>
      <c r="S22" s="68" t="e">
        <f>IF(AND('Mapa final'!#REF!="Alta",'Mapa final'!#REF!="Menor"),CONCATENATE("R7C",'Mapa final'!$Q$46),"")</f>
        <v>#REF!</v>
      </c>
      <c r="T22" s="68" t="e">
        <f>IF(AND('Mapa final'!#REF!="Alta",'Mapa final'!#REF!="Menor"),CONCATENATE("R7C",'Mapa final'!$Q$47),"")</f>
        <v>#REF!</v>
      </c>
      <c r="U22" s="69" t="e">
        <f>IF(AND('Mapa final'!#REF!="Alta",'Mapa final'!#REF!="Menor"),CONCATENATE("R7C",'Mapa final'!$Q$48),"")</f>
        <v>#REF!</v>
      </c>
      <c r="V22" s="52" t="e">
        <f>IF(AND('Mapa final'!#REF!="Alta",'Mapa final'!#REF!="Moderado"),CONCATENATE("R7C",'Mapa final'!$Q$43),"")</f>
        <v>#REF!</v>
      </c>
      <c r="W22" s="53" t="e">
        <f>IF(AND('Mapa final'!#REF!="Alta",'Mapa final'!#REF!="Moderado"),CONCATENATE("R7C",'Mapa final'!$Q$44),"")</f>
        <v>#REF!</v>
      </c>
      <c r="X22" s="53" t="e">
        <f>IF(AND('Mapa final'!#REF!="Alta",'Mapa final'!#REF!="Moderado"),CONCATENATE("R7C",'Mapa final'!$Q$45),"")</f>
        <v>#REF!</v>
      </c>
      <c r="Y22" s="53" t="e">
        <f>IF(AND('Mapa final'!#REF!="Alta",'Mapa final'!#REF!="Moderado"),CONCATENATE("R7C",'Mapa final'!$Q$46),"")</f>
        <v>#REF!</v>
      </c>
      <c r="Z22" s="53" t="e">
        <f>IF(AND('Mapa final'!#REF!="Alta",'Mapa final'!#REF!="Moderado"),CONCATENATE("R7C",'Mapa final'!$Q$47),"")</f>
        <v>#REF!</v>
      </c>
      <c r="AA22" s="54" t="e">
        <f>IF(AND('Mapa final'!#REF!="Alta",'Mapa final'!#REF!="Moderado"),CONCATENATE("R7C",'Mapa final'!$Q$48),"")</f>
        <v>#REF!</v>
      </c>
      <c r="AB22" s="52" t="e">
        <f>IF(AND('Mapa final'!#REF!="Alta",'Mapa final'!#REF!="Mayor"),CONCATENATE("R7C",'Mapa final'!$Q$43),"")</f>
        <v>#REF!</v>
      </c>
      <c r="AC22" s="53" t="e">
        <f>IF(AND('Mapa final'!#REF!="Alta",'Mapa final'!#REF!="Mayor"),CONCATENATE("R7C",'Mapa final'!$Q$44),"")</f>
        <v>#REF!</v>
      </c>
      <c r="AD22" s="53" t="e">
        <f>IF(AND('Mapa final'!#REF!="Alta",'Mapa final'!#REF!="Mayor"),CONCATENATE("R7C",'Mapa final'!$Q$45),"")</f>
        <v>#REF!</v>
      </c>
      <c r="AE22" s="53" t="e">
        <f>IF(AND('Mapa final'!#REF!="Alta",'Mapa final'!#REF!="Mayor"),CONCATENATE("R7C",'Mapa final'!$Q$46),"")</f>
        <v>#REF!</v>
      </c>
      <c r="AF22" s="53" t="e">
        <f>IF(AND('Mapa final'!#REF!="Alta",'Mapa final'!#REF!="Mayor"),CONCATENATE("R7C",'Mapa final'!$Q$47),"")</f>
        <v>#REF!</v>
      </c>
      <c r="AG22" s="54" t="e">
        <f>IF(AND('Mapa final'!#REF!="Alta",'Mapa final'!#REF!="Mayor"),CONCATENATE("R7C",'Mapa final'!$Q$48),"")</f>
        <v>#REF!</v>
      </c>
      <c r="AH22" s="55" t="e">
        <f>IF(AND('Mapa final'!#REF!="Alta",'Mapa final'!#REF!="Catastrófico"),CONCATENATE("R7C",'Mapa final'!$Q$43),"")</f>
        <v>#REF!</v>
      </c>
      <c r="AI22" s="56" t="e">
        <f>IF(AND('Mapa final'!#REF!="Alta",'Mapa final'!#REF!="Catastrófico"),CONCATENATE("R7C",'Mapa final'!$Q$44),"")</f>
        <v>#REF!</v>
      </c>
      <c r="AJ22" s="56" t="e">
        <f>IF(AND('Mapa final'!#REF!="Alta",'Mapa final'!#REF!="Catastrófico"),CONCATENATE("R7C",'Mapa final'!$Q$45),"")</f>
        <v>#REF!</v>
      </c>
      <c r="AK22" s="56" t="e">
        <f>IF(AND('Mapa final'!#REF!="Alta",'Mapa final'!#REF!="Catastrófico"),CONCATENATE("R7C",'Mapa final'!$Q$46),"")</f>
        <v>#REF!</v>
      </c>
      <c r="AL22" s="56" t="e">
        <f>IF(AND('Mapa final'!#REF!="Alta",'Mapa final'!#REF!="Catastrófico"),CONCATENATE("R7C",'Mapa final'!$Q$47),"")</f>
        <v>#REF!</v>
      </c>
      <c r="AM22" s="57" t="e">
        <f>IF(AND('Mapa final'!#REF!="Alta",'Mapa final'!#REF!="Catastrófico"),CONCATENATE("R7C",'Mapa final'!$Q$48),"")</f>
        <v>#REF!</v>
      </c>
      <c r="AN22" s="83"/>
      <c r="AO22" s="338"/>
      <c r="AP22" s="339"/>
      <c r="AQ22" s="339"/>
      <c r="AR22" s="339"/>
      <c r="AS22" s="339"/>
      <c r="AT22" s="34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49"/>
      <c r="C23" s="249"/>
      <c r="D23" s="250"/>
      <c r="E23" s="348"/>
      <c r="F23" s="347"/>
      <c r="G23" s="347"/>
      <c r="H23" s="347"/>
      <c r="I23" s="347"/>
      <c r="J23" s="67" t="e">
        <f>IF(AND('Mapa final'!#REF!="Alta",'Mapa final'!#REF!="Leve"),CONCATENATE("R8C",'Mapa final'!$Q$49),"")</f>
        <v>#REF!</v>
      </c>
      <c r="K23" s="68" t="e">
        <f>IF(AND('Mapa final'!#REF!="Alta",'Mapa final'!#REF!="Leve"),CONCATENATE("R8C",'Mapa final'!$Q$50),"")</f>
        <v>#REF!</v>
      </c>
      <c r="L23" s="68" t="e">
        <f>IF(AND('Mapa final'!#REF!="Alta",'Mapa final'!#REF!="Leve"),CONCATENATE("R8C",'Mapa final'!$Q$51),"")</f>
        <v>#REF!</v>
      </c>
      <c r="M23" s="68" t="e">
        <f>IF(AND('Mapa final'!#REF!="Alta",'Mapa final'!#REF!="Leve"),CONCATENATE("R8C",'Mapa final'!$Q$52),"")</f>
        <v>#REF!</v>
      </c>
      <c r="N23" s="68" t="e">
        <f>IF(AND('Mapa final'!#REF!="Alta",'Mapa final'!#REF!="Leve"),CONCATENATE("R8C",'Mapa final'!$Q$53),"")</f>
        <v>#REF!</v>
      </c>
      <c r="O23" s="69" t="e">
        <f>IF(AND('Mapa final'!#REF!="Alta",'Mapa final'!#REF!="Leve"),CONCATENATE("R8C",'Mapa final'!$Q$54),"")</f>
        <v>#REF!</v>
      </c>
      <c r="P23" s="67" t="e">
        <f>IF(AND('Mapa final'!#REF!="Alta",'Mapa final'!#REF!="Menor"),CONCATENATE("R8C",'Mapa final'!$Q$49),"")</f>
        <v>#REF!</v>
      </c>
      <c r="Q23" s="68" t="e">
        <f>IF(AND('Mapa final'!#REF!="Alta",'Mapa final'!#REF!="Menor"),CONCATENATE("R8C",'Mapa final'!$Q$50),"")</f>
        <v>#REF!</v>
      </c>
      <c r="R23" s="68" t="e">
        <f>IF(AND('Mapa final'!#REF!="Alta",'Mapa final'!#REF!="Menor"),CONCATENATE("R8C",'Mapa final'!$Q$51),"")</f>
        <v>#REF!</v>
      </c>
      <c r="S23" s="68" t="e">
        <f>IF(AND('Mapa final'!#REF!="Alta",'Mapa final'!#REF!="Menor"),CONCATENATE("R8C",'Mapa final'!$Q$52),"")</f>
        <v>#REF!</v>
      </c>
      <c r="T23" s="68" t="e">
        <f>IF(AND('Mapa final'!#REF!="Alta",'Mapa final'!#REF!="Menor"),CONCATENATE("R8C",'Mapa final'!$Q$53),"")</f>
        <v>#REF!</v>
      </c>
      <c r="U23" s="69" t="e">
        <f>IF(AND('Mapa final'!#REF!="Alta",'Mapa final'!#REF!="Menor"),CONCATENATE("R8C",'Mapa final'!$Q$54),"")</f>
        <v>#REF!</v>
      </c>
      <c r="V23" s="52" t="e">
        <f>IF(AND('Mapa final'!#REF!="Alta",'Mapa final'!#REF!="Moderado"),CONCATENATE("R8C",'Mapa final'!$Q$49),"")</f>
        <v>#REF!</v>
      </c>
      <c r="W23" s="53" t="e">
        <f>IF(AND('Mapa final'!#REF!="Alta",'Mapa final'!#REF!="Moderado"),CONCATENATE("R8C",'Mapa final'!$Q$50),"")</f>
        <v>#REF!</v>
      </c>
      <c r="X23" s="53" t="e">
        <f>IF(AND('Mapa final'!#REF!="Alta",'Mapa final'!#REF!="Moderado"),CONCATENATE("R8C",'Mapa final'!$Q$51),"")</f>
        <v>#REF!</v>
      </c>
      <c r="Y23" s="53" t="e">
        <f>IF(AND('Mapa final'!#REF!="Alta",'Mapa final'!#REF!="Moderado"),CONCATENATE("R8C",'Mapa final'!$Q$52),"")</f>
        <v>#REF!</v>
      </c>
      <c r="Z23" s="53" t="e">
        <f>IF(AND('Mapa final'!#REF!="Alta",'Mapa final'!#REF!="Moderado"),CONCATENATE("R8C",'Mapa final'!$Q$53),"")</f>
        <v>#REF!</v>
      </c>
      <c r="AA23" s="54" t="e">
        <f>IF(AND('Mapa final'!#REF!="Alta",'Mapa final'!#REF!="Moderado"),CONCATENATE("R8C",'Mapa final'!$Q$54),"")</f>
        <v>#REF!</v>
      </c>
      <c r="AB23" s="52" t="e">
        <f>IF(AND('Mapa final'!#REF!="Alta",'Mapa final'!#REF!="Mayor"),CONCATENATE("R8C",'Mapa final'!$Q$49),"")</f>
        <v>#REF!</v>
      </c>
      <c r="AC23" s="53" t="e">
        <f>IF(AND('Mapa final'!#REF!="Alta",'Mapa final'!#REF!="Mayor"),CONCATENATE("R8C",'Mapa final'!$Q$50),"")</f>
        <v>#REF!</v>
      </c>
      <c r="AD23" s="53" t="e">
        <f>IF(AND('Mapa final'!#REF!="Alta",'Mapa final'!#REF!="Mayor"),CONCATENATE("R8C",'Mapa final'!$Q$51),"")</f>
        <v>#REF!</v>
      </c>
      <c r="AE23" s="53" t="e">
        <f>IF(AND('Mapa final'!#REF!="Alta",'Mapa final'!#REF!="Mayor"),CONCATENATE("R8C",'Mapa final'!$Q$52),"")</f>
        <v>#REF!</v>
      </c>
      <c r="AF23" s="53" t="e">
        <f>IF(AND('Mapa final'!#REF!="Alta",'Mapa final'!#REF!="Mayor"),CONCATENATE("R8C",'Mapa final'!$Q$53),"")</f>
        <v>#REF!</v>
      </c>
      <c r="AG23" s="54" t="e">
        <f>IF(AND('Mapa final'!#REF!="Alta",'Mapa final'!#REF!="Mayor"),CONCATENATE("R8C",'Mapa final'!$Q$54),"")</f>
        <v>#REF!</v>
      </c>
      <c r="AH23" s="55" t="e">
        <f>IF(AND('Mapa final'!#REF!="Alta",'Mapa final'!#REF!="Catastrófico"),CONCATENATE("R8C",'Mapa final'!$Q$49),"")</f>
        <v>#REF!</v>
      </c>
      <c r="AI23" s="56" t="e">
        <f>IF(AND('Mapa final'!#REF!="Alta",'Mapa final'!#REF!="Catastrófico"),CONCATENATE("R8C",'Mapa final'!$Q$50),"")</f>
        <v>#REF!</v>
      </c>
      <c r="AJ23" s="56" t="e">
        <f>IF(AND('Mapa final'!#REF!="Alta",'Mapa final'!#REF!="Catastrófico"),CONCATENATE("R8C",'Mapa final'!$Q$51),"")</f>
        <v>#REF!</v>
      </c>
      <c r="AK23" s="56" t="e">
        <f>IF(AND('Mapa final'!#REF!="Alta",'Mapa final'!#REF!="Catastrófico"),CONCATENATE("R8C",'Mapa final'!$Q$52),"")</f>
        <v>#REF!</v>
      </c>
      <c r="AL23" s="56" t="e">
        <f>IF(AND('Mapa final'!#REF!="Alta",'Mapa final'!#REF!="Catastrófico"),CONCATENATE("R8C",'Mapa final'!$Q$53),"")</f>
        <v>#REF!</v>
      </c>
      <c r="AM23" s="57" t="e">
        <f>IF(AND('Mapa final'!#REF!="Alta",'Mapa final'!#REF!="Catastrófico"),CONCATENATE("R8C",'Mapa final'!$Q$54),"")</f>
        <v>#REF!</v>
      </c>
      <c r="AN23" s="83"/>
      <c r="AO23" s="338"/>
      <c r="AP23" s="339"/>
      <c r="AQ23" s="339"/>
      <c r="AR23" s="339"/>
      <c r="AS23" s="339"/>
      <c r="AT23" s="34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49"/>
      <c r="C24" s="249"/>
      <c r="D24" s="250"/>
      <c r="E24" s="348"/>
      <c r="F24" s="347"/>
      <c r="G24" s="347"/>
      <c r="H24" s="347"/>
      <c r="I24" s="347"/>
      <c r="J24" s="67" t="e">
        <f>IF(AND('Mapa final'!#REF!="Alta",'Mapa final'!#REF!="Leve"),CONCATENATE("R9C",'Mapa final'!$Q$55),"")</f>
        <v>#REF!</v>
      </c>
      <c r="K24" s="68" t="e">
        <f>IF(AND('Mapa final'!#REF!="Alta",'Mapa final'!#REF!="Leve"),CONCATENATE("R9C",'Mapa final'!$Q$56),"")</f>
        <v>#REF!</v>
      </c>
      <c r="L24" s="68" t="e">
        <f>IF(AND('Mapa final'!#REF!="Alta",'Mapa final'!#REF!="Leve"),CONCATENATE("R9C",'Mapa final'!$Q$57),"")</f>
        <v>#REF!</v>
      </c>
      <c r="M24" s="68" t="e">
        <f>IF(AND('Mapa final'!#REF!="Alta",'Mapa final'!#REF!="Leve"),CONCATENATE("R9C",'Mapa final'!$Q$58),"")</f>
        <v>#REF!</v>
      </c>
      <c r="N24" s="68" t="e">
        <f>IF(AND('Mapa final'!#REF!="Alta",'Mapa final'!#REF!="Leve"),CONCATENATE("R9C",'Mapa final'!$Q$59),"")</f>
        <v>#REF!</v>
      </c>
      <c r="O24" s="69" t="e">
        <f>IF(AND('Mapa final'!#REF!="Alta",'Mapa final'!#REF!="Leve"),CONCATENATE("R9C",'Mapa final'!$Q$60),"")</f>
        <v>#REF!</v>
      </c>
      <c r="P24" s="67" t="e">
        <f>IF(AND('Mapa final'!#REF!="Alta",'Mapa final'!#REF!="Menor"),CONCATENATE("R9C",'Mapa final'!$Q$55),"")</f>
        <v>#REF!</v>
      </c>
      <c r="Q24" s="68" t="e">
        <f>IF(AND('Mapa final'!#REF!="Alta",'Mapa final'!#REF!="Menor"),CONCATENATE("R9C",'Mapa final'!$Q$56),"")</f>
        <v>#REF!</v>
      </c>
      <c r="R24" s="68" t="e">
        <f>IF(AND('Mapa final'!#REF!="Alta",'Mapa final'!#REF!="Menor"),CONCATENATE("R9C",'Mapa final'!$Q$57),"")</f>
        <v>#REF!</v>
      </c>
      <c r="S24" s="68" t="e">
        <f>IF(AND('Mapa final'!#REF!="Alta",'Mapa final'!#REF!="Menor"),CONCATENATE("R9C",'Mapa final'!$Q$58),"")</f>
        <v>#REF!</v>
      </c>
      <c r="T24" s="68" t="e">
        <f>IF(AND('Mapa final'!#REF!="Alta",'Mapa final'!#REF!="Menor"),CONCATENATE("R9C",'Mapa final'!$Q$59),"")</f>
        <v>#REF!</v>
      </c>
      <c r="U24" s="69" t="e">
        <f>IF(AND('Mapa final'!#REF!="Alta",'Mapa final'!#REF!="Menor"),CONCATENATE("R9C",'Mapa final'!$Q$60),"")</f>
        <v>#REF!</v>
      </c>
      <c r="V24" s="52" t="e">
        <f>IF(AND('Mapa final'!#REF!="Alta",'Mapa final'!#REF!="Moderado"),CONCATENATE("R9C",'Mapa final'!$Q$55),"")</f>
        <v>#REF!</v>
      </c>
      <c r="W24" s="53" t="e">
        <f>IF(AND('Mapa final'!#REF!="Alta",'Mapa final'!#REF!="Moderado"),CONCATENATE("R9C",'Mapa final'!$Q$56),"")</f>
        <v>#REF!</v>
      </c>
      <c r="X24" s="53" t="e">
        <f>IF(AND('Mapa final'!#REF!="Alta",'Mapa final'!#REF!="Moderado"),CONCATENATE("R9C",'Mapa final'!$Q$57),"")</f>
        <v>#REF!</v>
      </c>
      <c r="Y24" s="53" t="e">
        <f>IF(AND('Mapa final'!#REF!="Alta",'Mapa final'!#REF!="Moderado"),CONCATENATE("R9C",'Mapa final'!$Q$58),"")</f>
        <v>#REF!</v>
      </c>
      <c r="Z24" s="53" t="e">
        <f>IF(AND('Mapa final'!#REF!="Alta",'Mapa final'!#REF!="Moderado"),CONCATENATE("R9C",'Mapa final'!$Q$59),"")</f>
        <v>#REF!</v>
      </c>
      <c r="AA24" s="54" t="e">
        <f>IF(AND('Mapa final'!#REF!="Alta",'Mapa final'!#REF!="Moderado"),CONCATENATE("R9C",'Mapa final'!$Q$60),"")</f>
        <v>#REF!</v>
      </c>
      <c r="AB24" s="52" t="e">
        <f>IF(AND('Mapa final'!#REF!="Alta",'Mapa final'!#REF!="Mayor"),CONCATENATE("R9C",'Mapa final'!$Q$55),"")</f>
        <v>#REF!</v>
      </c>
      <c r="AC24" s="53" t="e">
        <f>IF(AND('Mapa final'!#REF!="Alta",'Mapa final'!#REF!="Mayor"),CONCATENATE("R9C",'Mapa final'!$Q$56),"")</f>
        <v>#REF!</v>
      </c>
      <c r="AD24" s="53" t="e">
        <f>IF(AND('Mapa final'!#REF!="Alta",'Mapa final'!#REF!="Mayor"),CONCATENATE("R9C",'Mapa final'!$Q$57),"")</f>
        <v>#REF!</v>
      </c>
      <c r="AE24" s="53" t="e">
        <f>IF(AND('Mapa final'!#REF!="Alta",'Mapa final'!#REF!="Mayor"),CONCATENATE("R9C",'Mapa final'!$Q$58),"")</f>
        <v>#REF!</v>
      </c>
      <c r="AF24" s="53" t="e">
        <f>IF(AND('Mapa final'!#REF!="Alta",'Mapa final'!#REF!="Mayor"),CONCATENATE("R9C",'Mapa final'!$Q$59),"")</f>
        <v>#REF!</v>
      </c>
      <c r="AG24" s="54" t="e">
        <f>IF(AND('Mapa final'!#REF!="Alta",'Mapa final'!#REF!="Mayor"),CONCATENATE("R9C",'Mapa final'!$Q$60),"")</f>
        <v>#REF!</v>
      </c>
      <c r="AH24" s="55" t="e">
        <f>IF(AND('Mapa final'!#REF!="Alta",'Mapa final'!#REF!="Catastrófico"),CONCATENATE("R9C",'Mapa final'!$Q$55),"")</f>
        <v>#REF!</v>
      </c>
      <c r="AI24" s="56" t="e">
        <f>IF(AND('Mapa final'!#REF!="Alta",'Mapa final'!#REF!="Catastrófico"),CONCATENATE("R9C",'Mapa final'!$Q$56),"")</f>
        <v>#REF!</v>
      </c>
      <c r="AJ24" s="56" t="e">
        <f>IF(AND('Mapa final'!#REF!="Alta",'Mapa final'!#REF!="Catastrófico"),CONCATENATE("R9C",'Mapa final'!$Q$57),"")</f>
        <v>#REF!</v>
      </c>
      <c r="AK24" s="56" t="e">
        <f>IF(AND('Mapa final'!#REF!="Alta",'Mapa final'!#REF!="Catastrófico"),CONCATENATE("R9C",'Mapa final'!$Q$58),"")</f>
        <v>#REF!</v>
      </c>
      <c r="AL24" s="56" t="e">
        <f>IF(AND('Mapa final'!#REF!="Alta",'Mapa final'!#REF!="Catastrófico"),CONCATENATE("R9C",'Mapa final'!$Q$59),"")</f>
        <v>#REF!</v>
      </c>
      <c r="AM24" s="57" t="e">
        <f>IF(AND('Mapa final'!#REF!="Alta",'Mapa final'!#REF!="Catastrófico"),CONCATENATE("R9C",'Mapa final'!$Q$60),"")</f>
        <v>#REF!</v>
      </c>
      <c r="AN24" s="83"/>
      <c r="AO24" s="338"/>
      <c r="AP24" s="339"/>
      <c r="AQ24" s="339"/>
      <c r="AR24" s="339"/>
      <c r="AS24" s="339"/>
      <c r="AT24" s="34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49"/>
      <c r="C25" s="249"/>
      <c r="D25" s="250"/>
      <c r="E25" s="349"/>
      <c r="F25" s="350"/>
      <c r="G25" s="350"/>
      <c r="H25" s="350"/>
      <c r="I25" s="350"/>
      <c r="J25" s="70" t="e">
        <f>IF(AND('Mapa final'!#REF!="Alta",'Mapa final'!#REF!="Leve"),CONCATENATE("R10C",'Mapa final'!$Q$61),"")</f>
        <v>#REF!</v>
      </c>
      <c r="K25" s="71" t="e">
        <f>IF(AND('Mapa final'!#REF!="Alta",'Mapa final'!#REF!="Leve"),CONCATENATE("R10C",'Mapa final'!$Q$62),"")</f>
        <v>#REF!</v>
      </c>
      <c r="L25" s="71" t="e">
        <f>IF(AND('Mapa final'!#REF!="Alta",'Mapa final'!#REF!="Leve"),CONCATENATE("R10C",'Mapa final'!$Q$63),"")</f>
        <v>#REF!</v>
      </c>
      <c r="M25" s="71" t="e">
        <f>IF(AND('Mapa final'!#REF!="Alta",'Mapa final'!#REF!="Leve"),CONCATENATE("R10C",'Mapa final'!$Q$64),"")</f>
        <v>#REF!</v>
      </c>
      <c r="N25" s="71" t="e">
        <f>IF(AND('Mapa final'!#REF!="Alta",'Mapa final'!#REF!="Leve"),CONCATENATE("R10C",'Mapa final'!$Q$65),"")</f>
        <v>#REF!</v>
      </c>
      <c r="O25" s="72" t="e">
        <f>IF(AND('Mapa final'!#REF!="Alta",'Mapa final'!#REF!="Leve"),CONCATENATE("R10C",'Mapa final'!$Q$66),"")</f>
        <v>#REF!</v>
      </c>
      <c r="P25" s="70" t="e">
        <f>IF(AND('Mapa final'!#REF!="Alta",'Mapa final'!#REF!="Menor"),CONCATENATE("R10C",'Mapa final'!$Q$61),"")</f>
        <v>#REF!</v>
      </c>
      <c r="Q25" s="71" t="e">
        <f>IF(AND('Mapa final'!#REF!="Alta",'Mapa final'!#REF!="Menor"),CONCATENATE("R10C",'Mapa final'!$Q$62),"")</f>
        <v>#REF!</v>
      </c>
      <c r="R25" s="71" t="e">
        <f>IF(AND('Mapa final'!#REF!="Alta",'Mapa final'!#REF!="Menor"),CONCATENATE("R10C",'Mapa final'!$Q$63),"")</f>
        <v>#REF!</v>
      </c>
      <c r="S25" s="71" t="e">
        <f>IF(AND('Mapa final'!#REF!="Alta",'Mapa final'!#REF!="Menor"),CONCATENATE("R10C",'Mapa final'!$Q$64),"")</f>
        <v>#REF!</v>
      </c>
      <c r="T25" s="71" t="e">
        <f>IF(AND('Mapa final'!#REF!="Alta",'Mapa final'!#REF!="Menor"),CONCATENATE("R10C",'Mapa final'!$Q$65),"")</f>
        <v>#REF!</v>
      </c>
      <c r="U25" s="72" t="e">
        <f>IF(AND('Mapa final'!#REF!="Alta",'Mapa final'!#REF!="Menor"),CONCATENATE("R10C",'Mapa final'!$Q$66),"")</f>
        <v>#REF!</v>
      </c>
      <c r="V25" s="58" t="e">
        <f>IF(AND('Mapa final'!#REF!="Alta",'Mapa final'!#REF!="Moderado"),CONCATENATE("R10C",'Mapa final'!$Q$61),"")</f>
        <v>#REF!</v>
      </c>
      <c r="W25" s="59" t="e">
        <f>IF(AND('Mapa final'!#REF!="Alta",'Mapa final'!#REF!="Moderado"),CONCATENATE("R10C",'Mapa final'!$Q$62),"")</f>
        <v>#REF!</v>
      </c>
      <c r="X25" s="59" t="e">
        <f>IF(AND('Mapa final'!#REF!="Alta",'Mapa final'!#REF!="Moderado"),CONCATENATE("R10C",'Mapa final'!$Q$63),"")</f>
        <v>#REF!</v>
      </c>
      <c r="Y25" s="59" t="e">
        <f>IF(AND('Mapa final'!#REF!="Alta",'Mapa final'!#REF!="Moderado"),CONCATENATE("R10C",'Mapa final'!$Q$64),"")</f>
        <v>#REF!</v>
      </c>
      <c r="Z25" s="59" t="e">
        <f>IF(AND('Mapa final'!#REF!="Alta",'Mapa final'!#REF!="Moderado"),CONCATENATE("R10C",'Mapa final'!$Q$65),"")</f>
        <v>#REF!</v>
      </c>
      <c r="AA25" s="60" t="e">
        <f>IF(AND('Mapa final'!#REF!="Alta",'Mapa final'!#REF!="Moderado"),CONCATENATE("R10C",'Mapa final'!$Q$66),"")</f>
        <v>#REF!</v>
      </c>
      <c r="AB25" s="58" t="e">
        <f>IF(AND('Mapa final'!#REF!="Alta",'Mapa final'!#REF!="Mayor"),CONCATENATE("R10C",'Mapa final'!$Q$61),"")</f>
        <v>#REF!</v>
      </c>
      <c r="AC25" s="59" t="e">
        <f>IF(AND('Mapa final'!#REF!="Alta",'Mapa final'!#REF!="Mayor"),CONCATENATE("R10C",'Mapa final'!$Q$62),"")</f>
        <v>#REF!</v>
      </c>
      <c r="AD25" s="59" t="e">
        <f>IF(AND('Mapa final'!#REF!="Alta",'Mapa final'!#REF!="Mayor"),CONCATENATE("R10C",'Mapa final'!$Q$63),"")</f>
        <v>#REF!</v>
      </c>
      <c r="AE25" s="59" t="e">
        <f>IF(AND('Mapa final'!#REF!="Alta",'Mapa final'!#REF!="Mayor"),CONCATENATE("R10C",'Mapa final'!$Q$64),"")</f>
        <v>#REF!</v>
      </c>
      <c r="AF25" s="59" t="e">
        <f>IF(AND('Mapa final'!#REF!="Alta",'Mapa final'!#REF!="Mayor"),CONCATENATE("R10C",'Mapa final'!$Q$65),"")</f>
        <v>#REF!</v>
      </c>
      <c r="AG25" s="60" t="e">
        <f>IF(AND('Mapa final'!#REF!="Alta",'Mapa final'!#REF!="Mayor"),CONCATENATE("R10C",'Mapa final'!$Q$66),"")</f>
        <v>#REF!</v>
      </c>
      <c r="AH25" s="61" t="e">
        <f>IF(AND('Mapa final'!#REF!="Alta",'Mapa final'!#REF!="Catastrófico"),CONCATENATE("R10C",'Mapa final'!$Q$61),"")</f>
        <v>#REF!</v>
      </c>
      <c r="AI25" s="62" t="e">
        <f>IF(AND('Mapa final'!#REF!="Alta",'Mapa final'!#REF!="Catastrófico"),CONCATENATE("R10C",'Mapa final'!$Q$62),"")</f>
        <v>#REF!</v>
      </c>
      <c r="AJ25" s="62" t="e">
        <f>IF(AND('Mapa final'!#REF!="Alta",'Mapa final'!#REF!="Catastrófico"),CONCATENATE("R10C",'Mapa final'!$Q$63),"")</f>
        <v>#REF!</v>
      </c>
      <c r="AK25" s="62" t="e">
        <f>IF(AND('Mapa final'!#REF!="Alta",'Mapa final'!#REF!="Catastrófico"),CONCATENATE("R10C",'Mapa final'!$Q$64),"")</f>
        <v>#REF!</v>
      </c>
      <c r="AL25" s="62" t="e">
        <f>IF(AND('Mapa final'!#REF!="Alta",'Mapa final'!#REF!="Catastrófico"),CONCATENATE("R10C",'Mapa final'!$Q$65),"")</f>
        <v>#REF!</v>
      </c>
      <c r="AM25" s="63" t="e">
        <f>IF(AND('Mapa final'!#REF!="Alta",'Mapa final'!#REF!="Catastrófico"),CONCATENATE("R10C",'Mapa final'!$Q$66),"")</f>
        <v>#REF!</v>
      </c>
      <c r="AN25" s="83"/>
      <c r="AO25" s="341"/>
      <c r="AP25" s="342"/>
      <c r="AQ25" s="342"/>
      <c r="AR25" s="342"/>
      <c r="AS25" s="342"/>
      <c r="AT25" s="34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49"/>
      <c r="C26" s="249"/>
      <c r="D26" s="250"/>
      <c r="E26" s="344" t="s">
        <v>109</v>
      </c>
      <c r="F26" s="345"/>
      <c r="G26" s="345"/>
      <c r="H26" s="345"/>
      <c r="I26" s="362"/>
      <c r="J26" s="64" t="e">
        <f>IF(AND('Mapa final'!#REF!="Media",'Mapa final'!#REF!="Leve"),CONCATENATE("R1C",'Mapa final'!$Q$10),"")</f>
        <v>#REF!</v>
      </c>
      <c r="K26" s="65" t="e">
        <f>IF(AND('Mapa final'!#REF!="Media",'Mapa final'!#REF!="Leve"),CONCATENATE("R1C",'Mapa final'!$Q$11),"")</f>
        <v>#REF!</v>
      </c>
      <c r="L26" s="65" t="e">
        <f>IF(AND('Mapa final'!#REF!="Media",'Mapa final'!#REF!="Leve"),CONCATENATE("R1C",'Mapa final'!$Q$12),"")</f>
        <v>#REF!</v>
      </c>
      <c r="M26" s="65" t="e">
        <f>IF(AND('Mapa final'!#REF!="Media",'Mapa final'!#REF!="Leve"),CONCATENATE("R1C",'Mapa final'!#REF!),"")</f>
        <v>#REF!</v>
      </c>
      <c r="N26" s="65" t="e">
        <f>IF(AND('Mapa final'!#REF!="Media",'Mapa final'!#REF!="Leve"),CONCATENATE("R1C",'Mapa final'!#REF!),"")</f>
        <v>#REF!</v>
      </c>
      <c r="O26" s="66" t="e">
        <f>IF(AND('Mapa final'!#REF!="Media",'Mapa final'!#REF!="Leve"),CONCATENATE("R1C",'Mapa final'!#REF!),"")</f>
        <v>#REF!</v>
      </c>
      <c r="P26" s="64" t="e">
        <f>IF(AND('Mapa final'!#REF!="Media",'Mapa final'!#REF!="Menor"),CONCATENATE("R1C",'Mapa final'!$Q$10),"")</f>
        <v>#REF!</v>
      </c>
      <c r="Q26" s="65" t="e">
        <f>IF(AND('Mapa final'!#REF!="Media",'Mapa final'!#REF!="Menor"),CONCATENATE("R1C",'Mapa final'!$Q$11),"")</f>
        <v>#REF!</v>
      </c>
      <c r="R26" s="65" t="e">
        <f>IF(AND('Mapa final'!#REF!="Media",'Mapa final'!#REF!="Menor"),CONCATENATE("R1C",'Mapa final'!$Q$12),"")</f>
        <v>#REF!</v>
      </c>
      <c r="S26" s="65" t="e">
        <f>IF(AND('Mapa final'!#REF!="Media",'Mapa final'!#REF!="Menor"),CONCATENATE("R1C",'Mapa final'!#REF!),"")</f>
        <v>#REF!</v>
      </c>
      <c r="T26" s="65" t="e">
        <f>IF(AND('Mapa final'!#REF!="Media",'Mapa final'!#REF!="Menor"),CONCATENATE("R1C",'Mapa final'!#REF!),"")</f>
        <v>#REF!</v>
      </c>
      <c r="U26" s="66" t="e">
        <f>IF(AND('Mapa final'!#REF!="Media",'Mapa final'!#REF!="Menor"),CONCATENATE("R1C",'Mapa final'!#REF!),"")</f>
        <v>#REF!</v>
      </c>
      <c r="V26" s="64" t="e">
        <f>IF(AND('Mapa final'!#REF!="Media",'Mapa final'!#REF!="Moderado"),CONCATENATE("R1C",'Mapa final'!$Q$10),"")</f>
        <v>#REF!</v>
      </c>
      <c r="W26" s="65" t="e">
        <f>IF(AND('Mapa final'!#REF!="Media",'Mapa final'!#REF!="Moderado"),CONCATENATE("R1C",'Mapa final'!$Q$11),"")</f>
        <v>#REF!</v>
      </c>
      <c r="X26" s="65" t="e">
        <f>IF(AND('Mapa final'!#REF!="Media",'Mapa final'!#REF!="Moderado"),CONCATENATE("R1C",'Mapa final'!$Q$12),"")</f>
        <v>#REF!</v>
      </c>
      <c r="Y26" s="65" t="e">
        <f>IF(AND('Mapa final'!#REF!="Media",'Mapa final'!#REF!="Moderado"),CONCATENATE("R1C",'Mapa final'!#REF!),"")</f>
        <v>#REF!</v>
      </c>
      <c r="Z26" s="65" t="e">
        <f>IF(AND('Mapa final'!#REF!="Media",'Mapa final'!#REF!="Moderado"),CONCATENATE("R1C",'Mapa final'!#REF!),"")</f>
        <v>#REF!</v>
      </c>
      <c r="AA26" s="66" t="e">
        <f>IF(AND('Mapa final'!#REF!="Media",'Mapa final'!#REF!="Moderado"),CONCATENATE("R1C",'Mapa final'!#REF!),"")</f>
        <v>#REF!</v>
      </c>
      <c r="AB26" s="46" t="e">
        <f>IF(AND('Mapa final'!#REF!="Media",'Mapa final'!#REF!="Mayor"),CONCATENATE("R1C",'Mapa final'!$Q$10),"")</f>
        <v>#REF!</v>
      </c>
      <c r="AC26" s="47" t="e">
        <f>IF(AND('Mapa final'!#REF!="Media",'Mapa final'!#REF!="Mayor"),CONCATENATE("R1C",'Mapa final'!$Q$11),"")</f>
        <v>#REF!</v>
      </c>
      <c r="AD26" s="47" t="e">
        <f>IF(AND('Mapa final'!#REF!="Media",'Mapa final'!#REF!="Mayor"),CONCATENATE("R1C",'Mapa final'!$Q$12),"")</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e">
        <f>IF(AND('Mapa final'!#REF!="Media",'Mapa final'!#REF!="Catastrófico"),CONCATENATE("R1C",'Mapa final'!$Q$10),"")</f>
        <v>#REF!</v>
      </c>
      <c r="AI26" s="50" t="e">
        <f>IF(AND('Mapa final'!#REF!="Media",'Mapa final'!#REF!="Catastrófico"),CONCATENATE("R1C",'Mapa final'!$Q$11),"")</f>
        <v>#REF!</v>
      </c>
      <c r="AJ26" s="50" t="e">
        <f>IF(AND('Mapa final'!#REF!="Media",'Mapa final'!#REF!="Catastrófico"),CONCATENATE("R1C",'Mapa final'!$Q$12),"")</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3"/>
      <c r="AO26" s="374" t="s">
        <v>73</v>
      </c>
      <c r="AP26" s="375"/>
      <c r="AQ26" s="375"/>
      <c r="AR26" s="375"/>
      <c r="AS26" s="375"/>
      <c r="AT26" s="37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49"/>
      <c r="C27" s="249"/>
      <c r="D27" s="250"/>
      <c r="E27" s="346"/>
      <c r="F27" s="347"/>
      <c r="G27" s="347"/>
      <c r="H27" s="347"/>
      <c r="I27" s="363"/>
      <c r="J27" s="67" t="str">
        <f>IF(AND([1]Hoja1!$X$2="Media",[1]Hoja1!$Z$2="Leve"),CONCATENATE("R2C",[1]Hoja1!$N$2),"")</f>
        <v/>
      </c>
      <c r="K27" s="68" t="str">
        <f>IF(AND([1]Hoja1!$X$3="Media",[1]Hoja1!$Z$3="Leve"),CONCATENATE("R2C",[1]Hoja1!$N$3),"")</f>
        <v/>
      </c>
      <c r="L27" s="68" t="str">
        <f>IF(AND([1]Hoja1!$X$4="Media",[1]Hoja1!$Z$4="Leve"),CONCATENATE("R2C",[1]Hoja1!$N$4),"")</f>
        <v/>
      </c>
      <c r="M27" s="68" t="str">
        <f>IF(AND([1]Hoja1!$X$5="Media",[1]Hoja1!$Z$5="Leve"),CONCATENATE("R2C",[1]Hoja1!$N$5),"")</f>
        <v/>
      </c>
      <c r="N27" s="68" t="str">
        <f>IF(AND([1]Hoja1!$X$6="Media",[1]Hoja1!$Z$6="Leve"),CONCATENATE("R2C",[1]Hoja1!$N$6),"")</f>
        <v/>
      </c>
      <c r="O27" s="69" t="str">
        <f>IF(AND([1]Hoja1!$X$7="Media",[1]Hoja1!$Z$7="Leve"),CONCATENATE("R2C",[1]Hoja1!$N$7),"")</f>
        <v/>
      </c>
      <c r="P27" s="67" t="str">
        <f>IF(AND([1]Hoja1!$X$2="Media",[1]Hoja1!$Z$2="Menor"),CONCATENATE("R2C",[1]Hoja1!$N$2),"")</f>
        <v/>
      </c>
      <c r="Q27" s="68" t="str">
        <f>IF(AND([1]Hoja1!$X$3="Media",[1]Hoja1!$Z$3="Menor"),CONCATENATE("R2C",[1]Hoja1!$N$3),"")</f>
        <v/>
      </c>
      <c r="R27" s="68" t="str">
        <f>IF(AND([1]Hoja1!$X$4="Media",[1]Hoja1!$Z$4="Menor"),CONCATENATE("R2C",[1]Hoja1!$N$4),"")</f>
        <v/>
      </c>
      <c r="S27" s="68" t="str">
        <f>IF(AND([1]Hoja1!$X$5="Media",[1]Hoja1!$Z$5="Menor"),CONCATENATE("R2C",[1]Hoja1!$N$5),"")</f>
        <v/>
      </c>
      <c r="T27" s="68" t="str">
        <f>IF(AND([1]Hoja1!$X$6="Media",[1]Hoja1!$Z$6="Menor"),CONCATENATE("R2C",[1]Hoja1!$N$6),"")</f>
        <v/>
      </c>
      <c r="U27" s="69" t="str">
        <f>IF(AND([1]Hoja1!$X$7="Media",[1]Hoja1!$Z$7="Menor"),CONCATENATE("R2C",[1]Hoja1!$N$7),"")</f>
        <v/>
      </c>
      <c r="V27" s="67" t="str">
        <f>IF(AND([1]Hoja1!$X$2="Media",[1]Hoja1!$Z$2="Moderado"),CONCATENATE("R2C",[1]Hoja1!$N$2),"")</f>
        <v/>
      </c>
      <c r="W27" s="68" t="str">
        <f>IF(AND([1]Hoja1!$X$3="Media",[1]Hoja1!$Z$3="Moderado"),CONCATENATE("R2C",[1]Hoja1!$N$3),"")</f>
        <v/>
      </c>
      <c r="X27" s="68" t="str">
        <f>IF(AND([1]Hoja1!$X$4="Media",[1]Hoja1!$Z$4="Moderado"),CONCATENATE("R2C",[1]Hoja1!$N$4),"")</f>
        <v/>
      </c>
      <c r="Y27" s="68" t="str">
        <f>IF(AND([1]Hoja1!$X$5="Media",[1]Hoja1!$Z$5="Moderado"),CONCATENATE("R2C",[1]Hoja1!$N$5),"")</f>
        <v/>
      </c>
      <c r="Z27" s="68" t="str">
        <f>IF(AND([1]Hoja1!$X$6="Media",[1]Hoja1!$Z$6="Moderado"),CONCATENATE("R2C",[1]Hoja1!$N$6),"")</f>
        <v/>
      </c>
      <c r="AA27" s="69" t="str">
        <f>IF(AND([1]Hoja1!$X$7="Media",[1]Hoja1!$Z$7="Moderado"),CONCATENATE("R2C",[1]Hoja1!$N$7),"")</f>
        <v/>
      </c>
      <c r="AB27" s="52" t="str">
        <f>IF(AND([1]Hoja1!$X$2="Media",[1]Hoja1!$Z$2="Mayor"),CONCATENATE("R2C",[1]Hoja1!$N$2),"")</f>
        <v/>
      </c>
      <c r="AC27" s="53" t="str">
        <f>IF(AND([1]Hoja1!$X$3="Media",[1]Hoja1!$Z$3="Mayor"),CONCATENATE("R2C",[1]Hoja1!$N$3),"")</f>
        <v/>
      </c>
      <c r="AD27" s="53" t="str">
        <f>IF(AND([1]Hoja1!$X$4="Media",[1]Hoja1!$Z$4="Mayor"),CONCATENATE("R2C",[1]Hoja1!$N$4),"")</f>
        <v/>
      </c>
      <c r="AE27" s="53" t="str">
        <f>IF(AND([1]Hoja1!$X$5="Media",[1]Hoja1!$Z$5="Mayor"),CONCATENATE("R2C",[1]Hoja1!$N$5),"")</f>
        <v/>
      </c>
      <c r="AF27" s="53" t="str">
        <f>IF(AND([1]Hoja1!$X$6="Media",[1]Hoja1!$Z$6="Mayor"),CONCATENATE("R2C",[1]Hoja1!$N$6),"")</f>
        <v/>
      </c>
      <c r="AG27" s="54" t="str">
        <f>IF(AND([1]Hoja1!$X$7="Media",[1]Hoja1!$Z$7="Mayor"),CONCATENATE("R2C",[1]Hoja1!$N$7),"")</f>
        <v/>
      </c>
      <c r="AH27" s="55" t="str">
        <f>IF(AND([1]Hoja1!$X$2="Media",[1]Hoja1!$Z$2="Catastrófico"),CONCATENATE("R2C",[1]Hoja1!$N$2),"")</f>
        <v/>
      </c>
      <c r="AI27" s="56" t="str">
        <f>IF(AND([1]Hoja1!$X$3="Media",[1]Hoja1!$Z$3="Catastrófico"),CONCATENATE("R2C",[1]Hoja1!$N$3),"")</f>
        <v/>
      </c>
      <c r="AJ27" s="56" t="str">
        <f>IF(AND([1]Hoja1!$X$4="Media",[1]Hoja1!$Z$4="Catastrófico"),CONCATENATE("R2C",[1]Hoja1!$N$4),"")</f>
        <v/>
      </c>
      <c r="AK27" s="56" t="str">
        <f>IF(AND([1]Hoja1!$X$5="Media",[1]Hoja1!$Z$5="Catastrófico"),CONCATENATE("R2C",[1]Hoja1!$N$5),"")</f>
        <v/>
      </c>
      <c r="AL27" s="56" t="str">
        <f>IF(AND([1]Hoja1!$X$6="Media",[1]Hoja1!$Z$6="Catastrófico"),CONCATENATE("R2C",[1]Hoja1!$N$6),"")</f>
        <v/>
      </c>
      <c r="AM27" s="57" t="str">
        <f>IF(AND([1]Hoja1!$X$7="Media",[1]Hoja1!$Z$7="Catastrófico"),CONCATENATE("R2C",[1]Hoja1!$N$7),"")</f>
        <v/>
      </c>
      <c r="AN27" s="83"/>
      <c r="AO27" s="377"/>
      <c r="AP27" s="378"/>
      <c r="AQ27" s="378"/>
      <c r="AR27" s="378"/>
      <c r="AS27" s="378"/>
      <c r="AT27" s="37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49"/>
      <c r="C28" s="249"/>
      <c r="D28" s="250"/>
      <c r="E28" s="348"/>
      <c r="F28" s="347"/>
      <c r="G28" s="347"/>
      <c r="H28" s="347"/>
      <c r="I28" s="363"/>
      <c r="J28" s="67" t="e">
        <f>IF(AND('Mapa final'!#REF!="Media",'Mapa final'!#REF!="Leve"),CONCATENATE("R3C",'Mapa final'!$Q$19),"")</f>
        <v>#REF!</v>
      </c>
      <c r="K28" s="68" t="e">
        <f>IF(AND('Mapa final'!#REF!="Media",'Mapa final'!#REF!="Leve"),CONCATENATE("R3C",'Mapa final'!$Q$20),"")</f>
        <v>#REF!</v>
      </c>
      <c r="L28" s="68" t="e">
        <f>IF(AND('Mapa final'!#REF!="Media",'Mapa final'!#REF!="Leve"),CONCATENATE("R3C",'Mapa final'!$Q$21),"")</f>
        <v>#REF!</v>
      </c>
      <c r="M28" s="68" t="e">
        <f>IF(AND('Mapa final'!#REF!="Media",'Mapa final'!#REF!="Leve"),CONCATENATE("R3C",'Mapa final'!$Q$22),"")</f>
        <v>#REF!</v>
      </c>
      <c r="N28" s="68" t="e">
        <f>IF(AND('Mapa final'!#REF!="Media",'Mapa final'!#REF!="Leve"),CONCATENATE("R3C",'Mapa final'!$Q$23),"")</f>
        <v>#REF!</v>
      </c>
      <c r="O28" s="69" t="e">
        <f>IF(AND('Mapa final'!#REF!="Media",'Mapa final'!#REF!="Leve"),CONCATENATE("R3C",'Mapa final'!$Q$24),"")</f>
        <v>#REF!</v>
      </c>
      <c r="P28" s="67" t="e">
        <f>IF(AND('Mapa final'!#REF!="Media",'Mapa final'!#REF!="Menor"),CONCATENATE("R3C",'Mapa final'!$Q$19),"")</f>
        <v>#REF!</v>
      </c>
      <c r="Q28" s="68" t="e">
        <f>IF(AND('Mapa final'!#REF!="Media",'Mapa final'!#REF!="Menor"),CONCATENATE("R3C",'Mapa final'!$Q$20),"")</f>
        <v>#REF!</v>
      </c>
      <c r="R28" s="68" t="e">
        <f>IF(AND('Mapa final'!#REF!="Media",'Mapa final'!#REF!="Menor"),CONCATENATE("R3C",'Mapa final'!$Q$21),"")</f>
        <v>#REF!</v>
      </c>
      <c r="S28" s="68" t="e">
        <f>IF(AND('Mapa final'!#REF!="Media",'Mapa final'!#REF!="Menor"),CONCATENATE("R3C",'Mapa final'!$Q$22),"")</f>
        <v>#REF!</v>
      </c>
      <c r="T28" s="68" t="e">
        <f>IF(AND('Mapa final'!#REF!="Media",'Mapa final'!#REF!="Menor"),CONCATENATE("R3C",'Mapa final'!$Q$23),"")</f>
        <v>#REF!</v>
      </c>
      <c r="U28" s="69" t="e">
        <f>IF(AND('Mapa final'!#REF!="Media",'Mapa final'!#REF!="Menor"),CONCATENATE("R3C",'Mapa final'!$Q$24),"")</f>
        <v>#REF!</v>
      </c>
      <c r="V28" s="67" t="e">
        <f>IF(AND('Mapa final'!#REF!="Media",'Mapa final'!#REF!="Moderado"),CONCATENATE("R3C",'Mapa final'!$Q$19),"")</f>
        <v>#REF!</v>
      </c>
      <c r="W28" s="68" t="e">
        <f>IF(AND('Mapa final'!#REF!="Media",'Mapa final'!#REF!="Moderado"),CONCATENATE("R3C",'Mapa final'!$Q$20),"")</f>
        <v>#REF!</v>
      </c>
      <c r="X28" s="68" t="e">
        <f>IF(AND('Mapa final'!#REF!="Media",'Mapa final'!#REF!="Moderado"),CONCATENATE("R3C",'Mapa final'!$Q$21),"")</f>
        <v>#REF!</v>
      </c>
      <c r="Y28" s="68" t="e">
        <f>IF(AND('Mapa final'!#REF!="Media",'Mapa final'!#REF!="Moderado"),CONCATENATE("R3C",'Mapa final'!$Q$22),"")</f>
        <v>#REF!</v>
      </c>
      <c r="Z28" s="68" t="e">
        <f>IF(AND('Mapa final'!#REF!="Media",'Mapa final'!#REF!="Moderado"),CONCATENATE("R3C",'Mapa final'!$Q$23),"")</f>
        <v>#REF!</v>
      </c>
      <c r="AA28" s="69" t="e">
        <f>IF(AND('Mapa final'!#REF!="Media",'Mapa final'!#REF!="Moderado"),CONCATENATE("R3C",'Mapa final'!$Q$24),"")</f>
        <v>#REF!</v>
      </c>
      <c r="AB28" s="52" t="e">
        <f>IF(AND('Mapa final'!#REF!="Media",'Mapa final'!#REF!="Mayor"),CONCATENATE("R3C",'Mapa final'!$Q$19),"")</f>
        <v>#REF!</v>
      </c>
      <c r="AC28" s="53" t="e">
        <f>IF(AND('Mapa final'!#REF!="Media",'Mapa final'!#REF!="Mayor"),CONCATENATE("R3C",'Mapa final'!$Q$20),"")</f>
        <v>#REF!</v>
      </c>
      <c r="AD28" s="53" t="e">
        <f>IF(AND('Mapa final'!#REF!="Media",'Mapa final'!#REF!="Mayor"),CONCATENATE("R3C",'Mapa final'!$Q$21),"")</f>
        <v>#REF!</v>
      </c>
      <c r="AE28" s="53" t="e">
        <f>IF(AND('Mapa final'!#REF!="Media",'Mapa final'!#REF!="Mayor"),CONCATENATE("R3C",'Mapa final'!$Q$22),"")</f>
        <v>#REF!</v>
      </c>
      <c r="AF28" s="53" t="e">
        <f>IF(AND('Mapa final'!#REF!="Media",'Mapa final'!#REF!="Mayor"),CONCATENATE("R3C",'Mapa final'!$Q$23),"")</f>
        <v>#REF!</v>
      </c>
      <c r="AG28" s="54" t="e">
        <f>IF(AND('Mapa final'!#REF!="Media",'Mapa final'!#REF!="Mayor"),CONCATENATE("R3C",'Mapa final'!$Q$24),"")</f>
        <v>#REF!</v>
      </c>
      <c r="AH28" s="55" t="e">
        <f>IF(AND('Mapa final'!#REF!="Media",'Mapa final'!#REF!="Catastrófico"),CONCATENATE("R3C",'Mapa final'!$Q$19),"")</f>
        <v>#REF!</v>
      </c>
      <c r="AI28" s="56" t="e">
        <f>IF(AND('Mapa final'!#REF!="Media",'Mapa final'!#REF!="Catastrófico"),CONCATENATE("R3C",'Mapa final'!$Q$20),"")</f>
        <v>#REF!</v>
      </c>
      <c r="AJ28" s="56" t="e">
        <f>IF(AND('Mapa final'!#REF!="Media",'Mapa final'!#REF!="Catastrófico"),CONCATENATE("R3C",'Mapa final'!$Q$21),"")</f>
        <v>#REF!</v>
      </c>
      <c r="AK28" s="56" t="e">
        <f>IF(AND('Mapa final'!#REF!="Media",'Mapa final'!#REF!="Catastrófico"),CONCATENATE("R3C",'Mapa final'!$Q$22),"")</f>
        <v>#REF!</v>
      </c>
      <c r="AL28" s="56" t="e">
        <f>IF(AND('Mapa final'!#REF!="Media",'Mapa final'!#REF!="Catastrófico"),CONCATENATE("R3C",'Mapa final'!$Q$23),"")</f>
        <v>#REF!</v>
      </c>
      <c r="AM28" s="57" t="e">
        <f>IF(AND('Mapa final'!#REF!="Media",'Mapa final'!#REF!="Catastrófico"),CONCATENATE("R3C",'Mapa final'!$Q$24),"")</f>
        <v>#REF!</v>
      </c>
      <c r="AN28" s="83"/>
      <c r="AO28" s="377"/>
      <c r="AP28" s="378"/>
      <c r="AQ28" s="378"/>
      <c r="AR28" s="378"/>
      <c r="AS28" s="378"/>
      <c r="AT28" s="37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49"/>
      <c r="C29" s="249"/>
      <c r="D29" s="250"/>
      <c r="E29" s="348"/>
      <c r="F29" s="347"/>
      <c r="G29" s="347"/>
      <c r="H29" s="347"/>
      <c r="I29" s="363"/>
      <c r="J29" s="67" t="e">
        <f>IF(AND('Mapa final'!#REF!="Media",'Mapa final'!#REF!="Leve"),CONCATENATE("R4C",'Mapa final'!$Q$25),"")</f>
        <v>#REF!</v>
      </c>
      <c r="K29" s="68" t="e">
        <f>IF(AND('Mapa final'!#REF!="Media",'Mapa final'!#REF!="Leve"),CONCATENATE("R4C",'Mapa final'!$Q$26),"")</f>
        <v>#REF!</v>
      </c>
      <c r="L29" s="68" t="e">
        <f>IF(AND('Mapa final'!#REF!="Media",'Mapa final'!#REF!="Leve"),CONCATENATE("R4C",'Mapa final'!$Q$27),"")</f>
        <v>#REF!</v>
      </c>
      <c r="M29" s="68" t="e">
        <f>IF(AND('Mapa final'!#REF!="Media",'Mapa final'!#REF!="Leve"),CONCATENATE("R4C",'Mapa final'!$Q$28),"")</f>
        <v>#REF!</v>
      </c>
      <c r="N29" s="68" t="e">
        <f>IF(AND('Mapa final'!#REF!="Media",'Mapa final'!#REF!="Leve"),CONCATENATE("R4C",'Mapa final'!$Q$29),"")</f>
        <v>#REF!</v>
      </c>
      <c r="O29" s="69" t="e">
        <f>IF(AND('Mapa final'!#REF!="Media",'Mapa final'!#REF!="Leve"),CONCATENATE("R4C",'Mapa final'!$Q$30),"")</f>
        <v>#REF!</v>
      </c>
      <c r="P29" s="67" t="e">
        <f>IF(AND('Mapa final'!#REF!="Media",'Mapa final'!#REF!="Menor"),CONCATENATE("R4C",'Mapa final'!$Q$25),"")</f>
        <v>#REF!</v>
      </c>
      <c r="Q29" s="68" t="e">
        <f>IF(AND('Mapa final'!#REF!="Media",'Mapa final'!#REF!="Menor"),CONCATENATE("R4C",'Mapa final'!$Q$26),"")</f>
        <v>#REF!</v>
      </c>
      <c r="R29" s="68" t="e">
        <f>IF(AND('Mapa final'!#REF!="Media",'Mapa final'!#REF!="Menor"),CONCATENATE("R4C",'Mapa final'!$Q$27),"")</f>
        <v>#REF!</v>
      </c>
      <c r="S29" s="68" t="e">
        <f>IF(AND('Mapa final'!#REF!="Media",'Mapa final'!#REF!="Menor"),CONCATENATE("R4C",'Mapa final'!$Q$28),"")</f>
        <v>#REF!</v>
      </c>
      <c r="T29" s="68" t="e">
        <f>IF(AND('Mapa final'!#REF!="Media",'Mapa final'!#REF!="Menor"),CONCATENATE("R4C",'Mapa final'!$Q$29),"")</f>
        <v>#REF!</v>
      </c>
      <c r="U29" s="69" t="e">
        <f>IF(AND('Mapa final'!#REF!="Media",'Mapa final'!#REF!="Menor"),CONCATENATE("R4C",'Mapa final'!$Q$30),"")</f>
        <v>#REF!</v>
      </c>
      <c r="V29" s="67" t="e">
        <f>IF(AND('Mapa final'!#REF!="Media",'Mapa final'!#REF!="Moderado"),CONCATENATE("R4C",'Mapa final'!$Q$25),"")</f>
        <v>#REF!</v>
      </c>
      <c r="W29" s="68" t="e">
        <f>IF(AND('Mapa final'!#REF!="Media",'Mapa final'!#REF!="Moderado"),CONCATENATE("R4C",'Mapa final'!$Q$26),"")</f>
        <v>#REF!</v>
      </c>
      <c r="X29" s="68" t="e">
        <f>IF(AND('Mapa final'!#REF!="Media",'Mapa final'!#REF!="Moderado"),CONCATENATE("R4C",'Mapa final'!$Q$27),"")</f>
        <v>#REF!</v>
      </c>
      <c r="Y29" s="68" t="e">
        <f>IF(AND('Mapa final'!#REF!="Media",'Mapa final'!#REF!="Moderado"),CONCATENATE("R4C",'Mapa final'!$Q$28),"")</f>
        <v>#REF!</v>
      </c>
      <c r="Z29" s="68" t="e">
        <f>IF(AND('Mapa final'!#REF!="Media",'Mapa final'!#REF!="Moderado"),CONCATENATE("R4C",'Mapa final'!$Q$29),"")</f>
        <v>#REF!</v>
      </c>
      <c r="AA29" s="69" t="e">
        <f>IF(AND('Mapa final'!#REF!="Media",'Mapa final'!#REF!="Moderado"),CONCATENATE("R4C",'Mapa final'!$Q$30),"")</f>
        <v>#REF!</v>
      </c>
      <c r="AB29" s="52" t="e">
        <f>IF(AND('Mapa final'!#REF!="Media",'Mapa final'!#REF!="Mayor"),CONCATENATE("R4C",'Mapa final'!$Q$25),"")</f>
        <v>#REF!</v>
      </c>
      <c r="AC29" s="53" t="e">
        <f>IF(AND('Mapa final'!#REF!="Media",'Mapa final'!#REF!="Mayor"),CONCATENATE("R4C",'Mapa final'!$Q$26),"")</f>
        <v>#REF!</v>
      </c>
      <c r="AD29" s="53" t="e">
        <f>IF(AND('Mapa final'!#REF!="Media",'Mapa final'!#REF!="Mayor"),CONCATENATE("R4C",'Mapa final'!$Q$27),"")</f>
        <v>#REF!</v>
      </c>
      <c r="AE29" s="53" t="e">
        <f>IF(AND('Mapa final'!#REF!="Media",'Mapa final'!#REF!="Mayor"),CONCATENATE("R4C",'Mapa final'!$Q$28),"")</f>
        <v>#REF!</v>
      </c>
      <c r="AF29" s="53" t="e">
        <f>IF(AND('Mapa final'!#REF!="Media",'Mapa final'!#REF!="Mayor"),CONCATENATE("R4C",'Mapa final'!$Q$29),"")</f>
        <v>#REF!</v>
      </c>
      <c r="AG29" s="54" t="e">
        <f>IF(AND('Mapa final'!#REF!="Media",'Mapa final'!#REF!="Mayor"),CONCATENATE("R4C",'Mapa final'!$Q$30),"")</f>
        <v>#REF!</v>
      </c>
      <c r="AH29" s="55" t="e">
        <f>IF(AND('Mapa final'!#REF!="Media",'Mapa final'!#REF!="Catastrófico"),CONCATENATE("R4C",'Mapa final'!$Q$25),"")</f>
        <v>#REF!</v>
      </c>
      <c r="AI29" s="56" t="e">
        <f>IF(AND('Mapa final'!#REF!="Media",'Mapa final'!#REF!="Catastrófico"),CONCATENATE("R4C",'Mapa final'!$Q$26),"")</f>
        <v>#REF!</v>
      </c>
      <c r="AJ29" s="56" t="e">
        <f>IF(AND('Mapa final'!#REF!="Media",'Mapa final'!#REF!="Catastrófico"),CONCATENATE("R4C",'Mapa final'!$Q$27),"")</f>
        <v>#REF!</v>
      </c>
      <c r="AK29" s="56" t="e">
        <f>IF(AND('Mapa final'!#REF!="Media",'Mapa final'!#REF!="Catastrófico"),CONCATENATE("R4C",'Mapa final'!$Q$28),"")</f>
        <v>#REF!</v>
      </c>
      <c r="AL29" s="56" t="e">
        <f>IF(AND('Mapa final'!#REF!="Media",'Mapa final'!#REF!="Catastrófico"),CONCATENATE("R4C",'Mapa final'!$Q$29),"")</f>
        <v>#REF!</v>
      </c>
      <c r="AM29" s="57" t="e">
        <f>IF(AND('Mapa final'!#REF!="Media",'Mapa final'!#REF!="Catastrófico"),CONCATENATE("R4C",'Mapa final'!$Q$30),"")</f>
        <v>#REF!</v>
      </c>
      <c r="AN29" s="83"/>
      <c r="AO29" s="377"/>
      <c r="AP29" s="378"/>
      <c r="AQ29" s="378"/>
      <c r="AR29" s="378"/>
      <c r="AS29" s="378"/>
      <c r="AT29" s="37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49"/>
      <c r="C30" s="249"/>
      <c r="D30" s="250"/>
      <c r="E30" s="348"/>
      <c r="F30" s="347"/>
      <c r="G30" s="347"/>
      <c r="H30" s="347"/>
      <c r="I30" s="363"/>
      <c r="J30" s="67" t="e">
        <f>IF(AND('Mapa final'!#REF!="Media",'Mapa final'!#REF!="Leve"),CONCATENATE("R5C",'Mapa final'!$Q$31),"")</f>
        <v>#REF!</v>
      </c>
      <c r="K30" s="68" t="e">
        <f>IF(AND('Mapa final'!#REF!="Media",'Mapa final'!#REF!="Leve"),CONCATENATE("R5C",'Mapa final'!$Q$32),"")</f>
        <v>#REF!</v>
      </c>
      <c r="L30" s="68" t="e">
        <f>IF(AND('Mapa final'!#REF!="Media",'Mapa final'!#REF!="Leve"),CONCATENATE("R5C",'Mapa final'!$Q$33),"")</f>
        <v>#REF!</v>
      </c>
      <c r="M30" s="68" t="e">
        <f>IF(AND('Mapa final'!#REF!="Media",'Mapa final'!#REF!="Leve"),CONCATENATE("R5C",'Mapa final'!$Q$34),"")</f>
        <v>#REF!</v>
      </c>
      <c r="N30" s="68" t="e">
        <f>IF(AND('Mapa final'!#REF!="Media",'Mapa final'!#REF!="Leve"),CONCATENATE("R5C",'Mapa final'!$Q$35),"")</f>
        <v>#REF!</v>
      </c>
      <c r="O30" s="69" t="e">
        <f>IF(AND('Mapa final'!#REF!="Media",'Mapa final'!#REF!="Leve"),CONCATENATE("R5C",'Mapa final'!$Q$36),"")</f>
        <v>#REF!</v>
      </c>
      <c r="P30" s="67" t="e">
        <f>IF(AND('Mapa final'!#REF!="Media",'Mapa final'!#REF!="Menor"),CONCATENATE("R5C",'Mapa final'!$Q$31),"")</f>
        <v>#REF!</v>
      </c>
      <c r="Q30" s="68" t="e">
        <f>IF(AND('Mapa final'!#REF!="Media",'Mapa final'!#REF!="Menor"),CONCATENATE("R5C",'Mapa final'!$Q$32),"")</f>
        <v>#REF!</v>
      </c>
      <c r="R30" s="68" t="e">
        <f>IF(AND('Mapa final'!#REF!="Media",'Mapa final'!#REF!="Menor"),CONCATENATE("R5C",'Mapa final'!$Q$33),"")</f>
        <v>#REF!</v>
      </c>
      <c r="S30" s="68" t="e">
        <f>IF(AND('Mapa final'!#REF!="Media",'Mapa final'!#REF!="Menor"),CONCATENATE("R5C",'Mapa final'!$Q$34),"")</f>
        <v>#REF!</v>
      </c>
      <c r="T30" s="68" t="e">
        <f>IF(AND('Mapa final'!#REF!="Media",'Mapa final'!#REF!="Menor"),CONCATENATE("R5C",'Mapa final'!$Q$35),"")</f>
        <v>#REF!</v>
      </c>
      <c r="U30" s="69" t="e">
        <f>IF(AND('Mapa final'!#REF!="Media",'Mapa final'!#REF!="Menor"),CONCATENATE("R5C",'Mapa final'!$Q$36),"")</f>
        <v>#REF!</v>
      </c>
      <c r="V30" s="67" t="e">
        <f>IF(AND('Mapa final'!#REF!="Media",'Mapa final'!#REF!="Moderado"),CONCATENATE("R5C",'Mapa final'!$Q$31),"")</f>
        <v>#REF!</v>
      </c>
      <c r="W30" s="68" t="e">
        <f>IF(AND('Mapa final'!#REF!="Media",'Mapa final'!#REF!="Moderado"),CONCATENATE("R5C",'Mapa final'!$Q$32),"")</f>
        <v>#REF!</v>
      </c>
      <c r="X30" s="68" t="e">
        <f>IF(AND('Mapa final'!#REF!="Media",'Mapa final'!#REF!="Moderado"),CONCATENATE("R5C",'Mapa final'!$Q$33),"")</f>
        <v>#REF!</v>
      </c>
      <c r="Y30" s="68" t="e">
        <f>IF(AND('Mapa final'!#REF!="Media",'Mapa final'!#REF!="Moderado"),CONCATENATE("R5C",'Mapa final'!$Q$34),"")</f>
        <v>#REF!</v>
      </c>
      <c r="Z30" s="68" t="e">
        <f>IF(AND('Mapa final'!#REF!="Media",'Mapa final'!#REF!="Moderado"),CONCATENATE("R5C",'Mapa final'!$Q$35),"")</f>
        <v>#REF!</v>
      </c>
      <c r="AA30" s="69" t="e">
        <f>IF(AND('Mapa final'!#REF!="Media",'Mapa final'!#REF!="Moderado"),CONCATENATE("R5C",'Mapa final'!$Q$36),"")</f>
        <v>#REF!</v>
      </c>
      <c r="AB30" s="52" t="e">
        <f>IF(AND('Mapa final'!#REF!="Media",'Mapa final'!#REF!="Mayor"),CONCATENATE("R5C",'Mapa final'!$Q$31),"")</f>
        <v>#REF!</v>
      </c>
      <c r="AC30" s="53" t="e">
        <f>IF(AND('Mapa final'!#REF!="Media",'Mapa final'!#REF!="Mayor"),CONCATENATE("R5C",'Mapa final'!$Q$32),"")</f>
        <v>#REF!</v>
      </c>
      <c r="AD30" s="53" t="e">
        <f>IF(AND('Mapa final'!#REF!="Media",'Mapa final'!#REF!="Mayor"),CONCATENATE("R5C",'Mapa final'!$Q$33),"")</f>
        <v>#REF!</v>
      </c>
      <c r="AE30" s="53" t="e">
        <f>IF(AND('Mapa final'!#REF!="Media",'Mapa final'!#REF!="Mayor"),CONCATENATE("R5C",'Mapa final'!$Q$34),"")</f>
        <v>#REF!</v>
      </c>
      <c r="AF30" s="53" t="e">
        <f>IF(AND('Mapa final'!#REF!="Media",'Mapa final'!#REF!="Mayor"),CONCATENATE("R5C",'Mapa final'!$Q$35),"")</f>
        <v>#REF!</v>
      </c>
      <c r="AG30" s="54" t="e">
        <f>IF(AND('Mapa final'!#REF!="Media",'Mapa final'!#REF!="Mayor"),CONCATENATE("R5C",'Mapa final'!$Q$36),"")</f>
        <v>#REF!</v>
      </c>
      <c r="AH30" s="55" t="e">
        <f>IF(AND('Mapa final'!#REF!="Media",'Mapa final'!#REF!="Catastrófico"),CONCATENATE("R5C",'Mapa final'!$Q$31),"")</f>
        <v>#REF!</v>
      </c>
      <c r="AI30" s="56" t="e">
        <f>IF(AND('Mapa final'!#REF!="Media",'Mapa final'!#REF!="Catastrófico"),CONCATENATE("R5C",'Mapa final'!$Q$32),"")</f>
        <v>#REF!</v>
      </c>
      <c r="AJ30" s="56" t="e">
        <f>IF(AND('Mapa final'!#REF!="Media",'Mapa final'!#REF!="Catastrófico"),CONCATENATE("R5C",'Mapa final'!$Q$33),"")</f>
        <v>#REF!</v>
      </c>
      <c r="AK30" s="56" t="e">
        <f>IF(AND('Mapa final'!#REF!="Media",'Mapa final'!#REF!="Catastrófico"),CONCATENATE("R5C",'Mapa final'!$Q$34),"")</f>
        <v>#REF!</v>
      </c>
      <c r="AL30" s="56" t="e">
        <f>IF(AND('Mapa final'!#REF!="Media",'Mapa final'!#REF!="Catastrófico"),CONCATENATE("R5C",'Mapa final'!$Q$35),"")</f>
        <v>#REF!</v>
      </c>
      <c r="AM30" s="57" t="e">
        <f>IF(AND('Mapa final'!#REF!="Media",'Mapa final'!#REF!="Catastrófico"),CONCATENATE("R5C",'Mapa final'!$Q$36),"")</f>
        <v>#REF!</v>
      </c>
      <c r="AN30" s="83"/>
      <c r="AO30" s="377"/>
      <c r="AP30" s="378"/>
      <c r="AQ30" s="378"/>
      <c r="AR30" s="378"/>
      <c r="AS30" s="378"/>
      <c r="AT30" s="37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49"/>
      <c r="C31" s="249"/>
      <c r="D31" s="250"/>
      <c r="E31" s="348"/>
      <c r="F31" s="347"/>
      <c r="G31" s="347"/>
      <c r="H31" s="347"/>
      <c r="I31" s="363"/>
      <c r="J31" s="67" t="e">
        <f>IF(AND('Mapa final'!#REF!="Media",'Mapa final'!#REF!="Leve"),CONCATENATE("R6C",'Mapa final'!$Q$37),"")</f>
        <v>#REF!</v>
      </c>
      <c r="K31" s="68" t="e">
        <f>IF(AND('Mapa final'!#REF!="Media",'Mapa final'!#REF!="Leve"),CONCATENATE("R6C",'Mapa final'!$Q$38),"")</f>
        <v>#REF!</v>
      </c>
      <c r="L31" s="68" t="e">
        <f>IF(AND('Mapa final'!#REF!="Media",'Mapa final'!#REF!="Leve"),CONCATENATE("R6C",'Mapa final'!$Q$39),"")</f>
        <v>#REF!</v>
      </c>
      <c r="M31" s="68" t="e">
        <f>IF(AND('Mapa final'!#REF!="Media",'Mapa final'!#REF!="Leve"),CONCATENATE("R6C",'Mapa final'!$Q$40),"")</f>
        <v>#REF!</v>
      </c>
      <c r="N31" s="68" t="e">
        <f>IF(AND('Mapa final'!#REF!="Media",'Mapa final'!#REF!="Leve"),CONCATENATE("R6C",'Mapa final'!$Q$41),"")</f>
        <v>#REF!</v>
      </c>
      <c r="O31" s="69" t="e">
        <f>IF(AND('Mapa final'!#REF!="Media",'Mapa final'!#REF!="Leve"),CONCATENATE("R6C",'Mapa final'!$Q$42),"")</f>
        <v>#REF!</v>
      </c>
      <c r="P31" s="67" t="e">
        <f>IF(AND('Mapa final'!#REF!="Media",'Mapa final'!#REF!="Menor"),CONCATENATE("R6C",'Mapa final'!$Q$37),"")</f>
        <v>#REF!</v>
      </c>
      <c r="Q31" s="68" t="e">
        <f>IF(AND('Mapa final'!#REF!="Media",'Mapa final'!#REF!="Menor"),CONCATENATE("R6C",'Mapa final'!$Q$38),"")</f>
        <v>#REF!</v>
      </c>
      <c r="R31" s="68" t="e">
        <f>IF(AND('Mapa final'!#REF!="Media",'Mapa final'!#REF!="Menor"),CONCATENATE("R6C",'Mapa final'!$Q$39),"")</f>
        <v>#REF!</v>
      </c>
      <c r="S31" s="68" t="e">
        <f>IF(AND('Mapa final'!#REF!="Media",'Mapa final'!#REF!="Menor"),CONCATENATE("R6C",'Mapa final'!$Q$40),"")</f>
        <v>#REF!</v>
      </c>
      <c r="T31" s="68" t="e">
        <f>IF(AND('Mapa final'!#REF!="Media",'Mapa final'!#REF!="Menor"),CONCATENATE("R6C",'Mapa final'!$Q$41),"")</f>
        <v>#REF!</v>
      </c>
      <c r="U31" s="69" t="e">
        <f>IF(AND('Mapa final'!#REF!="Media",'Mapa final'!#REF!="Menor"),CONCATENATE("R6C",'Mapa final'!$Q$42),"")</f>
        <v>#REF!</v>
      </c>
      <c r="V31" s="67" t="e">
        <f>IF(AND('Mapa final'!#REF!="Media",'Mapa final'!#REF!="Moderado"),CONCATENATE("R6C",'Mapa final'!$Q$37),"")</f>
        <v>#REF!</v>
      </c>
      <c r="W31" s="68" t="e">
        <f>IF(AND('Mapa final'!#REF!="Media",'Mapa final'!#REF!="Moderado"),CONCATENATE("R6C",'Mapa final'!$Q$38),"")</f>
        <v>#REF!</v>
      </c>
      <c r="X31" s="68" t="e">
        <f>IF(AND('Mapa final'!#REF!="Media",'Mapa final'!#REF!="Moderado"),CONCATENATE("R6C",'Mapa final'!$Q$39),"")</f>
        <v>#REF!</v>
      </c>
      <c r="Y31" s="68" t="e">
        <f>IF(AND('Mapa final'!#REF!="Media",'Mapa final'!#REF!="Moderado"),CONCATENATE("R6C",'Mapa final'!$Q$40),"")</f>
        <v>#REF!</v>
      </c>
      <c r="Z31" s="68" t="e">
        <f>IF(AND('Mapa final'!#REF!="Media",'Mapa final'!#REF!="Moderado"),CONCATENATE("R6C",'Mapa final'!$Q$41),"")</f>
        <v>#REF!</v>
      </c>
      <c r="AA31" s="69" t="e">
        <f>IF(AND('Mapa final'!#REF!="Media",'Mapa final'!#REF!="Moderado"),CONCATENATE("R6C",'Mapa final'!$Q$42),"")</f>
        <v>#REF!</v>
      </c>
      <c r="AB31" s="52" t="e">
        <f>IF(AND('Mapa final'!#REF!="Media",'Mapa final'!#REF!="Mayor"),CONCATENATE("R6C",'Mapa final'!$Q$37),"")</f>
        <v>#REF!</v>
      </c>
      <c r="AC31" s="53" t="e">
        <f>IF(AND('Mapa final'!#REF!="Media",'Mapa final'!#REF!="Mayor"),CONCATENATE("R6C",'Mapa final'!$Q$38),"")</f>
        <v>#REF!</v>
      </c>
      <c r="AD31" s="53" t="e">
        <f>IF(AND('Mapa final'!#REF!="Media",'Mapa final'!#REF!="Mayor"),CONCATENATE("R6C",'Mapa final'!$Q$39),"")</f>
        <v>#REF!</v>
      </c>
      <c r="AE31" s="53" t="e">
        <f>IF(AND('Mapa final'!#REF!="Media",'Mapa final'!#REF!="Mayor"),CONCATENATE("R6C",'Mapa final'!$Q$40),"")</f>
        <v>#REF!</v>
      </c>
      <c r="AF31" s="53" t="e">
        <f>IF(AND('Mapa final'!#REF!="Media",'Mapa final'!#REF!="Mayor"),CONCATENATE("R6C",'Mapa final'!$Q$41),"")</f>
        <v>#REF!</v>
      </c>
      <c r="AG31" s="54" t="e">
        <f>IF(AND('Mapa final'!#REF!="Media",'Mapa final'!#REF!="Mayor"),CONCATENATE("R6C",'Mapa final'!$Q$42),"")</f>
        <v>#REF!</v>
      </c>
      <c r="AH31" s="55" t="e">
        <f>IF(AND('Mapa final'!#REF!="Media",'Mapa final'!#REF!="Catastrófico"),CONCATENATE("R6C",'Mapa final'!$Q$37),"")</f>
        <v>#REF!</v>
      </c>
      <c r="AI31" s="56" t="e">
        <f>IF(AND('Mapa final'!#REF!="Media",'Mapa final'!#REF!="Catastrófico"),CONCATENATE("R6C",'Mapa final'!$Q$38),"")</f>
        <v>#REF!</v>
      </c>
      <c r="AJ31" s="56" t="e">
        <f>IF(AND('Mapa final'!#REF!="Media",'Mapa final'!#REF!="Catastrófico"),CONCATENATE("R6C",'Mapa final'!$Q$39),"")</f>
        <v>#REF!</v>
      </c>
      <c r="AK31" s="56" t="e">
        <f>IF(AND('Mapa final'!#REF!="Media",'Mapa final'!#REF!="Catastrófico"),CONCATENATE("R6C",'Mapa final'!$Q$40),"")</f>
        <v>#REF!</v>
      </c>
      <c r="AL31" s="56" t="e">
        <f>IF(AND('Mapa final'!#REF!="Media",'Mapa final'!#REF!="Catastrófico"),CONCATENATE("R6C",'Mapa final'!$Q$41),"")</f>
        <v>#REF!</v>
      </c>
      <c r="AM31" s="57" t="e">
        <f>IF(AND('Mapa final'!#REF!="Media",'Mapa final'!#REF!="Catastrófico"),CONCATENATE("R6C",'Mapa final'!$Q$42),"")</f>
        <v>#REF!</v>
      </c>
      <c r="AN31" s="83"/>
      <c r="AO31" s="377"/>
      <c r="AP31" s="378"/>
      <c r="AQ31" s="378"/>
      <c r="AR31" s="378"/>
      <c r="AS31" s="378"/>
      <c r="AT31" s="37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49"/>
      <c r="C32" s="249"/>
      <c r="D32" s="250"/>
      <c r="E32" s="348"/>
      <c r="F32" s="347"/>
      <c r="G32" s="347"/>
      <c r="H32" s="347"/>
      <c r="I32" s="363"/>
      <c r="J32" s="67" t="e">
        <f>IF(AND('Mapa final'!#REF!="Media",'Mapa final'!#REF!="Leve"),CONCATENATE("R7C",'Mapa final'!$Q$43),"")</f>
        <v>#REF!</v>
      </c>
      <c r="K32" s="68" t="e">
        <f>IF(AND('Mapa final'!#REF!="Media",'Mapa final'!#REF!="Leve"),CONCATENATE("R7C",'Mapa final'!$Q$44),"")</f>
        <v>#REF!</v>
      </c>
      <c r="L32" s="68" t="e">
        <f>IF(AND('Mapa final'!#REF!="Media",'Mapa final'!#REF!="Leve"),CONCATENATE("R7C",'Mapa final'!$Q$45),"")</f>
        <v>#REF!</v>
      </c>
      <c r="M32" s="68" t="e">
        <f>IF(AND('Mapa final'!#REF!="Media",'Mapa final'!#REF!="Leve"),CONCATENATE("R7C",'Mapa final'!$Q$46),"")</f>
        <v>#REF!</v>
      </c>
      <c r="N32" s="68" t="e">
        <f>IF(AND('Mapa final'!#REF!="Media",'Mapa final'!#REF!="Leve"),CONCATENATE("R7C",'Mapa final'!$Q$47),"")</f>
        <v>#REF!</v>
      </c>
      <c r="O32" s="69" t="e">
        <f>IF(AND('Mapa final'!#REF!="Media",'Mapa final'!#REF!="Leve"),CONCATENATE("R7C",'Mapa final'!$Q$48),"")</f>
        <v>#REF!</v>
      </c>
      <c r="P32" s="67" t="e">
        <f>IF(AND('Mapa final'!#REF!="Media",'Mapa final'!#REF!="Menor"),CONCATENATE("R7C",'Mapa final'!$Q$43),"")</f>
        <v>#REF!</v>
      </c>
      <c r="Q32" s="68" t="e">
        <f>IF(AND('Mapa final'!#REF!="Media",'Mapa final'!#REF!="Menor"),CONCATENATE("R7C",'Mapa final'!$Q$44),"")</f>
        <v>#REF!</v>
      </c>
      <c r="R32" s="68" t="e">
        <f>IF(AND('Mapa final'!#REF!="Media",'Mapa final'!#REF!="Menor"),CONCATENATE("R7C",'Mapa final'!$Q$45),"")</f>
        <v>#REF!</v>
      </c>
      <c r="S32" s="68" t="e">
        <f>IF(AND('Mapa final'!#REF!="Media",'Mapa final'!#REF!="Menor"),CONCATENATE("R7C",'Mapa final'!$Q$46),"")</f>
        <v>#REF!</v>
      </c>
      <c r="T32" s="68" t="e">
        <f>IF(AND('Mapa final'!#REF!="Media",'Mapa final'!#REF!="Menor"),CONCATENATE("R7C",'Mapa final'!$Q$47),"")</f>
        <v>#REF!</v>
      </c>
      <c r="U32" s="69" t="e">
        <f>IF(AND('Mapa final'!#REF!="Media",'Mapa final'!#REF!="Menor"),CONCATENATE("R7C",'Mapa final'!$Q$48),"")</f>
        <v>#REF!</v>
      </c>
      <c r="V32" s="67" t="e">
        <f>IF(AND('Mapa final'!#REF!="Media",'Mapa final'!#REF!="Moderado"),CONCATENATE("R7C",'Mapa final'!$Q$43),"")</f>
        <v>#REF!</v>
      </c>
      <c r="W32" s="68" t="e">
        <f>IF(AND('Mapa final'!#REF!="Media",'Mapa final'!#REF!="Moderado"),CONCATENATE("R7C",'Mapa final'!$Q$44),"")</f>
        <v>#REF!</v>
      </c>
      <c r="X32" s="68" t="e">
        <f>IF(AND('Mapa final'!#REF!="Media",'Mapa final'!#REF!="Moderado"),CONCATENATE("R7C",'Mapa final'!$Q$45),"")</f>
        <v>#REF!</v>
      </c>
      <c r="Y32" s="68" t="e">
        <f>IF(AND('Mapa final'!#REF!="Media",'Mapa final'!#REF!="Moderado"),CONCATENATE("R7C",'Mapa final'!$Q$46),"")</f>
        <v>#REF!</v>
      </c>
      <c r="Z32" s="68" t="e">
        <f>IF(AND('Mapa final'!#REF!="Media",'Mapa final'!#REF!="Moderado"),CONCATENATE("R7C",'Mapa final'!$Q$47),"")</f>
        <v>#REF!</v>
      </c>
      <c r="AA32" s="69" t="e">
        <f>IF(AND('Mapa final'!#REF!="Media",'Mapa final'!#REF!="Moderado"),CONCATENATE("R7C",'Mapa final'!$Q$48),"")</f>
        <v>#REF!</v>
      </c>
      <c r="AB32" s="52" t="e">
        <f>IF(AND('Mapa final'!#REF!="Media",'Mapa final'!#REF!="Mayor"),CONCATENATE("R7C",'Mapa final'!$Q$43),"")</f>
        <v>#REF!</v>
      </c>
      <c r="AC32" s="53" t="e">
        <f>IF(AND('Mapa final'!#REF!="Media",'Mapa final'!#REF!="Mayor"),CONCATENATE("R7C",'Mapa final'!$Q$44),"")</f>
        <v>#REF!</v>
      </c>
      <c r="AD32" s="53" t="e">
        <f>IF(AND('Mapa final'!#REF!="Media",'Mapa final'!#REF!="Mayor"),CONCATENATE("R7C",'Mapa final'!$Q$45),"")</f>
        <v>#REF!</v>
      </c>
      <c r="AE32" s="53" t="e">
        <f>IF(AND('Mapa final'!#REF!="Media",'Mapa final'!#REF!="Mayor"),CONCATENATE("R7C",'Mapa final'!$Q$46),"")</f>
        <v>#REF!</v>
      </c>
      <c r="AF32" s="53" t="e">
        <f>IF(AND('Mapa final'!#REF!="Media",'Mapa final'!#REF!="Mayor"),CONCATENATE("R7C",'Mapa final'!$Q$47),"")</f>
        <v>#REF!</v>
      </c>
      <c r="AG32" s="54" t="e">
        <f>IF(AND('Mapa final'!#REF!="Media",'Mapa final'!#REF!="Mayor"),CONCATENATE("R7C",'Mapa final'!$Q$48),"")</f>
        <v>#REF!</v>
      </c>
      <c r="AH32" s="55" t="e">
        <f>IF(AND('Mapa final'!#REF!="Media",'Mapa final'!#REF!="Catastrófico"),CONCATENATE("R7C",'Mapa final'!$Q$43),"")</f>
        <v>#REF!</v>
      </c>
      <c r="AI32" s="56" t="e">
        <f>IF(AND('Mapa final'!#REF!="Media",'Mapa final'!#REF!="Catastrófico"),CONCATENATE("R7C",'Mapa final'!$Q$44),"")</f>
        <v>#REF!</v>
      </c>
      <c r="AJ32" s="56" t="e">
        <f>IF(AND('Mapa final'!#REF!="Media",'Mapa final'!#REF!="Catastrófico"),CONCATENATE("R7C",'Mapa final'!$Q$45),"")</f>
        <v>#REF!</v>
      </c>
      <c r="AK32" s="56" t="e">
        <f>IF(AND('Mapa final'!#REF!="Media",'Mapa final'!#REF!="Catastrófico"),CONCATENATE("R7C",'Mapa final'!$Q$46),"")</f>
        <v>#REF!</v>
      </c>
      <c r="AL32" s="56" t="e">
        <f>IF(AND('Mapa final'!#REF!="Media",'Mapa final'!#REF!="Catastrófico"),CONCATENATE("R7C",'Mapa final'!$Q$47),"")</f>
        <v>#REF!</v>
      </c>
      <c r="AM32" s="57" t="e">
        <f>IF(AND('Mapa final'!#REF!="Media",'Mapa final'!#REF!="Catastrófico"),CONCATENATE("R7C",'Mapa final'!$Q$48),"")</f>
        <v>#REF!</v>
      </c>
      <c r="AN32" s="83"/>
      <c r="AO32" s="377"/>
      <c r="AP32" s="378"/>
      <c r="AQ32" s="378"/>
      <c r="AR32" s="378"/>
      <c r="AS32" s="378"/>
      <c r="AT32" s="37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49"/>
      <c r="C33" s="249"/>
      <c r="D33" s="250"/>
      <c r="E33" s="348"/>
      <c r="F33" s="347"/>
      <c r="G33" s="347"/>
      <c r="H33" s="347"/>
      <c r="I33" s="363"/>
      <c r="J33" s="67" t="e">
        <f>IF(AND('Mapa final'!#REF!="Media",'Mapa final'!#REF!="Leve"),CONCATENATE("R8C",'Mapa final'!$Q$49),"")</f>
        <v>#REF!</v>
      </c>
      <c r="K33" s="68" t="e">
        <f>IF(AND('Mapa final'!#REF!="Media",'Mapa final'!#REF!="Leve"),CONCATENATE("R8C",'Mapa final'!$Q$50),"")</f>
        <v>#REF!</v>
      </c>
      <c r="L33" s="68" t="e">
        <f>IF(AND('Mapa final'!#REF!="Media",'Mapa final'!#REF!="Leve"),CONCATENATE("R8C",'Mapa final'!$Q$51),"")</f>
        <v>#REF!</v>
      </c>
      <c r="M33" s="68" t="e">
        <f>IF(AND('Mapa final'!#REF!="Media",'Mapa final'!#REF!="Leve"),CONCATENATE("R8C",'Mapa final'!$Q$52),"")</f>
        <v>#REF!</v>
      </c>
      <c r="N33" s="68" t="e">
        <f>IF(AND('Mapa final'!#REF!="Media",'Mapa final'!#REF!="Leve"),CONCATENATE("R8C",'Mapa final'!$Q$53),"")</f>
        <v>#REF!</v>
      </c>
      <c r="O33" s="69" t="e">
        <f>IF(AND('Mapa final'!#REF!="Media",'Mapa final'!#REF!="Leve"),CONCATENATE("R8C",'Mapa final'!$Q$54),"")</f>
        <v>#REF!</v>
      </c>
      <c r="P33" s="67" t="e">
        <f>IF(AND('Mapa final'!#REF!="Media",'Mapa final'!#REF!="Menor"),CONCATENATE("R8C",'Mapa final'!$Q$49),"")</f>
        <v>#REF!</v>
      </c>
      <c r="Q33" s="68" t="e">
        <f>IF(AND('Mapa final'!#REF!="Media",'Mapa final'!#REF!="Menor"),CONCATENATE("R8C",'Mapa final'!$Q$50),"")</f>
        <v>#REF!</v>
      </c>
      <c r="R33" s="68" t="e">
        <f>IF(AND('Mapa final'!#REF!="Media",'Mapa final'!#REF!="Menor"),CONCATENATE("R8C",'Mapa final'!$Q$51),"")</f>
        <v>#REF!</v>
      </c>
      <c r="S33" s="68" t="e">
        <f>IF(AND('Mapa final'!#REF!="Media",'Mapa final'!#REF!="Menor"),CONCATENATE("R8C",'Mapa final'!$Q$52),"")</f>
        <v>#REF!</v>
      </c>
      <c r="T33" s="68" t="e">
        <f>IF(AND('Mapa final'!#REF!="Media",'Mapa final'!#REF!="Menor"),CONCATENATE("R8C",'Mapa final'!$Q$53),"")</f>
        <v>#REF!</v>
      </c>
      <c r="U33" s="69" t="e">
        <f>IF(AND('Mapa final'!#REF!="Media",'Mapa final'!#REF!="Menor"),CONCATENATE("R8C",'Mapa final'!$Q$54),"")</f>
        <v>#REF!</v>
      </c>
      <c r="V33" s="67" t="e">
        <f>IF(AND('Mapa final'!#REF!="Media",'Mapa final'!#REF!="Moderado"),CONCATENATE("R8C",'Mapa final'!$Q$49),"")</f>
        <v>#REF!</v>
      </c>
      <c r="W33" s="68" t="e">
        <f>IF(AND('Mapa final'!#REF!="Media",'Mapa final'!#REF!="Moderado"),CONCATENATE("R8C",'Mapa final'!$Q$50),"")</f>
        <v>#REF!</v>
      </c>
      <c r="X33" s="68" t="e">
        <f>IF(AND('Mapa final'!#REF!="Media",'Mapa final'!#REF!="Moderado"),CONCATENATE("R8C",'Mapa final'!$Q$51),"")</f>
        <v>#REF!</v>
      </c>
      <c r="Y33" s="68" t="e">
        <f>IF(AND('Mapa final'!#REF!="Media",'Mapa final'!#REF!="Moderado"),CONCATENATE("R8C",'Mapa final'!$Q$52),"")</f>
        <v>#REF!</v>
      </c>
      <c r="Z33" s="68" t="e">
        <f>IF(AND('Mapa final'!#REF!="Media",'Mapa final'!#REF!="Moderado"),CONCATENATE("R8C",'Mapa final'!$Q$53),"")</f>
        <v>#REF!</v>
      </c>
      <c r="AA33" s="69" t="e">
        <f>IF(AND('Mapa final'!#REF!="Media",'Mapa final'!#REF!="Moderado"),CONCATENATE("R8C",'Mapa final'!$Q$54),"")</f>
        <v>#REF!</v>
      </c>
      <c r="AB33" s="52" t="e">
        <f>IF(AND('Mapa final'!#REF!="Media",'Mapa final'!#REF!="Mayor"),CONCATENATE("R8C",'Mapa final'!$Q$49),"")</f>
        <v>#REF!</v>
      </c>
      <c r="AC33" s="53" t="e">
        <f>IF(AND('Mapa final'!#REF!="Media",'Mapa final'!#REF!="Mayor"),CONCATENATE("R8C",'Mapa final'!$Q$50),"")</f>
        <v>#REF!</v>
      </c>
      <c r="AD33" s="53" t="e">
        <f>IF(AND('Mapa final'!#REF!="Media",'Mapa final'!#REF!="Mayor"),CONCATENATE("R8C",'Mapa final'!$Q$51),"")</f>
        <v>#REF!</v>
      </c>
      <c r="AE33" s="53" t="e">
        <f>IF(AND('Mapa final'!#REF!="Media",'Mapa final'!#REF!="Mayor"),CONCATENATE("R8C",'Mapa final'!$Q$52),"")</f>
        <v>#REF!</v>
      </c>
      <c r="AF33" s="53" t="e">
        <f>IF(AND('Mapa final'!#REF!="Media",'Mapa final'!#REF!="Mayor"),CONCATENATE("R8C",'Mapa final'!$Q$53),"")</f>
        <v>#REF!</v>
      </c>
      <c r="AG33" s="54" t="e">
        <f>IF(AND('Mapa final'!#REF!="Media",'Mapa final'!#REF!="Mayor"),CONCATENATE("R8C",'Mapa final'!$Q$54),"")</f>
        <v>#REF!</v>
      </c>
      <c r="AH33" s="55" t="e">
        <f>IF(AND('Mapa final'!#REF!="Media",'Mapa final'!#REF!="Catastrófico"),CONCATENATE("R8C",'Mapa final'!$Q$49),"")</f>
        <v>#REF!</v>
      </c>
      <c r="AI33" s="56" t="e">
        <f>IF(AND('Mapa final'!#REF!="Media",'Mapa final'!#REF!="Catastrófico"),CONCATENATE("R8C",'Mapa final'!$Q$50),"")</f>
        <v>#REF!</v>
      </c>
      <c r="AJ33" s="56" t="e">
        <f>IF(AND('Mapa final'!#REF!="Media",'Mapa final'!#REF!="Catastrófico"),CONCATENATE("R8C",'Mapa final'!$Q$51),"")</f>
        <v>#REF!</v>
      </c>
      <c r="AK33" s="56" t="e">
        <f>IF(AND('Mapa final'!#REF!="Media",'Mapa final'!#REF!="Catastrófico"),CONCATENATE("R8C",'Mapa final'!$Q$52),"")</f>
        <v>#REF!</v>
      </c>
      <c r="AL33" s="56" t="e">
        <f>IF(AND('Mapa final'!#REF!="Media",'Mapa final'!#REF!="Catastrófico"),CONCATENATE("R8C",'Mapa final'!$Q$53),"")</f>
        <v>#REF!</v>
      </c>
      <c r="AM33" s="57" t="e">
        <f>IF(AND('Mapa final'!#REF!="Media",'Mapa final'!#REF!="Catastrófico"),CONCATENATE("R8C",'Mapa final'!$Q$54),"")</f>
        <v>#REF!</v>
      </c>
      <c r="AN33" s="83"/>
      <c r="AO33" s="377"/>
      <c r="AP33" s="378"/>
      <c r="AQ33" s="378"/>
      <c r="AR33" s="378"/>
      <c r="AS33" s="378"/>
      <c r="AT33" s="37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49"/>
      <c r="C34" s="249"/>
      <c r="D34" s="250"/>
      <c r="E34" s="348"/>
      <c r="F34" s="347"/>
      <c r="G34" s="347"/>
      <c r="H34" s="347"/>
      <c r="I34" s="363"/>
      <c r="J34" s="67" t="e">
        <f>IF(AND('Mapa final'!#REF!="Media",'Mapa final'!#REF!="Leve"),CONCATENATE("R9C",'Mapa final'!$Q$55),"")</f>
        <v>#REF!</v>
      </c>
      <c r="K34" s="68" t="e">
        <f>IF(AND('Mapa final'!#REF!="Media",'Mapa final'!#REF!="Leve"),CONCATENATE("R9C",'Mapa final'!$Q$56),"")</f>
        <v>#REF!</v>
      </c>
      <c r="L34" s="68" t="e">
        <f>IF(AND('Mapa final'!#REF!="Media",'Mapa final'!#REF!="Leve"),CONCATENATE("R9C",'Mapa final'!$Q$57),"")</f>
        <v>#REF!</v>
      </c>
      <c r="M34" s="68" t="e">
        <f>IF(AND('Mapa final'!#REF!="Media",'Mapa final'!#REF!="Leve"),CONCATENATE("R9C",'Mapa final'!$Q$58),"")</f>
        <v>#REF!</v>
      </c>
      <c r="N34" s="68" t="e">
        <f>IF(AND('Mapa final'!#REF!="Media",'Mapa final'!#REF!="Leve"),CONCATENATE("R9C",'Mapa final'!$Q$59),"")</f>
        <v>#REF!</v>
      </c>
      <c r="O34" s="69" t="e">
        <f>IF(AND('Mapa final'!#REF!="Media",'Mapa final'!#REF!="Leve"),CONCATENATE("R9C",'Mapa final'!$Q$60),"")</f>
        <v>#REF!</v>
      </c>
      <c r="P34" s="67" t="e">
        <f>IF(AND('Mapa final'!#REF!="Media",'Mapa final'!#REF!="Menor"),CONCATENATE("R9C",'Mapa final'!$Q$55),"")</f>
        <v>#REF!</v>
      </c>
      <c r="Q34" s="68" t="e">
        <f>IF(AND('Mapa final'!#REF!="Media",'Mapa final'!#REF!="Menor"),CONCATENATE("R9C",'Mapa final'!$Q$56),"")</f>
        <v>#REF!</v>
      </c>
      <c r="R34" s="68" t="e">
        <f>IF(AND('Mapa final'!#REF!="Media",'Mapa final'!#REF!="Menor"),CONCATENATE("R9C",'Mapa final'!$Q$57),"")</f>
        <v>#REF!</v>
      </c>
      <c r="S34" s="68" t="e">
        <f>IF(AND('Mapa final'!#REF!="Media",'Mapa final'!#REF!="Menor"),CONCATENATE("R9C",'Mapa final'!$Q$58),"")</f>
        <v>#REF!</v>
      </c>
      <c r="T34" s="68" t="e">
        <f>IF(AND('Mapa final'!#REF!="Media",'Mapa final'!#REF!="Menor"),CONCATENATE("R9C",'Mapa final'!$Q$59),"")</f>
        <v>#REF!</v>
      </c>
      <c r="U34" s="69" t="e">
        <f>IF(AND('Mapa final'!#REF!="Media",'Mapa final'!#REF!="Menor"),CONCATENATE("R9C",'Mapa final'!$Q$60),"")</f>
        <v>#REF!</v>
      </c>
      <c r="V34" s="67" t="e">
        <f>IF(AND('Mapa final'!#REF!="Media",'Mapa final'!#REF!="Moderado"),CONCATENATE("R9C",'Mapa final'!$Q$55),"")</f>
        <v>#REF!</v>
      </c>
      <c r="W34" s="68" t="e">
        <f>IF(AND('Mapa final'!#REF!="Media",'Mapa final'!#REF!="Moderado"),CONCATENATE("R9C",'Mapa final'!$Q$56),"")</f>
        <v>#REF!</v>
      </c>
      <c r="X34" s="68" t="e">
        <f>IF(AND('Mapa final'!#REF!="Media",'Mapa final'!#REF!="Moderado"),CONCATENATE("R9C",'Mapa final'!$Q$57),"")</f>
        <v>#REF!</v>
      </c>
      <c r="Y34" s="68" t="e">
        <f>IF(AND('Mapa final'!#REF!="Media",'Mapa final'!#REF!="Moderado"),CONCATENATE("R9C",'Mapa final'!$Q$58),"")</f>
        <v>#REF!</v>
      </c>
      <c r="Z34" s="68" t="e">
        <f>IF(AND('Mapa final'!#REF!="Media",'Mapa final'!#REF!="Moderado"),CONCATENATE("R9C",'Mapa final'!$Q$59),"")</f>
        <v>#REF!</v>
      </c>
      <c r="AA34" s="69" t="e">
        <f>IF(AND('Mapa final'!#REF!="Media",'Mapa final'!#REF!="Moderado"),CONCATENATE("R9C",'Mapa final'!$Q$60),"")</f>
        <v>#REF!</v>
      </c>
      <c r="AB34" s="52" t="e">
        <f>IF(AND('Mapa final'!#REF!="Media",'Mapa final'!#REF!="Mayor"),CONCATENATE("R9C",'Mapa final'!$Q$55),"")</f>
        <v>#REF!</v>
      </c>
      <c r="AC34" s="53" t="e">
        <f>IF(AND('Mapa final'!#REF!="Media",'Mapa final'!#REF!="Mayor"),CONCATENATE("R9C",'Mapa final'!$Q$56),"")</f>
        <v>#REF!</v>
      </c>
      <c r="AD34" s="53" t="e">
        <f>IF(AND('Mapa final'!#REF!="Media",'Mapa final'!#REF!="Mayor"),CONCATENATE("R9C",'Mapa final'!$Q$57),"")</f>
        <v>#REF!</v>
      </c>
      <c r="AE34" s="53" t="e">
        <f>IF(AND('Mapa final'!#REF!="Media",'Mapa final'!#REF!="Mayor"),CONCATENATE("R9C",'Mapa final'!$Q$58),"")</f>
        <v>#REF!</v>
      </c>
      <c r="AF34" s="53" t="e">
        <f>IF(AND('Mapa final'!#REF!="Media",'Mapa final'!#REF!="Mayor"),CONCATENATE("R9C",'Mapa final'!$Q$59),"")</f>
        <v>#REF!</v>
      </c>
      <c r="AG34" s="54" t="e">
        <f>IF(AND('Mapa final'!#REF!="Media",'Mapa final'!#REF!="Mayor"),CONCATENATE("R9C",'Mapa final'!$Q$60),"")</f>
        <v>#REF!</v>
      </c>
      <c r="AH34" s="55" t="e">
        <f>IF(AND('Mapa final'!#REF!="Media",'Mapa final'!#REF!="Catastrófico"),CONCATENATE("R9C",'Mapa final'!$Q$55),"")</f>
        <v>#REF!</v>
      </c>
      <c r="AI34" s="56" t="e">
        <f>IF(AND('Mapa final'!#REF!="Media",'Mapa final'!#REF!="Catastrófico"),CONCATENATE("R9C",'Mapa final'!$Q$56),"")</f>
        <v>#REF!</v>
      </c>
      <c r="AJ34" s="56" t="e">
        <f>IF(AND('Mapa final'!#REF!="Media",'Mapa final'!#REF!="Catastrófico"),CONCATENATE("R9C",'Mapa final'!$Q$57),"")</f>
        <v>#REF!</v>
      </c>
      <c r="AK34" s="56" t="e">
        <f>IF(AND('Mapa final'!#REF!="Media",'Mapa final'!#REF!="Catastrófico"),CONCATENATE("R9C",'Mapa final'!$Q$58),"")</f>
        <v>#REF!</v>
      </c>
      <c r="AL34" s="56" t="e">
        <f>IF(AND('Mapa final'!#REF!="Media",'Mapa final'!#REF!="Catastrófico"),CONCATENATE("R9C",'Mapa final'!$Q$59),"")</f>
        <v>#REF!</v>
      </c>
      <c r="AM34" s="57" t="e">
        <f>IF(AND('Mapa final'!#REF!="Media",'Mapa final'!#REF!="Catastrófico"),CONCATENATE("R9C",'Mapa final'!$Q$60),"")</f>
        <v>#REF!</v>
      </c>
      <c r="AN34" s="83"/>
      <c r="AO34" s="377"/>
      <c r="AP34" s="378"/>
      <c r="AQ34" s="378"/>
      <c r="AR34" s="378"/>
      <c r="AS34" s="378"/>
      <c r="AT34" s="37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49"/>
      <c r="C35" s="249"/>
      <c r="D35" s="250"/>
      <c r="E35" s="349"/>
      <c r="F35" s="350"/>
      <c r="G35" s="350"/>
      <c r="H35" s="350"/>
      <c r="I35" s="364"/>
      <c r="J35" s="67" t="e">
        <f>IF(AND('Mapa final'!#REF!="Media",'Mapa final'!#REF!="Leve"),CONCATENATE("R10C",'Mapa final'!$Q$61),"")</f>
        <v>#REF!</v>
      </c>
      <c r="K35" s="68" t="e">
        <f>IF(AND('Mapa final'!#REF!="Media",'Mapa final'!#REF!="Leve"),CONCATENATE("R10C",'Mapa final'!$Q$62),"")</f>
        <v>#REF!</v>
      </c>
      <c r="L35" s="68" t="e">
        <f>IF(AND('Mapa final'!#REF!="Media",'Mapa final'!#REF!="Leve"),CONCATENATE("R10C",'Mapa final'!$Q$63),"")</f>
        <v>#REF!</v>
      </c>
      <c r="M35" s="68" t="e">
        <f>IF(AND('Mapa final'!#REF!="Media",'Mapa final'!#REF!="Leve"),CONCATENATE("R10C",'Mapa final'!$Q$64),"")</f>
        <v>#REF!</v>
      </c>
      <c r="N35" s="68" t="e">
        <f>IF(AND('Mapa final'!#REF!="Media",'Mapa final'!#REF!="Leve"),CONCATENATE("R10C",'Mapa final'!$Q$65),"")</f>
        <v>#REF!</v>
      </c>
      <c r="O35" s="69" t="e">
        <f>IF(AND('Mapa final'!#REF!="Media",'Mapa final'!#REF!="Leve"),CONCATENATE("R10C",'Mapa final'!$Q$66),"")</f>
        <v>#REF!</v>
      </c>
      <c r="P35" s="67" t="e">
        <f>IF(AND('Mapa final'!#REF!="Media",'Mapa final'!#REF!="Menor"),CONCATENATE("R10C",'Mapa final'!$Q$61),"")</f>
        <v>#REF!</v>
      </c>
      <c r="Q35" s="68" t="e">
        <f>IF(AND('Mapa final'!#REF!="Media",'Mapa final'!#REF!="Menor"),CONCATENATE("R10C",'Mapa final'!$Q$62),"")</f>
        <v>#REF!</v>
      </c>
      <c r="R35" s="68" t="e">
        <f>IF(AND('Mapa final'!#REF!="Media",'Mapa final'!#REF!="Menor"),CONCATENATE("R10C",'Mapa final'!$Q$63),"")</f>
        <v>#REF!</v>
      </c>
      <c r="S35" s="68" t="e">
        <f>IF(AND('Mapa final'!#REF!="Media",'Mapa final'!#REF!="Menor"),CONCATENATE("R10C",'Mapa final'!$Q$64),"")</f>
        <v>#REF!</v>
      </c>
      <c r="T35" s="68" t="e">
        <f>IF(AND('Mapa final'!#REF!="Media",'Mapa final'!#REF!="Menor"),CONCATENATE("R10C",'Mapa final'!$Q$65),"")</f>
        <v>#REF!</v>
      </c>
      <c r="U35" s="69" t="e">
        <f>IF(AND('Mapa final'!#REF!="Media",'Mapa final'!#REF!="Menor"),CONCATENATE("R10C",'Mapa final'!$Q$66),"")</f>
        <v>#REF!</v>
      </c>
      <c r="V35" s="67" t="e">
        <f>IF(AND('Mapa final'!#REF!="Media",'Mapa final'!#REF!="Moderado"),CONCATENATE("R10C",'Mapa final'!$Q$61),"")</f>
        <v>#REF!</v>
      </c>
      <c r="W35" s="68" t="e">
        <f>IF(AND('Mapa final'!#REF!="Media",'Mapa final'!#REF!="Moderado"),CONCATENATE("R10C",'Mapa final'!$Q$62),"")</f>
        <v>#REF!</v>
      </c>
      <c r="X35" s="68" t="e">
        <f>IF(AND('Mapa final'!#REF!="Media",'Mapa final'!#REF!="Moderado"),CONCATENATE("R10C",'Mapa final'!$Q$63),"")</f>
        <v>#REF!</v>
      </c>
      <c r="Y35" s="68" t="e">
        <f>IF(AND('Mapa final'!#REF!="Media",'Mapa final'!#REF!="Moderado"),CONCATENATE("R10C",'Mapa final'!$Q$64),"")</f>
        <v>#REF!</v>
      </c>
      <c r="Z35" s="68" t="e">
        <f>IF(AND('Mapa final'!#REF!="Media",'Mapa final'!#REF!="Moderado"),CONCATENATE("R10C",'Mapa final'!$Q$65),"")</f>
        <v>#REF!</v>
      </c>
      <c r="AA35" s="69" t="e">
        <f>IF(AND('Mapa final'!#REF!="Media",'Mapa final'!#REF!="Moderado"),CONCATENATE("R10C",'Mapa final'!$Q$66),"")</f>
        <v>#REF!</v>
      </c>
      <c r="AB35" s="58" t="e">
        <f>IF(AND('Mapa final'!#REF!="Media",'Mapa final'!#REF!="Mayor"),CONCATENATE("R10C",'Mapa final'!$Q$61),"")</f>
        <v>#REF!</v>
      </c>
      <c r="AC35" s="59" t="e">
        <f>IF(AND('Mapa final'!#REF!="Media",'Mapa final'!#REF!="Mayor"),CONCATENATE("R10C",'Mapa final'!$Q$62),"")</f>
        <v>#REF!</v>
      </c>
      <c r="AD35" s="59" t="e">
        <f>IF(AND('Mapa final'!#REF!="Media",'Mapa final'!#REF!="Mayor"),CONCATENATE("R10C",'Mapa final'!$Q$63),"")</f>
        <v>#REF!</v>
      </c>
      <c r="AE35" s="59" t="e">
        <f>IF(AND('Mapa final'!#REF!="Media",'Mapa final'!#REF!="Mayor"),CONCATENATE("R10C",'Mapa final'!$Q$64),"")</f>
        <v>#REF!</v>
      </c>
      <c r="AF35" s="59" t="e">
        <f>IF(AND('Mapa final'!#REF!="Media",'Mapa final'!#REF!="Mayor"),CONCATENATE("R10C",'Mapa final'!$Q$65),"")</f>
        <v>#REF!</v>
      </c>
      <c r="AG35" s="60" t="e">
        <f>IF(AND('Mapa final'!#REF!="Media",'Mapa final'!#REF!="Mayor"),CONCATENATE("R10C",'Mapa final'!$Q$66),"")</f>
        <v>#REF!</v>
      </c>
      <c r="AH35" s="61" t="e">
        <f>IF(AND('Mapa final'!#REF!="Media",'Mapa final'!#REF!="Catastrófico"),CONCATENATE("R10C",'Mapa final'!$Q$61),"")</f>
        <v>#REF!</v>
      </c>
      <c r="AI35" s="62" t="e">
        <f>IF(AND('Mapa final'!#REF!="Media",'Mapa final'!#REF!="Catastrófico"),CONCATENATE("R10C",'Mapa final'!$Q$62),"")</f>
        <v>#REF!</v>
      </c>
      <c r="AJ35" s="62" t="e">
        <f>IF(AND('Mapa final'!#REF!="Media",'Mapa final'!#REF!="Catastrófico"),CONCATENATE("R10C",'Mapa final'!$Q$63),"")</f>
        <v>#REF!</v>
      </c>
      <c r="AK35" s="62" t="e">
        <f>IF(AND('Mapa final'!#REF!="Media",'Mapa final'!#REF!="Catastrófico"),CONCATENATE("R10C",'Mapa final'!$Q$64),"")</f>
        <v>#REF!</v>
      </c>
      <c r="AL35" s="62" t="e">
        <f>IF(AND('Mapa final'!#REF!="Media",'Mapa final'!#REF!="Catastrófico"),CONCATENATE("R10C",'Mapa final'!$Q$65),"")</f>
        <v>#REF!</v>
      </c>
      <c r="AM35" s="63" t="e">
        <f>IF(AND('Mapa final'!#REF!="Media",'Mapa final'!#REF!="Catastrófico"),CONCATENATE("R10C",'Mapa final'!$Q$66),"")</f>
        <v>#REF!</v>
      </c>
      <c r="AN35" s="83"/>
      <c r="AO35" s="380"/>
      <c r="AP35" s="381"/>
      <c r="AQ35" s="381"/>
      <c r="AR35" s="381"/>
      <c r="AS35" s="381"/>
      <c r="AT35" s="38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49"/>
      <c r="C36" s="249"/>
      <c r="D36" s="250"/>
      <c r="E36" s="344" t="s">
        <v>106</v>
      </c>
      <c r="F36" s="345"/>
      <c r="G36" s="345"/>
      <c r="H36" s="345"/>
      <c r="I36" s="345"/>
      <c r="J36" s="73" t="e">
        <f>IF(AND('Mapa final'!#REF!="Baja",'Mapa final'!#REF!="Leve"),CONCATENATE("R1C",'Mapa final'!$Q$10),"")</f>
        <v>#REF!</v>
      </c>
      <c r="K36" s="74" t="e">
        <f>IF(AND('Mapa final'!#REF!="Baja",'Mapa final'!#REF!="Leve"),CONCATENATE("R1C",'Mapa final'!$Q$11),"")</f>
        <v>#REF!</v>
      </c>
      <c r="L36" s="74" t="e">
        <f>IF(AND('Mapa final'!#REF!="Baja",'Mapa final'!#REF!="Leve"),CONCATENATE("R1C",'Mapa final'!$Q$12),"")</f>
        <v>#REF!</v>
      </c>
      <c r="M36" s="74" t="e">
        <f>IF(AND('Mapa final'!#REF!="Baja",'Mapa final'!#REF!="Leve"),CONCATENATE("R1C",'Mapa final'!#REF!),"")</f>
        <v>#REF!</v>
      </c>
      <c r="N36" s="74" t="e">
        <f>IF(AND('Mapa final'!#REF!="Baja",'Mapa final'!#REF!="Leve"),CONCATENATE("R1C",'Mapa final'!#REF!),"")</f>
        <v>#REF!</v>
      </c>
      <c r="O36" s="75" t="e">
        <f>IF(AND('Mapa final'!#REF!="Baja",'Mapa final'!#REF!="Leve"),CONCATENATE("R1C",'Mapa final'!#REF!),"")</f>
        <v>#REF!</v>
      </c>
      <c r="P36" s="64" t="e">
        <f>IF(AND('Mapa final'!#REF!="Baja",'Mapa final'!#REF!="Menor"),CONCATENATE("R1C",'Mapa final'!$Q$10),"")</f>
        <v>#REF!</v>
      </c>
      <c r="Q36" s="65" t="e">
        <f>IF(AND('Mapa final'!#REF!="Baja",'Mapa final'!#REF!="Menor"),CONCATENATE("R1C",'Mapa final'!$Q$11),"")</f>
        <v>#REF!</v>
      </c>
      <c r="R36" s="65" t="e">
        <f>IF(AND('Mapa final'!#REF!="Baja",'Mapa final'!#REF!="Menor"),CONCATENATE("R1C",'Mapa final'!$Q$12),"")</f>
        <v>#REF!</v>
      </c>
      <c r="S36" s="65" t="e">
        <f>IF(AND('Mapa final'!#REF!="Baja",'Mapa final'!#REF!="Menor"),CONCATENATE("R1C",'Mapa final'!#REF!),"")</f>
        <v>#REF!</v>
      </c>
      <c r="T36" s="65" t="e">
        <f>IF(AND('Mapa final'!#REF!="Baja",'Mapa final'!#REF!="Menor"),CONCATENATE("R1C",'Mapa final'!#REF!),"")</f>
        <v>#REF!</v>
      </c>
      <c r="U36" s="66" t="e">
        <f>IF(AND('Mapa final'!#REF!="Baja",'Mapa final'!#REF!="Menor"),CONCATENATE("R1C",'Mapa final'!#REF!),"")</f>
        <v>#REF!</v>
      </c>
      <c r="V36" s="64" t="e">
        <f>IF(AND('Mapa final'!#REF!="Baja",'Mapa final'!#REF!="Moderado"),CONCATENATE("R1C",'Mapa final'!$Q$10),"")</f>
        <v>#REF!</v>
      </c>
      <c r="W36" s="65" t="e">
        <f>IF(AND('Mapa final'!#REF!="Baja",'Mapa final'!#REF!="Moderado"),CONCATENATE("R1C",'Mapa final'!$Q$11),"")</f>
        <v>#REF!</v>
      </c>
      <c r="X36" s="65" t="e">
        <f>IF(AND('Mapa final'!#REF!="Baja",'Mapa final'!#REF!="Moderado"),CONCATENATE("R1C",'Mapa final'!$Q$12),"")</f>
        <v>#REF!</v>
      </c>
      <c r="Y36" s="65" t="e">
        <f>IF(AND('Mapa final'!#REF!="Baja",'Mapa final'!#REF!="Moderado"),CONCATENATE("R1C",'Mapa final'!#REF!),"")</f>
        <v>#REF!</v>
      </c>
      <c r="Z36" s="65" t="e">
        <f>IF(AND('Mapa final'!#REF!="Baja",'Mapa final'!#REF!="Moderado"),CONCATENATE("R1C",'Mapa final'!#REF!),"")</f>
        <v>#REF!</v>
      </c>
      <c r="AA36" s="66" t="e">
        <f>IF(AND('Mapa final'!#REF!="Baja",'Mapa final'!#REF!="Moderado"),CONCATENATE("R1C",'Mapa final'!#REF!),"")</f>
        <v>#REF!</v>
      </c>
      <c r="AB36" s="46" t="e">
        <f>IF(AND('Mapa final'!#REF!="Baja",'Mapa final'!#REF!="Mayor"),CONCATENATE("R1C",'Mapa final'!$Q$10),"")</f>
        <v>#REF!</v>
      </c>
      <c r="AC36" s="47" t="e">
        <f>IF(AND('Mapa final'!#REF!="Baja",'Mapa final'!#REF!="Mayor"),CONCATENATE("R1C",'Mapa final'!$Q$11),"")</f>
        <v>#REF!</v>
      </c>
      <c r="AD36" s="47" t="e">
        <f>IF(AND('Mapa final'!#REF!="Baja",'Mapa final'!#REF!="Mayor"),CONCATENATE("R1C",'Mapa final'!$Q$12),"")</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e">
        <f>IF(AND('Mapa final'!#REF!="Baja",'Mapa final'!#REF!="Catastrófico"),CONCATENATE("R1C",'Mapa final'!$Q$10),"")</f>
        <v>#REF!</v>
      </c>
      <c r="AI36" s="50" t="e">
        <f>IF(AND('Mapa final'!#REF!="Baja",'Mapa final'!#REF!="Catastrófico"),CONCATENATE("R1C",'Mapa final'!$Q$11),"")</f>
        <v>#REF!</v>
      </c>
      <c r="AJ36" s="50" t="e">
        <f>IF(AND('Mapa final'!#REF!="Baja",'Mapa final'!#REF!="Catastrófico"),CONCATENATE("R1C",'Mapa final'!$Q$12),"")</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3"/>
      <c r="AO36" s="365" t="s">
        <v>74</v>
      </c>
      <c r="AP36" s="366"/>
      <c r="AQ36" s="366"/>
      <c r="AR36" s="366"/>
      <c r="AS36" s="366"/>
      <c r="AT36" s="36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49"/>
      <c r="C37" s="249"/>
      <c r="D37" s="250"/>
      <c r="E37" s="346"/>
      <c r="F37" s="347"/>
      <c r="G37" s="347"/>
      <c r="H37" s="347"/>
      <c r="I37" s="347"/>
      <c r="J37" s="76" t="str">
        <f>IF(AND([1]Hoja1!$X$2="Baja",[1]Hoja1!$Z$2="Leve"),CONCATENATE("R2C",[1]Hoja1!$N$2),"")</f>
        <v/>
      </c>
      <c r="K37" s="77" t="str">
        <f>IF(AND([1]Hoja1!$X$3="Baja",[1]Hoja1!$Z$3="Leve"),CONCATENATE("R2C",[1]Hoja1!$N$3),"")</f>
        <v/>
      </c>
      <c r="L37" s="77" t="str">
        <f>IF(AND([1]Hoja1!$X$4="Baja",[1]Hoja1!$Z$4="Leve"),CONCATENATE("R2C",[1]Hoja1!$N$4),"")</f>
        <v/>
      </c>
      <c r="M37" s="77" t="str">
        <f>IF(AND([1]Hoja1!$X$5="Baja",[1]Hoja1!$Z$5="Leve"),CONCATENATE("R2C",[1]Hoja1!$N$5),"")</f>
        <v/>
      </c>
      <c r="N37" s="77" t="str">
        <f>IF(AND([1]Hoja1!$X$6="Baja",[1]Hoja1!$Z$6="Leve"),CONCATENATE("R2C",[1]Hoja1!$N$6),"")</f>
        <v/>
      </c>
      <c r="O37" s="78" t="str">
        <f>IF(AND([1]Hoja1!$X$7="Baja",[1]Hoja1!$Z$7="Leve"),CONCATENATE("R2C",[1]Hoja1!$N$7),"")</f>
        <v/>
      </c>
      <c r="P37" s="67" t="str">
        <f>IF(AND([1]Hoja1!$X$2="Baja",[1]Hoja1!$Z$2="Menor"),CONCATENATE("R2C",[1]Hoja1!$N$2),"")</f>
        <v/>
      </c>
      <c r="Q37" s="68" t="str">
        <f>IF(AND([1]Hoja1!$X$3="Baja",[1]Hoja1!$Z$3="Menor"),CONCATENATE("R2C",[1]Hoja1!$N$3),"")</f>
        <v/>
      </c>
      <c r="R37" s="68" t="str">
        <f>IF(AND([1]Hoja1!$X$4="Baja",[1]Hoja1!$Z$4="Menor"),CONCATENATE("R2C",[1]Hoja1!$N$4),"")</f>
        <v/>
      </c>
      <c r="S37" s="68" t="str">
        <f>IF(AND([1]Hoja1!$X$5="Baja",[1]Hoja1!$Z$5="Menor"),CONCATENATE("R2C",[1]Hoja1!$N$5),"")</f>
        <v/>
      </c>
      <c r="T37" s="68" t="str">
        <f>IF(AND([1]Hoja1!$X$6="Baja",[1]Hoja1!$Z$6="Menor"),CONCATENATE("R2C",[1]Hoja1!$N$6),"")</f>
        <v/>
      </c>
      <c r="U37" s="69" t="str">
        <f>IF(AND([1]Hoja1!$X$7="Baja",[1]Hoja1!$Z$7="Menor"),CONCATENATE("R2C",[1]Hoja1!$N$7),"")</f>
        <v/>
      </c>
      <c r="V37" s="67" t="str">
        <f>IF(AND([1]Hoja1!$X$2="Baja",[1]Hoja1!$Z$2="Moderado"),CONCATENATE("R2C",[1]Hoja1!$N$2),"")</f>
        <v/>
      </c>
      <c r="W37" s="68" t="str">
        <f>IF(AND([1]Hoja1!$X$3="Baja",[1]Hoja1!$Z$3="Moderado"),CONCATENATE("R2C",[1]Hoja1!$N$3),"")</f>
        <v/>
      </c>
      <c r="X37" s="68" t="str">
        <f>IF(AND([1]Hoja1!$X$4="Baja",[1]Hoja1!$Z$4="Moderado"),CONCATENATE("R2C",[1]Hoja1!$N$4),"")</f>
        <v/>
      </c>
      <c r="Y37" s="68" t="str">
        <f>IF(AND([1]Hoja1!$X$5="Baja",[1]Hoja1!$Z$5="Moderado"),CONCATENATE("R2C",[1]Hoja1!$N$5),"")</f>
        <v/>
      </c>
      <c r="Z37" s="68" t="str">
        <f>IF(AND([1]Hoja1!$X$6="Baja",[1]Hoja1!$Z$6="Moderado"),CONCATENATE("R2C",[1]Hoja1!$N$6),"")</f>
        <v/>
      </c>
      <c r="AA37" s="69" t="str">
        <f>IF(AND([1]Hoja1!$X$7="Baja",[1]Hoja1!$Z$7="Moderado"),CONCATENATE("R2C",[1]Hoja1!$N$7),"")</f>
        <v/>
      </c>
      <c r="AB37" s="52" t="str">
        <f>IF(AND([1]Hoja1!$X$2="Baja",[1]Hoja1!$Z$2="Mayor"),CONCATENATE("R2C",[1]Hoja1!$N$2),"")</f>
        <v>R2C1</v>
      </c>
      <c r="AC37" s="53" t="str">
        <f>IF(AND([1]Hoja1!$X$3="Baja",[1]Hoja1!$Z$3="Mayor"),CONCATENATE("R2C",[1]Hoja1!$N$3),"")</f>
        <v>R2C2</v>
      </c>
      <c r="AD37" s="53" t="str">
        <f>IF(AND([1]Hoja1!$X$4="Baja",[1]Hoja1!$Z$4="Mayor"),CONCATENATE("R2C",[1]Hoja1!$N$4),"")</f>
        <v/>
      </c>
      <c r="AE37" s="53" t="str">
        <f>IF(AND([1]Hoja1!$X$5="Baja",[1]Hoja1!$Z$5="Mayor"),CONCATENATE("R2C",[1]Hoja1!$N$5),"")</f>
        <v/>
      </c>
      <c r="AF37" s="53" t="str">
        <f>IF(AND([1]Hoja1!$X$6="Baja",[1]Hoja1!$Z$6="Mayor"),CONCATENATE("R2C",[1]Hoja1!$N$6),"")</f>
        <v/>
      </c>
      <c r="AG37" s="54" t="str">
        <f>IF(AND([1]Hoja1!$X$7="Baja",[1]Hoja1!$Z$7="Mayor"),CONCATENATE("R2C",[1]Hoja1!$N$7),"")</f>
        <v/>
      </c>
      <c r="AH37" s="55" t="str">
        <f>IF(AND([1]Hoja1!$X$2="Baja",[1]Hoja1!$Z$2="Catastrófico"),CONCATENATE("R2C",[1]Hoja1!$N$2),"")</f>
        <v/>
      </c>
      <c r="AI37" s="56" t="str">
        <f>IF(AND([1]Hoja1!$X$3="Baja",[1]Hoja1!$Z$3="Catastrófico"),CONCATENATE("R2C",[1]Hoja1!$N$3),"")</f>
        <v/>
      </c>
      <c r="AJ37" s="56" t="str">
        <f>IF(AND([1]Hoja1!$X$4="Baja",[1]Hoja1!$Z$4="Catastrófico"),CONCATENATE("R2C",[1]Hoja1!$N$4),"")</f>
        <v/>
      </c>
      <c r="AK37" s="56" t="str">
        <f>IF(AND([1]Hoja1!$X$5="Baja",[1]Hoja1!$Z$5="Catastrófico"),CONCATENATE("R2C",[1]Hoja1!$N$5),"")</f>
        <v/>
      </c>
      <c r="AL37" s="56" t="str">
        <f>IF(AND([1]Hoja1!$X$6="Baja",[1]Hoja1!$Z$6="Catastrófico"),CONCATENATE("R2C",[1]Hoja1!$N$6),"")</f>
        <v/>
      </c>
      <c r="AM37" s="57" t="str">
        <f>IF(AND([1]Hoja1!$X$7="Baja",[1]Hoja1!$Z$7="Catastrófico"),CONCATENATE("R2C",[1]Hoja1!$N$7),"")</f>
        <v/>
      </c>
      <c r="AN37" s="83"/>
      <c r="AO37" s="368"/>
      <c r="AP37" s="369"/>
      <c r="AQ37" s="369"/>
      <c r="AR37" s="369"/>
      <c r="AS37" s="369"/>
      <c r="AT37" s="37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49"/>
      <c r="C38" s="249"/>
      <c r="D38" s="250"/>
      <c r="E38" s="348"/>
      <c r="F38" s="347"/>
      <c r="G38" s="347"/>
      <c r="H38" s="347"/>
      <c r="I38" s="347"/>
      <c r="J38" s="76" t="e">
        <f>IF(AND('Mapa final'!#REF!="Baja",'Mapa final'!#REF!="Leve"),CONCATENATE("R3C",'Mapa final'!$Q$19),"")</f>
        <v>#REF!</v>
      </c>
      <c r="K38" s="77" t="e">
        <f>IF(AND('Mapa final'!#REF!="Baja",'Mapa final'!#REF!="Leve"),CONCATENATE("R3C",'Mapa final'!$Q$20),"")</f>
        <v>#REF!</v>
      </c>
      <c r="L38" s="77" t="e">
        <f>IF(AND('Mapa final'!#REF!="Baja",'Mapa final'!#REF!="Leve"),CONCATENATE("R3C",'Mapa final'!$Q$21),"")</f>
        <v>#REF!</v>
      </c>
      <c r="M38" s="77" t="e">
        <f>IF(AND('Mapa final'!#REF!="Baja",'Mapa final'!#REF!="Leve"),CONCATENATE("R3C",'Mapa final'!$Q$22),"")</f>
        <v>#REF!</v>
      </c>
      <c r="N38" s="77" t="e">
        <f>IF(AND('Mapa final'!#REF!="Baja",'Mapa final'!#REF!="Leve"),CONCATENATE("R3C",'Mapa final'!$Q$23),"")</f>
        <v>#REF!</v>
      </c>
      <c r="O38" s="78" t="e">
        <f>IF(AND('Mapa final'!#REF!="Baja",'Mapa final'!#REF!="Leve"),CONCATENATE("R3C",'Mapa final'!$Q$24),"")</f>
        <v>#REF!</v>
      </c>
      <c r="P38" s="67" t="e">
        <f>IF(AND('Mapa final'!#REF!="Baja",'Mapa final'!#REF!="Menor"),CONCATENATE("R3C",'Mapa final'!$Q$19),"")</f>
        <v>#REF!</v>
      </c>
      <c r="Q38" s="68" t="e">
        <f>IF(AND('Mapa final'!#REF!="Baja",'Mapa final'!#REF!="Menor"),CONCATENATE("R3C",'Mapa final'!$Q$20),"")</f>
        <v>#REF!</v>
      </c>
      <c r="R38" s="68" t="e">
        <f>IF(AND('Mapa final'!#REF!="Baja",'Mapa final'!#REF!="Menor"),CONCATENATE("R3C",'Mapa final'!$Q$21),"")</f>
        <v>#REF!</v>
      </c>
      <c r="S38" s="68" t="e">
        <f>IF(AND('Mapa final'!#REF!="Baja",'Mapa final'!#REF!="Menor"),CONCATENATE("R3C",'Mapa final'!$Q$22),"")</f>
        <v>#REF!</v>
      </c>
      <c r="T38" s="68" t="e">
        <f>IF(AND('Mapa final'!#REF!="Baja",'Mapa final'!#REF!="Menor"),CONCATENATE("R3C",'Mapa final'!$Q$23),"")</f>
        <v>#REF!</v>
      </c>
      <c r="U38" s="69" t="e">
        <f>IF(AND('Mapa final'!#REF!="Baja",'Mapa final'!#REF!="Menor"),CONCATENATE("R3C",'Mapa final'!$Q$24),"")</f>
        <v>#REF!</v>
      </c>
      <c r="V38" s="67" t="e">
        <f>IF(AND('Mapa final'!#REF!="Baja",'Mapa final'!#REF!="Moderado"),CONCATENATE("R3C",'Mapa final'!$Q$19),"")</f>
        <v>#REF!</v>
      </c>
      <c r="W38" s="68" t="e">
        <f>IF(AND('Mapa final'!#REF!="Baja",'Mapa final'!#REF!="Moderado"),CONCATENATE("R3C",'Mapa final'!$Q$20),"")</f>
        <v>#REF!</v>
      </c>
      <c r="X38" s="68" t="e">
        <f>IF(AND('Mapa final'!#REF!="Baja",'Mapa final'!#REF!="Moderado"),CONCATENATE("R3C",'Mapa final'!$Q$21),"")</f>
        <v>#REF!</v>
      </c>
      <c r="Y38" s="68" t="e">
        <f>IF(AND('Mapa final'!#REF!="Baja",'Mapa final'!#REF!="Moderado"),CONCATENATE("R3C",'Mapa final'!$Q$22),"")</f>
        <v>#REF!</v>
      </c>
      <c r="Z38" s="68" t="e">
        <f>IF(AND('Mapa final'!#REF!="Baja",'Mapa final'!#REF!="Moderado"),CONCATENATE("R3C",'Mapa final'!$Q$23),"")</f>
        <v>#REF!</v>
      </c>
      <c r="AA38" s="69" t="e">
        <f>IF(AND('Mapa final'!#REF!="Baja",'Mapa final'!#REF!="Moderado"),CONCATENATE("R3C",'Mapa final'!$Q$24),"")</f>
        <v>#REF!</v>
      </c>
      <c r="AB38" s="52" t="e">
        <f>IF(AND('Mapa final'!#REF!="Baja",'Mapa final'!#REF!="Mayor"),CONCATENATE("R3C",'Mapa final'!$Q$19),"")</f>
        <v>#REF!</v>
      </c>
      <c r="AC38" s="53" t="e">
        <f>IF(AND('Mapa final'!#REF!="Baja",'Mapa final'!#REF!="Mayor"),CONCATENATE("R3C",'Mapa final'!$Q$20),"")</f>
        <v>#REF!</v>
      </c>
      <c r="AD38" s="53" t="e">
        <f>IF(AND('Mapa final'!#REF!="Baja",'Mapa final'!#REF!="Mayor"),CONCATENATE("R3C",'Mapa final'!$Q$21),"")</f>
        <v>#REF!</v>
      </c>
      <c r="AE38" s="53" t="e">
        <f>IF(AND('Mapa final'!#REF!="Baja",'Mapa final'!#REF!="Mayor"),CONCATENATE("R3C",'Mapa final'!$Q$22),"")</f>
        <v>#REF!</v>
      </c>
      <c r="AF38" s="53" t="e">
        <f>IF(AND('Mapa final'!#REF!="Baja",'Mapa final'!#REF!="Mayor"),CONCATENATE("R3C",'Mapa final'!$Q$23),"")</f>
        <v>#REF!</v>
      </c>
      <c r="AG38" s="54" t="e">
        <f>IF(AND('Mapa final'!#REF!="Baja",'Mapa final'!#REF!="Mayor"),CONCATENATE("R3C",'Mapa final'!$Q$24),"")</f>
        <v>#REF!</v>
      </c>
      <c r="AH38" s="55" t="e">
        <f>IF(AND('Mapa final'!#REF!="Baja",'Mapa final'!#REF!="Catastrófico"),CONCATENATE("R3C",'Mapa final'!$Q$19),"")</f>
        <v>#REF!</v>
      </c>
      <c r="AI38" s="56" t="e">
        <f>IF(AND('Mapa final'!#REF!="Baja",'Mapa final'!#REF!="Catastrófico"),CONCATENATE("R3C",'Mapa final'!$Q$20),"")</f>
        <v>#REF!</v>
      </c>
      <c r="AJ38" s="56" t="e">
        <f>IF(AND('Mapa final'!#REF!="Baja",'Mapa final'!#REF!="Catastrófico"),CONCATENATE("R3C",'Mapa final'!$Q$21),"")</f>
        <v>#REF!</v>
      </c>
      <c r="AK38" s="56" t="e">
        <f>IF(AND('Mapa final'!#REF!="Baja",'Mapa final'!#REF!="Catastrófico"),CONCATENATE("R3C",'Mapa final'!$Q$22),"")</f>
        <v>#REF!</v>
      </c>
      <c r="AL38" s="56" t="e">
        <f>IF(AND('Mapa final'!#REF!="Baja",'Mapa final'!#REF!="Catastrófico"),CONCATENATE("R3C",'Mapa final'!$Q$23),"")</f>
        <v>#REF!</v>
      </c>
      <c r="AM38" s="57" t="e">
        <f>IF(AND('Mapa final'!#REF!="Baja",'Mapa final'!#REF!="Catastrófico"),CONCATENATE("R3C",'Mapa final'!$Q$24),"")</f>
        <v>#REF!</v>
      </c>
      <c r="AN38" s="83"/>
      <c r="AO38" s="368"/>
      <c r="AP38" s="369"/>
      <c r="AQ38" s="369"/>
      <c r="AR38" s="369"/>
      <c r="AS38" s="369"/>
      <c r="AT38" s="370"/>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49"/>
      <c r="C39" s="249"/>
      <c r="D39" s="250"/>
      <c r="E39" s="348"/>
      <c r="F39" s="347"/>
      <c r="G39" s="347"/>
      <c r="H39" s="347"/>
      <c r="I39" s="347"/>
      <c r="J39" s="76" t="e">
        <f>IF(AND('Mapa final'!#REF!="Baja",'Mapa final'!#REF!="Leve"),CONCATENATE("R4C",'Mapa final'!$Q$25),"")</f>
        <v>#REF!</v>
      </c>
      <c r="K39" s="77" t="e">
        <f>IF(AND('Mapa final'!#REF!="Baja",'Mapa final'!#REF!="Leve"),CONCATENATE("R4C",'Mapa final'!$Q$26),"")</f>
        <v>#REF!</v>
      </c>
      <c r="L39" s="77" t="e">
        <f>IF(AND('Mapa final'!#REF!="Baja",'Mapa final'!#REF!="Leve"),CONCATENATE("R4C",'Mapa final'!$Q$27),"")</f>
        <v>#REF!</v>
      </c>
      <c r="M39" s="77" t="e">
        <f>IF(AND('Mapa final'!#REF!="Baja",'Mapa final'!#REF!="Leve"),CONCATENATE("R4C",'Mapa final'!$Q$28),"")</f>
        <v>#REF!</v>
      </c>
      <c r="N39" s="77" t="e">
        <f>IF(AND('Mapa final'!#REF!="Baja",'Mapa final'!#REF!="Leve"),CONCATENATE("R4C",'Mapa final'!$Q$29),"")</f>
        <v>#REF!</v>
      </c>
      <c r="O39" s="78" t="e">
        <f>IF(AND('Mapa final'!#REF!="Baja",'Mapa final'!#REF!="Leve"),CONCATENATE("R4C",'Mapa final'!$Q$30),"")</f>
        <v>#REF!</v>
      </c>
      <c r="P39" s="67" t="e">
        <f>IF(AND('Mapa final'!#REF!="Baja",'Mapa final'!#REF!="Menor"),CONCATENATE("R4C",'Mapa final'!$Q$25),"")</f>
        <v>#REF!</v>
      </c>
      <c r="Q39" s="68" t="e">
        <f>IF(AND('Mapa final'!#REF!="Baja",'Mapa final'!#REF!="Menor"),CONCATENATE("R4C",'Mapa final'!$Q$26),"")</f>
        <v>#REF!</v>
      </c>
      <c r="R39" s="68" t="e">
        <f>IF(AND('Mapa final'!#REF!="Baja",'Mapa final'!#REF!="Menor"),CONCATENATE("R4C",'Mapa final'!$Q$27),"")</f>
        <v>#REF!</v>
      </c>
      <c r="S39" s="68" t="e">
        <f>IF(AND('Mapa final'!#REF!="Baja",'Mapa final'!#REF!="Menor"),CONCATENATE("R4C",'Mapa final'!$Q$28),"")</f>
        <v>#REF!</v>
      </c>
      <c r="T39" s="68" t="e">
        <f>IF(AND('Mapa final'!#REF!="Baja",'Mapa final'!#REF!="Menor"),CONCATENATE("R4C",'Mapa final'!$Q$29),"")</f>
        <v>#REF!</v>
      </c>
      <c r="U39" s="69" t="e">
        <f>IF(AND('Mapa final'!#REF!="Baja",'Mapa final'!#REF!="Menor"),CONCATENATE("R4C",'Mapa final'!$Q$30),"")</f>
        <v>#REF!</v>
      </c>
      <c r="V39" s="67" t="e">
        <f>IF(AND('Mapa final'!#REF!="Baja",'Mapa final'!#REF!="Moderado"),CONCATENATE("R4C",'Mapa final'!$Q$25),"")</f>
        <v>#REF!</v>
      </c>
      <c r="W39" s="68" t="e">
        <f>IF(AND('Mapa final'!#REF!="Baja",'Mapa final'!#REF!="Moderado"),CONCATENATE("R4C",'Mapa final'!$Q$26),"")</f>
        <v>#REF!</v>
      </c>
      <c r="X39" s="68" t="e">
        <f>IF(AND('Mapa final'!#REF!="Baja",'Mapa final'!#REF!="Moderado"),CONCATENATE("R4C",'Mapa final'!$Q$27),"")</f>
        <v>#REF!</v>
      </c>
      <c r="Y39" s="68" t="e">
        <f>IF(AND('Mapa final'!#REF!="Baja",'Mapa final'!#REF!="Moderado"),CONCATENATE("R4C",'Mapa final'!$Q$28),"")</f>
        <v>#REF!</v>
      </c>
      <c r="Z39" s="68" t="e">
        <f>IF(AND('Mapa final'!#REF!="Baja",'Mapa final'!#REF!="Moderado"),CONCATENATE("R4C",'Mapa final'!$Q$29),"")</f>
        <v>#REF!</v>
      </c>
      <c r="AA39" s="69" t="e">
        <f>IF(AND('Mapa final'!#REF!="Baja",'Mapa final'!#REF!="Moderado"),CONCATENATE("R4C",'Mapa final'!$Q$30),"")</f>
        <v>#REF!</v>
      </c>
      <c r="AB39" s="52" t="e">
        <f>IF(AND('Mapa final'!#REF!="Baja",'Mapa final'!#REF!="Mayor"),CONCATENATE("R4C",'Mapa final'!$Q$25),"")</f>
        <v>#REF!</v>
      </c>
      <c r="AC39" s="53" t="e">
        <f>IF(AND('Mapa final'!#REF!="Baja",'Mapa final'!#REF!="Mayor"),CONCATENATE("R4C",'Mapa final'!$Q$26),"")</f>
        <v>#REF!</v>
      </c>
      <c r="AD39" s="53" t="e">
        <f>IF(AND('Mapa final'!#REF!="Baja",'Mapa final'!#REF!="Mayor"),CONCATENATE("R4C",'Mapa final'!$Q$27),"")</f>
        <v>#REF!</v>
      </c>
      <c r="AE39" s="53" t="e">
        <f>IF(AND('Mapa final'!#REF!="Baja",'Mapa final'!#REF!="Mayor"),CONCATENATE("R4C",'Mapa final'!$Q$28),"")</f>
        <v>#REF!</v>
      </c>
      <c r="AF39" s="53" t="e">
        <f>IF(AND('Mapa final'!#REF!="Baja",'Mapa final'!#REF!="Mayor"),CONCATENATE("R4C",'Mapa final'!$Q$29),"")</f>
        <v>#REF!</v>
      </c>
      <c r="AG39" s="54" t="e">
        <f>IF(AND('Mapa final'!#REF!="Baja",'Mapa final'!#REF!="Mayor"),CONCATENATE("R4C",'Mapa final'!$Q$30),"")</f>
        <v>#REF!</v>
      </c>
      <c r="AH39" s="55" t="e">
        <f>IF(AND('Mapa final'!#REF!="Baja",'Mapa final'!#REF!="Catastrófico"),CONCATENATE("R4C",'Mapa final'!$Q$25),"")</f>
        <v>#REF!</v>
      </c>
      <c r="AI39" s="56" t="e">
        <f>IF(AND('Mapa final'!#REF!="Baja",'Mapa final'!#REF!="Catastrófico"),CONCATENATE("R4C",'Mapa final'!$Q$26),"")</f>
        <v>#REF!</v>
      </c>
      <c r="AJ39" s="56" t="e">
        <f>IF(AND('Mapa final'!#REF!="Baja",'Mapa final'!#REF!="Catastrófico"),CONCATENATE("R4C",'Mapa final'!$Q$27),"")</f>
        <v>#REF!</v>
      </c>
      <c r="AK39" s="56" t="e">
        <f>IF(AND('Mapa final'!#REF!="Baja",'Mapa final'!#REF!="Catastrófico"),CONCATENATE("R4C",'Mapa final'!$Q$28),"")</f>
        <v>#REF!</v>
      </c>
      <c r="AL39" s="56" t="e">
        <f>IF(AND('Mapa final'!#REF!="Baja",'Mapa final'!#REF!="Catastrófico"),CONCATENATE("R4C",'Mapa final'!$Q$29),"")</f>
        <v>#REF!</v>
      </c>
      <c r="AM39" s="57" t="e">
        <f>IF(AND('Mapa final'!#REF!="Baja",'Mapa final'!#REF!="Catastrófico"),CONCATENATE("R4C",'Mapa final'!$Q$30),"")</f>
        <v>#REF!</v>
      </c>
      <c r="AN39" s="83"/>
      <c r="AO39" s="368"/>
      <c r="AP39" s="369"/>
      <c r="AQ39" s="369"/>
      <c r="AR39" s="369"/>
      <c r="AS39" s="369"/>
      <c r="AT39" s="370"/>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49"/>
      <c r="C40" s="249"/>
      <c r="D40" s="250"/>
      <c r="E40" s="348"/>
      <c r="F40" s="347"/>
      <c r="G40" s="347"/>
      <c r="H40" s="347"/>
      <c r="I40" s="347"/>
      <c r="J40" s="76" t="e">
        <f>IF(AND('Mapa final'!#REF!="Baja",'Mapa final'!#REF!="Leve"),CONCATENATE("R5C",'Mapa final'!$Q$31),"")</f>
        <v>#REF!</v>
      </c>
      <c r="K40" s="77" t="e">
        <f>IF(AND('Mapa final'!#REF!="Baja",'Mapa final'!#REF!="Leve"),CONCATENATE("R5C",'Mapa final'!$Q$32),"")</f>
        <v>#REF!</v>
      </c>
      <c r="L40" s="77" t="e">
        <f>IF(AND('Mapa final'!#REF!="Baja",'Mapa final'!#REF!="Leve"),CONCATENATE("R5C",'Mapa final'!$Q$33),"")</f>
        <v>#REF!</v>
      </c>
      <c r="M40" s="77" t="e">
        <f>IF(AND('Mapa final'!#REF!="Baja",'Mapa final'!#REF!="Leve"),CONCATENATE("R5C",'Mapa final'!$Q$34),"")</f>
        <v>#REF!</v>
      </c>
      <c r="N40" s="77" t="e">
        <f>IF(AND('Mapa final'!#REF!="Baja",'Mapa final'!#REF!="Leve"),CONCATENATE("R5C",'Mapa final'!$Q$35),"")</f>
        <v>#REF!</v>
      </c>
      <c r="O40" s="78" t="e">
        <f>IF(AND('Mapa final'!#REF!="Baja",'Mapa final'!#REF!="Leve"),CONCATENATE("R5C",'Mapa final'!$Q$36),"")</f>
        <v>#REF!</v>
      </c>
      <c r="P40" s="67" t="e">
        <f>IF(AND('Mapa final'!#REF!="Baja",'Mapa final'!#REF!="Menor"),CONCATENATE("R5C",'Mapa final'!$Q$31),"")</f>
        <v>#REF!</v>
      </c>
      <c r="Q40" s="68" t="e">
        <f>IF(AND('Mapa final'!#REF!="Baja",'Mapa final'!#REF!="Menor"),CONCATENATE("R5C",'Mapa final'!$Q$32),"")</f>
        <v>#REF!</v>
      </c>
      <c r="R40" s="68" t="e">
        <f>IF(AND('Mapa final'!#REF!="Baja",'Mapa final'!#REF!="Menor"),CONCATENATE("R5C",'Mapa final'!$Q$33),"")</f>
        <v>#REF!</v>
      </c>
      <c r="S40" s="68" t="e">
        <f>IF(AND('Mapa final'!#REF!="Baja",'Mapa final'!#REF!="Menor"),CONCATENATE("R5C",'Mapa final'!$Q$34),"")</f>
        <v>#REF!</v>
      </c>
      <c r="T40" s="68" t="e">
        <f>IF(AND('Mapa final'!#REF!="Baja",'Mapa final'!#REF!="Menor"),CONCATENATE("R5C",'Mapa final'!$Q$35),"")</f>
        <v>#REF!</v>
      </c>
      <c r="U40" s="69" t="e">
        <f>IF(AND('Mapa final'!#REF!="Baja",'Mapa final'!#REF!="Menor"),CONCATENATE("R5C",'Mapa final'!$Q$36),"")</f>
        <v>#REF!</v>
      </c>
      <c r="V40" s="67" t="e">
        <f>IF(AND('Mapa final'!#REF!="Baja",'Mapa final'!#REF!="Moderado"),CONCATENATE("R5C",'Mapa final'!$Q$31),"")</f>
        <v>#REF!</v>
      </c>
      <c r="W40" s="68" t="e">
        <f>IF(AND('Mapa final'!#REF!="Baja",'Mapa final'!#REF!="Moderado"),CONCATENATE("R5C",'Mapa final'!$Q$32),"")</f>
        <v>#REF!</v>
      </c>
      <c r="X40" s="68" t="e">
        <f>IF(AND('Mapa final'!#REF!="Baja",'Mapa final'!#REF!="Moderado"),CONCATENATE("R5C",'Mapa final'!$Q$33),"")</f>
        <v>#REF!</v>
      </c>
      <c r="Y40" s="68" t="e">
        <f>IF(AND('Mapa final'!#REF!="Baja",'Mapa final'!#REF!="Moderado"),CONCATENATE("R5C",'Mapa final'!$Q$34),"")</f>
        <v>#REF!</v>
      </c>
      <c r="Z40" s="68" t="e">
        <f>IF(AND('Mapa final'!#REF!="Baja",'Mapa final'!#REF!="Moderado"),CONCATENATE("R5C",'Mapa final'!$Q$35),"")</f>
        <v>#REF!</v>
      </c>
      <c r="AA40" s="69" t="e">
        <f>IF(AND('Mapa final'!#REF!="Baja",'Mapa final'!#REF!="Moderado"),CONCATENATE("R5C",'Mapa final'!$Q$36),"")</f>
        <v>#REF!</v>
      </c>
      <c r="AB40" s="52" t="e">
        <f>IF(AND('Mapa final'!#REF!="Baja",'Mapa final'!#REF!="Mayor"),CONCATENATE("R5C",'Mapa final'!$Q$31),"")</f>
        <v>#REF!</v>
      </c>
      <c r="AC40" s="53" t="e">
        <f>IF(AND('Mapa final'!#REF!="Baja",'Mapa final'!#REF!="Mayor"),CONCATENATE("R5C",'Mapa final'!$Q$32),"")</f>
        <v>#REF!</v>
      </c>
      <c r="AD40" s="53" t="e">
        <f>IF(AND('Mapa final'!#REF!="Baja",'Mapa final'!#REF!="Mayor"),CONCATENATE("R5C",'Mapa final'!$Q$33),"")</f>
        <v>#REF!</v>
      </c>
      <c r="AE40" s="53" t="e">
        <f>IF(AND('Mapa final'!#REF!="Baja",'Mapa final'!#REF!="Mayor"),CONCATENATE("R5C",'Mapa final'!$Q$34),"")</f>
        <v>#REF!</v>
      </c>
      <c r="AF40" s="53" t="e">
        <f>IF(AND('Mapa final'!#REF!="Baja",'Mapa final'!#REF!="Mayor"),CONCATENATE("R5C",'Mapa final'!$Q$35),"")</f>
        <v>#REF!</v>
      </c>
      <c r="AG40" s="54" t="e">
        <f>IF(AND('Mapa final'!#REF!="Baja",'Mapa final'!#REF!="Mayor"),CONCATENATE("R5C",'Mapa final'!$Q$36),"")</f>
        <v>#REF!</v>
      </c>
      <c r="AH40" s="55" t="e">
        <f>IF(AND('Mapa final'!#REF!="Baja",'Mapa final'!#REF!="Catastrófico"),CONCATENATE("R5C",'Mapa final'!$Q$31),"")</f>
        <v>#REF!</v>
      </c>
      <c r="AI40" s="56" t="e">
        <f>IF(AND('Mapa final'!#REF!="Baja",'Mapa final'!#REF!="Catastrófico"),CONCATENATE("R5C",'Mapa final'!$Q$32),"")</f>
        <v>#REF!</v>
      </c>
      <c r="AJ40" s="56" t="e">
        <f>IF(AND('Mapa final'!#REF!="Baja",'Mapa final'!#REF!="Catastrófico"),CONCATENATE("R5C",'Mapa final'!$Q$33),"")</f>
        <v>#REF!</v>
      </c>
      <c r="AK40" s="56" t="e">
        <f>IF(AND('Mapa final'!#REF!="Baja",'Mapa final'!#REF!="Catastrófico"),CONCATENATE("R5C",'Mapa final'!$Q$34),"")</f>
        <v>#REF!</v>
      </c>
      <c r="AL40" s="56" t="e">
        <f>IF(AND('Mapa final'!#REF!="Baja",'Mapa final'!#REF!="Catastrófico"),CONCATENATE("R5C",'Mapa final'!$Q$35),"")</f>
        <v>#REF!</v>
      </c>
      <c r="AM40" s="57" t="e">
        <f>IF(AND('Mapa final'!#REF!="Baja",'Mapa final'!#REF!="Catastrófico"),CONCATENATE("R5C",'Mapa final'!$Q$36),"")</f>
        <v>#REF!</v>
      </c>
      <c r="AN40" s="83"/>
      <c r="AO40" s="368"/>
      <c r="AP40" s="369"/>
      <c r="AQ40" s="369"/>
      <c r="AR40" s="369"/>
      <c r="AS40" s="369"/>
      <c r="AT40" s="370"/>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49"/>
      <c r="C41" s="249"/>
      <c r="D41" s="250"/>
      <c r="E41" s="348"/>
      <c r="F41" s="347"/>
      <c r="G41" s="347"/>
      <c r="H41" s="347"/>
      <c r="I41" s="347"/>
      <c r="J41" s="76" t="e">
        <f>IF(AND('Mapa final'!#REF!="Baja",'Mapa final'!#REF!="Leve"),CONCATENATE("R6C",'Mapa final'!$Q$37),"")</f>
        <v>#REF!</v>
      </c>
      <c r="K41" s="77" t="e">
        <f>IF(AND('Mapa final'!#REF!="Baja",'Mapa final'!#REF!="Leve"),CONCATENATE("R6C",'Mapa final'!$Q$38),"")</f>
        <v>#REF!</v>
      </c>
      <c r="L41" s="77" t="e">
        <f>IF(AND('Mapa final'!#REF!="Baja",'Mapa final'!#REF!="Leve"),CONCATENATE("R6C",'Mapa final'!$Q$39),"")</f>
        <v>#REF!</v>
      </c>
      <c r="M41" s="77" t="e">
        <f>IF(AND('Mapa final'!#REF!="Baja",'Mapa final'!#REF!="Leve"),CONCATENATE("R6C",'Mapa final'!$Q$40),"")</f>
        <v>#REF!</v>
      </c>
      <c r="N41" s="77" t="e">
        <f>IF(AND('Mapa final'!#REF!="Baja",'Mapa final'!#REF!="Leve"),CONCATENATE("R6C",'Mapa final'!$Q$41),"")</f>
        <v>#REF!</v>
      </c>
      <c r="O41" s="78" t="e">
        <f>IF(AND('Mapa final'!#REF!="Baja",'Mapa final'!#REF!="Leve"),CONCATENATE("R6C",'Mapa final'!$Q$42),"")</f>
        <v>#REF!</v>
      </c>
      <c r="P41" s="67" t="e">
        <f>IF(AND('Mapa final'!#REF!="Baja",'Mapa final'!#REF!="Menor"),CONCATENATE("R6C",'Mapa final'!$Q$37),"")</f>
        <v>#REF!</v>
      </c>
      <c r="Q41" s="68" t="e">
        <f>IF(AND('Mapa final'!#REF!="Baja",'Mapa final'!#REF!="Menor"),CONCATENATE("R6C",'Mapa final'!$Q$38),"")</f>
        <v>#REF!</v>
      </c>
      <c r="R41" s="68" t="e">
        <f>IF(AND('Mapa final'!#REF!="Baja",'Mapa final'!#REF!="Menor"),CONCATENATE("R6C",'Mapa final'!$Q$39),"")</f>
        <v>#REF!</v>
      </c>
      <c r="S41" s="68" t="e">
        <f>IF(AND('Mapa final'!#REF!="Baja",'Mapa final'!#REF!="Menor"),CONCATENATE("R6C",'Mapa final'!$Q$40),"")</f>
        <v>#REF!</v>
      </c>
      <c r="T41" s="68" t="e">
        <f>IF(AND('Mapa final'!#REF!="Baja",'Mapa final'!#REF!="Menor"),CONCATENATE("R6C",'Mapa final'!$Q$41),"")</f>
        <v>#REF!</v>
      </c>
      <c r="U41" s="69" t="e">
        <f>IF(AND('Mapa final'!#REF!="Baja",'Mapa final'!#REF!="Menor"),CONCATENATE("R6C",'Mapa final'!$Q$42),"")</f>
        <v>#REF!</v>
      </c>
      <c r="V41" s="67" t="e">
        <f>IF(AND('Mapa final'!#REF!="Baja",'Mapa final'!#REF!="Moderado"),CONCATENATE("R6C",'Mapa final'!$Q$37),"")</f>
        <v>#REF!</v>
      </c>
      <c r="W41" s="68" t="e">
        <f>IF(AND('Mapa final'!#REF!="Baja",'Mapa final'!#REF!="Moderado"),CONCATENATE("R6C",'Mapa final'!$Q$38),"")</f>
        <v>#REF!</v>
      </c>
      <c r="X41" s="68" t="e">
        <f>IF(AND('Mapa final'!#REF!="Baja",'Mapa final'!#REF!="Moderado"),CONCATENATE("R6C",'Mapa final'!$Q$39),"")</f>
        <v>#REF!</v>
      </c>
      <c r="Y41" s="68" t="e">
        <f>IF(AND('Mapa final'!#REF!="Baja",'Mapa final'!#REF!="Moderado"),CONCATENATE("R6C",'Mapa final'!$Q$40),"")</f>
        <v>#REF!</v>
      </c>
      <c r="Z41" s="68" t="e">
        <f>IF(AND('Mapa final'!#REF!="Baja",'Mapa final'!#REF!="Moderado"),CONCATENATE("R6C",'Mapa final'!$Q$41),"")</f>
        <v>#REF!</v>
      </c>
      <c r="AA41" s="69" t="e">
        <f>IF(AND('Mapa final'!#REF!="Baja",'Mapa final'!#REF!="Moderado"),CONCATENATE("R6C",'Mapa final'!$Q$42),"")</f>
        <v>#REF!</v>
      </c>
      <c r="AB41" s="52" t="e">
        <f>IF(AND('Mapa final'!#REF!="Baja",'Mapa final'!#REF!="Mayor"),CONCATENATE("R6C",'Mapa final'!$Q$37),"")</f>
        <v>#REF!</v>
      </c>
      <c r="AC41" s="53" t="e">
        <f>IF(AND('Mapa final'!#REF!="Baja",'Mapa final'!#REF!="Mayor"),CONCATENATE("R6C",'Mapa final'!$Q$38),"")</f>
        <v>#REF!</v>
      </c>
      <c r="AD41" s="53" t="e">
        <f>IF(AND('Mapa final'!#REF!="Baja",'Mapa final'!#REF!="Mayor"),CONCATENATE("R6C",'Mapa final'!$Q$39),"")</f>
        <v>#REF!</v>
      </c>
      <c r="AE41" s="53" t="e">
        <f>IF(AND('Mapa final'!#REF!="Baja",'Mapa final'!#REF!="Mayor"),CONCATENATE("R6C",'Mapa final'!$Q$40),"")</f>
        <v>#REF!</v>
      </c>
      <c r="AF41" s="53" t="e">
        <f>IF(AND('Mapa final'!#REF!="Baja",'Mapa final'!#REF!="Mayor"),CONCATENATE("R6C",'Mapa final'!$Q$41),"")</f>
        <v>#REF!</v>
      </c>
      <c r="AG41" s="54" t="e">
        <f>IF(AND('Mapa final'!#REF!="Baja",'Mapa final'!#REF!="Mayor"),CONCATENATE("R6C",'Mapa final'!$Q$42),"")</f>
        <v>#REF!</v>
      </c>
      <c r="AH41" s="55" t="e">
        <f>IF(AND('Mapa final'!#REF!="Baja",'Mapa final'!#REF!="Catastrófico"),CONCATENATE("R6C",'Mapa final'!$Q$37),"")</f>
        <v>#REF!</v>
      </c>
      <c r="AI41" s="56" t="e">
        <f>IF(AND('Mapa final'!#REF!="Baja",'Mapa final'!#REF!="Catastrófico"),CONCATENATE("R6C",'Mapa final'!$Q$38),"")</f>
        <v>#REF!</v>
      </c>
      <c r="AJ41" s="56" t="e">
        <f>IF(AND('Mapa final'!#REF!="Baja",'Mapa final'!#REF!="Catastrófico"),CONCATENATE("R6C",'Mapa final'!$Q$39),"")</f>
        <v>#REF!</v>
      </c>
      <c r="AK41" s="56" t="e">
        <f>IF(AND('Mapa final'!#REF!="Baja",'Mapa final'!#REF!="Catastrófico"),CONCATENATE("R6C",'Mapa final'!$Q$40),"")</f>
        <v>#REF!</v>
      </c>
      <c r="AL41" s="56" t="e">
        <f>IF(AND('Mapa final'!#REF!="Baja",'Mapa final'!#REF!="Catastrófico"),CONCATENATE("R6C",'Mapa final'!$Q$41),"")</f>
        <v>#REF!</v>
      </c>
      <c r="AM41" s="57" t="e">
        <f>IF(AND('Mapa final'!#REF!="Baja",'Mapa final'!#REF!="Catastrófico"),CONCATENATE("R6C",'Mapa final'!$Q$42),"")</f>
        <v>#REF!</v>
      </c>
      <c r="AN41" s="83"/>
      <c r="AO41" s="368"/>
      <c r="AP41" s="369"/>
      <c r="AQ41" s="369"/>
      <c r="AR41" s="369"/>
      <c r="AS41" s="369"/>
      <c r="AT41" s="370"/>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49"/>
      <c r="C42" s="249"/>
      <c r="D42" s="250"/>
      <c r="E42" s="348"/>
      <c r="F42" s="347"/>
      <c r="G42" s="347"/>
      <c r="H42" s="347"/>
      <c r="I42" s="347"/>
      <c r="J42" s="76" t="e">
        <f>IF(AND('Mapa final'!#REF!="Baja",'Mapa final'!#REF!="Leve"),CONCATENATE("R7C",'Mapa final'!$Q$43),"")</f>
        <v>#REF!</v>
      </c>
      <c r="K42" s="77" t="e">
        <f>IF(AND('Mapa final'!#REF!="Baja",'Mapa final'!#REF!="Leve"),CONCATENATE("R7C",'Mapa final'!$Q$44),"")</f>
        <v>#REF!</v>
      </c>
      <c r="L42" s="77" t="e">
        <f>IF(AND('Mapa final'!#REF!="Baja",'Mapa final'!#REF!="Leve"),CONCATENATE("R7C",'Mapa final'!$Q$45),"")</f>
        <v>#REF!</v>
      </c>
      <c r="M42" s="77" t="e">
        <f>IF(AND('Mapa final'!#REF!="Baja",'Mapa final'!#REF!="Leve"),CONCATENATE("R7C",'Mapa final'!$Q$46),"")</f>
        <v>#REF!</v>
      </c>
      <c r="N42" s="77" t="e">
        <f>IF(AND('Mapa final'!#REF!="Baja",'Mapa final'!#REF!="Leve"),CONCATENATE("R7C",'Mapa final'!$Q$47),"")</f>
        <v>#REF!</v>
      </c>
      <c r="O42" s="78" t="e">
        <f>IF(AND('Mapa final'!#REF!="Baja",'Mapa final'!#REF!="Leve"),CONCATENATE("R7C",'Mapa final'!$Q$48),"")</f>
        <v>#REF!</v>
      </c>
      <c r="P42" s="67" t="e">
        <f>IF(AND('Mapa final'!#REF!="Baja",'Mapa final'!#REF!="Menor"),CONCATENATE("R7C",'Mapa final'!$Q$43),"")</f>
        <v>#REF!</v>
      </c>
      <c r="Q42" s="68" t="e">
        <f>IF(AND('Mapa final'!#REF!="Baja",'Mapa final'!#REF!="Menor"),CONCATENATE("R7C",'Mapa final'!$Q$44),"")</f>
        <v>#REF!</v>
      </c>
      <c r="R42" s="68" t="e">
        <f>IF(AND('Mapa final'!#REF!="Baja",'Mapa final'!#REF!="Menor"),CONCATENATE("R7C",'Mapa final'!$Q$45),"")</f>
        <v>#REF!</v>
      </c>
      <c r="S42" s="68" t="e">
        <f>IF(AND('Mapa final'!#REF!="Baja",'Mapa final'!#REF!="Menor"),CONCATENATE("R7C",'Mapa final'!$Q$46),"")</f>
        <v>#REF!</v>
      </c>
      <c r="T42" s="68" t="e">
        <f>IF(AND('Mapa final'!#REF!="Baja",'Mapa final'!#REF!="Menor"),CONCATENATE("R7C",'Mapa final'!$Q$47),"")</f>
        <v>#REF!</v>
      </c>
      <c r="U42" s="69" t="e">
        <f>IF(AND('Mapa final'!#REF!="Baja",'Mapa final'!#REF!="Menor"),CONCATENATE("R7C",'Mapa final'!$Q$48),"")</f>
        <v>#REF!</v>
      </c>
      <c r="V42" s="67" t="e">
        <f>IF(AND('Mapa final'!#REF!="Baja",'Mapa final'!#REF!="Moderado"),CONCATENATE("R7C",'Mapa final'!$Q$43),"")</f>
        <v>#REF!</v>
      </c>
      <c r="W42" s="68" t="e">
        <f>IF(AND('Mapa final'!#REF!="Baja",'Mapa final'!#REF!="Moderado"),CONCATENATE("R7C",'Mapa final'!$Q$44),"")</f>
        <v>#REF!</v>
      </c>
      <c r="X42" s="68" t="e">
        <f>IF(AND('Mapa final'!#REF!="Baja",'Mapa final'!#REF!="Moderado"),CONCATENATE("R7C",'Mapa final'!$Q$45),"")</f>
        <v>#REF!</v>
      </c>
      <c r="Y42" s="68" t="e">
        <f>IF(AND('Mapa final'!#REF!="Baja",'Mapa final'!#REF!="Moderado"),CONCATENATE("R7C",'Mapa final'!$Q$46),"")</f>
        <v>#REF!</v>
      </c>
      <c r="Z42" s="68" t="e">
        <f>IF(AND('Mapa final'!#REF!="Baja",'Mapa final'!#REF!="Moderado"),CONCATENATE("R7C",'Mapa final'!$Q$47),"")</f>
        <v>#REF!</v>
      </c>
      <c r="AA42" s="69" t="e">
        <f>IF(AND('Mapa final'!#REF!="Baja",'Mapa final'!#REF!="Moderado"),CONCATENATE("R7C",'Mapa final'!$Q$48),"")</f>
        <v>#REF!</v>
      </c>
      <c r="AB42" s="52" t="e">
        <f>IF(AND('Mapa final'!#REF!="Baja",'Mapa final'!#REF!="Mayor"),CONCATENATE("R7C",'Mapa final'!$Q$43),"")</f>
        <v>#REF!</v>
      </c>
      <c r="AC42" s="53" t="e">
        <f>IF(AND('Mapa final'!#REF!="Baja",'Mapa final'!#REF!="Mayor"),CONCATENATE("R7C",'Mapa final'!$Q$44),"")</f>
        <v>#REF!</v>
      </c>
      <c r="AD42" s="53" t="e">
        <f>IF(AND('Mapa final'!#REF!="Baja",'Mapa final'!#REF!="Mayor"),CONCATENATE("R7C",'Mapa final'!$Q$45),"")</f>
        <v>#REF!</v>
      </c>
      <c r="AE42" s="53" t="e">
        <f>IF(AND('Mapa final'!#REF!="Baja",'Mapa final'!#REF!="Mayor"),CONCATENATE("R7C",'Mapa final'!$Q$46),"")</f>
        <v>#REF!</v>
      </c>
      <c r="AF42" s="53" t="e">
        <f>IF(AND('Mapa final'!#REF!="Baja",'Mapa final'!#REF!="Mayor"),CONCATENATE("R7C",'Mapa final'!$Q$47),"")</f>
        <v>#REF!</v>
      </c>
      <c r="AG42" s="54" t="e">
        <f>IF(AND('Mapa final'!#REF!="Baja",'Mapa final'!#REF!="Mayor"),CONCATENATE("R7C",'Mapa final'!$Q$48),"")</f>
        <v>#REF!</v>
      </c>
      <c r="AH42" s="55" t="e">
        <f>IF(AND('Mapa final'!#REF!="Baja",'Mapa final'!#REF!="Catastrófico"),CONCATENATE("R7C",'Mapa final'!$Q$43),"")</f>
        <v>#REF!</v>
      </c>
      <c r="AI42" s="56" t="e">
        <f>IF(AND('Mapa final'!#REF!="Baja",'Mapa final'!#REF!="Catastrófico"),CONCATENATE("R7C",'Mapa final'!$Q$44),"")</f>
        <v>#REF!</v>
      </c>
      <c r="AJ42" s="56" t="e">
        <f>IF(AND('Mapa final'!#REF!="Baja",'Mapa final'!#REF!="Catastrófico"),CONCATENATE("R7C",'Mapa final'!$Q$45),"")</f>
        <v>#REF!</v>
      </c>
      <c r="AK42" s="56" t="e">
        <f>IF(AND('Mapa final'!#REF!="Baja",'Mapa final'!#REF!="Catastrófico"),CONCATENATE("R7C",'Mapa final'!$Q$46),"")</f>
        <v>#REF!</v>
      </c>
      <c r="AL42" s="56" t="e">
        <f>IF(AND('Mapa final'!#REF!="Baja",'Mapa final'!#REF!="Catastrófico"),CONCATENATE("R7C",'Mapa final'!$Q$47),"")</f>
        <v>#REF!</v>
      </c>
      <c r="AM42" s="57" t="e">
        <f>IF(AND('Mapa final'!#REF!="Baja",'Mapa final'!#REF!="Catastrófico"),CONCATENATE("R7C",'Mapa final'!$Q$48),"")</f>
        <v>#REF!</v>
      </c>
      <c r="AN42" s="83"/>
      <c r="AO42" s="368"/>
      <c r="AP42" s="369"/>
      <c r="AQ42" s="369"/>
      <c r="AR42" s="369"/>
      <c r="AS42" s="369"/>
      <c r="AT42" s="370"/>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49"/>
      <c r="C43" s="249"/>
      <c r="D43" s="250"/>
      <c r="E43" s="348"/>
      <c r="F43" s="347"/>
      <c r="G43" s="347"/>
      <c r="H43" s="347"/>
      <c r="I43" s="347"/>
      <c r="J43" s="76" t="e">
        <f>IF(AND('Mapa final'!#REF!="Baja",'Mapa final'!#REF!="Leve"),CONCATENATE("R8C",'Mapa final'!$Q$49),"")</f>
        <v>#REF!</v>
      </c>
      <c r="K43" s="77" t="e">
        <f>IF(AND('Mapa final'!#REF!="Baja",'Mapa final'!#REF!="Leve"),CONCATENATE("R8C",'Mapa final'!$Q$50),"")</f>
        <v>#REF!</v>
      </c>
      <c r="L43" s="77" t="e">
        <f>IF(AND('Mapa final'!#REF!="Baja",'Mapa final'!#REF!="Leve"),CONCATENATE("R8C",'Mapa final'!$Q$51),"")</f>
        <v>#REF!</v>
      </c>
      <c r="M43" s="77" t="e">
        <f>IF(AND('Mapa final'!#REF!="Baja",'Mapa final'!#REF!="Leve"),CONCATENATE("R8C",'Mapa final'!$Q$52),"")</f>
        <v>#REF!</v>
      </c>
      <c r="N43" s="77" t="e">
        <f>IF(AND('Mapa final'!#REF!="Baja",'Mapa final'!#REF!="Leve"),CONCATENATE("R8C",'Mapa final'!$Q$53),"")</f>
        <v>#REF!</v>
      </c>
      <c r="O43" s="78" t="e">
        <f>IF(AND('Mapa final'!#REF!="Baja",'Mapa final'!#REF!="Leve"),CONCATENATE("R8C",'Mapa final'!$Q$54),"")</f>
        <v>#REF!</v>
      </c>
      <c r="P43" s="67" t="e">
        <f>IF(AND('Mapa final'!#REF!="Baja",'Mapa final'!#REF!="Menor"),CONCATENATE("R8C",'Mapa final'!$Q$49),"")</f>
        <v>#REF!</v>
      </c>
      <c r="Q43" s="68" t="e">
        <f>IF(AND('Mapa final'!#REF!="Baja",'Mapa final'!#REF!="Menor"),CONCATENATE("R8C",'Mapa final'!$Q$50),"")</f>
        <v>#REF!</v>
      </c>
      <c r="R43" s="68" t="e">
        <f>IF(AND('Mapa final'!#REF!="Baja",'Mapa final'!#REF!="Menor"),CONCATENATE("R8C",'Mapa final'!$Q$51),"")</f>
        <v>#REF!</v>
      </c>
      <c r="S43" s="68" t="e">
        <f>IF(AND('Mapa final'!#REF!="Baja",'Mapa final'!#REF!="Menor"),CONCATENATE("R8C",'Mapa final'!$Q$52),"")</f>
        <v>#REF!</v>
      </c>
      <c r="T43" s="68" t="e">
        <f>IF(AND('Mapa final'!#REF!="Baja",'Mapa final'!#REF!="Menor"),CONCATENATE("R8C",'Mapa final'!$Q$53),"")</f>
        <v>#REF!</v>
      </c>
      <c r="U43" s="69" t="e">
        <f>IF(AND('Mapa final'!#REF!="Baja",'Mapa final'!#REF!="Menor"),CONCATENATE("R8C",'Mapa final'!$Q$54),"")</f>
        <v>#REF!</v>
      </c>
      <c r="V43" s="67" t="e">
        <f>IF(AND('Mapa final'!#REF!="Baja",'Mapa final'!#REF!="Moderado"),CONCATENATE("R8C",'Mapa final'!$Q$49),"")</f>
        <v>#REF!</v>
      </c>
      <c r="W43" s="68" t="e">
        <f>IF(AND('Mapa final'!#REF!="Baja",'Mapa final'!#REF!="Moderado"),CONCATENATE("R8C",'Mapa final'!$Q$50),"")</f>
        <v>#REF!</v>
      </c>
      <c r="X43" s="68" t="e">
        <f>IF(AND('Mapa final'!#REF!="Baja",'Mapa final'!#REF!="Moderado"),CONCATENATE("R8C",'Mapa final'!$Q$51),"")</f>
        <v>#REF!</v>
      </c>
      <c r="Y43" s="68" t="e">
        <f>IF(AND('Mapa final'!#REF!="Baja",'Mapa final'!#REF!="Moderado"),CONCATENATE("R8C",'Mapa final'!$Q$52),"")</f>
        <v>#REF!</v>
      </c>
      <c r="Z43" s="68" t="e">
        <f>IF(AND('Mapa final'!#REF!="Baja",'Mapa final'!#REF!="Moderado"),CONCATENATE("R8C",'Mapa final'!$Q$53),"")</f>
        <v>#REF!</v>
      </c>
      <c r="AA43" s="69" t="e">
        <f>IF(AND('Mapa final'!#REF!="Baja",'Mapa final'!#REF!="Moderado"),CONCATENATE("R8C",'Mapa final'!$Q$54),"")</f>
        <v>#REF!</v>
      </c>
      <c r="AB43" s="52" t="e">
        <f>IF(AND('Mapa final'!#REF!="Baja",'Mapa final'!#REF!="Mayor"),CONCATENATE("R8C",'Mapa final'!$Q$49),"")</f>
        <v>#REF!</v>
      </c>
      <c r="AC43" s="53" t="e">
        <f>IF(AND('Mapa final'!#REF!="Baja",'Mapa final'!#REF!="Mayor"),CONCATENATE("R8C",'Mapa final'!$Q$50),"")</f>
        <v>#REF!</v>
      </c>
      <c r="AD43" s="53" t="e">
        <f>IF(AND('Mapa final'!#REF!="Baja",'Mapa final'!#REF!="Mayor"),CONCATENATE("R8C",'Mapa final'!$Q$51),"")</f>
        <v>#REF!</v>
      </c>
      <c r="AE43" s="53" t="e">
        <f>IF(AND('Mapa final'!#REF!="Baja",'Mapa final'!#REF!="Mayor"),CONCATENATE("R8C",'Mapa final'!$Q$52),"")</f>
        <v>#REF!</v>
      </c>
      <c r="AF43" s="53" t="e">
        <f>IF(AND('Mapa final'!#REF!="Baja",'Mapa final'!#REF!="Mayor"),CONCATENATE("R8C",'Mapa final'!$Q$53),"")</f>
        <v>#REF!</v>
      </c>
      <c r="AG43" s="54" t="e">
        <f>IF(AND('Mapa final'!#REF!="Baja",'Mapa final'!#REF!="Mayor"),CONCATENATE("R8C",'Mapa final'!$Q$54),"")</f>
        <v>#REF!</v>
      </c>
      <c r="AH43" s="55" t="e">
        <f>IF(AND('Mapa final'!#REF!="Baja",'Mapa final'!#REF!="Catastrófico"),CONCATENATE("R8C",'Mapa final'!$Q$49),"")</f>
        <v>#REF!</v>
      </c>
      <c r="AI43" s="56" t="e">
        <f>IF(AND('Mapa final'!#REF!="Baja",'Mapa final'!#REF!="Catastrófico"),CONCATENATE("R8C",'Mapa final'!$Q$50),"")</f>
        <v>#REF!</v>
      </c>
      <c r="AJ43" s="56" t="e">
        <f>IF(AND('Mapa final'!#REF!="Baja",'Mapa final'!#REF!="Catastrófico"),CONCATENATE("R8C",'Mapa final'!$Q$51),"")</f>
        <v>#REF!</v>
      </c>
      <c r="AK43" s="56" t="e">
        <f>IF(AND('Mapa final'!#REF!="Baja",'Mapa final'!#REF!="Catastrófico"),CONCATENATE("R8C",'Mapa final'!$Q$52),"")</f>
        <v>#REF!</v>
      </c>
      <c r="AL43" s="56" t="e">
        <f>IF(AND('Mapa final'!#REF!="Baja",'Mapa final'!#REF!="Catastrófico"),CONCATENATE("R8C",'Mapa final'!$Q$53),"")</f>
        <v>#REF!</v>
      </c>
      <c r="AM43" s="57" t="e">
        <f>IF(AND('Mapa final'!#REF!="Baja",'Mapa final'!#REF!="Catastrófico"),CONCATENATE("R8C",'Mapa final'!$Q$54),"")</f>
        <v>#REF!</v>
      </c>
      <c r="AN43" s="83"/>
      <c r="AO43" s="368"/>
      <c r="AP43" s="369"/>
      <c r="AQ43" s="369"/>
      <c r="AR43" s="369"/>
      <c r="AS43" s="369"/>
      <c r="AT43" s="370"/>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49"/>
      <c r="C44" s="249"/>
      <c r="D44" s="250"/>
      <c r="E44" s="348"/>
      <c r="F44" s="347"/>
      <c r="G44" s="347"/>
      <c r="H44" s="347"/>
      <c r="I44" s="347"/>
      <c r="J44" s="76" t="e">
        <f>IF(AND('Mapa final'!#REF!="Baja",'Mapa final'!#REF!="Leve"),CONCATENATE("R9C",'Mapa final'!$Q$55),"")</f>
        <v>#REF!</v>
      </c>
      <c r="K44" s="77" t="e">
        <f>IF(AND('Mapa final'!#REF!="Baja",'Mapa final'!#REF!="Leve"),CONCATENATE("R9C",'Mapa final'!$Q$56),"")</f>
        <v>#REF!</v>
      </c>
      <c r="L44" s="77" t="e">
        <f>IF(AND('Mapa final'!#REF!="Baja",'Mapa final'!#REF!="Leve"),CONCATENATE("R9C",'Mapa final'!$Q$57),"")</f>
        <v>#REF!</v>
      </c>
      <c r="M44" s="77" t="e">
        <f>IF(AND('Mapa final'!#REF!="Baja",'Mapa final'!#REF!="Leve"),CONCATENATE("R9C",'Mapa final'!$Q$58),"")</f>
        <v>#REF!</v>
      </c>
      <c r="N44" s="77" t="e">
        <f>IF(AND('Mapa final'!#REF!="Baja",'Mapa final'!#REF!="Leve"),CONCATENATE("R9C",'Mapa final'!$Q$59),"")</f>
        <v>#REF!</v>
      </c>
      <c r="O44" s="78" t="e">
        <f>IF(AND('Mapa final'!#REF!="Baja",'Mapa final'!#REF!="Leve"),CONCATENATE("R9C",'Mapa final'!$Q$60),"")</f>
        <v>#REF!</v>
      </c>
      <c r="P44" s="67" t="e">
        <f>IF(AND('Mapa final'!#REF!="Baja",'Mapa final'!#REF!="Menor"),CONCATENATE("R9C",'Mapa final'!$Q$55),"")</f>
        <v>#REF!</v>
      </c>
      <c r="Q44" s="68" t="e">
        <f>IF(AND('Mapa final'!#REF!="Baja",'Mapa final'!#REF!="Menor"),CONCATENATE("R9C",'Mapa final'!$Q$56),"")</f>
        <v>#REF!</v>
      </c>
      <c r="R44" s="68" t="e">
        <f>IF(AND('Mapa final'!#REF!="Baja",'Mapa final'!#REF!="Menor"),CONCATENATE("R9C",'Mapa final'!$Q$57),"")</f>
        <v>#REF!</v>
      </c>
      <c r="S44" s="68" t="e">
        <f>IF(AND('Mapa final'!#REF!="Baja",'Mapa final'!#REF!="Menor"),CONCATENATE("R9C",'Mapa final'!$Q$58),"")</f>
        <v>#REF!</v>
      </c>
      <c r="T44" s="68" t="e">
        <f>IF(AND('Mapa final'!#REF!="Baja",'Mapa final'!#REF!="Menor"),CONCATENATE("R9C",'Mapa final'!$Q$59),"")</f>
        <v>#REF!</v>
      </c>
      <c r="U44" s="69" t="e">
        <f>IF(AND('Mapa final'!#REF!="Baja",'Mapa final'!#REF!="Menor"),CONCATENATE("R9C",'Mapa final'!$Q$60),"")</f>
        <v>#REF!</v>
      </c>
      <c r="V44" s="67" t="e">
        <f>IF(AND('Mapa final'!#REF!="Baja",'Mapa final'!#REF!="Moderado"),CONCATENATE("R9C",'Mapa final'!$Q$55),"")</f>
        <v>#REF!</v>
      </c>
      <c r="W44" s="68" t="e">
        <f>IF(AND('Mapa final'!#REF!="Baja",'Mapa final'!#REF!="Moderado"),CONCATENATE("R9C",'Mapa final'!$Q$56),"")</f>
        <v>#REF!</v>
      </c>
      <c r="X44" s="68" t="e">
        <f>IF(AND('Mapa final'!#REF!="Baja",'Mapa final'!#REF!="Moderado"),CONCATENATE("R9C",'Mapa final'!$Q$57),"")</f>
        <v>#REF!</v>
      </c>
      <c r="Y44" s="68" t="e">
        <f>IF(AND('Mapa final'!#REF!="Baja",'Mapa final'!#REF!="Moderado"),CONCATENATE("R9C",'Mapa final'!$Q$58),"")</f>
        <v>#REF!</v>
      </c>
      <c r="Z44" s="68" t="e">
        <f>IF(AND('Mapa final'!#REF!="Baja",'Mapa final'!#REF!="Moderado"),CONCATENATE("R9C",'Mapa final'!$Q$59),"")</f>
        <v>#REF!</v>
      </c>
      <c r="AA44" s="69" t="e">
        <f>IF(AND('Mapa final'!#REF!="Baja",'Mapa final'!#REF!="Moderado"),CONCATENATE("R9C",'Mapa final'!$Q$60),"")</f>
        <v>#REF!</v>
      </c>
      <c r="AB44" s="52" t="e">
        <f>IF(AND('Mapa final'!#REF!="Baja",'Mapa final'!#REF!="Mayor"),CONCATENATE("R9C",'Mapa final'!$Q$55),"")</f>
        <v>#REF!</v>
      </c>
      <c r="AC44" s="53" t="e">
        <f>IF(AND('Mapa final'!#REF!="Baja",'Mapa final'!#REF!="Mayor"),CONCATENATE("R9C",'Mapa final'!$Q$56),"")</f>
        <v>#REF!</v>
      </c>
      <c r="AD44" s="53" t="e">
        <f>IF(AND('Mapa final'!#REF!="Baja",'Mapa final'!#REF!="Mayor"),CONCATENATE("R9C",'Mapa final'!$Q$57),"")</f>
        <v>#REF!</v>
      </c>
      <c r="AE44" s="53" t="e">
        <f>IF(AND('Mapa final'!#REF!="Baja",'Mapa final'!#REF!="Mayor"),CONCATENATE("R9C",'Mapa final'!$Q$58),"")</f>
        <v>#REF!</v>
      </c>
      <c r="AF44" s="53" t="e">
        <f>IF(AND('Mapa final'!#REF!="Baja",'Mapa final'!#REF!="Mayor"),CONCATENATE("R9C",'Mapa final'!$Q$59),"")</f>
        <v>#REF!</v>
      </c>
      <c r="AG44" s="54" t="e">
        <f>IF(AND('Mapa final'!#REF!="Baja",'Mapa final'!#REF!="Mayor"),CONCATENATE("R9C",'Mapa final'!$Q$60),"")</f>
        <v>#REF!</v>
      </c>
      <c r="AH44" s="55" t="e">
        <f>IF(AND('Mapa final'!#REF!="Baja",'Mapa final'!#REF!="Catastrófico"),CONCATENATE("R9C",'Mapa final'!$Q$55),"")</f>
        <v>#REF!</v>
      </c>
      <c r="AI44" s="56" t="e">
        <f>IF(AND('Mapa final'!#REF!="Baja",'Mapa final'!#REF!="Catastrófico"),CONCATENATE("R9C",'Mapa final'!$Q$56),"")</f>
        <v>#REF!</v>
      </c>
      <c r="AJ44" s="56" t="e">
        <f>IF(AND('Mapa final'!#REF!="Baja",'Mapa final'!#REF!="Catastrófico"),CONCATENATE("R9C",'Mapa final'!$Q$57),"")</f>
        <v>#REF!</v>
      </c>
      <c r="AK44" s="56" t="e">
        <f>IF(AND('Mapa final'!#REF!="Baja",'Mapa final'!#REF!="Catastrófico"),CONCATENATE("R9C",'Mapa final'!$Q$58),"")</f>
        <v>#REF!</v>
      </c>
      <c r="AL44" s="56" t="e">
        <f>IF(AND('Mapa final'!#REF!="Baja",'Mapa final'!#REF!="Catastrófico"),CONCATENATE("R9C",'Mapa final'!$Q$59),"")</f>
        <v>#REF!</v>
      </c>
      <c r="AM44" s="57" t="e">
        <f>IF(AND('Mapa final'!#REF!="Baja",'Mapa final'!#REF!="Catastrófico"),CONCATENATE("R9C",'Mapa final'!$Q$60),"")</f>
        <v>#REF!</v>
      </c>
      <c r="AN44" s="83"/>
      <c r="AO44" s="368"/>
      <c r="AP44" s="369"/>
      <c r="AQ44" s="369"/>
      <c r="AR44" s="369"/>
      <c r="AS44" s="369"/>
      <c r="AT44" s="370"/>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49"/>
      <c r="C45" s="249"/>
      <c r="D45" s="250"/>
      <c r="E45" s="349"/>
      <c r="F45" s="350"/>
      <c r="G45" s="350"/>
      <c r="H45" s="350"/>
      <c r="I45" s="350"/>
      <c r="J45" s="79" t="e">
        <f>IF(AND('Mapa final'!#REF!="Baja",'Mapa final'!#REF!="Leve"),CONCATENATE("R10C",'Mapa final'!$Q$61),"")</f>
        <v>#REF!</v>
      </c>
      <c r="K45" s="80" t="e">
        <f>IF(AND('Mapa final'!#REF!="Baja",'Mapa final'!#REF!="Leve"),CONCATENATE("R10C",'Mapa final'!$Q$62),"")</f>
        <v>#REF!</v>
      </c>
      <c r="L45" s="80" t="e">
        <f>IF(AND('Mapa final'!#REF!="Baja",'Mapa final'!#REF!="Leve"),CONCATENATE("R10C",'Mapa final'!$Q$63),"")</f>
        <v>#REF!</v>
      </c>
      <c r="M45" s="80" t="e">
        <f>IF(AND('Mapa final'!#REF!="Baja",'Mapa final'!#REF!="Leve"),CONCATENATE("R10C",'Mapa final'!$Q$64),"")</f>
        <v>#REF!</v>
      </c>
      <c r="N45" s="80" t="e">
        <f>IF(AND('Mapa final'!#REF!="Baja",'Mapa final'!#REF!="Leve"),CONCATENATE("R10C",'Mapa final'!$Q$65),"")</f>
        <v>#REF!</v>
      </c>
      <c r="O45" s="81" t="e">
        <f>IF(AND('Mapa final'!#REF!="Baja",'Mapa final'!#REF!="Leve"),CONCATENATE("R10C",'Mapa final'!$Q$66),"")</f>
        <v>#REF!</v>
      </c>
      <c r="P45" s="67" t="e">
        <f>IF(AND('Mapa final'!#REF!="Baja",'Mapa final'!#REF!="Menor"),CONCATENATE("R10C",'Mapa final'!$Q$61),"")</f>
        <v>#REF!</v>
      </c>
      <c r="Q45" s="68" t="e">
        <f>IF(AND('Mapa final'!#REF!="Baja",'Mapa final'!#REF!="Menor"),CONCATENATE("R10C",'Mapa final'!$Q$62),"")</f>
        <v>#REF!</v>
      </c>
      <c r="R45" s="68" t="e">
        <f>IF(AND('Mapa final'!#REF!="Baja",'Mapa final'!#REF!="Menor"),CONCATENATE("R10C",'Mapa final'!$Q$63),"")</f>
        <v>#REF!</v>
      </c>
      <c r="S45" s="68" t="e">
        <f>IF(AND('Mapa final'!#REF!="Baja",'Mapa final'!#REF!="Menor"),CONCATENATE("R10C",'Mapa final'!$Q$64),"")</f>
        <v>#REF!</v>
      </c>
      <c r="T45" s="68" t="e">
        <f>IF(AND('Mapa final'!#REF!="Baja",'Mapa final'!#REF!="Menor"),CONCATENATE("R10C",'Mapa final'!$Q$65),"")</f>
        <v>#REF!</v>
      </c>
      <c r="U45" s="69" t="e">
        <f>IF(AND('Mapa final'!#REF!="Baja",'Mapa final'!#REF!="Menor"),CONCATENATE("R10C",'Mapa final'!$Q$66),"")</f>
        <v>#REF!</v>
      </c>
      <c r="V45" s="70" t="e">
        <f>IF(AND('Mapa final'!#REF!="Baja",'Mapa final'!#REF!="Moderado"),CONCATENATE("R10C",'Mapa final'!$Q$61),"")</f>
        <v>#REF!</v>
      </c>
      <c r="W45" s="71" t="e">
        <f>IF(AND('Mapa final'!#REF!="Baja",'Mapa final'!#REF!="Moderado"),CONCATENATE("R10C",'Mapa final'!$Q$62),"")</f>
        <v>#REF!</v>
      </c>
      <c r="X45" s="71" t="e">
        <f>IF(AND('Mapa final'!#REF!="Baja",'Mapa final'!#REF!="Moderado"),CONCATENATE("R10C",'Mapa final'!$Q$63),"")</f>
        <v>#REF!</v>
      </c>
      <c r="Y45" s="71" t="e">
        <f>IF(AND('Mapa final'!#REF!="Baja",'Mapa final'!#REF!="Moderado"),CONCATENATE("R10C",'Mapa final'!$Q$64),"")</f>
        <v>#REF!</v>
      </c>
      <c r="Z45" s="71" t="e">
        <f>IF(AND('Mapa final'!#REF!="Baja",'Mapa final'!#REF!="Moderado"),CONCATENATE("R10C",'Mapa final'!$Q$65),"")</f>
        <v>#REF!</v>
      </c>
      <c r="AA45" s="72" t="e">
        <f>IF(AND('Mapa final'!#REF!="Baja",'Mapa final'!#REF!="Moderado"),CONCATENATE("R10C",'Mapa final'!$Q$66),"")</f>
        <v>#REF!</v>
      </c>
      <c r="AB45" s="58" t="e">
        <f>IF(AND('Mapa final'!#REF!="Baja",'Mapa final'!#REF!="Mayor"),CONCATENATE("R10C",'Mapa final'!$Q$61),"")</f>
        <v>#REF!</v>
      </c>
      <c r="AC45" s="59" t="e">
        <f>IF(AND('Mapa final'!#REF!="Baja",'Mapa final'!#REF!="Mayor"),CONCATENATE("R10C",'Mapa final'!$Q$62),"")</f>
        <v>#REF!</v>
      </c>
      <c r="AD45" s="59" t="e">
        <f>IF(AND('Mapa final'!#REF!="Baja",'Mapa final'!#REF!="Mayor"),CONCATENATE("R10C",'Mapa final'!$Q$63),"")</f>
        <v>#REF!</v>
      </c>
      <c r="AE45" s="59" t="e">
        <f>IF(AND('Mapa final'!#REF!="Baja",'Mapa final'!#REF!="Mayor"),CONCATENATE("R10C",'Mapa final'!$Q$64),"")</f>
        <v>#REF!</v>
      </c>
      <c r="AF45" s="59" t="e">
        <f>IF(AND('Mapa final'!#REF!="Baja",'Mapa final'!#REF!="Mayor"),CONCATENATE("R10C",'Mapa final'!$Q$65),"")</f>
        <v>#REF!</v>
      </c>
      <c r="AG45" s="60" t="e">
        <f>IF(AND('Mapa final'!#REF!="Baja",'Mapa final'!#REF!="Mayor"),CONCATENATE("R10C",'Mapa final'!$Q$66),"")</f>
        <v>#REF!</v>
      </c>
      <c r="AH45" s="61" t="e">
        <f>IF(AND('Mapa final'!#REF!="Baja",'Mapa final'!#REF!="Catastrófico"),CONCATENATE("R10C",'Mapa final'!$Q$61),"")</f>
        <v>#REF!</v>
      </c>
      <c r="AI45" s="62" t="e">
        <f>IF(AND('Mapa final'!#REF!="Baja",'Mapa final'!#REF!="Catastrófico"),CONCATENATE("R10C",'Mapa final'!$Q$62),"")</f>
        <v>#REF!</v>
      </c>
      <c r="AJ45" s="62" t="e">
        <f>IF(AND('Mapa final'!#REF!="Baja",'Mapa final'!#REF!="Catastrófico"),CONCATENATE("R10C",'Mapa final'!$Q$63),"")</f>
        <v>#REF!</v>
      </c>
      <c r="AK45" s="62" t="e">
        <f>IF(AND('Mapa final'!#REF!="Baja",'Mapa final'!#REF!="Catastrófico"),CONCATENATE("R10C",'Mapa final'!$Q$64),"")</f>
        <v>#REF!</v>
      </c>
      <c r="AL45" s="62" t="e">
        <f>IF(AND('Mapa final'!#REF!="Baja",'Mapa final'!#REF!="Catastrófico"),CONCATENATE("R10C",'Mapa final'!$Q$65),"")</f>
        <v>#REF!</v>
      </c>
      <c r="AM45" s="63" t="e">
        <f>IF(AND('Mapa final'!#REF!="Baja",'Mapa final'!#REF!="Catastrófico"),CONCATENATE("R10C",'Mapa final'!$Q$66),"")</f>
        <v>#REF!</v>
      </c>
      <c r="AN45" s="83"/>
      <c r="AO45" s="371"/>
      <c r="AP45" s="372"/>
      <c r="AQ45" s="372"/>
      <c r="AR45" s="372"/>
      <c r="AS45" s="372"/>
      <c r="AT45" s="373"/>
    </row>
    <row r="46" spans="1:80" ht="46.5" customHeight="1" x14ac:dyDescent="0.35">
      <c r="A46" s="83"/>
      <c r="B46" s="249"/>
      <c r="C46" s="249"/>
      <c r="D46" s="250"/>
      <c r="E46" s="344" t="s">
        <v>105</v>
      </c>
      <c r="F46" s="345"/>
      <c r="G46" s="345"/>
      <c r="H46" s="345"/>
      <c r="I46" s="362"/>
      <c r="J46" s="73" t="e">
        <f>IF(AND('Mapa final'!#REF!="Muy Baja",'Mapa final'!#REF!="Leve"),CONCATENATE("R1C",'Mapa final'!$Q$10),"")</f>
        <v>#REF!</v>
      </c>
      <c r="K46" s="74" t="e">
        <f>IF(AND('Mapa final'!#REF!="Muy Baja",'Mapa final'!#REF!="Leve"),CONCATENATE("R1C",'Mapa final'!$Q$11),"")</f>
        <v>#REF!</v>
      </c>
      <c r="L46" s="74" t="e">
        <f>IF(AND('Mapa final'!#REF!="Muy Baja",'Mapa final'!#REF!="Leve"),CONCATENATE("R1C",'Mapa final'!$Q$12),"")</f>
        <v>#REF!</v>
      </c>
      <c r="M46" s="74" t="e">
        <f>IF(AND('Mapa final'!#REF!="Muy Baja",'Mapa final'!#REF!="Leve"),CONCATENATE("R1C",'Mapa final'!#REF!),"")</f>
        <v>#REF!</v>
      </c>
      <c r="N46" s="74" t="e">
        <f>IF(AND('Mapa final'!#REF!="Muy Baja",'Mapa final'!#REF!="Leve"),CONCATENATE("R1C",'Mapa final'!#REF!),"")</f>
        <v>#REF!</v>
      </c>
      <c r="O46" s="75" t="e">
        <f>IF(AND('Mapa final'!#REF!="Muy Baja",'Mapa final'!#REF!="Leve"),CONCATENATE("R1C",'Mapa final'!#REF!),"")</f>
        <v>#REF!</v>
      </c>
      <c r="P46" s="73" t="e">
        <f>IF(AND('Mapa final'!#REF!="Muy Baja",'Mapa final'!#REF!="Menor"),CONCATENATE("R1C",'Mapa final'!$Q$10),"")</f>
        <v>#REF!</v>
      </c>
      <c r="Q46" s="74" t="e">
        <f>IF(AND('Mapa final'!#REF!="Muy Baja",'Mapa final'!#REF!="Menor"),CONCATENATE("R1C",'Mapa final'!$Q$11),"")</f>
        <v>#REF!</v>
      </c>
      <c r="R46" s="74" t="e">
        <f>IF(AND('Mapa final'!#REF!="Muy Baja",'Mapa final'!#REF!="Menor"),CONCATENATE("R1C",'Mapa final'!$Q$12),"")</f>
        <v>#REF!</v>
      </c>
      <c r="S46" s="74" t="e">
        <f>IF(AND('Mapa final'!#REF!="Muy Baja",'Mapa final'!#REF!="Menor"),CONCATENATE("R1C",'Mapa final'!#REF!),"")</f>
        <v>#REF!</v>
      </c>
      <c r="T46" s="74" t="e">
        <f>IF(AND('Mapa final'!#REF!="Muy Baja",'Mapa final'!#REF!="Menor"),CONCATENATE("R1C",'Mapa final'!#REF!),"")</f>
        <v>#REF!</v>
      </c>
      <c r="U46" s="75" t="e">
        <f>IF(AND('Mapa final'!#REF!="Muy Baja",'Mapa final'!#REF!="Menor"),CONCATENATE("R1C",'Mapa final'!#REF!),"")</f>
        <v>#REF!</v>
      </c>
      <c r="V46" s="64" t="e">
        <f>IF(AND('Mapa final'!#REF!="Muy Baja",'Mapa final'!#REF!="Moderado"),CONCATENATE("R1C",'Mapa final'!$Q$10),"")</f>
        <v>#REF!</v>
      </c>
      <c r="W46" s="82" t="e">
        <f>IF(AND('Mapa final'!#REF!="Muy Baja",'Mapa final'!#REF!="Moderado"),CONCATENATE("R1C",'Mapa final'!$Q$11),"")</f>
        <v>#REF!</v>
      </c>
      <c r="X46" s="65" t="e">
        <f>IF(AND('Mapa final'!#REF!="Muy Baja",'Mapa final'!#REF!="Moderado"),CONCATENATE("R1C",'Mapa final'!$Q$12),"")</f>
        <v>#REF!</v>
      </c>
      <c r="Y46" s="65" t="e">
        <f>IF(AND('Mapa final'!#REF!="Muy Baja",'Mapa final'!#REF!="Moderado"),CONCATENATE("R1C",'Mapa final'!#REF!),"")</f>
        <v>#REF!</v>
      </c>
      <c r="Z46" s="65" t="e">
        <f>IF(AND('Mapa final'!#REF!="Muy Baja",'Mapa final'!#REF!="Moderado"),CONCATENATE("R1C",'Mapa final'!#REF!),"")</f>
        <v>#REF!</v>
      </c>
      <c r="AA46" s="66" t="e">
        <f>IF(AND('Mapa final'!#REF!="Muy Baja",'Mapa final'!#REF!="Moderado"),CONCATENATE("R1C",'Mapa final'!#REF!),"")</f>
        <v>#REF!</v>
      </c>
      <c r="AB46" s="46" t="e">
        <f>IF(AND('Mapa final'!#REF!="Muy Baja",'Mapa final'!#REF!="Mayor"),CONCATENATE("R1C",'Mapa final'!$Q$10),"")</f>
        <v>#REF!</v>
      </c>
      <c r="AC46" s="47" t="e">
        <f>IF(AND('Mapa final'!#REF!="Muy Baja",'Mapa final'!#REF!="Mayor"),CONCATENATE("R1C",'Mapa final'!$Q$11),"")</f>
        <v>#REF!</v>
      </c>
      <c r="AD46" s="47" t="e">
        <f>IF(AND('Mapa final'!#REF!="Muy Baja",'Mapa final'!#REF!="Mayor"),CONCATENATE("R1C",'Mapa final'!$Q$12),"")</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e">
        <f>IF(AND('Mapa final'!#REF!="Muy Baja",'Mapa final'!#REF!="Catastrófico"),CONCATENATE("R1C",'Mapa final'!$Q$10),"")</f>
        <v>#REF!</v>
      </c>
      <c r="AI46" s="50" t="e">
        <f>IF(AND('Mapa final'!#REF!="Muy Baja",'Mapa final'!#REF!="Catastrófico"),CONCATENATE("R1C",'Mapa final'!$Q$11),"")</f>
        <v>#REF!</v>
      </c>
      <c r="AJ46" s="50" t="e">
        <f>IF(AND('Mapa final'!#REF!="Muy Baja",'Mapa final'!#REF!="Catastrófico"),CONCATENATE("R1C",'Mapa final'!$Q$12),"")</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49"/>
      <c r="C47" s="249"/>
      <c r="D47" s="250"/>
      <c r="E47" s="346"/>
      <c r="F47" s="347"/>
      <c r="G47" s="347"/>
      <c r="H47" s="347"/>
      <c r="I47" s="363"/>
      <c r="J47" s="76" t="str">
        <f>IF(AND([1]Hoja1!$X$2="Muy Baja",[1]Hoja1!$Z$2="Leve"),CONCATENATE("R2C",[1]Hoja1!$N$2),"")</f>
        <v/>
      </c>
      <c r="K47" s="77" t="str">
        <f>IF(AND([1]Hoja1!$X$3="Muy Baja",[1]Hoja1!$Z$3="Leve"),CONCATENATE("R2C",[1]Hoja1!$N$3),"")</f>
        <v/>
      </c>
      <c r="L47" s="77" t="str">
        <f>IF(AND([1]Hoja1!$X$4="Muy Baja",[1]Hoja1!$Z$4="Leve"),CONCATENATE("R2C",[1]Hoja1!$N$4),"")</f>
        <v/>
      </c>
      <c r="M47" s="77" t="str">
        <f>IF(AND([1]Hoja1!$X$5="Muy Baja",[1]Hoja1!$Z$5="Leve"),CONCATENATE("R2C",[1]Hoja1!$N$5),"")</f>
        <v/>
      </c>
      <c r="N47" s="77" t="str">
        <f>IF(AND([1]Hoja1!$X$6="Muy Baja",[1]Hoja1!$Z$6="Leve"),CONCATENATE("R2C",[1]Hoja1!$N$6),"")</f>
        <v/>
      </c>
      <c r="O47" s="78" t="str">
        <f>IF(AND([1]Hoja1!$X$7="Muy Baja",[1]Hoja1!$Z$7="Leve"),CONCATENATE("R2C",[1]Hoja1!$N$7),"")</f>
        <v/>
      </c>
      <c r="P47" s="76" t="str">
        <f>IF(AND([1]Hoja1!$X$2="Muy Baja",[1]Hoja1!$Z$2="Menor"),CONCATENATE("R2C",[1]Hoja1!$N$2),"")</f>
        <v/>
      </c>
      <c r="Q47" s="77" t="str">
        <f>IF(AND([1]Hoja1!$X$3="Muy Baja",[1]Hoja1!$Z$3="Menor"),CONCATENATE("R2C",[1]Hoja1!$N$3),"")</f>
        <v/>
      </c>
      <c r="R47" s="77" t="str">
        <f>IF(AND([1]Hoja1!$X$4="Muy Baja",[1]Hoja1!$Z$4="Menor"),CONCATENATE("R2C",[1]Hoja1!$N$4),"")</f>
        <v/>
      </c>
      <c r="S47" s="77" t="str">
        <f>IF(AND([1]Hoja1!$X$5="Muy Baja",[1]Hoja1!$Z$5="Menor"),CONCATENATE("R2C",[1]Hoja1!$N$5),"")</f>
        <v/>
      </c>
      <c r="T47" s="77" t="str">
        <f>IF(AND([1]Hoja1!$X$6="Muy Baja",[1]Hoja1!$Z$6="Menor"),CONCATENATE("R2C",[1]Hoja1!$N$6),"")</f>
        <v/>
      </c>
      <c r="U47" s="78" t="str">
        <f>IF(AND([1]Hoja1!$X$7="Muy Baja",[1]Hoja1!$Z$7="Menor"),CONCATENATE("R2C",[1]Hoja1!$N$7),"")</f>
        <v/>
      </c>
      <c r="V47" s="67" t="str">
        <f>IF(AND([1]Hoja1!$X$2="Muy Baja",[1]Hoja1!$Z$2="Moderado"),CONCATENATE("R2C",[1]Hoja1!$N$2),"")</f>
        <v/>
      </c>
      <c r="W47" s="68" t="str">
        <f>IF(AND([1]Hoja1!$X$3="Muy Baja",[1]Hoja1!$Z$3="Moderado"),CONCATENATE("R2C",[1]Hoja1!$N$3),"")</f>
        <v/>
      </c>
      <c r="X47" s="68" t="str">
        <f>IF(AND([1]Hoja1!$X$4="Muy Baja",[1]Hoja1!$Z$4="Moderado"),CONCATENATE("R2C",[1]Hoja1!$N$4),"")</f>
        <v/>
      </c>
      <c r="Y47" s="68" t="str">
        <f>IF(AND([1]Hoja1!$X$5="Muy Baja",[1]Hoja1!$Z$5="Moderado"),CONCATENATE("R2C",[1]Hoja1!$N$5),"")</f>
        <v/>
      </c>
      <c r="Z47" s="68" t="str">
        <f>IF(AND([1]Hoja1!$X$6="Muy Baja",[1]Hoja1!$Z$6="Moderado"),CONCATENATE("R2C",[1]Hoja1!$N$6),"")</f>
        <v/>
      </c>
      <c r="AA47" s="69" t="str">
        <f>IF(AND([1]Hoja1!$X$7="Muy Baja",[1]Hoja1!$Z$7="Moderado"),CONCATENATE("R2C",[1]Hoja1!$N$7),"")</f>
        <v/>
      </c>
      <c r="AB47" s="52" t="str">
        <f>IF(AND([1]Hoja1!$X$2="Muy Baja",[1]Hoja1!$Z$2="Mayor"),CONCATENATE("R2C",[1]Hoja1!$N$2),"")</f>
        <v/>
      </c>
      <c r="AC47" s="53" t="str">
        <f>IF(AND([1]Hoja1!$X$3="Muy Baja",[1]Hoja1!$Z$3="Mayor"),CONCATENATE("R2C",[1]Hoja1!$N$3),"")</f>
        <v/>
      </c>
      <c r="AD47" s="53" t="str">
        <f>IF(AND([1]Hoja1!$X$4="Muy Baja",[1]Hoja1!$Z$4="Mayor"),CONCATENATE("R2C",[1]Hoja1!$N$4),"")</f>
        <v/>
      </c>
      <c r="AE47" s="53" t="str">
        <f>IF(AND([1]Hoja1!$X$5="Muy Baja",[1]Hoja1!$Z$5="Mayor"),CONCATENATE("R2C",[1]Hoja1!$N$5),"")</f>
        <v/>
      </c>
      <c r="AF47" s="53" t="str">
        <f>IF(AND([1]Hoja1!$X$6="Muy Baja",[1]Hoja1!$Z$6="Mayor"),CONCATENATE("R2C",[1]Hoja1!$N$6),"")</f>
        <v/>
      </c>
      <c r="AG47" s="54" t="str">
        <f>IF(AND([1]Hoja1!$X$7="Muy Baja",[1]Hoja1!$Z$7="Mayor"),CONCATENATE("R2C",[1]Hoja1!$N$7),"")</f>
        <v/>
      </c>
      <c r="AH47" s="55" t="str">
        <f>IF(AND([1]Hoja1!$X$2="Muy Baja",[1]Hoja1!$Z$2="Catastrófico"),CONCATENATE("R2C",[1]Hoja1!$N$2),"")</f>
        <v/>
      </c>
      <c r="AI47" s="56" t="str">
        <f>IF(AND([1]Hoja1!$X$3="Muy Baja",[1]Hoja1!$Z$3="Catastrófico"),CONCATENATE("R2C",[1]Hoja1!$N$3),"")</f>
        <v/>
      </c>
      <c r="AJ47" s="56" t="str">
        <f>IF(AND([1]Hoja1!$X$4="Muy Baja",[1]Hoja1!$Z$4="Catastrófico"),CONCATENATE("R2C",[1]Hoja1!$N$4),"")</f>
        <v/>
      </c>
      <c r="AK47" s="56" t="str">
        <f>IF(AND([1]Hoja1!$X$5="Muy Baja",[1]Hoja1!$Z$5="Catastrófico"),CONCATENATE("R2C",[1]Hoja1!$N$5),"")</f>
        <v/>
      </c>
      <c r="AL47" s="56" t="str">
        <f>IF(AND([1]Hoja1!$X$6="Muy Baja",[1]Hoja1!$Z$6="Catastrófico"),CONCATENATE("R2C",[1]Hoja1!$N$6),"")</f>
        <v/>
      </c>
      <c r="AM47" s="57" t="str">
        <f>IF(AND([1]Hoja1!$X$7="Muy Baja",[1]Hoja1!$Z$7="Catastrófico"),CONCATENATE("R2C",[1]Hoja1!$N$7),"")</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49"/>
      <c r="C48" s="249"/>
      <c r="D48" s="250"/>
      <c r="E48" s="346"/>
      <c r="F48" s="347"/>
      <c r="G48" s="347"/>
      <c r="H48" s="347"/>
      <c r="I48" s="363"/>
      <c r="J48" s="76" t="e">
        <f>IF(AND('Mapa final'!#REF!="Muy Baja",'Mapa final'!#REF!="Leve"),CONCATENATE("R3C",'Mapa final'!$Q$19),"")</f>
        <v>#REF!</v>
      </c>
      <c r="K48" s="77" t="e">
        <f>IF(AND('Mapa final'!#REF!="Muy Baja",'Mapa final'!#REF!="Leve"),CONCATENATE("R3C",'Mapa final'!$Q$20),"")</f>
        <v>#REF!</v>
      </c>
      <c r="L48" s="77" t="e">
        <f>IF(AND('Mapa final'!#REF!="Muy Baja",'Mapa final'!#REF!="Leve"),CONCATENATE("R3C",'Mapa final'!$Q$21),"")</f>
        <v>#REF!</v>
      </c>
      <c r="M48" s="77" t="e">
        <f>IF(AND('Mapa final'!#REF!="Muy Baja",'Mapa final'!#REF!="Leve"),CONCATENATE("R3C",'Mapa final'!$Q$22),"")</f>
        <v>#REF!</v>
      </c>
      <c r="N48" s="77" t="e">
        <f>IF(AND('Mapa final'!#REF!="Muy Baja",'Mapa final'!#REF!="Leve"),CONCATENATE("R3C",'Mapa final'!$Q$23),"")</f>
        <v>#REF!</v>
      </c>
      <c r="O48" s="78" t="e">
        <f>IF(AND('Mapa final'!#REF!="Muy Baja",'Mapa final'!#REF!="Leve"),CONCATENATE("R3C",'Mapa final'!$Q$24),"")</f>
        <v>#REF!</v>
      </c>
      <c r="P48" s="76" t="e">
        <f>IF(AND('Mapa final'!#REF!="Muy Baja",'Mapa final'!#REF!="Menor"),CONCATENATE("R3C",'Mapa final'!$Q$19),"")</f>
        <v>#REF!</v>
      </c>
      <c r="Q48" s="77" t="e">
        <f>IF(AND('Mapa final'!#REF!="Muy Baja",'Mapa final'!#REF!="Menor"),CONCATENATE("R3C",'Mapa final'!$Q$20),"")</f>
        <v>#REF!</v>
      </c>
      <c r="R48" s="77" t="e">
        <f>IF(AND('Mapa final'!#REF!="Muy Baja",'Mapa final'!#REF!="Menor"),CONCATENATE("R3C",'Mapa final'!$Q$21),"")</f>
        <v>#REF!</v>
      </c>
      <c r="S48" s="77" t="e">
        <f>IF(AND('Mapa final'!#REF!="Muy Baja",'Mapa final'!#REF!="Menor"),CONCATENATE("R3C",'Mapa final'!$Q$22),"")</f>
        <v>#REF!</v>
      </c>
      <c r="T48" s="77" t="e">
        <f>IF(AND('Mapa final'!#REF!="Muy Baja",'Mapa final'!#REF!="Menor"),CONCATENATE("R3C",'Mapa final'!$Q$23),"")</f>
        <v>#REF!</v>
      </c>
      <c r="U48" s="78" t="e">
        <f>IF(AND('Mapa final'!#REF!="Muy Baja",'Mapa final'!#REF!="Menor"),CONCATENATE("R3C",'Mapa final'!$Q$24),"")</f>
        <v>#REF!</v>
      </c>
      <c r="V48" s="67" t="e">
        <f>IF(AND('Mapa final'!#REF!="Muy Baja",'Mapa final'!#REF!="Moderado"),CONCATENATE("R3C",'Mapa final'!$Q$19),"")</f>
        <v>#REF!</v>
      </c>
      <c r="W48" s="68" t="e">
        <f>IF(AND('Mapa final'!#REF!="Muy Baja",'Mapa final'!#REF!="Moderado"),CONCATENATE("R3C",'Mapa final'!$Q$20),"")</f>
        <v>#REF!</v>
      </c>
      <c r="X48" s="68" t="e">
        <f>IF(AND('Mapa final'!#REF!="Muy Baja",'Mapa final'!#REF!="Moderado"),CONCATENATE("R3C",'Mapa final'!$Q$21),"")</f>
        <v>#REF!</v>
      </c>
      <c r="Y48" s="68" t="e">
        <f>IF(AND('Mapa final'!#REF!="Muy Baja",'Mapa final'!#REF!="Moderado"),CONCATENATE("R3C",'Mapa final'!$Q$22),"")</f>
        <v>#REF!</v>
      </c>
      <c r="Z48" s="68" t="e">
        <f>IF(AND('Mapa final'!#REF!="Muy Baja",'Mapa final'!#REF!="Moderado"),CONCATENATE("R3C",'Mapa final'!$Q$23),"")</f>
        <v>#REF!</v>
      </c>
      <c r="AA48" s="69" t="e">
        <f>IF(AND('Mapa final'!#REF!="Muy Baja",'Mapa final'!#REF!="Moderado"),CONCATENATE("R3C",'Mapa final'!$Q$24),"")</f>
        <v>#REF!</v>
      </c>
      <c r="AB48" s="52" t="e">
        <f>IF(AND('Mapa final'!#REF!="Muy Baja",'Mapa final'!#REF!="Mayor"),CONCATENATE("R3C",'Mapa final'!$Q$19),"")</f>
        <v>#REF!</v>
      </c>
      <c r="AC48" s="53" t="e">
        <f>IF(AND('Mapa final'!#REF!="Muy Baja",'Mapa final'!#REF!="Mayor"),CONCATENATE("R3C",'Mapa final'!$Q$20),"")</f>
        <v>#REF!</v>
      </c>
      <c r="AD48" s="53" t="e">
        <f>IF(AND('Mapa final'!#REF!="Muy Baja",'Mapa final'!#REF!="Mayor"),CONCATENATE("R3C",'Mapa final'!$Q$21),"")</f>
        <v>#REF!</v>
      </c>
      <c r="AE48" s="53" t="e">
        <f>IF(AND('Mapa final'!#REF!="Muy Baja",'Mapa final'!#REF!="Mayor"),CONCATENATE("R3C",'Mapa final'!$Q$22),"")</f>
        <v>#REF!</v>
      </c>
      <c r="AF48" s="53" t="e">
        <f>IF(AND('Mapa final'!#REF!="Muy Baja",'Mapa final'!#REF!="Mayor"),CONCATENATE("R3C",'Mapa final'!$Q$23),"")</f>
        <v>#REF!</v>
      </c>
      <c r="AG48" s="54" t="e">
        <f>IF(AND('Mapa final'!#REF!="Muy Baja",'Mapa final'!#REF!="Mayor"),CONCATENATE("R3C",'Mapa final'!$Q$24),"")</f>
        <v>#REF!</v>
      </c>
      <c r="AH48" s="55" t="e">
        <f>IF(AND('Mapa final'!#REF!="Muy Baja",'Mapa final'!#REF!="Catastrófico"),CONCATENATE("R3C",'Mapa final'!$Q$19),"")</f>
        <v>#REF!</v>
      </c>
      <c r="AI48" s="56" t="e">
        <f>IF(AND('Mapa final'!#REF!="Muy Baja",'Mapa final'!#REF!="Catastrófico"),CONCATENATE("R3C",'Mapa final'!$Q$20),"")</f>
        <v>#REF!</v>
      </c>
      <c r="AJ48" s="56" t="e">
        <f>IF(AND('Mapa final'!#REF!="Muy Baja",'Mapa final'!#REF!="Catastrófico"),CONCATENATE("R3C",'Mapa final'!$Q$21),"")</f>
        <v>#REF!</v>
      </c>
      <c r="AK48" s="56" t="e">
        <f>IF(AND('Mapa final'!#REF!="Muy Baja",'Mapa final'!#REF!="Catastrófico"),CONCATENATE("R3C",'Mapa final'!$Q$22),"")</f>
        <v>#REF!</v>
      </c>
      <c r="AL48" s="56" t="e">
        <f>IF(AND('Mapa final'!#REF!="Muy Baja",'Mapa final'!#REF!="Catastrófico"),CONCATENATE("R3C",'Mapa final'!$Q$23),"")</f>
        <v>#REF!</v>
      </c>
      <c r="AM48" s="57" t="e">
        <f>IF(AND('Mapa final'!#REF!="Muy Baja",'Mapa final'!#REF!="Catastrófico"),CONCATENATE("R3C",'Mapa final'!$Q$24),"")</f>
        <v>#REF!</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49"/>
      <c r="C49" s="249"/>
      <c r="D49" s="250"/>
      <c r="E49" s="348"/>
      <c r="F49" s="347"/>
      <c r="G49" s="347"/>
      <c r="H49" s="347"/>
      <c r="I49" s="363"/>
      <c r="J49" s="76" t="e">
        <f>IF(AND('Mapa final'!#REF!="Muy Baja",'Mapa final'!#REF!="Leve"),CONCATENATE("R4C",'Mapa final'!$Q$25),"")</f>
        <v>#REF!</v>
      </c>
      <c r="K49" s="77" t="e">
        <f>IF(AND('Mapa final'!#REF!="Muy Baja",'Mapa final'!#REF!="Leve"),CONCATENATE("R4C",'Mapa final'!$Q$26),"")</f>
        <v>#REF!</v>
      </c>
      <c r="L49" s="77" t="e">
        <f>IF(AND('Mapa final'!#REF!="Muy Baja",'Mapa final'!#REF!="Leve"),CONCATENATE("R4C",'Mapa final'!$Q$27),"")</f>
        <v>#REF!</v>
      </c>
      <c r="M49" s="77" t="e">
        <f>IF(AND('Mapa final'!#REF!="Muy Baja",'Mapa final'!#REF!="Leve"),CONCATENATE("R4C",'Mapa final'!$Q$28),"")</f>
        <v>#REF!</v>
      </c>
      <c r="N49" s="77" t="e">
        <f>IF(AND('Mapa final'!#REF!="Muy Baja",'Mapa final'!#REF!="Leve"),CONCATENATE("R4C",'Mapa final'!$Q$29),"")</f>
        <v>#REF!</v>
      </c>
      <c r="O49" s="78" t="e">
        <f>IF(AND('Mapa final'!#REF!="Muy Baja",'Mapa final'!#REF!="Leve"),CONCATENATE("R4C",'Mapa final'!$Q$30),"")</f>
        <v>#REF!</v>
      </c>
      <c r="P49" s="76" t="e">
        <f>IF(AND('Mapa final'!#REF!="Muy Baja",'Mapa final'!#REF!="Menor"),CONCATENATE("R4C",'Mapa final'!$Q$25),"")</f>
        <v>#REF!</v>
      </c>
      <c r="Q49" s="77" t="e">
        <f>IF(AND('Mapa final'!#REF!="Muy Baja",'Mapa final'!#REF!="Menor"),CONCATENATE("R4C",'Mapa final'!$Q$26),"")</f>
        <v>#REF!</v>
      </c>
      <c r="R49" s="77" t="e">
        <f>IF(AND('Mapa final'!#REF!="Muy Baja",'Mapa final'!#REF!="Menor"),CONCATENATE("R4C",'Mapa final'!$Q$27),"")</f>
        <v>#REF!</v>
      </c>
      <c r="S49" s="77" t="e">
        <f>IF(AND('Mapa final'!#REF!="Muy Baja",'Mapa final'!#REF!="Menor"),CONCATENATE("R4C",'Mapa final'!$Q$28),"")</f>
        <v>#REF!</v>
      </c>
      <c r="T49" s="77" t="e">
        <f>IF(AND('Mapa final'!#REF!="Muy Baja",'Mapa final'!#REF!="Menor"),CONCATENATE("R4C",'Mapa final'!$Q$29),"")</f>
        <v>#REF!</v>
      </c>
      <c r="U49" s="78" t="e">
        <f>IF(AND('Mapa final'!#REF!="Muy Baja",'Mapa final'!#REF!="Menor"),CONCATENATE("R4C",'Mapa final'!$Q$30),"")</f>
        <v>#REF!</v>
      </c>
      <c r="V49" s="67" t="e">
        <f>IF(AND('Mapa final'!#REF!="Muy Baja",'Mapa final'!#REF!="Moderado"),CONCATENATE("R4C",'Mapa final'!$Q$25),"")</f>
        <v>#REF!</v>
      </c>
      <c r="W49" s="68" t="e">
        <f>IF(AND('Mapa final'!#REF!="Muy Baja",'Mapa final'!#REF!="Moderado"),CONCATENATE("R4C",'Mapa final'!$Q$26),"")</f>
        <v>#REF!</v>
      </c>
      <c r="X49" s="68" t="e">
        <f>IF(AND('Mapa final'!#REF!="Muy Baja",'Mapa final'!#REF!="Moderado"),CONCATENATE("R4C",'Mapa final'!$Q$27),"")</f>
        <v>#REF!</v>
      </c>
      <c r="Y49" s="68" t="e">
        <f>IF(AND('Mapa final'!#REF!="Muy Baja",'Mapa final'!#REF!="Moderado"),CONCATENATE("R4C",'Mapa final'!$Q$28),"")</f>
        <v>#REF!</v>
      </c>
      <c r="Z49" s="68" t="e">
        <f>IF(AND('Mapa final'!#REF!="Muy Baja",'Mapa final'!#REF!="Moderado"),CONCATENATE("R4C",'Mapa final'!$Q$29),"")</f>
        <v>#REF!</v>
      </c>
      <c r="AA49" s="69" t="e">
        <f>IF(AND('Mapa final'!#REF!="Muy Baja",'Mapa final'!#REF!="Moderado"),CONCATENATE("R4C",'Mapa final'!$Q$30),"")</f>
        <v>#REF!</v>
      </c>
      <c r="AB49" s="52" t="e">
        <f>IF(AND('Mapa final'!#REF!="Muy Baja",'Mapa final'!#REF!="Mayor"),CONCATENATE("R4C",'Mapa final'!$Q$25),"")</f>
        <v>#REF!</v>
      </c>
      <c r="AC49" s="53" t="e">
        <f>IF(AND('Mapa final'!#REF!="Muy Baja",'Mapa final'!#REF!="Mayor"),CONCATENATE("R4C",'Mapa final'!$Q$26),"")</f>
        <v>#REF!</v>
      </c>
      <c r="AD49" s="53" t="e">
        <f>IF(AND('Mapa final'!#REF!="Muy Baja",'Mapa final'!#REF!="Mayor"),CONCATENATE("R4C",'Mapa final'!$Q$27),"")</f>
        <v>#REF!</v>
      </c>
      <c r="AE49" s="53" t="e">
        <f>IF(AND('Mapa final'!#REF!="Muy Baja",'Mapa final'!#REF!="Mayor"),CONCATENATE("R4C",'Mapa final'!$Q$28),"")</f>
        <v>#REF!</v>
      </c>
      <c r="AF49" s="53" t="e">
        <f>IF(AND('Mapa final'!#REF!="Muy Baja",'Mapa final'!#REF!="Mayor"),CONCATENATE("R4C",'Mapa final'!$Q$29),"")</f>
        <v>#REF!</v>
      </c>
      <c r="AG49" s="54" t="e">
        <f>IF(AND('Mapa final'!#REF!="Muy Baja",'Mapa final'!#REF!="Mayor"),CONCATENATE("R4C",'Mapa final'!$Q$30),"")</f>
        <v>#REF!</v>
      </c>
      <c r="AH49" s="55" t="e">
        <f>IF(AND('Mapa final'!#REF!="Muy Baja",'Mapa final'!#REF!="Catastrófico"),CONCATENATE("R4C",'Mapa final'!$Q$25),"")</f>
        <v>#REF!</v>
      </c>
      <c r="AI49" s="56" t="e">
        <f>IF(AND('Mapa final'!#REF!="Muy Baja",'Mapa final'!#REF!="Catastrófico"),CONCATENATE("R4C",'Mapa final'!$Q$26),"")</f>
        <v>#REF!</v>
      </c>
      <c r="AJ49" s="56" t="e">
        <f>IF(AND('Mapa final'!#REF!="Muy Baja",'Mapa final'!#REF!="Catastrófico"),CONCATENATE("R4C",'Mapa final'!$Q$27),"")</f>
        <v>#REF!</v>
      </c>
      <c r="AK49" s="56" t="e">
        <f>IF(AND('Mapa final'!#REF!="Muy Baja",'Mapa final'!#REF!="Catastrófico"),CONCATENATE("R4C",'Mapa final'!$Q$28),"")</f>
        <v>#REF!</v>
      </c>
      <c r="AL49" s="56" t="e">
        <f>IF(AND('Mapa final'!#REF!="Muy Baja",'Mapa final'!#REF!="Catastrófico"),CONCATENATE("R4C",'Mapa final'!$Q$29),"")</f>
        <v>#REF!</v>
      </c>
      <c r="AM49" s="57" t="e">
        <f>IF(AND('Mapa final'!#REF!="Muy Baja",'Mapa final'!#REF!="Catastrófico"),CONCATENATE("R4C",'Mapa final'!$Q$30),"")</f>
        <v>#REF!</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49"/>
      <c r="C50" s="249"/>
      <c r="D50" s="250"/>
      <c r="E50" s="348"/>
      <c r="F50" s="347"/>
      <c r="G50" s="347"/>
      <c r="H50" s="347"/>
      <c r="I50" s="363"/>
      <c r="J50" s="76" t="e">
        <f>IF(AND('Mapa final'!#REF!="Muy Baja",'Mapa final'!#REF!="Leve"),CONCATENATE("R5C",'Mapa final'!$Q$31),"")</f>
        <v>#REF!</v>
      </c>
      <c r="K50" s="77" t="e">
        <f>IF(AND('Mapa final'!#REF!="Muy Baja",'Mapa final'!#REF!="Leve"),CONCATENATE("R5C",'Mapa final'!$Q$32),"")</f>
        <v>#REF!</v>
      </c>
      <c r="L50" s="77" t="e">
        <f>IF(AND('Mapa final'!#REF!="Muy Baja",'Mapa final'!#REF!="Leve"),CONCATENATE("R5C",'Mapa final'!$Q$33),"")</f>
        <v>#REF!</v>
      </c>
      <c r="M50" s="77" t="e">
        <f>IF(AND('Mapa final'!#REF!="Muy Baja",'Mapa final'!#REF!="Leve"),CONCATENATE("R5C",'Mapa final'!$Q$34),"")</f>
        <v>#REF!</v>
      </c>
      <c r="N50" s="77" t="e">
        <f>IF(AND('Mapa final'!#REF!="Muy Baja",'Mapa final'!#REF!="Leve"),CONCATENATE("R5C",'Mapa final'!$Q$35),"")</f>
        <v>#REF!</v>
      </c>
      <c r="O50" s="78" t="e">
        <f>IF(AND('Mapa final'!#REF!="Muy Baja",'Mapa final'!#REF!="Leve"),CONCATENATE("R5C",'Mapa final'!$Q$36),"")</f>
        <v>#REF!</v>
      </c>
      <c r="P50" s="76" t="e">
        <f>IF(AND('Mapa final'!#REF!="Muy Baja",'Mapa final'!#REF!="Menor"),CONCATENATE("R5C",'Mapa final'!$Q$31),"")</f>
        <v>#REF!</v>
      </c>
      <c r="Q50" s="77" t="e">
        <f>IF(AND('Mapa final'!#REF!="Muy Baja",'Mapa final'!#REF!="Menor"),CONCATENATE("R5C",'Mapa final'!$Q$32),"")</f>
        <v>#REF!</v>
      </c>
      <c r="R50" s="77" t="e">
        <f>IF(AND('Mapa final'!#REF!="Muy Baja",'Mapa final'!#REF!="Menor"),CONCATENATE("R5C",'Mapa final'!$Q$33),"")</f>
        <v>#REF!</v>
      </c>
      <c r="S50" s="77" t="e">
        <f>IF(AND('Mapa final'!#REF!="Muy Baja",'Mapa final'!#REF!="Menor"),CONCATENATE("R5C",'Mapa final'!$Q$34),"")</f>
        <v>#REF!</v>
      </c>
      <c r="T50" s="77" t="e">
        <f>IF(AND('Mapa final'!#REF!="Muy Baja",'Mapa final'!#REF!="Menor"),CONCATENATE("R5C",'Mapa final'!$Q$35),"")</f>
        <v>#REF!</v>
      </c>
      <c r="U50" s="78" t="e">
        <f>IF(AND('Mapa final'!#REF!="Muy Baja",'Mapa final'!#REF!="Menor"),CONCATENATE("R5C",'Mapa final'!$Q$36),"")</f>
        <v>#REF!</v>
      </c>
      <c r="V50" s="67" t="e">
        <f>IF(AND('Mapa final'!#REF!="Muy Baja",'Mapa final'!#REF!="Moderado"),CONCATENATE("R5C",'Mapa final'!$Q$31),"")</f>
        <v>#REF!</v>
      </c>
      <c r="W50" s="68" t="e">
        <f>IF(AND('Mapa final'!#REF!="Muy Baja",'Mapa final'!#REF!="Moderado"),CONCATENATE("R5C",'Mapa final'!$Q$32),"")</f>
        <v>#REF!</v>
      </c>
      <c r="X50" s="68" t="e">
        <f>IF(AND('Mapa final'!#REF!="Muy Baja",'Mapa final'!#REF!="Moderado"),CONCATENATE("R5C",'Mapa final'!$Q$33),"")</f>
        <v>#REF!</v>
      </c>
      <c r="Y50" s="68" t="e">
        <f>IF(AND('Mapa final'!#REF!="Muy Baja",'Mapa final'!#REF!="Moderado"),CONCATENATE("R5C",'Mapa final'!$Q$34),"")</f>
        <v>#REF!</v>
      </c>
      <c r="Z50" s="68" t="e">
        <f>IF(AND('Mapa final'!#REF!="Muy Baja",'Mapa final'!#REF!="Moderado"),CONCATENATE("R5C",'Mapa final'!$Q$35),"")</f>
        <v>#REF!</v>
      </c>
      <c r="AA50" s="69" t="e">
        <f>IF(AND('Mapa final'!#REF!="Muy Baja",'Mapa final'!#REF!="Moderado"),CONCATENATE("R5C",'Mapa final'!$Q$36),"")</f>
        <v>#REF!</v>
      </c>
      <c r="AB50" s="52" t="e">
        <f>IF(AND('Mapa final'!#REF!="Muy Baja",'Mapa final'!#REF!="Mayor"),CONCATENATE("R5C",'Mapa final'!$Q$31),"")</f>
        <v>#REF!</v>
      </c>
      <c r="AC50" s="53" t="e">
        <f>IF(AND('Mapa final'!#REF!="Muy Baja",'Mapa final'!#REF!="Mayor"),CONCATENATE("R5C",'Mapa final'!$Q$32),"")</f>
        <v>#REF!</v>
      </c>
      <c r="AD50" s="53" t="e">
        <f>IF(AND('Mapa final'!#REF!="Muy Baja",'Mapa final'!#REF!="Mayor"),CONCATENATE("R5C",'Mapa final'!$Q$33),"")</f>
        <v>#REF!</v>
      </c>
      <c r="AE50" s="53" t="e">
        <f>IF(AND('Mapa final'!#REF!="Muy Baja",'Mapa final'!#REF!="Mayor"),CONCATENATE("R5C",'Mapa final'!$Q$34),"")</f>
        <v>#REF!</v>
      </c>
      <c r="AF50" s="53" t="e">
        <f>IF(AND('Mapa final'!#REF!="Muy Baja",'Mapa final'!#REF!="Mayor"),CONCATENATE("R5C",'Mapa final'!$Q$35),"")</f>
        <v>#REF!</v>
      </c>
      <c r="AG50" s="54" t="e">
        <f>IF(AND('Mapa final'!#REF!="Muy Baja",'Mapa final'!#REF!="Mayor"),CONCATENATE("R5C",'Mapa final'!$Q$36),"")</f>
        <v>#REF!</v>
      </c>
      <c r="AH50" s="55" t="e">
        <f>IF(AND('Mapa final'!#REF!="Muy Baja",'Mapa final'!#REF!="Catastrófico"),CONCATENATE("R5C",'Mapa final'!$Q$31),"")</f>
        <v>#REF!</v>
      </c>
      <c r="AI50" s="56" t="e">
        <f>IF(AND('Mapa final'!#REF!="Muy Baja",'Mapa final'!#REF!="Catastrófico"),CONCATENATE("R5C",'Mapa final'!$Q$32),"")</f>
        <v>#REF!</v>
      </c>
      <c r="AJ50" s="56" t="e">
        <f>IF(AND('Mapa final'!#REF!="Muy Baja",'Mapa final'!#REF!="Catastrófico"),CONCATENATE("R5C",'Mapa final'!$Q$33),"")</f>
        <v>#REF!</v>
      </c>
      <c r="AK50" s="56" t="e">
        <f>IF(AND('Mapa final'!#REF!="Muy Baja",'Mapa final'!#REF!="Catastrófico"),CONCATENATE("R5C",'Mapa final'!$Q$34),"")</f>
        <v>#REF!</v>
      </c>
      <c r="AL50" s="56" t="e">
        <f>IF(AND('Mapa final'!#REF!="Muy Baja",'Mapa final'!#REF!="Catastrófico"),CONCATENATE("R5C",'Mapa final'!$Q$35),"")</f>
        <v>#REF!</v>
      </c>
      <c r="AM50" s="57" t="e">
        <f>IF(AND('Mapa final'!#REF!="Muy Baja",'Mapa final'!#REF!="Catastrófico"),CONCATENATE("R5C",'Mapa final'!$Q$36),"")</f>
        <v>#REF!</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49"/>
      <c r="C51" s="249"/>
      <c r="D51" s="250"/>
      <c r="E51" s="348"/>
      <c r="F51" s="347"/>
      <c r="G51" s="347"/>
      <c r="H51" s="347"/>
      <c r="I51" s="363"/>
      <c r="J51" s="76" t="e">
        <f>IF(AND('Mapa final'!#REF!="Muy Baja",'Mapa final'!#REF!="Leve"),CONCATENATE("R6C",'Mapa final'!$Q$37),"")</f>
        <v>#REF!</v>
      </c>
      <c r="K51" s="77" t="e">
        <f>IF(AND('Mapa final'!#REF!="Muy Baja",'Mapa final'!#REF!="Leve"),CONCATENATE("R6C",'Mapa final'!$Q$38),"")</f>
        <v>#REF!</v>
      </c>
      <c r="L51" s="77" t="e">
        <f>IF(AND('Mapa final'!#REF!="Muy Baja",'Mapa final'!#REF!="Leve"),CONCATENATE("R6C",'Mapa final'!$Q$39),"")</f>
        <v>#REF!</v>
      </c>
      <c r="M51" s="77" t="e">
        <f>IF(AND('Mapa final'!#REF!="Muy Baja",'Mapa final'!#REF!="Leve"),CONCATENATE("R6C",'Mapa final'!$Q$40),"")</f>
        <v>#REF!</v>
      </c>
      <c r="N51" s="77" t="e">
        <f>IF(AND('Mapa final'!#REF!="Muy Baja",'Mapa final'!#REF!="Leve"),CONCATENATE("R6C",'Mapa final'!$Q$41),"")</f>
        <v>#REF!</v>
      </c>
      <c r="O51" s="78" t="e">
        <f>IF(AND('Mapa final'!#REF!="Muy Baja",'Mapa final'!#REF!="Leve"),CONCATENATE("R6C",'Mapa final'!$Q$42),"")</f>
        <v>#REF!</v>
      </c>
      <c r="P51" s="76" t="e">
        <f>IF(AND('Mapa final'!#REF!="Muy Baja",'Mapa final'!#REF!="Menor"),CONCATENATE("R6C",'Mapa final'!$Q$37),"")</f>
        <v>#REF!</v>
      </c>
      <c r="Q51" s="77" t="e">
        <f>IF(AND('Mapa final'!#REF!="Muy Baja",'Mapa final'!#REF!="Menor"),CONCATENATE("R6C",'Mapa final'!$Q$38),"")</f>
        <v>#REF!</v>
      </c>
      <c r="R51" s="77" t="e">
        <f>IF(AND('Mapa final'!#REF!="Muy Baja",'Mapa final'!#REF!="Menor"),CONCATENATE("R6C",'Mapa final'!$Q$39),"")</f>
        <v>#REF!</v>
      </c>
      <c r="S51" s="77" t="e">
        <f>IF(AND('Mapa final'!#REF!="Muy Baja",'Mapa final'!#REF!="Menor"),CONCATENATE("R6C",'Mapa final'!$Q$40),"")</f>
        <v>#REF!</v>
      </c>
      <c r="T51" s="77" t="e">
        <f>IF(AND('Mapa final'!#REF!="Muy Baja",'Mapa final'!#REF!="Menor"),CONCATENATE("R6C",'Mapa final'!$Q$41),"")</f>
        <v>#REF!</v>
      </c>
      <c r="U51" s="78" t="e">
        <f>IF(AND('Mapa final'!#REF!="Muy Baja",'Mapa final'!#REF!="Menor"),CONCATENATE("R6C",'Mapa final'!$Q$42),"")</f>
        <v>#REF!</v>
      </c>
      <c r="V51" s="67" t="e">
        <f>IF(AND('Mapa final'!#REF!="Muy Baja",'Mapa final'!#REF!="Moderado"),CONCATENATE("R6C",'Mapa final'!$Q$37),"")</f>
        <v>#REF!</v>
      </c>
      <c r="W51" s="68" t="e">
        <f>IF(AND('Mapa final'!#REF!="Muy Baja",'Mapa final'!#REF!="Moderado"),CONCATENATE("R6C",'Mapa final'!$Q$38),"")</f>
        <v>#REF!</v>
      </c>
      <c r="X51" s="68" t="e">
        <f>IF(AND('Mapa final'!#REF!="Muy Baja",'Mapa final'!#REF!="Moderado"),CONCATENATE("R6C",'Mapa final'!$Q$39),"")</f>
        <v>#REF!</v>
      </c>
      <c r="Y51" s="68" t="e">
        <f>IF(AND('Mapa final'!#REF!="Muy Baja",'Mapa final'!#REF!="Moderado"),CONCATENATE("R6C",'Mapa final'!$Q$40),"")</f>
        <v>#REF!</v>
      </c>
      <c r="Z51" s="68" t="e">
        <f>IF(AND('Mapa final'!#REF!="Muy Baja",'Mapa final'!#REF!="Moderado"),CONCATENATE("R6C",'Mapa final'!$Q$41),"")</f>
        <v>#REF!</v>
      </c>
      <c r="AA51" s="69" t="e">
        <f>IF(AND('Mapa final'!#REF!="Muy Baja",'Mapa final'!#REF!="Moderado"),CONCATENATE("R6C",'Mapa final'!$Q$42),"")</f>
        <v>#REF!</v>
      </c>
      <c r="AB51" s="52" t="e">
        <f>IF(AND('Mapa final'!#REF!="Muy Baja",'Mapa final'!#REF!="Mayor"),CONCATENATE("R6C",'Mapa final'!$Q$37),"")</f>
        <v>#REF!</v>
      </c>
      <c r="AC51" s="53" t="e">
        <f>IF(AND('Mapa final'!#REF!="Muy Baja",'Mapa final'!#REF!="Mayor"),CONCATENATE("R6C",'Mapa final'!$Q$38),"")</f>
        <v>#REF!</v>
      </c>
      <c r="AD51" s="53" t="e">
        <f>IF(AND('Mapa final'!#REF!="Muy Baja",'Mapa final'!#REF!="Mayor"),CONCATENATE("R6C",'Mapa final'!$Q$39),"")</f>
        <v>#REF!</v>
      </c>
      <c r="AE51" s="53" t="e">
        <f>IF(AND('Mapa final'!#REF!="Muy Baja",'Mapa final'!#REF!="Mayor"),CONCATENATE("R6C",'Mapa final'!$Q$40),"")</f>
        <v>#REF!</v>
      </c>
      <c r="AF51" s="53" t="e">
        <f>IF(AND('Mapa final'!#REF!="Muy Baja",'Mapa final'!#REF!="Mayor"),CONCATENATE("R6C",'Mapa final'!$Q$41),"")</f>
        <v>#REF!</v>
      </c>
      <c r="AG51" s="54" t="e">
        <f>IF(AND('Mapa final'!#REF!="Muy Baja",'Mapa final'!#REF!="Mayor"),CONCATENATE("R6C",'Mapa final'!$Q$42),"")</f>
        <v>#REF!</v>
      </c>
      <c r="AH51" s="55" t="e">
        <f>IF(AND('Mapa final'!#REF!="Muy Baja",'Mapa final'!#REF!="Catastrófico"),CONCATENATE("R6C",'Mapa final'!$Q$37),"")</f>
        <v>#REF!</v>
      </c>
      <c r="AI51" s="56" t="e">
        <f>IF(AND('Mapa final'!#REF!="Muy Baja",'Mapa final'!#REF!="Catastrófico"),CONCATENATE("R6C",'Mapa final'!$Q$38),"")</f>
        <v>#REF!</v>
      </c>
      <c r="AJ51" s="56" t="e">
        <f>IF(AND('Mapa final'!#REF!="Muy Baja",'Mapa final'!#REF!="Catastrófico"),CONCATENATE("R6C",'Mapa final'!$Q$39),"")</f>
        <v>#REF!</v>
      </c>
      <c r="AK51" s="56" t="e">
        <f>IF(AND('Mapa final'!#REF!="Muy Baja",'Mapa final'!#REF!="Catastrófico"),CONCATENATE("R6C",'Mapa final'!$Q$40),"")</f>
        <v>#REF!</v>
      </c>
      <c r="AL51" s="56" t="e">
        <f>IF(AND('Mapa final'!#REF!="Muy Baja",'Mapa final'!#REF!="Catastrófico"),CONCATENATE("R6C",'Mapa final'!$Q$41),"")</f>
        <v>#REF!</v>
      </c>
      <c r="AM51" s="57" t="e">
        <f>IF(AND('Mapa final'!#REF!="Muy Baja",'Mapa final'!#REF!="Catastrófico"),CONCATENATE("R6C",'Mapa final'!$Q$42),"")</f>
        <v>#REF!</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49"/>
      <c r="C52" s="249"/>
      <c r="D52" s="250"/>
      <c r="E52" s="348"/>
      <c r="F52" s="347"/>
      <c r="G52" s="347"/>
      <c r="H52" s="347"/>
      <c r="I52" s="363"/>
      <c r="J52" s="76" t="e">
        <f>IF(AND('Mapa final'!#REF!="Muy Baja",'Mapa final'!#REF!="Leve"),CONCATENATE("R7C",'Mapa final'!$Q$43),"")</f>
        <v>#REF!</v>
      </c>
      <c r="K52" s="77" t="e">
        <f>IF(AND('Mapa final'!#REF!="Muy Baja",'Mapa final'!#REF!="Leve"),CONCATENATE("R7C",'Mapa final'!$Q$44),"")</f>
        <v>#REF!</v>
      </c>
      <c r="L52" s="77" t="e">
        <f>IF(AND('Mapa final'!#REF!="Muy Baja",'Mapa final'!#REF!="Leve"),CONCATENATE("R7C",'Mapa final'!$Q$45),"")</f>
        <v>#REF!</v>
      </c>
      <c r="M52" s="77" t="e">
        <f>IF(AND('Mapa final'!#REF!="Muy Baja",'Mapa final'!#REF!="Leve"),CONCATENATE("R7C",'Mapa final'!$Q$46),"")</f>
        <v>#REF!</v>
      </c>
      <c r="N52" s="77" t="e">
        <f>IF(AND('Mapa final'!#REF!="Muy Baja",'Mapa final'!#REF!="Leve"),CONCATENATE("R7C",'Mapa final'!$Q$47),"")</f>
        <v>#REF!</v>
      </c>
      <c r="O52" s="78" t="e">
        <f>IF(AND('Mapa final'!#REF!="Muy Baja",'Mapa final'!#REF!="Leve"),CONCATENATE("R7C",'Mapa final'!$Q$48),"")</f>
        <v>#REF!</v>
      </c>
      <c r="P52" s="76" t="e">
        <f>IF(AND('Mapa final'!#REF!="Muy Baja",'Mapa final'!#REF!="Menor"),CONCATENATE("R7C",'Mapa final'!$Q$43),"")</f>
        <v>#REF!</v>
      </c>
      <c r="Q52" s="77" t="e">
        <f>IF(AND('Mapa final'!#REF!="Muy Baja",'Mapa final'!#REF!="Menor"),CONCATENATE("R7C",'Mapa final'!$Q$44),"")</f>
        <v>#REF!</v>
      </c>
      <c r="R52" s="77" t="e">
        <f>IF(AND('Mapa final'!#REF!="Muy Baja",'Mapa final'!#REF!="Menor"),CONCATENATE("R7C",'Mapa final'!$Q$45),"")</f>
        <v>#REF!</v>
      </c>
      <c r="S52" s="77" t="e">
        <f>IF(AND('Mapa final'!#REF!="Muy Baja",'Mapa final'!#REF!="Menor"),CONCATENATE("R7C",'Mapa final'!$Q$46),"")</f>
        <v>#REF!</v>
      </c>
      <c r="T52" s="77" t="e">
        <f>IF(AND('Mapa final'!#REF!="Muy Baja",'Mapa final'!#REF!="Menor"),CONCATENATE("R7C",'Mapa final'!$Q$47),"")</f>
        <v>#REF!</v>
      </c>
      <c r="U52" s="78" t="e">
        <f>IF(AND('Mapa final'!#REF!="Muy Baja",'Mapa final'!#REF!="Menor"),CONCATENATE("R7C",'Mapa final'!$Q$48),"")</f>
        <v>#REF!</v>
      </c>
      <c r="V52" s="67" t="e">
        <f>IF(AND('Mapa final'!#REF!="Muy Baja",'Mapa final'!#REF!="Moderado"),CONCATENATE("R7C",'Mapa final'!$Q$43),"")</f>
        <v>#REF!</v>
      </c>
      <c r="W52" s="68" t="e">
        <f>IF(AND('Mapa final'!#REF!="Muy Baja",'Mapa final'!#REF!="Moderado"),CONCATENATE("R7C",'Mapa final'!$Q$44),"")</f>
        <v>#REF!</v>
      </c>
      <c r="X52" s="68" t="e">
        <f>IF(AND('Mapa final'!#REF!="Muy Baja",'Mapa final'!#REF!="Moderado"),CONCATENATE("R7C",'Mapa final'!$Q$45),"")</f>
        <v>#REF!</v>
      </c>
      <c r="Y52" s="68" t="e">
        <f>IF(AND('Mapa final'!#REF!="Muy Baja",'Mapa final'!#REF!="Moderado"),CONCATENATE("R7C",'Mapa final'!$Q$46),"")</f>
        <v>#REF!</v>
      </c>
      <c r="Z52" s="68" t="e">
        <f>IF(AND('Mapa final'!#REF!="Muy Baja",'Mapa final'!#REF!="Moderado"),CONCATENATE("R7C",'Mapa final'!$Q$47),"")</f>
        <v>#REF!</v>
      </c>
      <c r="AA52" s="69" t="e">
        <f>IF(AND('Mapa final'!#REF!="Muy Baja",'Mapa final'!#REF!="Moderado"),CONCATENATE("R7C",'Mapa final'!$Q$48),"")</f>
        <v>#REF!</v>
      </c>
      <c r="AB52" s="52" t="e">
        <f>IF(AND('Mapa final'!#REF!="Muy Baja",'Mapa final'!#REF!="Mayor"),CONCATENATE("R7C",'Mapa final'!$Q$43),"")</f>
        <v>#REF!</v>
      </c>
      <c r="AC52" s="53" t="e">
        <f>IF(AND('Mapa final'!#REF!="Muy Baja",'Mapa final'!#REF!="Mayor"),CONCATENATE("R7C",'Mapa final'!$Q$44),"")</f>
        <v>#REF!</v>
      </c>
      <c r="AD52" s="53" t="e">
        <f>IF(AND('Mapa final'!#REF!="Muy Baja",'Mapa final'!#REF!="Mayor"),CONCATENATE("R7C",'Mapa final'!$Q$45),"")</f>
        <v>#REF!</v>
      </c>
      <c r="AE52" s="53" t="e">
        <f>IF(AND('Mapa final'!#REF!="Muy Baja",'Mapa final'!#REF!="Mayor"),CONCATENATE("R7C",'Mapa final'!$Q$46),"")</f>
        <v>#REF!</v>
      </c>
      <c r="AF52" s="53" t="e">
        <f>IF(AND('Mapa final'!#REF!="Muy Baja",'Mapa final'!#REF!="Mayor"),CONCATENATE("R7C",'Mapa final'!$Q$47),"")</f>
        <v>#REF!</v>
      </c>
      <c r="AG52" s="54" t="e">
        <f>IF(AND('Mapa final'!#REF!="Muy Baja",'Mapa final'!#REF!="Mayor"),CONCATENATE("R7C",'Mapa final'!$Q$48),"")</f>
        <v>#REF!</v>
      </c>
      <c r="AH52" s="55" t="e">
        <f>IF(AND('Mapa final'!#REF!="Muy Baja",'Mapa final'!#REF!="Catastrófico"),CONCATENATE("R7C",'Mapa final'!$Q$43),"")</f>
        <v>#REF!</v>
      </c>
      <c r="AI52" s="56" t="e">
        <f>IF(AND('Mapa final'!#REF!="Muy Baja",'Mapa final'!#REF!="Catastrófico"),CONCATENATE("R7C",'Mapa final'!$Q$44),"")</f>
        <v>#REF!</v>
      </c>
      <c r="AJ52" s="56" t="e">
        <f>IF(AND('Mapa final'!#REF!="Muy Baja",'Mapa final'!#REF!="Catastrófico"),CONCATENATE("R7C",'Mapa final'!$Q$45),"")</f>
        <v>#REF!</v>
      </c>
      <c r="AK52" s="56" t="e">
        <f>IF(AND('Mapa final'!#REF!="Muy Baja",'Mapa final'!#REF!="Catastrófico"),CONCATENATE("R7C",'Mapa final'!$Q$46),"")</f>
        <v>#REF!</v>
      </c>
      <c r="AL52" s="56" t="e">
        <f>IF(AND('Mapa final'!#REF!="Muy Baja",'Mapa final'!#REF!="Catastrófico"),CONCATENATE("R7C",'Mapa final'!$Q$47),"")</f>
        <v>#REF!</v>
      </c>
      <c r="AM52" s="57" t="e">
        <f>IF(AND('Mapa final'!#REF!="Muy Baja",'Mapa final'!#REF!="Catastrófico"),CONCATENATE("R7C",'Mapa final'!$Q$48),"")</f>
        <v>#REF!</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49"/>
      <c r="C53" s="249"/>
      <c r="D53" s="250"/>
      <c r="E53" s="348"/>
      <c r="F53" s="347"/>
      <c r="G53" s="347"/>
      <c r="H53" s="347"/>
      <c r="I53" s="363"/>
      <c r="J53" s="76" t="e">
        <f>IF(AND('Mapa final'!#REF!="Muy Baja",'Mapa final'!#REF!="Leve"),CONCATENATE("R8C",'Mapa final'!$Q$49),"")</f>
        <v>#REF!</v>
      </c>
      <c r="K53" s="77" t="e">
        <f>IF(AND('Mapa final'!#REF!="Muy Baja",'Mapa final'!#REF!="Leve"),CONCATENATE("R8C",'Mapa final'!$Q$50),"")</f>
        <v>#REF!</v>
      </c>
      <c r="L53" s="77" t="e">
        <f>IF(AND('Mapa final'!#REF!="Muy Baja",'Mapa final'!#REF!="Leve"),CONCATENATE("R8C",'Mapa final'!$Q$51),"")</f>
        <v>#REF!</v>
      </c>
      <c r="M53" s="77" t="e">
        <f>IF(AND('Mapa final'!#REF!="Muy Baja",'Mapa final'!#REF!="Leve"),CONCATENATE("R8C",'Mapa final'!$Q$52),"")</f>
        <v>#REF!</v>
      </c>
      <c r="N53" s="77" t="e">
        <f>IF(AND('Mapa final'!#REF!="Muy Baja",'Mapa final'!#REF!="Leve"),CONCATENATE("R8C",'Mapa final'!$Q$53),"")</f>
        <v>#REF!</v>
      </c>
      <c r="O53" s="78" t="e">
        <f>IF(AND('Mapa final'!#REF!="Muy Baja",'Mapa final'!#REF!="Leve"),CONCATENATE("R8C",'Mapa final'!$Q$54),"")</f>
        <v>#REF!</v>
      </c>
      <c r="P53" s="76" t="e">
        <f>IF(AND('Mapa final'!#REF!="Muy Baja",'Mapa final'!#REF!="Menor"),CONCATENATE("R8C",'Mapa final'!$Q$49),"")</f>
        <v>#REF!</v>
      </c>
      <c r="Q53" s="77" t="e">
        <f>IF(AND('Mapa final'!#REF!="Muy Baja",'Mapa final'!#REF!="Menor"),CONCATENATE("R8C",'Mapa final'!$Q$50),"")</f>
        <v>#REF!</v>
      </c>
      <c r="R53" s="77" t="e">
        <f>IF(AND('Mapa final'!#REF!="Muy Baja",'Mapa final'!#REF!="Menor"),CONCATENATE("R8C",'Mapa final'!$Q$51),"")</f>
        <v>#REF!</v>
      </c>
      <c r="S53" s="77" t="e">
        <f>IF(AND('Mapa final'!#REF!="Muy Baja",'Mapa final'!#REF!="Menor"),CONCATENATE("R8C",'Mapa final'!$Q$52),"")</f>
        <v>#REF!</v>
      </c>
      <c r="T53" s="77" t="e">
        <f>IF(AND('Mapa final'!#REF!="Muy Baja",'Mapa final'!#REF!="Menor"),CONCATENATE("R8C",'Mapa final'!$Q$53),"")</f>
        <v>#REF!</v>
      </c>
      <c r="U53" s="78" t="e">
        <f>IF(AND('Mapa final'!#REF!="Muy Baja",'Mapa final'!#REF!="Menor"),CONCATENATE("R8C",'Mapa final'!$Q$54),"")</f>
        <v>#REF!</v>
      </c>
      <c r="V53" s="67" t="e">
        <f>IF(AND('Mapa final'!#REF!="Muy Baja",'Mapa final'!#REF!="Moderado"),CONCATENATE("R8C",'Mapa final'!$Q$49),"")</f>
        <v>#REF!</v>
      </c>
      <c r="W53" s="68" t="e">
        <f>IF(AND('Mapa final'!#REF!="Muy Baja",'Mapa final'!#REF!="Moderado"),CONCATENATE("R8C",'Mapa final'!$Q$50),"")</f>
        <v>#REF!</v>
      </c>
      <c r="X53" s="68" t="e">
        <f>IF(AND('Mapa final'!#REF!="Muy Baja",'Mapa final'!#REF!="Moderado"),CONCATENATE("R8C",'Mapa final'!$Q$51),"")</f>
        <v>#REF!</v>
      </c>
      <c r="Y53" s="68" t="e">
        <f>IF(AND('Mapa final'!#REF!="Muy Baja",'Mapa final'!#REF!="Moderado"),CONCATENATE("R8C",'Mapa final'!$Q$52),"")</f>
        <v>#REF!</v>
      </c>
      <c r="Z53" s="68" t="e">
        <f>IF(AND('Mapa final'!#REF!="Muy Baja",'Mapa final'!#REF!="Moderado"),CONCATENATE("R8C",'Mapa final'!$Q$53),"")</f>
        <v>#REF!</v>
      </c>
      <c r="AA53" s="69" t="e">
        <f>IF(AND('Mapa final'!#REF!="Muy Baja",'Mapa final'!#REF!="Moderado"),CONCATENATE("R8C",'Mapa final'!$Q$54),"")</f>
        <v>#REF!</v>
      </c>
      <c r="AB53" s="52" t="e">
        <f>IF(AND('Mapa final'!#REF!="Muy Baja",'Mapa final'!#REF!="Mayor"),CONCATENATE("R8C",'Mapa final'!$Q$49),"")</f>
        <v>#REF!</v>
      </c>
      <c r="AC53" s="53" t="e">
        <f>IF(AND('Mapa final'!#REF!="Muy Baja",'Mapa final'!#REF!="Mayor"),CONCATENATE("R8C",'Mapa final'!$Q$50),"")</f>
        <v>#REF!</v>
      </c>
      <c r="AD53" s="53" t="e">
        <f>IF(AND('Mapa final'!#REF!="Muy Baja",'Mapa final'!#REF!="Mayor"),CONCATENATE("R8C",'Mapa final'!$Q$51),"")</f>
        <v>#REF!</v>
      </c>
      <c r="AE53" s="53" t="e">
        <f>IF(AND('Mapa final'!#REF!="Muy Baja",'Mapa final'!#REF!="Mayor"),CONCATENATE("R8C",'Mapa final'!$Q$52),"")</f>
        <v>#REF!</v>
      </c>
      <c r="AF53" s="53" t="e">
        <f>IF(AND('Mapa final'!#REF!="Muy Baja",'Mapa final'!#REF!="Mayor"),CONCATENATE("R8C",'Mapa final'!$Q$53),"")</f>
        <v>#REF!</v>
      </c>
      <c r="AG53" s="54" t="e">
        <f>IF(AND('Mapa final'!#REF!="Muy Baja",'Mapa final'!#REF!="Mayor"),CONCATENATE("R8C",'Mapa final'!$Q$54),"")</f>
        <v>#REF!</v>
      </c>
      <c r="AH53" s="55" t="e">
        <f>IF(AND('Mapa final'!#REF!="Muy Baja",'Mapa final'!#REF!="Catastrófico"),CONCATENATE("R8C",'Mapa final'!$Q$49),"")</f>
        <v>#REF!</v>
      </c>
      <c r="AI53" s="56" t="e">
        <f>IF(AND('Mapa final'!#REF!="Muy Baja",'Mapa final'!#REF!="Catastrófico"),CONCATENATE("R8C",'Mapa final'!$Q$50),"")</f>
        <v>#REF!</v>
      </c>
      <c r="AJ53" s="56" t="e">
        <f>IF(AND('Mapa final'!#REF!="Muy Baja",'Mapa final'!#REF!="Catastrófico"),CONCATENATE("R8C",'Mapa final'!$Q$51),"")</f>
        <v>#REF!</v>
      </c>
      <c r="AK53" s="56" t="e">
        <f>IF(AND('Mapa final'!#REF!="Muy Baja",'Mapa final'!#REF!="Catastrófico"),CONCATENATE("R8C",'Mapa final'!$Q$52),"")</f>
        <v>#REF!</v>
      </c>
      <c r="AL53" s="56" t="e">
        <f>IF(AND('Mapa final'!#REF!="Muy Baja",'Mapa final'!#REF!="Catastrófico"),CONCATENATE("R8C",'Mapa final'!$Q$53),"")</f>
        <v>#REF!</v>
      </c>
      <c r="AM53" s="57" t="e">
        <f>IF(AND('Mapa final'!#REF!="Muy Baja",'Mapa final'!#REF!="Catastrófico"),CONCATENATE("R8C",'Mapa final'!$Q$54),"")</f>
        <v>#REF!</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49"/>
      <c r="C54" s="249"/>
      <c r="D54" s="250"/>
      <c r="E54" s="348"/>
      <c r="F54" s="347"/>
      <c r="G54" s="347"/>
      <c r="H54" s="347"/>
      <c r="I54" s="363"/>
      <c r="J54" s="76" t="e">
        <f>IF(AND('Mapa final'!#REF!="Muy Baja",'Mapa final'!#REF!="Leve"),CONCATENATE("R9C",'Mapa final'!$Q$55),"")</f>
        <v>#REF!</v>
      </c>
      <c r="K54" s="77" t="e">
        <f>IF(AND('Mapa final'!#REF!="Muy Baja",'Mapa final'!#REF!="Leve"),CONCATENATE("R9C",'Mapa final'!$Q$56),"")</f>
        <v>#REF!</v>
      </c>
      <c r="L54" s="77" t="e">
        <f>IF(AND('Mapa final'!#REF!="Muy Baja",'Mapa final'!#REF!="Leve"),CONCATENATE("R9C",'Mapa final'!$Q$57),"")</f>
        <v>#REF!</v>
      </c>
      <c r="M54" s="77" t="e">
        <f>IF(AND('Mapa final'!#REF!="Muy Baja",'Mapa final'!#REF!="Leve"),CONCATENATE("R9C",'Mapa final'!$Q$58),"")</f>
        <v>#REF!</v>
      </c>
      <c r="N54" s="77" t="e">
        <f>IF(AND('Mapa final'!#REF!="Muy Baja",'Mapa final'!#REF!="Leve"),CONCATENATE("R9C",'Mapa final'!$Q$59),"")</f>
        <v>#REF!</v>
      </c>
      <c r="O54" s="78" t="e">
        <f>IF(AND('Mapa final'!#REF!="Muy Baja",'Mapa final'!#REF!="Leve"),CONCATENATE("R9C",'Mapa final'!$Q$60),"")</f>
        <v>#REF!</v>
      </c>
      <c r="P54" s="76" t="e">
        <f>IF(AND('Mapa final'!#REF!="Muy Baja",'Mapa final'!#REF!="Menor"),CONCATENATE("R9C",'Mapa final'!$Q$55),"")</f>
        <v>#REF!</v>
      </c>
      <c r="Q54" s="77" t="e">
        <f>IF(AND('Mapa final'!#REF!="Muy Baja",'Mapa final'!#REF!="Menor"),CONCATENATE("R9C",'Mapa final'!$Q$56),"")</f>
        <v>#REF!</v>
      </c>
      <c r="R54" s="77" t="e">
        <f>IF(AND('Mapa final'!#REF!="Muy Baja",'Mapa final'!#REF!="Menor"),CONCATENATE("R9C",'Mapa final'!$Q$57),"")</f>
        <v>#REF!</v>
      </c>
      <c r="S54" s="77" t="e">
        <f>IF(AND('Mapa final'!#REF!="Muy Baja",'Mapa final'!#REF!="Menor"),CONCATENATE("R9C",'Mapa final'!$Q$58),"")</f>
        <v>#REF!</v>
      </c>
      <c r="T54" s="77" t="e">
        <f>IF(AND('Mapa final'!#REF!="Muy Baja",'Mapa final'!#REF!="Menor"),CONCATENATE("R9C",'Mapa final'!$Q$59),"")</f>
        <v>#REF!</v>
      </c>
      <c r="U54" s="78" t="e">
        <f>IF(AND('Mapa final'!#REF!="Muy Baja",'Mapa final'!#REF!="Menor"),CONCATENATE("R9C",'Mapa final'!$Q$60),"")</f>
        <v>#REF!</v>
      </c>
      <c r="V54" s="67" t="e">
        <f>IF(AND('Mapa final'!#REF!="Muy Baja",'Mapa final'!#REF!="Moderado"),CONCATENATE("R9C",'Mapa final'!$Q$55),"")</f>
        <v>#REF!</v>
      </c>
      <c r="W54" s="68" t="e">
        <f>IF(AND('Mapa final'!#REF!="Muy Baja",'Mapa final'!#REF!="Moderado"),CONCATENATE("R9C",'Mapa final'!$Q$56),"")</f>
        <v>#REF!</v>
      </c>
      <c r="X54" s="68" t="e">
        <f>IF(AND('Mapa final'!#REF!="Muy Baja",'Mapa final'!#REF!="Moderado"),CONCATENATE("R9C",'Mapa final'!$Q$57),"")</f>
        <v>#REF!</v>
      </c>
      <c r="Y54" s="68" t="e">
        <f>IF(AND('Mapa final'!#REF!="Muy Baja",'Mapa final'!#REF!="Moderado"),CONCATENATE("R9C",'Mapa final'!$Q$58),"")</f>
        <v>#REF!</v>
      </c>
      <c r="Z54" s="68" t="e">
        <f>IF(AND('Mapa final'!#REF!="Muy Baja",'Mapa final'!#REF!="Moderado"),CONCATENATE("R9C",'Mapa final'!$Q$59),"")</f>
        <v>#REF!</v>
      </c>
      <c r="AA54" s="69" t="e">
        <f>IF(AND('Mapa final'!#REF!="Muy Baja",'Mapa final'!#REF!="Moderado"),CONCATENATE("R9C",'Mapa final'!$Q$60),"")</f>
        <v>#REF!</v>
      </c>
      <c r="AB54" s="52" t="e">
        <f>IF(AND('Mapa final'!#REF!="Muy Baja",'Mapa final'!#REF!="Mayor"),CONCATENATE("R9C",'Mapa final'!$Q$55),"")</f>
        <v>#REF!</v>
      </c>
      <c r="AC54" s="53" t="e">
        <f>IF(AND('Mapa final'!#REF!="Muy Baja",'Mapa final'!#REF!="Mayor"),CONCATENATE("R9C",'Mapa final'!$Q$56),"")</f>
        <v>#REF!</v>
      </c>
      <c r="AD54" s="53" t="e">
        <f>IF(AND('Mapa final'!#REF!="Muy Baja",'Mapa final'!#REF!="Mayor"),CONCATENATE("R9C",'Mapa final'!$Q$57),"")</f>
        <v>#REF!</v>
      </c>
      <c r="AE54" s="53" t="e">
        <f>IF(AND('Mapa final'!#REF!="Muy Baja",'Mapa final'!#REF!="Mayor"),CONCATENATE("R9C",'Mapa final'!$Q$58),"")</f>
        <v>#REF!</v>
      </c>
      <c r="AF54" s="53" t="e">
        <f>IF(AND('Mapa final'!#REF!="Muy Baja",'Mapa final'!#REF!="Mayor"),CONCATENATE("R9C",'Mapa final'!$Q$59),"")</f>
        <v>#REF!</v>
      </c>
      <c r="AG54" s="54" t="e">
        <f>IF(AND('Mapa final'!#REF!="Muy Baja",'Mapa final'!#REF!="Mayor"),CONCATENATE("R9C",'Mapa final'!$Q$60),"")</f>
        <v>#REF!</v>
      </c>
      <c r="AH54" s="55" t="e">
        <f>IF(AND('Mapa final'!#REF!="Muy Baja",'Mapa final'!#REF!="Catastrófico"),CONCATENATE("R9C",'Mapa final'!$Q$55),"")</f>
        <v>#REF!</v>
      </c>
      <c r="AI54" s="56" t="e">
        <f>IF(AND('Mapa final'!#REF!="Muy Baja",'Mapa final'!#REF!="Catastrófico"),CONCATENATE("R9C",'Mapa final'!$Q$56),"")</f>
        <v>#REF!</v>
      </c>
      <c r="AJ54" s="56" t="e">
        <f>IF(AND('Mapa final'!#REF!="Muy Baja",'Mapa final'!#REF!="Catastrófico"),CONCATENATE("R9C",'Mapa final'!$Q$57),"")</f>
        <v>#REF!</v>
      </c>
      <c r="AK54" s="56" t="e">
        <f>IF(AND('Mapa final'!#REF!="Muy Baja",'Mapa final'!#REF!="Catastrófico"),CONCATENATE("R9C",'Mapa final'!$Q$58),"")</f>
        <v>#REF!</v>
      </c>
      <c r="AL54" s="56" t="e">
        <f>IF(AND('Mapa final'!#REF!="Muy Baja",'Mapa final'!#REF!="Catastrófico"),CONCATENATE("R9C",'Mapa final'!$Q$59),"")</f>
        <v>#REF!</v>
      </c>
      <c r="AM54" s="57" t="e">
        <f>IF(AND('Mapa final'!#REF!="Muy Baja",'Mapa final'!#REF!="Catastrófico"),CONCATENATE("R9C",'Mapa final'!$Q$60),"")</f>
        <v>#REF!</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49"/>
      <c r="C55" s="249"/>
      <c r="D55" s="250"/>
      <c r="E55" s="349"/>
      <c r="F55" s="350"/>
      <c r="G55" s="350"/>
      <c r="H55" s="350"/>
      <c r="I55" s="364"/>
      <c r="J55" s="79" t="e">
        <f>IF(AND('Mapa final'!#REF!="Muy Baja",'Mapa final'!#REF!="Leve"),CONCATENATE("R10C",'Mapa final'!$Q$61),"")</f>
        <v>#REF!</v>
      </c>
      <c r="K55" s="80" t="e">
        <f>IF(AND('Mapa final'!#REF!="Muy Baja",'Mapa final'!#REF!="Leve"),CONCATENATE("R10C",'Mapa final'!$Q$62),"")</f>
        <v>#REF!</v>
      </c>
      <c r="L55" s="80" t="e">
        <f>IF(AND('Mapa final'!#REF!="Muy Baja",'Mapa final'!#REF!="Leve"),CONCATENATE("R10C",'Mapa final'!$Q$63),"")</f>
        <v>#REF!</v>
      </c>
      <c r="M55" s="80" t="e">
        <f>IF(AND('Mapa final'!#REF!="Muy Baja",'Mapa final'!#REF!="Leve"),CONCATENATE("R10C",'Mapa final'!$Q$64),"")</f>
        <v>#REF!</v>
      </c>
      <c r="N55" s="80" t="e">
        <f>IF(AND('Mapa final'!#REF!="Muy Baja",'Mapa final'!#REF!="Leve"),CONCATENATE("R10C",'Mapa final'!$Q$65),"")</f>
        <v>#REF!</v>
      </c>
      <c r="O55" s="81" t="e">
        <f>IF(AND('Mapa final'!#REF!="Muy Baja",'Mapa final'!#REF!="Leve"),CONCATENATE("R10C",'Mapa final'!$Q$66),"")</f>
        <v>#REF!</v>
      </c>
      <c r="P55" s="79" t="e">
        <f>IF(AND('Mapa final'!#REF!="Muy Baja",'Mapa final'!#REF!="Menor"),CONCATENATE("R10C",'Mapa final'!$Q$61),"")</f>
        <v>#REF!</v>
      </c>
      <c r="Q55" s="80" t="e">
        <f>IF(AND('Mapa final'!#REF!="Muy Baja",'Mapa final'!#REF!="Menor"),CONCATENATE("R10C",'Mapa final'!$Q$62),"")</f>
        <v>#REF!</v>
      </c>
      <c r="R55" s="80" t="e">
        <f>IF(AND('Mapa final'!#REF!="Muy Baja",'Mapa final'!#REF!="Menor"),CONCATENATE("R10C",'Mapa final'!$Q$63),"")</f>
        <v>#REF!</v>
      </c>
      <c r="S55" s="80" t="e">
        <f>IF(AND('Mapa final'!#REF!="Muy Baja",'Mapa final'!#REF!="Menor"),CONCATENATE("R10C",'Mapa final'!$Q$64),"")</f>
        <v>#REF!</v>
      </c>
      <c r="T55" s="80" t="e">
        <f>IF(AND('Mapa final'!#REF!="Muy Baja",'Mapa final'!#REF!="Menor"),CONCATENATE("R10C",'Mapa final'!$Q$65),"")</f>
        <v>#REF!</v>
      </c>
      <c r="U55" s="81" t="e">
        <f>IF(AND('Mapa final'!#REF!="Muy Baja",'Mapa final'!#REF!="Menor"),CONCATENATE("R10C",'Mapa final'!$Q$66),"")</f>
        <v>#REF!</v>
      </c>
      <c r="V55" s="70" t="e">
        <f>IF(AND('Mapa final'!#REF!="Muy Baja",'Mapa final'!#REF!="Moderado"),CONCATENATE("R10C",'Mapa final'!$Q$61),"")</f>
        <v>#REF!</v>
      </c>
      <c r="W55" s="71" t="e">
        <f>IF(AND('Mapa final'!#REF!="Muy Baja",'Mapa final'!#REF!="Moderado"),CONCATENATE("R10C",'Mapa final'!$Q$62),"")</f>
        <v>#REF!</v>
      </c>
      <c r="X55" s="71" t="e">
        <f>IF(AND('Mapa final'!#REF!="Muy Baja",'Mapa final'!#REF!="Moderado"),CONCATENATE("R10C",'Mapa final'!$Q$63),"")</f>
        <v>#REF!</v>
      </c>
      <c r="Y55" s="71" t="e">
        <f>IF(AND('Mapa final'!#REF!="Muy Baja",'Mapa final'!#REF!="Moderado"),CONCATENATE("R10C",'Mapa final'!$Q$64),"")</f>
        <v>#REF!</v>
      </c>
      <c r="Z55" s="71" t="e">
        <f>IF(AND('Mapa final'!#REF!="Muy Baja",'Mapa final'!#REF!="Moderado"),CONCATENATE("R10C",'Mapa final'!$Q$65),"")</f>
        <v>#REF!</v>
      </c>
      <c r="AA55" s="72" t="e">
        <f>IF(AND('Mapa final'!#REF!="Muy Baja",'Mapa final'!#REF!="Moderado"),CONCATENATE("R10C",'Mapa final'!$Q$66),"")</f>
        <v>#REF!</v>
      </c>
      <c r="AB55" s="58" t="e">
        <f>IF(AND('Mapa final'!#REF!="Muy Baja",'Mapa final'!#REF!="Mayor"),CONCATENATE("R10C",'Mapa final'!$Q$61),"")</f>
        <v>#REF!</v>
      </c>
      <c r="AC55" s="59" t="e">
        <f>IF(AND('Mapa final'!#REF!="Muy Baja",'Mapa final'!#REF!="Mayor"),CONCATENATE("R10C",'Mapa final'!$Q$62),"")</f>
        <v>#REF!</v>
      </c>
      <c r="AD55" s="59" t="e">
        <f>IF(AND('Mapa final'!#REF!="Muy Baja",'Mapa final'!#REF!="Mayor"),CONCATENATE("R10C",'Mapa final'!$Q$63),"")</f>
        <v>#REF!</v>
      </c>
      <c r="AE55" s="59" t="e">
        <f>IF(AND('Mapa final'!#REF!="Muy Baja",'Mapa final'!#REF!="Mayor"),CONCATENATE("R10C",'Mapa final'!$Q$64),"")</f>
        <v>#REF!</v>
      </c>
      <c r="AF55" s="59" t="e">
        <f>IF(AND('Mapa final'!#REF!="Muy Baja",'Mapa final'!#REF!="Mayor"),CONCATENATE("R10C",'Mapa final'!$Q$65),"")</f>
        <v>#REF!</v>
      </c>
      <c r="AG55" s="60" t="e">
        <f>IF(AND('Mapa final'!#REF!="Muy Baja",'Mapa final'!#REF!="Mayor"),CONCATENATE("R10C",'Mapa final'!$Q$66),"")</f>
        <v>#REF!</v>
      </c>
      <c r="AH55" s="61" t="e">
        <f>IF(AND('Mapa final'!#REF!="Muy Baja",'Mapa final'!#REF!="Catastrófico"),CONCATENATE("R10C",'Mapa final'!$Q$61),"")</f>
        <v>#REF!</v>
      </c>
      <c r="AI55" s="62" t="e">
        <f>IF(AND('Mapa final'!#REF!="Muy Baja",'Mapa final'!#REF!="Catastrófico"),CONCATENATE("R10C",'Mapa final'!$Q$62),"")</f>
        <v>#REF!</v>
      </c>
      <c r="AJ55" s="62" t="e">
        <f>IF(AND('Mapa final'!#REF!="Muy Baja",'Mapa final'!#REF!="Catastrófico"),CONCATENATE("R10C",'Mapa final'!$Q$63),"")</f>
        <v>#REF!</v>
      </c>
      <c r="AK55" s="62" t="e">
        <f>IF(AND('Mapa final'!#REF!="Muy Baja",'Mapa final'!#REF!="Catastrófico"),CONCATENATE("R10C",'Mapa final'!$Q$64),"")</f>
        <v>#REF!</v>
      </c>
      <c r="AL55" s="62" t="e">
        <f>IF(AND('Mapa final'!#REF!="Muy Baja",'Mapa final'!#REF!="Catastrófico"),CONCATENATE("R10C",'Mapa final'!$Q$65),"")</f>
        <v>#REF!</v>
      </c>
      <c r="AM55" s="63" t="e">
        <f>IF(AND('Mapa final'!#REF!="Muy Baja",'Mapa final'!#REF!="Catastrófico"),CONCATENATE("R10C",'Mapa final'!$Q$66),"")</f>
        <v>#REF!</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44" t="s">
        <v>104</v>
      </c>
      <c r="K56" s="345"/>
      <c r="L56" s="345"/>
      <c r="M56" s="345"/>
      <c r="N56" s="345"/>
      <c r="O56" s="362"/>
      <c r="P56" s="344" t="s">
        <v>103</v>
      </c>
      <c r="Q56" s="345"/>
      <c r="R56" s="345"/>
      <c r="S56" s="345"/>
      <c r="T56" s="345"/>
      <c r="U56" s="362"/>
      <c r="V56" s="344" t="s">
        <v>102</v>
      </c>
      <c r="W56" s="345"/>
      <c r="X56" s="345"/>
      <c r="Y56" s="345"/>
      <c r="Z56" s="345"/>
      <c r="AA56" s="362"/>
      <c r="AB56" s="344" t="s">
        <v>101</v>
      </c>
      <c r="AC56" s="383"/>
      <c r="AD56" s="345"/>
      <c r="AE56" s="345"/>
      <c r="AF56" s="345"/>
      <c r="AG56" s="362"/>
      <c r="AH56" s="344" t="s">
        <v>100</v>
      </c>
      <c r="AI56" s="345"/>
      <c r="AJ56" s="345"/>
      <c r="AK56" s="345"/>
      <c r="AL56" s="345"/>
      <c r="AM56" s="362"/>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48"/>
      <c r="K57" s="347"/>
      <c r="L57" s="347"/>
      <c r="M57" s="347"/>
      <c r="N57" s="347"/>
      <c r="O57" s="363"/>
      <c r="P57" s="348"/>
      <c r="Q57" s="347"/>
      <c r="R57" s="347"/>
      <c r="S57" s="347"/>
      <c r="T57" s="347"/>
      <c r="U57" s="363"/>
      <c r="V57" s="348"/>
      <c r="W57" s="347"/>
      <c r="X57" s="347"/>
      <c r="Y57" s="347"/>
      <c r="Z57" s="347"/>
      <c r="AA57" s="363"/>
      <c r="AB57" s="348"/>
      <c r="AC57" s="347"/>
      <c r="AD57" s="347"/>
      <c r="AE57" s="347"/>
      <c r="AF57" s="347"/>
      <c r="AG57" s="363"/>
      <c r="AH57" s="348"/>
      <c r="AI57" s="347"/>
      <c r="AJ57" s="347"/>
      <c r="AK57" s="347"/>
      <c r="AL57" s="347"/>
      <c r="AM57" s="36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48"/>
      <c r="K58" s="347"/>
      <c r="L58" s="347"/>
      <c r="M58" s="347"/>
      <c r="N58" s="347"/>
      <c r="O58" s="363"/>
      <c r="P58" s="348"/>
      <c r="Q58" s="347"/>
      <c r="R58" s="347"/>
      <c r="S58" s="347"/>
      <c r="T58" s="347"/>
      <c r="U58" s="363"/>
      <c r="V58" s="348"/>
      <c r="W58" s="347"/>
      <c r="X58" s="347"/>
      <c r="Y58" s="347"/>
      <c r="Z58" s="347"/>
      <c r="AA58" s="363"/>
      <c r="AB58" s="348"/>
      <c r="AC58" s="347"/>
      <c r="AD58" s="347"/>
      <c r="AE58" s="347"/>
      <c r="AF58" s="347"/>
      <c r="AG58" s="363"/>
      <c r="AH58" s="348"/>
      <c r="AI58" s="347"/>
      <c r="AJ58" s="347"/>
      <c r="AK58" s="347"/>
      <c r="AL58" s="347"/>
      <c r="AM58" s="36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48"/>
      <c r="K59" s="347"/>
      <c r="L59" s="347"/>
      <c r="M59" s="347"/>
      <c r="N59" s="347"/>
      <c r="O59" s="363"/>
      <c r="P59" s="348"/>
      <c r="Q59" s="347"/>
      <c r="R59" s="347"/>
      <c r="S59" s="347"/>
      <c r="T59" s="347"/>
      <c r="U59" s="363"/>
      <c r="V59" s="348"/>
      <c r="W59" s="347"/>
      <c r="X59" s="347"/>
      <c r="Y59" s="347"/>
      <c r="Z59" s="347"/>
      <c r="AA59" s="363"/>
      <c r="AB59" s="348"/>
      <c r="AC59" s="347"/>
      <c r="AD59" s="347"/>
      <c r="AE59" s="347"/>
      <c r="AF59" s="347"/>
      <c r="AG59" s="363"/>
      <c r="AH59" s="348"/>
      <c r="AI59" s="347"/>
      <c r="AJ59" s="347"/>
      <c r="AK59" s="347"/>
      <c r="AL59" s="347"/>
      <c r="AM59" s="36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48"/>
      <c r="K60" s="347"/>
      <c r="L60" s="347"/>
      <c r="M60" s="347"/>
      <c r="N60" s="347"/>
      <c r="O60" s="363"/>
      <c r="P60" s="348"/>
      <c r="Q60" s="347"/>
      <c r="R60" s="347"/>
      <c r="S60" s="347"/>
      <c r="T60" s="347"/>
      <c r="U60" s="363"/>
      <c r="V60" s="348"/>
      <c r="W60" s="347"/>
      <c r="X60" s="347"/>
      <c r="Y60" s="347"/>
      <c r="Z60" s="347"/>
      <c r="AA60" s="363"/>
      <c r="AB60" s="348"/>
      <c r="AC60" s="347"/>
      <c r="AD60" s="347"/>
      <c r="AE60" s="347"/>
      <c r="AF60" s="347"/>
      <c r="AG60" s="363"/>
      <c r="AH60" s="348"/>
      <c r="AI60" s="347"/>
      <c r="AJ60" s="347"/>
      <c r="AK60" s="347"/>
      <c r="AL60" s="347"/>
      <c r="AM60" s="36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49"/>
      <c r="K61" s="350"/>
      <c r="L61" s="350"/>
      <c r="M61" s="350"/>
      <c r="N61" s="350"/>
      <c r="O61" s="364"/>
      <c r="P61" s="349"/>
      <c r="Q61" s="350"/>
      <c r="R61" s="350"/>
      <c r="S61" s="350"/>
      <c r="T61" s="350"/>
      <c r="U61" s="364"/>
      <c r="V61" s="349"/>
      <c r="W61" s="350"/>
      <c r="X61" s="350"/>
      <c r="Y61" s="350"/>
      <c r="Z61" s="350"/>
      <c r="AA61" s="364"/>
      <c r="AB61" s="349"/>
      <c r="AC61" s="350"/>
      <c r="AD61" s="350"/>
      <c r="AE61" s="350"/>
      <c r="AF61" s="350"/>
      <c r="AG61" s="364"/>
      <c r="AH61" s="349"/>
      <c r="AI61" s="350"/>
      <c r="AJ61" s="350"/>
      <c r="AK61" s="350"/>
      <c r="AL61" s="350"/>
      <c r="AM61" s="364"/>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84" t="s">
        <v>47</v>
      </c>
      <c r="C1" s="384"/>
      <c r="D1" s="384"/>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44</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43</v>
      </c>
      <c r="C4" s="14" t="s">
        <v>94</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45</v>
      </c>
      <c r="C5" s="17" t="s">
        <v>95</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99</v>
      </c>
      <c r="C6" s="17" t="s">
        <v>96</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97</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46</v>
      </c>
      <c r="C8" s="17" t="s">
        <v>98</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85" t="s">
        <v>55</v>
      </c>
      <c r="C1" s="385"/>
      <c r="D1" s="385"/>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48</v>
      </c>
      <c r="D3" s="36" t="s">
        <v>49</v>
      </c>
      <c r="E3" s="83"/>
      <c r="F3" s="83"/>
      <c r="G3" s="83"/>
      <c r="H3" s="83"/>
      <c r="I3" s="83"/>
      <c r="J3" s="83"/>
      <c r="K3" s="83"/>
      <c r="L3" s="83"/>
      <c r="M3" s="83"/>
      <c r="N3" s="83"/>
      <c r="O3" s="83"/>
      <c r="P3" s="83"/>
      <c r="Q3" s="83"/>
      <c r="R3" s="83"/>
      <c r="S3" s="83"/>
      <c r="T3" s="83"/>
      <c r="U3" s="83"/>
    </row>
    <row r="4" spans="1:21" ht="33.75" x14ac:dyDescent="0.25">
      <c r="A4" s="103" t="s">
        <v>75</v>
      </c>
      <c r="B4" s="39" t="s">
        <v>93</v>
      </c>
      <c r="C4" s="44" t="s">
        <v>148</v>
      </c>
      <c r="D4" s="37" t="s">
        <v>89</v>
      </c>
      <c r="E4" s="83"/>
      <c r="F4" s="83"/>
      <c r="G4" s="83"/>
      <c r="H4" s="83"/>
      <c r="I4" s="83"/>
      <c r="J4" s="83"/>
      <c r="K4" s="83"/>
      <c r="L4" s="83"/>
      <c r="M4" s="83"/>
      <c r="N4" s="83"/>
      <c r="O4" s="83"/>
      <c r="P4" s="83"/>
      <c r="Q4" s="83"/>
      <c r="R4" s="83"/>
      <c r="S4" s="83"/>
      <c r="T4" s="83"/>
      <c r="U4" s="83"/>
    </row>
    <row r="5" spans="1:21" ht="67.5" x14ac:dyDescent="0.25">
      <c r="A5" s="103" t="s">
        <v>76</v>
      </c>
      <c r="B5" s="40" t="s">
        <v>51</v>
      </c>
      <c r="C5" s="45" t="s">
        <v>85</v>
      </c>
      <c r="D5" s="38" t="s">
        <v>90</v>
      </c>
      <c r="E5" s="83"/>
      <c r="F5" s="83"/>
      <c r="G5" s="83"/>
      <c r="H5" s="83"/>
      <c r="I5" s="83"/>
      <c r="J5" s="83"/>
      <c r="K5" s="83"/>
      <c r="L5" s="83"/>
      <c r="M5" s="83"/>
      <c r="N5" s="83"/>
      <c r="O5" s="83"/>
      <c r="P5" s="83"/>
      <c r="Q5" s="83"/>
      <c r="R5" s="83"/>
      <c r="S5" s="83"/>
      <c r="T5" s="83"/>
      <c r="U5" s="83"/>
    </row>
    <row r="6" spans="1:21" ht="67.5" x14ac:dyDescent="0.25">
      <c r="A6" s="103" t="s">
        <v>73</v>
      </c>
      <c r="B6" s="41" t="s">
        <v>52</v>
      </c>
      <c r="C6" s="45" t="s">
        <v>86</v>
      </c>
      <c r="D6" s="38" t="s">
        <v>92</v>
      </c>
      <c r="E6" s="83"/>
      <c r="F6" s="83"/>
      <c r="G6" s="83"/>
      <c r="H6" s="83"/>
      <c r="I6" s="83"/>
      <c r="J6" s="83"/>
      <c r="K6" s="83"/>
      <c r="L6" s="83"/>
      <c r="M6" s="83"/>
      <c r="N6" s="83"/>
      <c r="O6" s="83"/>
      <c r="P6" s="83"/>
      <c r="Q6" s="83"/>
      <c r="R6" s="83"/>
      <c r="S6" s="83"/>
      <c r="T6" s="83"/>
      <c r="U6" s="83"/>
    </row>
    <row r="7" spans="1:21" ht="101.25" x14ac:dyDescent="0.25">
      <c r="A7" s="103" t="s">
        <v>7</v>
      </c>
      <c r="B7" s="42" t="s">
        <v>53</v>
      </c>
      <c r="C7" s="45" t="s">
        <v>87</v>
      </c>
      <c r="D7" s="38" t="s">
        <v>91</v>
      </c>
      <c r="E7" s="83"/>
      <c r="F7" s="83"/>
      <c r="G7" s="83"/>
      <c r="H7" s="83"/>
      <c r="I7" s="83"/>
      <c r="J7" s="83"/>
      <c r="K7" s="83"/>
      <c r="L7" s="83"/>
      <c r="M7" s="83"/>
      <c r="N7" s="83"/>
      <c r="O7" s="83"/>
      <c r="P7" s="83"/>
      <c r="Q7" s="83"/>
      <c r="R7" s="83"/>
      <c r="S7" s="83"/>
      <c r="T7" s="83"/>
      <c r="U7" s="83"/>
    </row>
    <row r="8" spans="1:21" ht="67.5" x14ac:dyDescent="0.25">
      <c r="A8" s="103" t="s">
        <v>77</v>
      </c>
      <c r="B8" s="43" t="s">
        <v>54</v>
      </c>
      <c r="C8" s="45" t="s">
        <v>88</v>
      </c>
      <c r="D8" s="38" t="s">
        <v>110</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83</v>
      </c>
      <c r="C11" s="103" t="s">
        <v>136</v>
      </c>
      <c r="D11" s="103" t="s">
        <v>143</v>
      </c>
      <c r="E11" s="83"/>
      <c r="F11" s="83"/>
      <c r="G11" s="83"/>
      <c r="H11" s="83"/>
      <c r="I11" s="83"/>
      <c r="J11" s="83"/>
      <c r="K11" s="83"/>
      <c r="L11" s="83"/>
      <c r="M11" s="83"/>
      <c r="N11" s="83"/>
      <c r="O11" s="83"/>
      <c r="P11" s="83"/>
      <c r="Q11" s="83"/>
      <c r="R11" s="83"/>
      <c r="S11" s="83"/>
      <c r="T11" s="83"/>
      <c r="U11" s="83"/>
    </row>
    <row r="12" spans="1:21" x14ac:dyDescent="0.25">
      <c r="A12" s="103"/>
      <c r="B12" s="103" t="s">
        <v>81</v>
      </c>
      <c r="C12" s="103" t="s">
        <v>140</v>
      </c>
      <c r="D12" s="103" t="s">
        <v>144</v>
      </c>
      <c r="E12" s="83"/>
      <c r="F12" s="83"/>
      <c r="G12" s="83"/>
      <c r="H12" s="83"/>
      <c r="I12" s="83"/>
      <c r="J12" s="83"/>
      <c r="K12" s="83"/>
      <c r="L12" s="83"/>
      <c r="M12" s="83"/>
      <c r="N12" s="83"/>
      <c r="O12" s="83"/>
      <c r="P12" s="83"/>
      <c r="Q12" s="83"/>
      <c r="R12" s="83"/>
      <c r="S12" s="83"/>
      <c r="T12" s="83"/>
      <c r="U12" s="83"/>
    </row>
    <row r="13" spans="1:21" x14ac:dyDescent="0.25">
      <c r="A13" s="103"/>
      <c r="B13" s="103"/>
      <c r="C13" s="103" t="s">
        <v>139</v>
      </c>
      <c r="D13" s="103" t="s">
        <v>145</v>
      </c>
      <c r="E13" s="83"/>
      <c r="F13" s="83"/>
      <c r="G13" s="83"/>
      <c r="H13" s="83"/>
      <c r="I13" s="83"/>
      <c r="J13" s="83"/>
      <c r="K13" s="83"/>
      <c r="L13" s="83"/>
      <c r="M13" s="83"/>
      <c r="N13" s="83"/>
      <c r="O13" s="83"/>
      <c r="P13" s="83"/>
      <c r="Q13" s="83"/>
      <c r="R13" s="83"/>
      <c r="S13" s="83"/>
      <c r="T13" s="83"/>
      <c r="U13" s="83"/>
    </row>
    <row r="14" spans="1:21" x14ac:dyDescent="0.25">
      <c r="A14" s="103"/>
      <c r="B14" s="103"/>
      <c r="C14" s="103" t="s">
        <v>141</v>
      </c>
      <c r="D14" s="103" t="s">
        <v>146</v>
      </c>
      <c r="E14" s="83"/>
      <c r="F14" s="83"/>
      <c r="G14" s="83"/>
      <c r="H14" s="83"/>
      <c r="I14" s="83"/>
      <c r="J14" s="83"/>
      <c r="K14" s="83"/>
      <c r="L14" s="83"/>
      <c r="M14" s="83"/>
      <c r="N14" s="83"/>
      <c r="O14" s="83"/>
      <c r="P14" s="83"/>
      <c r="Q14" s="83"/>
      <c r="R14" s="83"/>
      <c r="S14" s="83"/>
      <c r="T14" s="83"/>
      <c r="U14" s="83"/>
    </row>
    <row r="15" spans="1:21" x14ac:dyDescent="0.25">
      <c r="A15" s="103"/>
      <c r="B15" s="103"/>
      <c r="C15" s="103" t="s">
        <v>142</v>
      </c>
      <c r="D15" s="103" t="s">
        <v>147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80</v>
      </c>
      <c r="C209" s="30" t="s">
        <v>135</v>
      </c>
      <c r="D209" s="33" t="s">
        <v>80</v>
      </c>
      <c r="E209" s="33" t="s">
        <v>135</v>
      </c>
    </row>
    <row r="210" spans="1:8" ht="21" x14ac:dyDescent="0.35">
      <c r="A210" s="83"/>
      <c r="B210" s="31" t="s">
        <v>82</v>
      </c>
      <c r="C210" s="31" t="s">
        <v>50</v>
      </c>
      <c r="D210" t="s">
        <v>82</v>
      </c>
      <c r="F210" t="str">
        <f>IF(NOT(ISBLANK(D210)),D210,IF(NOT(ISBLANK(E210)),"     "&amp;E210,FALSE))</f>
        <v>Afectación Económica o presupuestal</v>
      </c>
      <c r="G210" t="s">
        <v>82</v>
      </c>
      <c r="H210" t="str">
        <f ca="1">IF(NOT(ISERROR(MATCH(G210,_xlfn.ANCHORARRAY(B221),0))),F223&amp;"Por favor no seleccionar los criterios de impacto",G210)</f>
        <v>Afectación Económica o presupuestal</v>
      </c>
    </row>
    <row r="211" spans="1:8" ht="21" x14ac:dyDescent="0.35">
      <c r="A211" s="83"/>
      <c r="B211" s="31" t="s">
        <v>82</v>
      </c>
      <c r="C211" s="31" t="s">
        <v>85</v>
      </c>
      <c r="E211" t="s">
        <v>50</v>
      </c>
      <c r="F211" t="str">
        <f t="shared" ref="F211:F221" si="0">IF(NOT(ISBLANK(D211)),D211,IF(NOT(ISBLANK(E211)),"     "&amp;E211,FALSE))</f>
        <v xml:space="preserve">     Afectación menor a 10 SMLMV .</v>
      </c>
    </row>
    <row r="212" spans="1:8" ht="21" x14ac:dyDescent="0.35">
      <c r="A212" s="83"/>
      <c r="B212" s="31" t="s">
        <v>82</v>
      </c>
      <c r="C212" s="31" t="s">
        <v>86</v>
      </c>
      <c r="E212" t="s">
        <v>85</v>
      </c>
      <c r="F212" t="str">
        <f t="shared" si="0"/>
        <v xml:space="preserve">     Entre 10 y 50 SMLMV </v>
      </c>
    </row>
    <row r="213" spans="1:8" ht="21" x14ac:dyDescent="0.35">
      <c r="A213" s="83"/>
      <c r="B213" s="31" t="s">
        <v>82</v>
      </c>
      <c r="C213" s="31" t="s">
        <v>87</v>
      </c>
      <c r="E213" t="s">
        <v>86</v>
      </c>
      <c r="F213" t="str">
        <f t="shared" si="0"/>
        <v xml:space="preserve">     Entre 50 y 100 SMLMV </v>
      </c>
    </row>
    <row r="214" spans="1:8" ht="21" x14ac:dyDescent="0.35">
      <c r="A214" s="83"/>
      <c r="B214" s="31" t="s">
        <v>82</v>
      </c>
      <c r="C214" s="31" t="s">
        <v>88</v>
      </c>
      <c r="E214" t="s">
        <v>87</v>
      </c>
      <c r="F214" t="str">
        <f t="shared" si="0"/>
        <v xml:space="preserve">     Entre 100 y 500 SMLMV </v>
      </c>
    </row>
    <row r="215" spans="1:8" ht="21" x14ac:dyDescent="0.35">
      <c r="A215" s="83"/>
      <c r="B215" s="31" t="s">
        <v>49</v>
      </c>
      <c r="C215" s="31" t="s">
        <v>89</v>
      </c>
      <c r="E215" t="s">
        <v>88</v>
      </c>
      <c r="F215" t="str">
        <f t="shared" si="0"/>
        <v xml:space="preserve">     Mayor a 500 SMLMV </v>
      </c>
    </row>
    <row r="216" spans="1:8" ht="21" x14ac:dyDescent="0.35">
      <c r="A216" s="83"/>
      <c r="B216" s="31" t="s">
        <v>49</v>
      </c>
      <c r="C216" s="31" t="s">
        <v>90</v>
      </c>
      <c r="D216" t="s">
        <v>49</v>
      </c>
      <c r="F216" t="str">
        <f t="shared" si="0"/>
        <v>Pérdida Reputacional</v>
      </c>
    </row>
    <row r="217" spans="1:8" ht="21" x14ac:dyDescent="0.35">
      <c r="A217" s="83"/>
      <c r="B217" s="31" t="s">
        <v>49</v>
      </c>
      <c r="C217" s="31" t="s">
        <v>92</v>
      </c>
      <c r="E217" t="s">
        <v>89</v>
      </c>
      <c r="F217" t="str">
        <f t="shared" si="0"/>
        <v xml:space="preserve">     El riesgo afecta la imagen de alguna área de la organización</v>
      </c>
    </row>
    <row r="218" spans="1:8" ht="21" x14ac:dyDescent="0.35">
      <c r="A218" s="83"/>
      <c r="B218" s="31" t="s">
        <v>49</v>
      </c>
      <c r="C218" s="31" t="s">
        <v>91</v>
      </c>
      <c r="E218" t="s">
        <v>90</v>
      </c>
      <c r="F218" t="str">
        <f t="shared" si="0"/>
        <v xml:space="preserve">     El riesgo afecta la imagen de la entidad internamente, de conocimiento general, nivel interno, de junta dircetiva y accionistas y/o de provedores</v>
      </c>
    </row>
    <row r="219" spans="1:8" ht="21" x14ac:dyDescent="0.35">
      <c r="A219" s="83"/>
      <c r="B219" s="31" t="s">
        <v>49</v>
      </c>
      <c r="C219" s="31" t="s">
        <v>110</v>
      </c>
      <c r="E219" t="s">
        <v>92</v>
      </c>
      <c r="F219" t="str">
        <f t="shared" si="0"/>
        <v xml:space="preserve">     El riesgo afecta la imagen de la entidad con algunos usuarios de relevancia frente al logro de los objetivos</v>
      </c>
    </row>
    <row r="220" spans="1:8" x14ac:dyDescent="0.25">
      <c r="A220" s="83"/>
      <c r="B220" s="32"/>
      <c r="C220" s="32"/>
      <c r="E220" t="s">
        <v>91</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110</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137</v>
      </c>
    </row>
    <row r="224" spans="1:8" x14ac:dyDescent="0.25">
      <c r="B224" s="22"/>
      <c r="C224" s="22"/>
      <c r="F224" s="35" t="s">
        <v>138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86" t="s">
        <v>70</v>
      </c>
      <c r="C1" s="387"/>
      <c r="D1" s="387"/>
      <c r="E1" s="387"/>
      <c r="F1" s="388"/>
    </row>
    <row r="2" spans="2:6" ht="16.5" thickBot="1" x14ac:dyDescent="0.3">
      <c r="B2" s="89"/>
      <c r="C2" s="89"/>
      <c r="D2" s="89"/>
      <c r="E2" s="89"/>
      <c r="F2" s="89"/>
    </row>
    <row r="3" spans="2:6" ht="16.5" thickBot="1" x14ac:dyDescent="0.25">
      <c r="B3" s="390" t="s">
        <v>56</v>
      </c>
      <c r="C3" s="391"/>
      <c r="D3" s="391"/>
      <c r="E3" s="101" t="s">
        <v>57</v>
      </c>
      <c r="F3" s="102" t="s">
        <v>58</v>
      </c>
    </row>
    <row r="4" spans="2:6" ht="31.5" x14ac:dyDescent="0.2">
      <c r="B4" s="392" t="s">
        <v>59</v>
      </c>
      <c r="C4" s="394" t="s">
        <v>13</v>
      </c>
      <c r="D4" s="90" t="s">
        <v>14</v>
      </c>
      <c r="E4" s="91" t="s">
        <v>60</v>
      </c>
      <c r="F4" s="92">
        <v>0.25</v>
      </c>
    </row>
    <row r="5" spans="2:6" ht="47.25" x14ac:dyDescent="0.2">
      <c r="B5" s="393"/>
      <c r="C5" s="395"/>
      <c r="D5" s="93" t="s">
        <v>15</v>
      </c>
      <c r="E5" s="94" t="s">
        <v>61</v>
      </c>
      <c r="F5" s="95">
        <v>0.15</v>
      </c>
    </row>
    <row r="6" spans="2:6" ht="47.25" x14ac:dyDescent="0.2">
      <c r="B6" s="393"/>
      <c r="C6" s="395"/>
      <c r="D6" s="93" t="s">
        <v>16</v>
      </c>
      <c r="E6" s="94" t="s">
        <v>62</v>
      </c>
      <c r="F6" s="95">
        <v>0.1</v>
      </c>
    </row>
    <row r="7" spans="2:6" ht="63" x14ac:dyDescent="0.2">
      <c r="B7" s="393"/>
      <c r="C7" s="395" t="s">
        <v>17</v>
      </c>
      <c r="D7" s="93" t="s">
        <v>10</v>
      </c>
      <c r="E7" s="94" t="s">
        <v>63</v>
      </c>
      <c r="F7" s="95">
        <v>0.25</v>
      </c>
    </row>
    <row r="8" spans="2:6" ht="31.5" x14ac:dyDescent="0.2">
      <c r="B8" s="393"/>
      <c r="C8" s="395"/>
      <c r="D8" s="93" t="s">
        <v>9</v>
      </c>
      <c r="E8" s="94" t="s">
        <v>64</v>
      </c>
      <c r="F8" s="95">
        <v>0.15</v>
      </c>
    </row>
    <row r="9" spans="2:6" ht="47.25" x14ac:dyDescent="0.2">
      <c r="B9" s="393" t="s">
        <v>152</v>
      </c>
      <c r="C9" s="395" t="s">
        <v>18</v>
      </c>
      <c r="D9" s="93" t="s">
        <v>19</v>
      </c>
      <c r="E9" s="94" t="s">
        <v>65</v>
      </c>
      <c r="F9" s="96" t="s">
        <v>66</v>
      </c>
    </row>
    <row r="10" spans="2:6" ht="63" x14ac:dyDescent="0.2">
      <c r="B10" s="393"/>
      <c r="C10" s="395"/>
      <c r="D10" s="93" t="s">
        <v>20</v>
      </c>
      <c r="E10" s="94" t="s">
        <v>67</v>
      </c>
      <c r="F10" s="96" t="s">
        <v>66</v>
      </c>
    </row>
    <row r="11" spans="2:6" ht="47.25" x14ac:dyDescent="0.2">
      <c r="B11" s="393"/>
      <c r="C11" s="395" t="s">
        <v>21</v>
      </c>
      <c r="D11" s="93" t="s">
        <v>22</v>
      </c>
      <c r="E11" s="94" t="s">
        <v>68</v>
      </c>
      <c r="F11" s="96" t="s">
        <v>66</v>
      </c>
    </row>
    <row r="12" spans="2:6" ht="47.25" x14ac:dyDescent="0.2">
      <c r="B12" s="393"/>
      <c r="C12" s="395"/>
      <c r="D12" s="93" t="s">
        <v>23</v>
      </c>
      <c r="E12" s="94" t="s">
        <v>69</v>
      </c>
      <c r="F12" s="96" t="s">
        <v>66</v>
      </c>
    </row>
    <row r="13" spans="2:6" ht="31.5" x14ac:dyDescent="0.2">
      <c r="B13" s="393"/>
      <c r="C13" s="395" t="s">
        <v>24</v>
      </c>
      <c r="D13" s="93" t="s">
        <v>111</v>
      </c>
      <c r="E13" s="94" t="s">
        <v>114</v>
      </c>
      <c r="F13" s="96" t="s">
        <v>66</v>
      </c>
    </row>
    <row r="14" spans="2:6" ht="32.25" thickBot="1" x14ac:dyDescent="0.25">
      <c r="B14" s="396"/>
      <c r="C14" s="397"/>
      <c r="D14" s="97" t="s">
        <v>112</v>
      </c>
      <c r="E14" s="98" t="s">
        <v>113</v>
      </c>
      <c r="F14" s="99" t="s">
        <v>66</v>
      </c>
    </row>
    <row r="15" spans="2:6" ht="49.5" customHeight="1" x14ac:dyDescent="0.2">
      <c r="B15" s="389" t="s">
        <v>149</v>
      </c>
      <c r="C15" s="389"/>
      <c r="D15" s="389"/>
      <c r="E15" s="389"/>
      <c r="F15" s="389"/>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125</v>
      </c>
    </row>
    <row r="3" spans="2:5" x14ac:dyDescent="0.25">
      <c r="B3" t="s">
        <v>32</v>
      </c>
      <c r="E3" t="s">
        <v>124</v>
      </c>
    </row>
    <row r="4" spans="2:5" x14ac:dyDescent="0.25">
      <c r="B4" t="s">
        <v>129</v>
      </c>
      <c r="E4" t="s">
        <v>126</v>
      </c>
    </row>
    <row r="5" spans="2:5" x14ac:dyDescent="0.25">
      <c r="B5" t="s">
        <v>128</v>
      </c>
    </row>
    <row r="8" spans="2:5" x14ac:dyDescent="0.25">
      <c r="B8" t="s">
        <v>78</v>
      </c>
    </row>
    <row r="9" spans="2:5" x14ac:dyDescent="0.25">
      <c r="B9" t="s">
        <v>35</v>
      </c>
    </row>
    <row r="10" spans="2:5" x14ac:dyDescent="0.25">
      <c r="B10" t="s">
        <v>36</v>
      </c>
    </row>
    <row r="13" spans="2:5" x14ac:dyDescent="0.25">
      <c r="B13" t="s">
        <v>121</v>
      </c>
    </row>
    <row r="14" spans="2:5" x14ac:dyDescent="0.25">
      <c r="B14" t="s">
        <v>115</v>
      </c>
    </row>
    <row r="15" spans="2:5" x14ac:dyDescent="0.25">
      <c r="B15" t="s">
        <v>118</v>
      </c>
    </row>
    <row r="16" spans="2:5" x14ac:dyDescent="0.25">
      <c r="B16" t="s">
        <v>116</v>
      </c>
    </row>
    <row r="17" spans="2:2" x14ac:dyDescent="0.25">
      <c r="B17" t="s">
        <v>117</v>
      </c>
    </row>
    <row r="18" spans="2:2" x14ac:dyDescent="0.25">
      <c r="B18" t="s">
        <v>119</v>
      </c>
    </row>
    <row r="19" spans="2:2" x14ac:dyDescent="0.25">
      <c r="B19" t="s">
        <v>120</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35</v>
      </c>
    </row>
    <row r="21" spans="1:1" x14ac:dyDescent="0.2">
      <c r="A21" s="10"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Sandy Poveda Vargas</cp:lastModifiedBy>
  <cp:lastPrinted>2020-05-13T01:12:22Z</cp:lastPrinted>
  <dcterms:created xsi:type="dcterms:W3CDTF">2020-03-24T23:12:47Z</dcterms:created>
  <dcterms:modified xsi:type="dcterms:W3CDTF">2023-04-26T15:45:43Z</dcterms:modified>
</cp:coreProperties>
</file>