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DE GESTIÓN POR PROCESOS\"/>
    </mc:Choice>
  </mc:AlternateContent>
  <bookViews>
    <workbookView xWindow="0" yWindow="0" windowWidth="20490" windowHeight="7650"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62913"/>
  <pivotCaches>
    <pivotCache cacheId="0" r:id="rId11"/>
  </pivotCaches>
</workbook>
</file>

<file path=xl/calcChain.xml><?xml version="1.0" encoding="utf-8"?>
<calcChain xmlns="http://schemas.openxmlformats.org/spreadsheetml/2006/main">
  <c r="V69" i="1" l="1"/>
  <c r="S69" i="1"/>
  <c r="V68" i="1"/>
  <c r="S68" i="1"/>
  <c r="AD69" i="1" s="1"/>
  <c r="AC69" i="1" s="1"/>
  <c r="V67" i="1"/>
  <c r="S67" i="1"/>
  <c r="AD68" i="1" s="1"/>
  <c r="AC68" i="1" s="1"/>
  <c r="V66" i="1"/>
  <c r="S66" i="1"/>
  <c r="AD67" i="1" s="1"/>
  <c r="AC67" i="1" s="1"/>
  <c r="V65" i="1"/>
  <c r="S65" i="1"/>
  <c r="V64" i="1"/>
  <c r="S64" i="1"/>
  <c r="AD65" i="1" s="1"/>
  <c r="AC65" i="1" s="1"/>
  <c r="V63" i="1"/>
  <c r="S63" i="1"/>
  <c r="V62" i="1"/>
  <c r="S62" i="1"/>
  <c r="AD63" i="1" s="1"/>
  <c r="AC63" i="1" s="1"/>
  <c r="V61" i="1"/>
  <c r="S61" i="1"/>
  <c r="V60" i="1"/>
  <c r="S60" i="1"/>
  <c r="AD61" i="1" s="1"/>
  <c r="AC61" i="1" s="1"/>
  <c r="V59" i="1"/>
  <c r="S59" i="1"/>
  <c r="V58" i="1"/>
  <c r="S58" i="1"/>
  <c r="AD59" i="1" s="1"/>
  <c r="AC59" i="1" s="1"/>
  <c r="V57" i="1"/>
  <c r="S57" i="1"/>
  <c r="V56" i="1"/>
  <c r="S56" i="1"/>
  <c r="AD57" i="1" s="1"/>
  <c r="AC57" i="1" s="1"/>
  <c r="V55" i="1"/>
  <c r="S55" i="1"/>
  <c r="V54" i="1"/>
  <c r="S54" i="1"/>
  <c r="AD55" i="1" s="1"/>
  <c r="AC55" i="1" s="1"/>
  <c r="V53" i="1"/>
  <c r="S53" i="1"/>
  <c r="V52" i="1"/>
  <c r="S52" i="1"/>
  <c r="AD53" i="1" s="1"/>
  <c r="AC53" i="1" s="1"/>
  <c r="V51" i="1"/>
  <c r="S51" i="1"/>
  <c r="V50" i="1"/>
  <c r="S50" i="1"/>
  <c r="AD51" i="1" s="1"/>
  <c r="AC51" i="1" s="1"/>
  <c r="V49" i="1"/>
  <c r="S49" i="1"/>
  <c r="V48" i="1"/>
  <c r="S48" i="1"/>
  <c r="AD49" i="1" s="1"/>
  <c r="AC49" i="1" s="1"/>
  <c r="V47" i="1"/>
  <c r="S47" i="1"/>
  <c r="V46" i="1"/>
  <c r="S46" i="1"/>
  <c r="AD47" i="1" s="1"/>
  <c r="AC47" i="1" s="1"/>
  <c r="V45" i="1"/>
  <c r="S45" i="1"/>
  <c r="V44" i="1"/>
  <c r="S44" i="1"/>
  <c r="AD45" i="1" s="1"/>
  <c r="AC45" i="1" s="1"/>
  <c r="V43" i="1"/>
  <c r="S43" i="1"/>
  <c r="V42" i="1"/>
  <c r="S42" i="1"/>
  <c r="AD43" i="1" s="1"/>
  <c r="AC43" i="1" s="1"/>
  <c r="V41" i="1"/>
  <c r="S41" i="1"/>
  <c r="V40" i="1"/>
  <c r="S40" i="1"/>
  <c r="AD41" i="1" s="1"/>
  <c r="AC41" i="1" s="1"/>
  <c r="V39" i="1"/>
  <c r="S39" i="1"/>
  <c r="V38" i="1"/>
  <c r="S38" i="1"/>
  <c r="AD39" i="1" s="1"/>
  <c r="AC39" i="1" s="1"/>
  <c r="V37" i="1"/>
  <c r="S37" i="1"/>
  <c r="V36" i="1"/>
  <c r="S36" i="1"/>
  <c r="AD37" i="1" s="1"/>
  <c r="AC37" i="1" s="1"/>
  <c r="V35" i="1"/>
  <c r="S35" i="1"/>
  <c r="V34" i="1"/>
  <c r="S34" i="1"/>
  <c r="AD35" i="1" s="1"/>
  <c r="AC35" i="1" s="1"/>
  <c r="V33" i="1"/>
  <c r="S33" i="1"/>
  <c r="V32" i="1"/>
  <c r="S32" i="1"/>
  <c r="AD33" i="1" s="1"/>
  <c r="AC33" i="1" s="1"/>
  <c r="V31" i="1"/>
  <c r="S31" i="1"/>
  <c r="V30" i="1"/>
  <c r="S30" i="1"/>
  <c r="AD31" i="1" s="1"/>
  <c r="AC31" i="1" s="1"/>
  <c r="V29" i="1"/>
  <c r="S29" i="1"/>
  <c r="V28" i="1"/>
  <c r="S28" i="1"/>
  <c r="AD29" i="1" s="1"/>
  <c r="AC29" i="1" s="1"/>
  <c r="V27" i="1"/>
  <c r="S27" i="1"/>
  <c r="V26" i="1"/>
  <c r="S26" i="1"/>
  <c r="AD27" i="1" s="1"/>
  <c r="AC27" i="1" s="1"/>
  <c r="V25" i="1"/>
  <c r="S25" i="1"/>
  <c r="V24" i="1"/>
  <c r="S24" i="1"/>
  <c r="AD25" i="1" s="1"/>
  <c r="AC25" i="1" s="1"/>
  <c r="V23" i="1"/>
  <c r="S23" i="1"/>
  <c r="V22" i="1"/>
  <c r="S22" i="1"/>
  <c r="AD23" i="1" s="1"/>
  <c r="AC23" i="1" s="1"/>
  <c r="V21" i="1"/>
  <c r="S21" i="1"/>
  <c r="V20" i="1"/>
  <c r="S20" i="1"/>
  <c r="AD21" i="1" s="1"/>
  <c r="AC21" i="1" s="1"/>
  <c r="V19" i="1"/>
  <c r="S19" i="1"/>
  <c r="V18" i="1"/>
  <c r="S18" i="1"/>
  <c r="AD19" i="1" s="1"/>
  <c r="AC19" i="1" s="1"/>
  <c r="V17" i="1"/>
  <c r="S17" i="1"/>
  <c r="V16" i="1"/>
  <c r="S16" i="1"/>
  <c r="AD17" i="1" s="1"/>
  <c r="AC17" i="1" s="1"/>
  <c r="AD20" i="1" l="1"/>
  <c r="AC20" i="1" s="1"/>
  <c r="AD24" i="1"/>
  <c r="AC24" i="1" s="1"/>
  <c r="AD32" i="1"/>
  <c r="AC32" i="1" s="1"/>
  <c r="AD36" i="1"/>
  <c r="AC36" i="1" s="1"/>
  <c r="AD44" i="1"/>
  <c r="AC44" i="1" s="1"/>
  <c r="AD48" i="1"/>
  <c r="AC48" i="1" s="1"/>
  <c r="AD56" i="1"/>
  <c r="AC56" i="1" s="1"/>
  <c r="AD60" i="1"/>
  <c r="AC60" i="1" s="1"/>
  <c r="AD18" i="1"/>
  <c r="AC18" i="1" s="1"/>
  <c r="AD26" i="1"/>
  <c r="AC26" i="1" s="1"/>
  <c r="AD30" i="1"/>
  <c r="AC30" i="1" s="1"/>
  <c r="AD38" i="1"/>
  <c r="AC38" i="1" s="1"/>
  <c r="AD42" i="1"/>
  <c r="AC42" i="1" s="1"/>
  <c r="AD50" i="1"/>
  <c r="AC50" i="1" s="1"/>
  <c r="AD54" i="1"/>
  <c r="AC54" i="1" s="1"/>
  <c r="AD62" i="1"/>
  <c r="AC62" i="1" s="1"/>
  <c r="AD66" i="1"/>
  <c r="AC66" i="1" s="1"/>
  <c r="Z64" i="1"/>
  <c r="Z66" i="1"/>
  <c r="Z68" i="1"/>
  <c r="AD64" i="1"/>
  <c r="AC64" i="1" s="1"/>
  <c r="Z65" i="1"/>
  <c r="Z67" i="1"/>
  <c r="Z69" i="1"/>
  <c r="Z58" i="1"/>
  <c r="Z60" i="1"/>
  <c r="Z62" i="1"/>
  <c r="AD58" i="1"/>
  <c r="AC58" i="1" s="1"/>
  <c r="Z59" i="1"/>
  <c r="Z61" i="1"/>
  <c r="Z63" i="1"/>
  <c r="Z52" i="1"/>
  <c r="Z54" i="1"/>
  <c r="Z56" i="1"/>
  <c r="AD52" i="1"/>
  <c r="AC52" i="1" s="1"/>
  <c r="Z53" i="1"/>
  <c r="Z55" i="1"/>
  <c r="Z57" i="1"/>
  <c r="Z46" i="1"/>
  <c r="Z48" i="1"/>
  <c r="Z50" i="1"/>
  <c r="AD46" i="1"/>
  <c r="AC46" i="1" s="1"/>
  <c r="Z47" i="1"/>
  <c r="Z49" i="1"/>
  <c r="Z51" i="1"/>
  <c r="Z40" i="1"/>
  <c r="Z42" i="1"/>
  <c r="Z44" i="1"/>
  <c r="AD40" i="1"/>
  <c r="AC40" i="1" s="1"/>
  <c r="Z41" i="1"/>
  <c r="Z43" i="1"/>
  <c r="Z45" i="1"/>
  <c r="Z34" i="1"/>
  <c r="Z36" i="1"/>
  <c r="Z38" i="1"/>
  <c r="AD34" i="1"/>
  <c r="AC34" i="1" s="1"/>
  <c r="Z35" i="1"/>
  <c r="Z37" i="1"/>
  <c r="Z39" i="1"/>
  <c r="Z28" i="1"/>
  <c r="Z30" i="1"/>
  <c r="Z32" i="1"/>
  <c r="AD28" i="1"/>
  <c r="AC28" i="1" s="1"/>
  <c r="Z29" i="1"/>
  <c r="Z31" i="1"/>
  <c r="Z33" i="1"/>
  <c r="Z22" i="1"/>
  <c r="Z24" i="1"/>
  <c r="Z26" i="1"/>
  <c r="AD22" i="1"/>
  <c r="AC22" i="1" s="1"/>
  <c r="Z23" i="1"/>
  <c r="Z25" i="1"/>
  <c r="Z27" i="1"/>
  <c r="Z16" i="1"/>
  <c r="Z18" i="1"/>
  <c r="Z20" i="1"/>
  <c r="Z17" i="1"/>
  <c r="Z19" i="1"/>
  <c r="Z21" i="1"/>
  <c r="AB69" i="1" l="1"/>
  <c r="AA69" i="1"/>
  <c r="AE69" i="1" s="1"/>
  <c r="AB67" i="1"/>
  <c r="AA67" i="1"/>
  <c r="AE67" i="1" s="1"/>
  <c r="AB65" i="1"/>
  <c r="AA65" i="1"/>
  <c r="AE65" i="1" s="1"/>
  <c r="AB68" i="1"/>
  <c r="AA68" i="1"/>
  <c r="AE68" i="1" s="1"/>
  <c r="AB66" i="1"/>
  <c r="AA66" i="1"/>
  <c r="AE66" i="1" s="1"/>
  <c r="AB64" i="1"/>
  <c r="AA64" i="1"/>
  <c r="AE64" i="1" s="1"/>
  <c r="AB63" i="1"/>
  <c r="AA63" i="1"/>
  <c r="AE63" i="1" s="1"/>
  <c r="AB61" i="1"/>
  <c r="AA61" i="1"/>
  <c r="AE61" i="1" s="1"/>
  <c r="AB59" i="1"/>
  <c r="AA59" i="1"/>
  <c r="AE59" i="1" s="1"/>
  <c r="AB62" i="1"/>
  <c r="AA62" i="1"/>
  <c r="AE62" i="1" s="1"/>
  <c r="AB60" i="1"/>
  <c r="AA60" i="1"/>
  <c r="AE60" i="1" s="1"/>
  <c r="AB58" i="1"/>
  <c r="AA58" i="1"/>
  <c r="AE58" i="1" s="1"/>
  <c r="AB57" i="1"/>
  <c r="AA57" i="1"/>
  <c r="AE57" i="1" s="1"/>
  <c r="AB55" i="1"/>
  <c r="AA55" i="1"/>
  <c r="AE55" i="1" s="1"/>
  <c r="AB53" i="1"/>
  <c r="AA53" i="1"/>
  <c r="AE53" i="1" s="1"/>
  <c r="AB56" i="1"/>
  <c r="AA56" i="1"/>
  <c r="AE56" i="1" s="1"/>
  <c r="AB54" i="1"/>
  <c r="AA54" i="1"/>
  <c r="AE54" i="1" s="1"/>
  <c r="AB52" i="1"/>
  <c r="AA52" i="1"/>
  <c r="AE52" i="1" s="1"/>
  <c r="AB51" i="1"/>
  <c r="AA51" i="1"/>
  <c r="AE51" i="1" s="1"/>
  <c r="AB49" i="1"/>
  <c r="AA49" i="1"/>
  <c r="AE49" i="1" s="1"/>
  <c r="AB47" i="1"/>
  <c r="AA47" i="1"/>
  <c r="AE47" i="1" s="1"/>
  <c r="AB50" i="1"/>
  <c r="AA50" i="1"/>
  <c r="AE50" i="1" s="1"/>
  <c r="AB48" i="1"/>
  <c r="AA48" i="1"/>
  <c r="AE48" i="1" s="1"/>
  <c r="AB46" i="1"/>
  <c r="AA46" i="1"/>
  <c r="AE46" i="1" s="1"/>
  <c r="AB45" i="1"/>
  <c r="AA45" i="1"/>
  <c r="AE45" i="1" s="1"/>
  <c r="AB43" i="1"/>
  <c r="AA43" i="1"/>
  <c r="AE43" i="1" s="1"/>
  <c r="AB41" i="1"/>
  <c r="AA41" i="1"/>
  <c r="AE41" i="1" s="1"/>
  <c r="AB44" i="1"/>
  <c r="AA44" i="1"/>
  <c r="AE44" i="1" s="1"/>
  <c r="AB42" i="1"/>
  <c r="AA42" i="1"/>
  <c r="AE42" i="1" s="1"/>
  <c r="AB40" i="1"/>
  <c r="AA40" i="1"/>
  <c r="AE40" i="1" s="1"/>
  <c r="AB39" i="1"/>
  <c r="AA39" i="1"/>
  <c r="AE39" i="1" s="1"/>
  <c r="AB37" i="1"/>
  <c r="AA37" i="1"/>
  <c r="AE37" i="1" s="1"/>
  <c r="AB35" i="1"/>
  <c r="AA35" i="1"/>
  <c r="AE35" i="1" s="1"/>
  <c r="AA38" i="1"/>
  <c r="AE38" i="1" s="1"/>
  <c r="AB38" i="1"/>
  <c r="AA36" i="1"/>
  <c r="AE36" i="1" s="1"/>
  <c r="AB36" i="1"/>
  <c r="AB34" i="1"/>
  <c r="AA34" i="1"/>
  <c r="AE34" i="1" s="1"/>
  <c r="AB33" i="1"/>
  <c r="AA33" i="1"/>
  <c r="AE33" i="1" s="1"/>
  <c r="AB31" i="1"/>
  <c r="AA31" i="1"/>
  <c r="AE31" i="1" s="1"/>
  <c r="AB29" i="1"/>
  <c r="AA29" i="1"/>
  <c r="AE29" i="1" s="1"/>
  <c r="AB32" i="1"/>
  <c r="AA32" i="1"/>
  <c r="AE32" i="1" s="1"/>
  <c r="AB30" i="1"/>
  <c r="AA30" i="1"/>
  <c r="AE30" i="1" s="1"/>
  <c r="AB28" i="1"/>
  <c r="AA28" i="1"/>
  <c r="AE28" i="1" s="1"/>
  <c r="AB25" i="1"/>
  <c r="AA25" i="1"/>
  <c r="AE25" i="1" s="1"/>
  <c r="AB23" i="1"/>
  <c r="AA23" i="1"/>
  <c r="AE23" i="1" s="1"/>
  <c r="AB26" i="1"/>
  <c r="AA26" i="1"/>
  <c r="AE26" i="1" s="1"/>
  <c r="AB27" i="1"/>
  <c r="AA27" i="1"/>
  <c r="AE27" i="1" s="1"/>
  <c r="AB24" i="1"/>
  <c r="AA24" i="1"/>
  <c r="AE24" i="1" s="1"/>
  <c r="AB22" i="1"/>
  <c r="AA22" i="1"/>
  <c r="AE22" i="1" s="1"/>
  <c r="AB21" i="1"/>
  <c r="AA21" i="1"/>
  <c r="AE21" i="1" s="1"/>
  <c r="AB19" i="1"/>
  <c r="AA19" i="1"/>
  <c r="AE19" i="1" s="1"/>
  <c r="AB20" i="1"/>
  <c r="AA20" i="1"/>
  <c r="AE20" i="1" s="1"/>
  <c r="AB18" i="1"/>
  <c r="AA18" i="1"/>
  <c r="AE18" i="1" s="1"/>
  <c r="AB17" i="1"/>
  <c r="AA17" i="1"/>
  <c r="AE17" i="1" s="1"/>
  <c r="AB16" i="1"/>
  <c r="AA16" i="1"/>
  <c r="J10" i="1" l="1"/>
  <c r="J22" i="1"/>
  <c r="K22" i="1" s="1"/>
  <c r="J28" i="1"/>
  <c r="J34" i="1"/>
  <c r="K34" i="1" s="1"/>
  <c r="J40" i="1"/>
  <c r="K40" i="1" s="1"/>
  <c r="J46" i="1"/>
  <c r="K46" i="1" s="1"/>
  <c r="J52" i="1"/>
  <c r="K52" i="1" s="1"/>
  <c r="J58" i="1"/>
  <c r="K58" i="1" s="1"/>
  <c r="J64" i="1"/>
  <c r="K64" i="1" s="1"/>
  <c r="V12" i="1"/>
  <c r="V13" i="1"/>
  <c r="V14" i="1"/>
  <c r="V15" i="1"/>
  <c r="V11" i="1"/>
  <c r="M57" i="1"/>
  <c r="M69" i="1"/>
  <c r="M65" i="1"/>
  <c r="M53" i="1"/>
  <c r="M54" i="1"/>
  <c r="M23" i="1"/>
  <c r="M45" i="1"/>
  <c r="M33" i="1"/>
  <c r="M32" i="1"/>
  <c r="M35" i="1"/>
  <c r="M55" i="1"/>
  <c r="M59" i="1"/>
  <c r="M38" i="1"/>
  <c r="M29" i="1"/>
  <c r="M66" i="1"/>
  <c r="M42" i="1"/>
  <c r="M50" i="1"/>
  <c r="M48" i="1"/>
  <c r="M51" i="1"/>
  <c r="M68" i="1"/>
  <c r="M36" i="1"/>
  <c r="M31" i="1"/>
  <c r="M63" i="1"/>
  <c r="M49" i="1"/>
  <c r="M27" i="1"/>
  <c r="M24" i="1"/>
  <c r="M37" i="1"/>
  <c r="M25" i="1"/>
  <c r="M60" i="1"/>
  <c r="M44" i="1"/>
  <c r="M43" i="1"/>
  <c r="M67" i="1"/>
  <c r="M39" i="1"/>
  <c r="M26" i="1"/>
  <c r="M41" i="1"/>
  <c r="M62" i="1"/>
  <c r="M30" i="1"/>
  <c r="M56" i="1"/>
  <c r="M61" i="1"/>
  <c r="M47" i="1"/>
  <c r="K28" i="1" l="1"/>
  <c r="S11" i="1" l="1"/>
  <c r="F217" i="13"/>
  <c r="S12" i="1"/>
  <c r="S13" i="1"/>
  <c r="S14" i="1"/>
  <c r="S15" i="1"/>
  <c r="V10" i="1" l="1"/>
  <c r="S10" i="1"/>
  <c r="K10" i="1" l="1"/>
  <c r="M19" i="1"/>
  <c r="M17" i="1"/>
  <c r="M20" i="1"/>
  <c r="M21" i="1"/>
  <c r="M18" i="1"/>
  <c r="F221" i="13" l="1"/>
  <c r="F211" i="13"/>
  <c r="F212" i="13"/>
  <c r="F213" i="13"/>
  <c r="F214" i="13"/>
  <c r="F215" i="13"/>
  <c r="F216" i="13"/>
  <c r="F218" i="13"/>
  <c r="F219" i="13"/>
  <c r="F220" i="13"/>
  <c r="F210" i="13"/>
  <c r="B221" i="13" a="1"/>
  <c r="M11" i="1"/>
  <c r="M13" i="1"/>
  <c r="M12" i="1"/>
  <c r="M15" i="1"/>
  <c r="M14"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6" i="1" l="1"/>
  <c r="K16"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10" i="1" l="1"/>
  <c r="AA10" i="1" s="1"/>
  <c r="AB10" i="1" l="1"/>
  <c r="Z11" i="1" s="1"/>
  <c r="AB11" i="1" l="1"/>
  <c r="Z12" i="1" s="1"/>
  <c r="AA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A12" i="1" l="1"/>
  <c r="AB12" i="1"/>
  <c r="Z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3" i="1" l="1"/>
  <c r="AB13" i="1"/>
  <c r="Z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B14" i="1" l="1"/>
  <c r="Z15" i="1" s="1"/>
  <c r="AA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5" i="1" l="1"/>
  <c r="AA15"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22" i="1" l="1"/>
  <c r="N22" i="1" s="1"/>
  <c r="M28" i="1"/>
  <c r="N28" i="1" s="1"/>
  <c r="M34" i="1"/>
  <c r="N34" i="1" s="1"/>
  <c r="M40" i="1"/>
  <c r="N40" i="1" s="1"/>
  <c r="M46" i="1"/>
  <c r="N46" i="1" s="1"/>
  <c r="M52" i="1"/>
  <c r="N52" i="1" s="1"/>
  <c r="M58" i="1"/>
  <c r="N58" i="1" s="1"/>
  <c r="M64" i="1"/>
  <c r="N64" i="1" s="1"/>
  <c r="M16" i="1"/>
  <c r="N16"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6" i="1"/>
  <c r="R30" i="18"/>
  <c r="AD38" i="18"/>
  <c r="AD22" i="18"/>
  <c r="O16" i="1"/>
  <c r="AD16" i="1" s="1"/>
  <c r="AC16" i="1" s="1"/>
  <c r="AE16" i="1" s="1"/>
  <c r="L30" i="18"/>
  <c r="AJ14" i="18"/>
  <c r="L14" i="18"/>
  <c r="X38" i="18"/>
  <c r="L22" i="18"/>
  <c r="AD30" i="18"/>
  <c r="AJ22" i="18"/>
  <c r="X14" i="18"/>
  <c r="X6" i="18"/>
  <c r="R22" i="18"/>
  <c r="L6" i="18"/>
  <c r="X22" i="18"/>
  <c r="O64" i="1"/>
  <c r="P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58" i="1"/>
  <c r="P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52" i="1"/>
  <c r="O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46" i="1"/>
  <c r="P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40" i="1"/>
  <c r="O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34" i="1"/>
  <c r="O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O28" i="1"/>
  <c r="P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O22" i="1"/>
  <c r="P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J6" i="19" l="1"/>
  <c r="AB46" i="19"/>
  <c r="AB6" i="19"/>
  <c r="AH6" i="19"/>
  <c r="AH26" i="19"/>
  <c r="P26" i="19"/>
  <c r="AH46" i="19"/>
  <c r="AH16" i="19"/>
  <c r="J46" i="19"/>
  <c r="AB16" i="19"/>
  <c r="J26" i="19"/>
  <c r="AB26" i="19"/>
  <c r="J36" i="19"/>
  <c r="AE10" i="1"/>
  <c r="P16" i="19"/>
  <c r="V26" i="19"/>
  <c r="P46" i="19"/>
  <c r="J16" i="19"/>
  <c r="P6" i="19"/>
  <c r="AB36" i="19"/>
  <c r="V36" i="19"/>
  <c r="AH36" i="19"/>
  <c r="V16" i="19"/>
  <c r="V46" i="19"/>
  <c r="V6" i="19"/>
  <c r="AC11" i="1"/>
  <c r="AD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D15" i="1"/>
  <c r="AC15" i="1" s="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E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authors>
    <author>HACIENDA149</author>
  </authors>
  <commentList>
    <comment ref="C10" authorId="0" shapeId="0">
      <text>
        <r>
          <rPr>
            <sz val="9"/>
            <color indexed="81"/>
            <rFont val="Tahoma"/>
            <family val="2"/>
          </rPr>
          <t xml:space="preserve">Aunque la sanción del ente de control , el pago de la sanción no sale del presupuesto del municipio sino del  servidor público (Jefe de la oficina de Control Interno)  
</t>
        </r>
      </text>
    </comment>
    <comment ref="I10" authorId="0" shapeId="0">
      <text>
        <r>
          <rPr>
            <sz val="9"/>
            <color indexed="81"/>
            <rFont val="Tahoma"/>
            <family val="2"/>
          </rPr>
          <t>Son 24 informes con entes de control  que se cargan  en aplicaivos 
R</t>
        </r>
        <r>
          <rPr>
            <sz val="12"/>
            <color indexed="81"/>
            <rFont val="Tahoma"/>
            <family val="2"/>
          </rPr>
          <t>endición de la cuenta a la CM.                           2. Informe derecho de autor                               3. Informe control interno contable           4. Rendición de la cuenta CGR.                        5. Seguimiento plan de mejoramiento CGR (2).                                                                      6. seguimiento a planes  de mejormaiento con CMI  (2)
7.. Obras inconclusas (12 - uno mensual)                                                                        8. delitos penales contra la admnistración pública (2).                                                            8. Reporte furag sobre evaluuación del SCI    
9. Reporte activis de información</t>
        </r>
      </text>
    </comment>
    <comment ref="AL10" authorId="0" shapeId="0">
      <text>
        <r>
          <rPr>
            <sz val="9"/>
            <color indexed="81"/>
            <rFont val="Tahoma"/>
            <family val="2"/>
          </rPr>
          <t xml:space="preserve">En razón a que el l comité de coordinación de control interno es trimestral la actividad se realizrá en el mes de abril del año en curso.  
</t>
        </r>
      </text>
    </comment>
    <comment ref="AL11" authorId="0" shapeId="0">
      <text>
        <r>
          <rPr>
            <sz val="9"/>
            <color indexed="81"/>
            <rFont val="Tahoma"/>
            <family val="2"/>
          </rPr>
          <t xml:space="preserve">
En el periodo enero a febrero de 2023, han surgido los siguientes cambios normativos: 
1. Resolución No. 303 de diciembre de 2022, por medio de la cual se establecen los parámetros y criterios para la elaboración, reporte, seguimiento y evaluación de los planes de mejoramiento que presentan los sujetos de vigilancia y control fiscal de la Contraloría Municipal de Ibagué. 
2. Resolución No. 304 de 2022, Por medio de la cual se establecen los parámetros y criterios para la rendición de la cuenta y los informes que presentan los sujetos de vigilancia y control fiscal de
la Contraloría Municipal de Ibagué; junto con esta relación la Contraloría expidió la circular No. 02 del 6 de enero de 2023 actualizando los formatos para rendición de la cuenta anual. 
3. Guía de Roles de la Oficina de control interno versión 3.  se envió al equipo de la Oficina de Control Interno el 4 de enero de 2023, enviada a través de correo de Control interno a los funcionarios adscritos a la OCI. 
3. Versión No. 6 de la guía para administración del riesgo.  Expedida por el DAFP, publicada por el DAFP en el mes de febrero de 2023.   La guía fue enviada al grupo de la OCI el 27 de febrero de 2023. 
Sobre estas guías se dará espera durante el primer semestre del año en curso a que el DAFP realice la socialización de forma virtual, si pasado el semestre no lo realiza, se solicitara a TH la capacitación sobre estas guías.  
</t>
        </r>
      </text>
    </comment>
    <comment ref="AL12" authorId="0" shapeId="0">
      <text>
        <r>
          <rPr>
            <sz val="9"/>
            <color indexed="81"/>
            <rFont val="Tahoma"/>
            <family val="2"/>
          </rPr>
          <t xml:space="preserve">Como el comité de coordinación de control interno es trimestral la actividad se realizrá en el mes de abril. 
</t>
        </r>
      </text>
    </comment>
    <comment ref="AL13" authorId="0" shapeId="0">
      <text>
        <r>
          <rPr>
            <sz val="9"/>
            <color indexed="81"/>
            <rFont val="Tahoma"/>
            <family val="2"/>
          </rPr>
          <t xml:space="preserve">Durante el periodo evaluado se realizaron 3  reportes a entes de control, sobre los cuales el personal asignado para el rerpote no tuvo inconvenientes en realizar el rerpote al ente de control y el cargue se realizó antes de la fecha de vencimiento. 
Control interno contable el 27 de febrero - la fecha limite 298¿ de febrero  y el Sireci - CGR el 3 de marzo la fecha límite 9 de marzo 
Rendición de cuenta Sirec: se hizo el cargue el 13 de febrero y la fecha límite el 25 de febrero. </t>
        </r>
      </text>
    </comment>
    <comment ref="AL16" authorId="0" shapeId="0">
      <text>
        <r>
          <rPr>
            <sz val="9"/>
            <color indexed="81"/>
            <rFont val="Tahoma"/>
            <family val="2"/>
          </rPr>
          <t xml:space="preserve">Nota: tanto el control como la acción se realiza trimestre vencido, razón por la cual no hay avance en el monitoreo del periodo enero a febrero de 2023.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<sst xmlns="http://schemas.openxmlformats.org/spreadsheetml/2006/main" count="386" uniqueCount="250">
  <si>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</si>
  <si>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</si>
  <si>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</si>
  <si>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</si>
  <si>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</si>
  <si>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</si>
  <si>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</si>
  <si>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</si>
  <si>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</si>
  <si>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</si>
  <si>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</si>
  <si>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</si>
  <si>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</si>
  <si>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</si>
  <si>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</si>
  <si>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</si>
  <si>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</si>
  <si>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</si>
  <si>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</si>
  <si>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</si>
  <si>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</si>
  <si>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</si>
  <si>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</si>
  <si>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</si>
  <si>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</si>
  <si>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</si>
  <si>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</si>
  <si>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</si>
  <si>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</si>
  <si>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</si>
  <si>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</si>
  <si>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</si>
  <si>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</si>
  <si>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</si>
  <si>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</si>
  <si>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</si>
  <si>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</si>
  <si>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</si>
  <si>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</si>
  <si>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</si>
  <si>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</si>
  <si>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</si>
  <si>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</si>
  <si>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</si>
  <si>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</si>
  <si>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</si>
  <si>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</si>
  <si>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</si>
  <si>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</si>
  <si>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</si>
  <si>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</si>
  <si>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</si>
  <si>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</si>
  <si>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</si>
  <si>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</si>
  <si>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</si>
  <si>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</si>
  <si>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</si>
  <si>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</si>
  <si>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</si>
  <si>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</si>
  <si>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</si>
  <si>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</si>
  <si>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</si>
  <si>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</si>
  <si>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</si>
  <si>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</si>
  <si>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</si>
  <si>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</si>
  <si>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</si>
  <si>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</si>
  <si>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</si>
  <si>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</si>
  <si>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</si>
  <si>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</si>
  <si>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</si>
  <si>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</si>
  <si>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</si>
  <si>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</si>
  <si>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</si>
  <si>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</si>
  <si>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</si>
  <si>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</si>
  <si>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</si>
  <si>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</si>
  <si>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</si>
  <si>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</si>
  <si>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</si>
  <si>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</si>
  <si>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</si>
  <si>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</si>
  <si>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</si>
  <si>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</si>
  <si>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</si>
  <si>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</si>
  <si>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</si>
  <si>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</si>
  <si>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</si>
  <si>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</si>
  <si>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</si>
  <si>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</si>
  <si>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</si>
  <si>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</si>
  <si>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</si>
  <si>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</si>
  <si>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</si>
  <si>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</si>
  <si>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</si>
  <si>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</si>
  <si>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</si>
  <si>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</si>
  <si>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</si>
  <si>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</si>
  <si>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</si>
  <si>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</si>
  <si>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</si>
  <si>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</si>
  <si>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</si>
  <si>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</si>
  <si>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</si>
  <si>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</si>
  <si>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</si>
  <si>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</si>
  <si>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</si>
  <si>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</si>
  <si>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</si>
  <si>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</si>
  <si>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</si>
  <si>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</si>
  <si>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</si>
  <si>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</si>
  <si>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</si>
  <si>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</si>
  <si>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</si>
  <si>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</si>
  <si>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</si>
  <si>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</si>
  <si>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</si>
  <si>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</si>
  <si>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</si>
  <si>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</si>
  <si>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</si>
  <si>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</si>
  <si>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</si>
  <si>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</si>
  <si>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</si>
  <si>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</si>
  <si>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</si>
  <si>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</si>
  <si>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</si>
  <si>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</si>
  <si>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</si>
  <si>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</si>
  <si>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</si>
  <si>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</si>
  <si>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</si>
  <si>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</si>
  <si>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</si>
  <si>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</si>
  <si>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</si>
  <si>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</si>
  <si>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</si>
  <si>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</si>
  <si>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</si>
  <si>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</si>
  <si>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</si>
  <si>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</si>
  <si>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</si>
  <si>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</si>
  <si>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</si>
  <si>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</si>
  <si>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</si>
  <si>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</si>
  <si>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</si>
  <si>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</si>
  <si>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</si>
  <si>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</si>
  <si>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</si>
  <si>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</si>
  <si>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</si>
  <si>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</si>
  <si>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</si>
  <si>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</si>
  <si>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</si>
  <si>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</si>
  <si>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</si>
  <si>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</si>
  <si>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</si>
  <si>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</si>
  <si>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</si>
  <si>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</si>
  <si>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</si>
  <si>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</si>
  <si>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</si>
  <si>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</si>
  <si>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</si>
  <si>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</si>
  <si>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</si>
  <si>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</si>
  <si>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</si>
  <si>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</si>
  <si>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</si>
  <si>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</si>
  <si>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</si>
  <si>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</si>
  <si>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</si>
  <si>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</si>
  <si>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</si>
  <si>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</si>
  <si>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</si>
  <si>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</si>
  <si>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</si>
  <si>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</si>
  <si>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</si>
  <si>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</si>
  <si>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GESTION DE  EVALUACION Y SEGUIMIENTO </t>
  </si>
  <si>
    <t xml:space="preserve">AGREGAR VALOR A LA GESTION Y MEJORAR LAS OPERACIONES DE LA ENTIDAD, ENTREGANDO A LIDERES DE PROCESOS Y AL COMITÉ  DE COOORDINACIÓN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</si>
  <si>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 xml:space="preserve">INICIA CON LA ELABORACIÓN DEL PLAN ANUAL DE AUDITORÍA, INCLUYE LAS ACTIVIDADES REQUERIDAS PARA LA IMPLEMENTACIÓN DE LOS  5 ROLES ASIGNADOS A LAS OFICINAS DE CONTROL INTERNO, Y FINALIZA CON LA EVALUACIÓN DEL CUMPLIMIENTO DEL PLAN ANUAL DE AUDITORIA. </t>
  </si>
  <si>
    <t xml:space="preserve">Multa o sanción del ente  de control </t>
  </si>
  <si>
    <t>Asignación en las áreas responsables  del diligenciamiento de los formatos o a la  emisión de respuesta del  requerimiento del ente de control, al  personal vinculado por  contrato de prestación de servicios.</t>
  </si>
  <si>
    <t xml:space="preserve">Falta de asignación en las unidades  administrativas de un   funcionario   responsable de  consultar  diariamente  la correspondencia,  generando en los líderes de proceso el   desconocimiento de  los requerimientos   y  la emisión extemporánea   a la fecha limite fijada por la Oficina,  para emitir la respuesta al requerimiento.  </t>
  </si>
  <si>
    <t xml:space="preserve">desconocimiento del personal adscrito a la Oficina de control interno de los  cambios normativos que impliquen  nuevos informes a cargo de la Oficina  o modificaciones a la periodicidad del reporte de los informes de ley. </t>
  </si>
  <si>
    <t>Entidades públicas realizando cargue  de informes de ley  a través de aplicativos de entes de control,  de forma simultanea. (Control interno contable, derechos de autor y furag)</t>
  </si>
  <si>
    <t xml:space="preserve"> El jefe de la Oficina de Control Interno  cada vez que se presenten cambios normativos que requieran  la generación de nuevos  informes, ajusta o actualiza  el plan de Anual de Auditoria   confrontando  la fecha de emisión del informe con la disponibilidad del personal en el cronograma del plan anual de auditoria  y asigna el responsable de elborar el informe; garantizando la emisión  oportuna del mismo al ente de control;   en caso de no contar con personal disponible o el perfil indicado  la  jefe   solicita a la Dirección de Talento Humano la asignación de personal idóneo para  elaborar  el informe o gestiona  la  contratación de personal.  Como evidencia queda el Plan  Anual de auditoria ajustado y  publicado en la web, el acta de Comité de Coordinación de Control Interno que registre la aprobación de la actualización  del Plan, el  informe generado públicado en la web y el  memorando de solicitud de personal ídoneo para elaborar el informe. </t>
  </si>
  <si>
    <t xml:space="preserve">los auditores  responsables de elaborar los  informes  de ley, cada vez que inicia la actividades requeridas para elaborar el informe,  determina  la fecha  de entrega de información por las unidades administrativas confrontando la fecha límite de emisión del informe  VS  la fecha establecida por el ente de control para la solicitud de  prórroga.  4)  El control se realiza de la siguiente forma:  Proyectar y emitir una circular relacionando el reporte a rendir, la normatividad que lo exige y fijando como fecha límite  6 días  hábiles antes de la fecha establecida por el ente de control para  solicitar prórroga, así mismo  solicitar la designación de funcionarios de planta  para dar respuesta al requerimiento de la oficina.   Vencido el término fijado,   consultar en   el aplicativo de correspondencia pisami  y con la  auxiliar administrativa  si en la correspondencia recibida se encuentra la información solicitada; en caso afirmativo se  procede a realizar  las actividades requeridas  para generar   el informe,  de lo contrario  comunicar  a la  Jefe  el estado del requerimiento para que gestione la entrega inmediata de la información,  6) dejando como evidencia  de ejecución del control lo siguiente:   Memorando o circular  del  requerimiento oportuno de la información  y la información recibida en los expedientes de la serie documental asociada a los respectivos informes;  en caso de desviación, se genera el log que evidencia la  reiteración del requerimiento a través del correo institucional de la Oficina y/o  el aplicativo de correspondencia PISAMI si se reitera a través de memorando. </t>
  </si>
  <si>
    <t xml:space="preserve">El auditor responsable de elaborar el informe, conforme al plazo establecido por el ente de control 3) previene la  emisión  inoportuna  del informe, por fallas en los aplicativos,  confrontando  la fecha limite para el cargue del informe en los aplicativos dispuestos por los entes de control  VERSUS la fecha establecida el organismo de control para  la solicitud de prórroga;  con el fin de asegurase que la falla presentada no afecte la oportundad del cargue  del informe, dejando como registro los panatallazos de las falllas en el aplicativo.  Si las fallas se presentan dentro del rango de los  6 días previos a la fecha establecida por el ente control para el reporte, se solicita prórroga para el reporte,  adjuntando el registro de los pantallazos;  con el fin de justificar y obtener  la disponibilidad del aplicativo para realizar el cargue 6) como evidencia queda el oficio de soliictud de prórroga, la respuesta emitida por el ente de control y el log de cargue del informe o reporte.  </t>
  </si>
  <si>
    <t xml:space="preserve">Incluir dentro de las temáticas a tratar en el Comité de coordinación de control interno, la falta de compromiso  respecto a  la  oportunidad en la entrega de la información, de los requerimientos generados por la Oficina. </t>
  </si>
  <si>
    <t xml:space="preserve">Tomar pantallazos como evidencia de fallas en el aplicativo   y solicitar  prórroga al ente de control,  fundamentando fuerza mayor y caso fortuito, en cumplimiento de los lineamientos establecidos en   las  guías adoptadas e implementadas   para elaborar  los informes con entes de  control y asu vez, las resoluciones vigentes para la rendición de la cuenta,  expedidas por los entes de  control; con el fin de obtener  disponibilidad del aplicativo  para  realizar el  cargue del informe. </t>
  </si>
  <si>
    <t xml:space="preserve">Jefe de la oficina de Control Interno </t>
  </si>
  <si>
    <t xml:space="preserve">Jefe  de la oficina y equipo de trabajo </t>
  </si>
  <si>
    <t xml:space="preserve">Profesional asignado para  coordinar  y realizar  el informe de ley </t>
  </si>
  <si>
    <t>04/03/2023, 04/05/2023, 06/07/2023, 05/09/2023, 04/11/2023,     04/01/2024</t>
  </si>
  <si>
    <t>02/02/2023  al 09/08/2023</t>
  </si>
  <si>
    <t>01/01/2023  al 31/12/2023</t>
  </si>
  <si>
    <t>05/01/2023 al  31/12/2023</t>
  </si>
  <si>
    <t xml:space="preserve">Inoportunidad en el cargue   de informes de ley  a través de aplicativos dispuestos por entes de control  </t>
  </si>
  <si>
    <r>
      <rPr>
        <sz val="12"/>
        <color rgb="FFFF0000"/>
        <rFont val="Arial Narrow"/>
        <family val="2"/>
      </rPr>
      <t>Posibilidad</t>
    </r>
    <r>
      <rPr>
        <sz val="12"/>
        <rFont val="Arial Narrow"/>
        <family val="2"/>
      </rPr>
      <t xml:space="preserve">  de afectación reputacional </t>
    </r>
    <r>
      <rPr>
        <sz val="12"/>
        <color rgb="FFFF0000"/>
        <rFont val="Arial Narrow"/>
        <family val="2"/>
      </rPr>
      <t>por</t>
    </r>
    <r>
      <rPr>
        <sz val="12"/>
        <rFont val="Arial Narrow"/>
        <family val="2"/>
      </rPr>
      <t xml:space="preserve"> multa o sanción del ente de control, </t>
    </r>
    <r>
      <rPr>
        <sz val="12"/>
        <color rgb="FFFF0000"/>
        <rFont val="Arial Narrow"/>
        <family val="2"/>
      </rPr>
      <t>debido a</t>
    </r>
    <r>
      <rPr>
        <sz val="12"/>
        <rFont val="Arial Narrow"/>
        <family val="2"/>
      </rPr>
      <t xml:space="preserve"> la  Inoportunidad en el cargue  de informes de ley  a través de aplicativos dispuestos por entes de control. </t>
    </r>
  </si>
  <si>
    <t xml:space="preserve">El auditor asignado en el plan anual de auditoria para realizar  el informe de ley  o  coordinar el cargue en los  aplicativos del ente del control, cada vez que realiza un informe o lo coordine;   verifica que los líderes de procesos responsables del reporte de información, se encuentre designada en personal de planta  la digitalización de  la información  solicitada  en  formatos,   con el fin de asegurar que realicen  adecuadamente la  validación de  la información   y generen  el  log del cargue  a través de los aplicativos  dispuestos por el ente de control;  para ello cada auditor  proyecta   una circular solicitando a los líderes de proceso  que asignen  la responsabilidad  del reporte  de la información solicitada,  en personal de planta, con el fin de garantizar  la calidad y   oportunidad  del reporte del informe al ente de control. En el caso de  detectar que el reporte no este a cargo de personal de planta, se reitera el cumplimiento de esta directriz.  Como evidencia de ejecución de control queda la circular proyecctada, la respuesta emitada por la unidad administrativa citando el nombre y cargo del funcionario asignado y el memorando del reiterado  si fue necesario. </t>
  </si>
  <si>
    <t xml:space="preserve">Emitir informes de ley a través de aplicativos  establecido por el ente de control  ( actividad documentada en los siguientes documentos:  Guia rendicición de la cuenta anual  a la contraloria Municipal, guía rendición de la cuenta a la contraloria general, guía informe de control interno contable, guia informe de derechos de autor y  procedimiento evaluación del sistema de control interno con énfasis del reporte Furag). </t>
  </si>
  <si>
    <t xml:space="preserve">Incumplimiento del  rol de liderazgo estratégico </t>
  </si>
  <si>
    <t>socialización inoportuna de los informes emitidos por la Oficina  en  el  Comité de Coordinación de Control Interno</t>
  </si>
  <si>
    <t xml:space="preserve">desconocimiento de los informes  generados  y  pendientes de socialización  a la Alta Dirección  en el Comité de Coordinación de Control Interno, en el momento previo a la  convocatoria  para la  elaboración del orden del dia.   </t>
  </si>
  <si>
    <r>
      <rPr>
        <sz val="11"/>
        <color rgb="FFFF0000"/>
        <rFont val="Arial Narrow"/>
        <family val="2"/>
      </rPr>
      <t>Posibilidad  de</t>
    </r>
    <r>
      <rPr>
        <sz val="11"/>
        <rFont val="Arial Narrow"/>
        <family val="2"/>
      </rPr>
      <t xml:space="preserve">   afectación  reputacional </t>
    </r>
    <r>
      <rPr>
        <sz val="11"/>
        <color rgb="FFFF0000"/>
        <rFont val="Arial Narrow"/>
        <family val="2"/>
      </rPr>
      <t xml:space="preserve"> por </t>
    </r>
    <r>
      <rPr>
        <sz val="11"/>
        <rFont val="Arial Narrow"/>
        <family val="2"/>
      </rPr>
      <t xml:space="preserve">incumplimiento del rol  de liderazgo estratégico </t>
    </r>
    <r>
      <rPr>
        <sz val="11"/>
        <color rgb="FFFF0000"/>
        <rFont val="Arial Narrow"/>
        <family val="2"/>
      </rPr>
      <t xml:space="preserve"> debido a </t>
    </r>
    <r>
      <rPr>
        <sz val="11"/>
        <rFont val="Arial Narrow"/>
        <family val="2"/>
      </rPr>
      <t xml:space="preserve"> la  socialización  inoportuna de los informes emitidos por la Oficina   en el Comité  de  Coordinación de Control Interno. </t>
    </r>
  </si>
  <si>
    <t xml:space="preserve">Procedimiento  liderazgo   estratégico </t>
  </si>
  <si>
    <t xml:space="preserve">1. El jefe la Oficina de Control Interno 2. cada vez que  convoque al comité de coordinación de control interno, 3. verifica  que los informes programados   a realizar  en el plan Anual de Auditoria en el trimestre   previo al comite   se encuentren elaborados 4. Para ello  consulta en el  Plan Anual de Auditoria  qué  informes se encuentran programados  a realizar entre la fecha del último comité  y la definida para el siguiente comité  y los confronta  con los que se encuentran elaborados  durante el mismo  periodo usando como fuente de información  el aplicativo PISAMI, el Link  de transparencia  y los expedientes Físicos , con el fin de asegurar  la disponibilidad  de los informes  para la socialización  a la Alta dirección en el Comité.   Acto seguido  genera  el orden del día  con los informes a socializar  y  convoca al Comité de Coordinación de Control Interno  . 5. No obstante, si se  presenta diferencia  entre los informes programados a realizar en el PAA   VS  los  informes  realizados;   procede  a realizar comité extraordinario en fecha  posterior  al Comité ordinario,  o se incluyen  junto a los que se deben socializar  en el  próximo  comité.  6.  Como evidencia de ejecución  quedan las actas de comité técnico de la oficina de  control interno, la  hoja de vida del indicador descrito: Indice de informes socializados y las actas  del comité de  coordinación de control interno.  </t>
  </si>
  <si>
    <t xml:space="preserve">Realizar   aplicación  trimestral  del indicador   índice de informes  socialziados  en Comité de  Coordinación de Control Interno. </t>
  </si>
  <si>
    <t>profesional   Especializado  de la Oficina de Control Interno</t>
  </si>
  <si>
    <t>Incluir dentro de las temáticas a tratar en el Comité de coordinación de control interno, la responsabilidad de asignar en personal de planta los reportes a entes de control solicitados por la Oficina de Control Interno y el compromiso oportuno de entrega de  información</t>
  </si>
  <si>
    <t>Consultar los cambios normativos  que aplican a control interno  socializados en el grupo Wthapsapp Mi tolima y darlos a conocer al equipo de de la  Oficina  de Control Interno y en caso que la jefe de la Oficina lo considere necesario solicitar a talento humano capacitación y multiplicarla  a los compañeros de trabajo.</t>
  </si>
  <si>
    <t>Estado - Monitoreo periodod enero - febrero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</si>
</sst>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12"/>
      <color rgb="FFFF0000"/>
      <name val="Arial Narrow"/>
      <family val="2"/>
    </font>
    <font>
      <sz val="9"/>
      <color indexed="81"/>
      <name val="Tahoma"/>
      <family val="2"/>
    </font>
    <font>
      <sz val="12"/>
      <color indexed="81"/>
      <name val="Tahoma"/>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4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4" fillId="3" borderId="75" xfId="0" applyFont="1" applyFill="1" applyBorder="1" applyAlignment="1">
      <alignment horizontal="justify" vertical="top" wrapText="1"/>
    </xf>
    <xf numFmtId="0" fontId="27" fillId="0" borderId="75" xfId="0" applyFont="1" applyBorder="1" applyAlignment="1" applyProtection="1">
      <alignment horizontal="justify" vertical="top" wrapText="1"/>
      <protection locked="0"/>
    </xf>
    <xf numFmtId="0" fontId="27" fillId="0" borderId="2" xfId="0" applyFont="1" applyBorder="1" applyAlignment="1" applyProtection="1">
      <alignment horizontal="justify" vertical="top" wrapText="1"/>
      <protection locked="0"/>
    </xf>
    <xf numFmtId="0" fontId="4" fillId="0" borderId="2" xfId="0" applyFont="1" applyBorder="1" applyAlignment="1" applyProtection="1">
      <alignment horizontal="justify" vertical="top" wrapText="1"/>
      <protection locked="0"/>
    </xf>
    <xf numFmtId="14" fontId="27" fillId="0" borderId="2" xfId="0" applyNumberFormat="1" applyFont="1" applyBorder="1" applyAlignment="1" applyProtection="1">
      <alignment horizontal="justify" vertical="top" wrapText="1"/>
      <protection locked="0"/>
    </xf>
    <xf numFmtId="14" fontId="1" fillId="0" borderId="2" xfId="0" applyNumberFormat="1" applyFont="1" applyBorder="1" applyAlignment="1" applyProtection="1">
      <alignment horizontal="justify" vertical="top" wrapText="1"/>
      <protection locked="0"/>
    </xf>
    <xf numFmtId="14" fontId="27" fillId="0" borderId="2" xfId="0" applyNumberFormat="1" applyFont="1" applyBorder="1" applyAlignment="1" applyProtection="1">
      <alignment horizontal="left" vertical="top" wrapText="1"/>
      <protection locked="0"/>
    </xf>
    <xf numFmtId="0" fontId="1" fillId="0" borderId="75" xfId="0" applyFont="1" applyBorder="1" applyAlignment="1" applyProtection="1">
      <alignment horizontal="justify" vertical="top" wrapText="1"/>
      <protection locked="0"/>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justify"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justify" vertical="top" wrapText="1"/>
      <protection locked="0"/>
    </xf>
    <xf numFmtId="0" fontId="1" fillId="0" borderId="9" xfId="0" applyFont="1" applyBorder="1" applyAlignment="1" applyProtection="1">
      <alignment horizontal="justify" vertical="top" wrapText="1"/>
      <protection locked="0"/>
    </xf>
    <xf numFmtId="0" fontId="1" fillId="0" borderId="3" xfId="0" applyFont="1" applyBorder="1" applyAlignment="1" applyProtection="1">
      <alignment horizontal="justify" vertical="top" wrapText="1"/>
      <protection locked="0"/>
    </xf>
    <xf numFmtId="0" fontId="2" fillId="0" borderId="75" xfId="0" applyFont="1" applyBorder="1" applyAlignment="1" applyProtection="1">
      <alignment horizontal="justify"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0" borderId="4" xfId="0" applyFont="1" applyBorder="1" applyAlignment="1" applyProtection="1">
      <alignment horizontal="justify" vertical="top" textRotation="90" wrapText="1"/>
      <protection locked="0"/>
    </xf>
    <xf numFmtId="0" fontId="0" fillId="0" borderId="8" xfId="0" applyBorder="1" applyAlignment="1">
      <alignment horizontal="justify" vertical="top" textRotation="90" wrapText="1"/>
    </xf>
    <xf numFmtId="0" fontId="0" fillId="0" borderId="5" xfId="0" applyBorder="1" applyAlignment="1">
      <alignment horizontal="justify" vertical="top" textRotation="90" wrapText="1"/>
    </xf>
    <xf numFmtId="0" fontId="27" fillId="3" borderId="75" xfId="0" applyFont="1" applyFill="1" applyBorder="1" applyAlignment="1" applyProtection="1">
      <alignment horizontal="justify" vertical="top"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15">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1" workbookViewId="0"/>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158" t="s">
        <v>155</v>
      </c>
      <c r="C2" s="159"/>
      <c r="D2" s="159"/>
      <c r="E2" s="159"/>
      <c r="F2" s="159"/>
      <c r="G2" s="159"/>
      <c r="H2" s="160"/>
    </row>
    <row r="3" spans="2:8" x14ac:dyDescent="0.25">
      <c r="B3" s="68"/>
      <c r="C3" s="69"/>
      <c r="D3" s="69"/>
      <c r="E3" s="69"/>
      <c r="F3" s="69"/>
      <c r="G3" s="69"/>
      <c r="H3" s="70"/>
    </row>
    <row r="4" spans="2:8" ht="63" customHeight="1" x14ac:dyDescent="0.25">
      <c r="B4" s="161" t="s">
        <v>198</v>
      </c>
      <c r="C4" s="162"/>
      <c r="D4" s="162"/>
      <c r="E4" s="162"/>
      <c r="F4" s="162"/>
      <c r="G4" s="162"/>
      <c r="H4" s="163"/>
    </row>
    <row r="5" spans="2:8" ht="63" customHeight="1" x14ac:dyDescent="0.25">
      <c r="B5" s="164"/>
      <c r="C5" s="165"/>
      <c r="D5" s="165"/>
      <c r="E5" s="165"/>
      <c r="F5" s="165"/>
      <c r="G5" s="165"/>
      <c r="H5" s="166"/>
    </row>
    <row r="6" spans="2:8" ht="16.5" x14ac:dyDescent="0.25">
      <c r="B6" s="167" t="s">
        <v>153</v>
      </c>
      <c r="C6" s="168"/>
      <c r="D6" s="168"/>
      <c r="E6" s="168"/>
      <c r="F6" s="168"/>
      <c r="G6" s="168"/>
      <c r="H6" s="169"/>
    </row>
    <row r="7" spans="2:8" ht="95.25" customHeight="1" x14ac:dyDescent="0.25">
      <c r="B7" s="177" t="s">
        <v>158</v>
      </c>
      <c r="C7" s="178"/>
      <c r="D7" s="178"/>
      <c r="E7" s="178"/>
      <c r="F7" s="178"/>
      <c r="G7" s="178"/>
      <c r="H7" s="179"/>
    </row>
    <row r="8" spans="2:8" ht="16.5" x14ac:dyDescent="0.25">
      <c r="B8" s="102"/>
      <c r="C8" s="103"/>
      <c r="D8" s="103"/>
      <c r="E8" s="103"/>
      <c r="F8" s="103"/>
      <c r="G8" s="103"/>
      <c r="H8" s="104"/>
    </row>
    <row r="9" spans="2:8" ht="16.5" customHeight="1" x14ac:dyDescent="0.25">
      <c r="B9" s="170" t="s">
        <v>191</v>
      </c>
      <c r="C9" s="171"/>
      <c r="D9" s="171"/>
      <c r="E9" s="171"/>
      <c r="F9" s="171"/>
      <c r="G9" s="171"/>
      <c r="H9" s="172"/>
    </row>
    <row r="10" spans="2:8" ht="44.25" customHeight="1" x14ac:dyDescent="0.25">
      <c r="B10" s="170"/>
      <c r="C10" s="171"/>
      <c r="D10" s="171"/>
      <c r="E10" s="171"/>
      <c r="F10" s="171"/>
      <c r="G10" s="171"/>
      <c r="H10" s="172"/>
    </row>
    <row r="11" spans="2:8" ht="15.75" thickBot="1" x14ac:dyDescent="0.3">
      <c r="B11" s="91"/>
      <c r="C11" s="94"/>
      <c r="D11" s="99"/>
      <c r="E11" s="100"/>
      <c r="F11" s="100"/>
      <c r="G11" s="101"/>
      <c r="H11" s="95"/>
    </row>
    <row r="12" spans="2:8" ht="15.75" thickTop="1" x14ac:dyDescent="0.25">
      <c r="B12" s="91"/>
      <c r="C12" s="173" t="s">
        <v>154</v>
      </c>
      <c r="D12" s="174"/>
      <c r="E12" s="175" t="s">
        <v>192</v>
      </c>
      <c r="F12" s="176"/>
      <c r="G12" s="94"/>
      <c r="H12" s="95"/>
    </row>
    <row r="13" spans="2:8" ht="35.25" customHeight="1" x14ac:dyDescent="0.25">
      <c r="B13" s="91"/>
      <c r="C13" s="180" t="s">
        <v>185</v>
      </c>
      <c r="D13" s="181"/>
      <c r="E13" s="182" t="s">
        <v>190</v>
      </c>
      <c r="F13" s="183"/>
      <c r="G13" s="94"/>
      <c r="H13" s="95"/>
    </row>
    <row r="14" spans="2:8" ht="17.25" customHeight="1" x14ac:dyDescent="0.25">
      <c r="B14" s="91"/>
      <c r="C14" s="180" t="s">
        <v>186</v>
      </c>
      <c r="D14" s="181"/>
      <c r="E14" s="182" t="s">
        <v>188</v>
      </c>
      <c r="F14" s="183"/>
      <c r="G14" s="94"/>
      <c r="H14" s="95"/>
    </row>
    <row r="15" spans="2:8" ht="19.5" customHeight="1" x14ac:dyDescent="0.25">
      <c r="B15" s="91"/>
      <c r="C15" s="180" t="s">
        <v>187</v>
      </c>
      <c r="D15" s="181"/>
      <c r="E15" s="182" t="s">
        <v>189</v>
      </c>
      <c r="F15" s="183"/>
      <c r="G15" s="94"/>
      <c r="H15" s="95"/>
    </row>
    <row r="16" spans="2:8" ht="69.75" customHeight="1" x14ac:dyDescent="0.25">
      <c r="B16" s="91"/>
      <c r="C16" s="180" t="s">
        <v>156</v>
      </c>
      <c r="D16" s="181"/>
      <c r="E16" s="182" t="s">
        <v>157</v>
      </c>
      <c r="F16" s="183"/>
      <c r="G16" s="94"/>
      <c r="H16" s="95"/>
    </row>
    <row r="17" spans="2:8" ht="34.5" customHeight="1" x14ac:dyDescent="0.25">
      <c r="B17" s="91"/>
      <c r="C17" s="184" t="s">
        <v>2</v>
      </c>
      <c r="D17" s="185"/>
      <c r="E17" s="186" t="s">
        <v>199</v>
      </c>
      <c r="F17" s="187"/>
      <c r="G17" s="94"/>
      <c r="H17" s="95"/>
    </row>
    <row r="18" spans="2:8" ht="27.75" customHeight="1" x14ac:dyDescent="0.25">
      <c r="B18" s="91"/>
      <c r="C18" s="184" t="s">
        <v>3</v>
      </c>
      <c r="D18" s="185"/>
      <c r="E18" s="186" t="s">
        <v>200</v>
      </c>
      <c r="F18" s="187"/>
      <c r="G18" s="94"/>
      <c r="H18" s="95"/>
    </row>
    <row r="19" spans="2:8" ht="28.5" customHeight="1" x14ac:dyDescent="0.25">
      <c r="B19" s="91"/>
      <c r="C19" s="184" t="s">
        <v>42</v>
      </c>
      <c r="D19" s="185"/>
      <c r="E19" s="186" t="s">
        <v>201</v>
      </c>
      <c r="F19" s="187"/>
      <c r="G19" s="94"/>
      <c r="H19" s="95"/>
    </row>
    <row r="20" spans="2:8" ht="72.75" customHeight="1" x14ac:dyDescent="0.25">
      <c r="B20" s="91"/>
      <c r="C20" s="184" t="s">
        <v>1</v>
      </c>
      <c r="D20" s="185"/>
      <c r="E20" s="186" t="s">
        <v>202</v>
      </c>
      <c r="F20" s="187"/>
      <c r="G20" s="94"/>
      <c r="H20" s="95"/>
    </row>
    <row r="21" spans="2:8" ht="64.5" customHeight="1" x14ac:dyDescent="0.25">
      <c r="B21" s="91"/>
      <c r="C21" s="184" t="s">
        <v>50</v>
      </c>
      <c r="D21" s="185"/>
      <c r="E21" s="186" t="s">
        <v>160</v>
      </c>
      <c r="F21" s="187"/>
      <c r="G21" s="94"/>
      <c r="H21" s="95"/>
    </row>
    <row r="22" spans="2:8" ht="71.25" customHeight="1" x14ac:dyDescent="0.25">
      <c r="B22" s="91"/>
      <c r="C22" s="184" t="s">
        <v>159</v>
      </c>
      <c r="D22" s="185"/>
      <c r="E22" s="186" t="s">
        <v>161</v>
      </c>
      <c r="F22" s="187"/>
      <c r="G22" s="94"/>
      <c r="H22" s="95"/>
    </row>
    <row r="23" spans="2:8" ht="55.5" customHeight="1" x14ac:dyDescent="0.25">
      <c r="B23" s="91"/>
      <c r="C23" s="191" t="s">
        <v>162</v>
      </c>
      <c r="D23" s="192"/>
      <c r="E23" s="186" t="s">
        <v>163</v>
      </c>
      <c r="F23" s="187"/>
      <c r="G23" s="94"/>
      <c r="H23" s="95"/>
    </row>
    <row r="24" spans="2:8" ht="42" customHeight="1" x14ac:dyDescent="0.25">
      <c r="B24" s="91"/>
      <c r="C24" s="191" t="s">
        <v>48</v>
      </c>
      <c r="D24" s="192"/>
      <c r="E24" s="186" t="s">
        <v>164</v>
      </c>
      <c r="F24" s="187"/>
      <c r="G24" s="94"/>
      <c r="H24" s="95"/>
    </row>
    <row r="25" spans="2:8" ht="59.25" customHeight="1" x14ac:dyDescent="0.25">
      <c r="B25" s="91"/>
      <c r="C25" s="191" t="s">
        <v>152</v>
      </c>
      <c r="D25" s="192"/>
      <c r="E25" s="186" t="s">
        <v>165</v>
      </c>
      <c r="F25" s="187"/>
      <c r="G25" s="94"/>
      <c r="H25" s="95"/>
    </row>
    <row r="26" spans="2:8" ht="23.25" customHeight="1" x14ac:dyDescent="0.25">
      <c r="B26" s="91"/>
      <c r="C26" s="191" t="s">
        <v>12</v>
      </c>
      <c r="D26" s="192"/>
      <c r="E26" s="186" t="s">
        <v>166</v>
      </c>
      <c r="F26" s="187"/>
      <c r="G26" s="94"/>
      <c r="H26" s="95"/>
    </row>
    <row r="27" spans="2:8" ht="30.75" customHeight="1" x14ac:dyDescent="0.25">
      <c r="B27" s="91"/>
      <c r="C27" s="191" t="s">
        <v>170</v>
      </c>
      <c r="D27" s="192"/>
      <c r="E27" s="186" t="s">
        <v>167</v>
      </c>
      <c r="F27" s="187"/>
      <c r="G27" s="94"/>
      <c r="H27" s="95"/>
    </row>
    <row r="28" spans="2:8" ht="35.25" customHeight="1" x14ac:dyDescent="0.25">
      <c r="B28" s="91"/>
      <c r="C28" s="191" t="s">
        <v>171</v>
      </c>
      <c r="D28" s="192"/>
      <c r="E28" s="186" t="s">
        <v>168</v>
      </c>
      <c r="F28" s="187"/>
      <c r="G28" s="94"/>
      <c r="H28" s="95"/>
    </row>
    <row r="29" spans="2:8" ht="33" customHeight="1" x14ac:dyDescent="0.25">
      <c r="B29" s="91"/>
      <c r="C29" s="191" t="s">
        <v>171</v>
      </c>
      <c r="D29" s="192"/>
      <c r="E29" s="186" t="s">
        <v>168</v>
      </c>
      <c r="F29" s="187"/>
      <c r="G29" s="94"/>
      <c r="H29" s="95"/>
    </row>
    <row r="30" spans="2:8" ht="30" customHeight="1" x14ac:dyDescent="0.25">
      <c r="B30" s="91"/>
      <c r="C30" s="191" t="s">
        <v>172</v>
      </c>
      <c r="D30" s="192"/>
      <c r="E30" s="186" t="s">
        <v>169</v>
      </c>
      <c r="F30" s="187"/>
      <c r="G30" s="94"/>
      <c r="H30" s="95"/>
    </row>
    <row r="31" spans="2:8" ht="35.25" customHeight="1" x14ac:dyDescent="0.25">
      <c r="B31" s="91"/>
      <c r="C31" s="191" t="s">
        <v>173</v>
      </c>
      <c r="D31" s="192"/>
      <c r="E31" s="186" t="s">
        <v>174</v>
      </c>
      <c r="F31" s="187"/>
      <c r="G31" s="94"/>
      <c r="H31" s="95"/>
    </row>
    <row r="32" spans="2:8" ht="31.5" customHeight="1" x14ac:dyDescent="0.25">
      <c r="B32" s="91"/>
      <c r="C32" s="191" t="s">
        <v>175</v>
      </c>
      <c r="D32" s="192"/>
      <c r="E32" s="186" t="s">
        <v>176</v>
      </c>
      <c r="F32" s="187"/>
      <c r="G32" s="94"/>
      <c r="H32" s="95"/>
    </row>
    <row r="33" spans="2:8" ht="35.25" customHeight="1" x14ac:dyDescent="0.25">
      <c r="B33" s="91"/>
      <c r="C33" s="191" t="s">
        <v>177</v>
      </c>
      <c r="D33" s="192"/>
      <c r="E33" s="186" t="s">
        <v>178</v>
      </c>
      <c r="F33" s="187"/>
      <c r="G33" s="94"/>
      <c r="H33" s="95"/>
    </row>
    <row r="34" spans="2:8" ht="59.25" customHeight="1" x14ac:dyDescent="0.25">
      <c r="B34" s="91"/>
      <c r="C34" s="191" t="s">
        <v>179</v>
      </c>
      <c r="D34" s="192"/>
      <c r="E34" s="186" t="s">
        <v>180</v>
      </c>
      <c r="F34" s="187"/>
      <c r="G34" s="94"/>
      <c r="H34" s="95"/>
    </row>
    <row r="35" spans="2:8" ht="29.25" customHeight="1" x14ac:dyDescent="0.25">
      <c r="B35" s="91"/>
      <c r="C35" s="191" t="s">
        <v>29</v>
      </c>
      <c r="D35" s="192"/>
      <c r="E35" s="186" t="s">
        <v>181</v>
      </c>
      <c r="F35" s="187"/>
      <c r="G35" s="94"/>
      <c r="H35" s="95"/>
    </row>
    <row r="36" spans="2:8" ht="82.5" customHeight="1" x14ac:dyDescent="0.25">
      <c r="B36" s="91"/>
      <c r="C36" s="191" t="s">
        <v>183</v>
      </c>
      <c r="D36" s="192"/>
      <c r="E36" s="186" t="s">
        <v>182</v>
      </c>
      <c r="F36" s="187"/>
      <c r="G36" s="94"/>
      <c r="H36" s="95"/>
    </row>
    <row r="37" spans="2:8" ht="46.5" customHeight="1" x14ac:dyDescent="0.25">
      <c r="B37" s="91"/>
      <c r="C37" s="191" t="s">
        <v>39</v>
      </c>
      <c r="D37" s="192"/>
      <c r="E37" s="186" t="s">
        <v>184</v>
      </c>
      <c r="F37" s="187"/>
      <c r="G37" s="94"/>
      <c r="H37" s="95"/>
    </row>
    <row r="38" spans="2:8" ht="6.75" customHeight="1" thickBot="1" x14ac:dyDescent="0.3">
      <c r="B38" s="91"/>
      <c r="C38" s="193"/>
      <c r="D38" s="194"/>
      <c r="E38" s="195"/>
      <c r="F38" s="196"/>
      <c r="G38" s="94"/>
      <c r="H38" s="95"/>
    </row>
    <row r="39" spans="2:8" ht="15.75" thickTop="1" x14ac:dyDescent="0.25">
      <c r="B39" s="91"/>
      <c r="C39" s="92"/>
      <c r="D39" s="92"/>
      <c r="E39" s="93"/>
      <c r="F39" s="93"/>
      <c r="G39" s="94"/>
      <c r="H39" s="95"/>
    </row>
    <row r="40" spans="2:8" ht="21" customHeight="1" x14ac:dyDescent="0.25">
      <c r="B40" s="188" t="s">
        <v>193</v>
      </c>
      <c r="C40" s="189"/>
      <c r="D40" s="189"/>
      <c r="E40" s="189"/>
      <c r="F40" s="189"/>
      <c r="G40" s="189"/>
      <c r="H40" s="190"/>
    </row>
    <row r="41" spans="2:8" ht="20.25" customHeight="1" x14ac:dyDescent="0.25">
      <c r="B41" s="188" t="s">
        <v>194</v>
      </c>
      <c r="C41" s="189"/>
      <c r="D41" s="189"/>
      <c r="E41" s="189"/>
      <c r="F41" s="189"/>
      <c r="G41" s="189"/>
      <c r="H41" s="190"/>
    </row>
    <row r="42" spans="2:8" ht="20.25" customHeight="1" x14ac:dyDescent="0.25">
      <c r="B42" s="188" t="s">
        <v>195</v>
      </c>
      <c r="C42" s="189"/>
      <c r="D42" s="189"/>
      <c r="E42" s="189"/>
      <c r="F42" s="189"/>
      <c r="G42" s="189"/>
      <c r="H42" s="190"/>
    </row>
    <row r="43" spans="2:8" ht="20.25" customHeight="1" x14ac:dyDescent="0.25">
      <c r="B43" s="188" t="s">
        <v>196</v>
      </c>
      <c r="C43" s="189"/>
      <c r="D43" s="189"/>
      <c r="E43" s="189"/>
      <c r="F43" s="189"/>
      <c r="G43" s="189"/>
      <c r="H43" s="190"/>
    </row>
    <row r="44" spans="2:8" x14ac:dyDescent="0.25">
      <c r="B44" s="188" t="s">
        <v>197</v>
      </c>
      <c r="C44" s="189"/>
      <c r="D44" s="189"/>
      <c r="E44" s="189"/>
      <c r="F44" s="189"/>
      <c r="G44" s="189"/>
      <c r="H44" s="190"/>
    </row>
    <row r="45" spans="2:8" ht="15.75" thickBot="1" x14ac:dyDescent="0.3">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R72"/>
  <sheetViews>
    <sheetView tabSelected="1" zoomScale="80" zoomScaleNormal="80" workbookViewId="0">
      <selection activeCell="C4" sqref="C4:AL4"/>
    </sheetView>
  </sheetViews>
  <sheetFormatPr baseColWidth="10" defaultColWidth="11.42578125" defaultRowHeight="16.5" x14ac:dyDescent="0.3"/>
  <cols>
    <col min="1" max="1" width="4" style="2" bestFit="1" customWidth="1"/>
    <col min="2" max="2" width="18.28515625" style="2" customWidth="1"/>
    <col min="3" max="3" width="26.85546875" style="2" customWidth="1"/>
    <col min="4" max="4" width="20.85546875" style="2" customWidth="1"/>
    <col min="5" max="5" width="43"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71.2851562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48.140625" style="1" customWidth="1"/>
    <col min="34" max="34" width="18.85546875" style="1" customWidth="1"/>
    <col min="35" max="35" width="23.28515625" style="1" customWidth="1"/>
    <col min="36" max="36" width="17.28515625" style="1" customWidth="1"/>
    <col min="37" max="37" width="18.5703125" style="1" customWidth="1"/>
    <col min="38" max="38" width="45.5703125" style="1" customWidth="1"/>
    <col min="39" max="16384" width="11.42578125" style="1"/>
  </cols>
  <sheetData>
    <row r="1" spans="1:70" ht="16.5" customHeight="1" x14ac:dyDescent="0.3">
      <c r="A1" s="273" t="s">
        <v>139</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5"/>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76"/>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27" t="s">
        <v>43</v>
      </c>
      <c r="B4" s="228"/>
      <c r="C4" s="272" t="s">
        <v>215</v>
      </c>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40.5" customHeight="1" x14ac:dyDescent="0.3">
      <c r="A5" s="227" t="s">
        <v>125</v>
      </c>
      <c r="B5" s="228"/>
      <c r="C5" s="272" t="s">
        <v>216</v>
      </c>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34.5" customHeight="1" x14ac:dyDescent="0.3">
      <c r="A6" s="227" t="s">
        <v>44</v>
      </c>
      <c r="B6" s="228"/>
      <c r="C6" s="272" t="s">
        <v>217</v>
      </c>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79" t="s">
        <v>134</v>
      </c>
      <c r="B7" s="280"/>
      <c r="C7" s="281"/>
      <c r="D7" s="281"/>
      <c r="E7" s="281"/>
      <c r="F7" s="281"/>
      <c r="G7" s="281"/>
      <c r="H7" s="281"/>
      <c r="I7" s="282"/>
      <c r="J7" s="283" t="s">
        <v>135</v>
      </c>
      <c r="K7" s="281"/>
      <c r="L7" s="281"/>
      <c r="M7" s="281"/>
      <c r="N7" s="281"/>
      <c r="O7" s="281"/>
      <c r="P7" s="282"/>
      <c r="Q7" s="283" t="s">
        <v>136</v>
      </c>
      <c r="R7" s="281"/>
      <c r="S7" s="281"/>
      <c r="T7" s="281"/>
      <c r="U7" s="281"/>
      <c r="V7" s="281"/>
      <c r="W7" s="281"/>
      <c r="X7" s="281"/>
      <c r="Y7" s="282"/>
      <c r="Z7" s="283" t="s">
        <v>137</v>
      </c>
      <c r="AA7" s="281"/>
      <c r="AB7" s="281"/>
      <c r="AC7" s="281"/>
      <c r="AD7" s="281"/>
      <c r="AE7" s="281"/>
      <c r="AF7" s="282"/>
      <c r="AG7" s="283" t="s">
        <v>34</v>
      </c>
      <c r="AH7" s="281"/>
      <c r="AI7" s="281"/>
      <c r="AJ7" s="281"/>
      <c r="AK7" s="281"/>
      <c r="AL7" s="282"/>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29" t="s">
        <v>0</v>
      </c>
      <c r="B8" s="287" t="s">
        <v>2</v>
      </c>
      <c r="C8" s="232" t="s">
        <v>3</v>
      </c>
      <c r="D8" s="232" t="s">
        <v>42</v>
      </c>
      <c r="E8" s="231" t="s">
        <v>203</v>
      </c>
      <c r="F8" s="233" t="s">
        <v>1</v>
      </c>
      <c r="G8" s="138"/>
      <c r="H8" s="231" t="s">
        <v>50</v>
      </c>
      <c r="I8" s="232" t="s">
        <v>130</v>
      </c>
      <c r="J8" s="284" t="s">
        <v>33</v>
      </c>
      <c r="K8" s="285" t="s">
        <v>5</v>
      </c>
      <c r="L8" s="231" t="s">
        <v>86</v>
      </c>
      <c r="M8" s="231" t="s">
        <v>91</v>
      </c>
      <c r="N8" s="286" t="s">
        <v>45</v>
      </c>
      <c r="O8" s="285" t="s">
        <v>5</v>
      </c>
      <c r="P8" s="232" t="s">
        <v>48</v>
      </c>
      <c r="Q8" s="235" t="s">
        <v>11</v>
      </c>
      <c r="R8" s="226" t="s">
        <v>152</v>
      </c>
      <c r="S8" s="231" t="s">
        <v>12</v>
      </c>
      <c r="T8" s="226" t="s">
        <v>8</v>
      </c>
      <c r="U8" s="226"/>
      <c r="V8" s="226"/>
      <c r="W8" s="226"/>
      <c r="X8" s="226"/>
      <c r="Y8" s="226"/>
      <c r="Z8" s="237" t="s">
        <v>133</v>
      </c>
      <c r="AA8" s="237" t="s">
        <v>46</v>
      </c>
      <c r="AB8" s="237" t="s">
        <v>5</v>
      </c>
      <c r="AC8" s="237" t="s">
        <v>47</v>
      </c>
      <c r="AD8" s="237" t="s">
        <v>5</v>
      </c>
      <c r="AE8" s="237" t="s">
        <v>49</v>
      </c>
      <c r="AF8" s="235" t="s">
        <v>29</v>
      </c>
      <c r="AG8" s="226" t="s">
        <v>34</v>
      </c>
      <c r="AH8" s="226" t="s">
        <v>35</v>
      </c>
      <c r="AI8" s="226" t="s">
        <v>36</v>
      </c>
      <c r="AJ8" s="226" t="s">
        <v>38</v>
      </c>
      <c r="AK8" s="226" t="s">
        <v>37</v>
      </c>
      <c r="AL8" s="226" t="s">
        <v>249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30"/>
      <c r="B9" s="287"/>
      <c r="C9" s="226"/>
      <c r="D9" s="226"/>
      <c r="E9" s="284"/>
      <c r="F9" s="234"/>
      <c r="G9" s="138" t="s">
        <v>204</v>
      </c>
      <c r="H9" s="232"/>
      <c r="I9" s="226"/>
      <c r="J9" s="232"/>
      <c r="K9" s="283"/>
      <c r="L9" s="232"/>
      <c r="M9" s="232"/>
      <c r="N9" s="283"/>
      <c r="O9" s="283"/>
      <c r="P9" s="226"/>
      <c r="Q9" s="236"/>
      <c r="R9" s="226"/>
      <c r="S9" s="232"/>
      <c r="T9" s="7" t="s">
        <v>13</v>
      </c>
      <c r="U9" s="7" t="s">
        <v>17</v>
      </c>
      <c r="V9" s="7" t="s">
        <v>28</v>
      </c>
      <c r="W9" s="7" t="s">
        <v>18</v>
      </c>
      <c r="X9" s="7" t="s">
        <v>21</v>
      </c>
      <c r="Y9" s="7" t="s">
        <v>24</v>
      </c>
      <c r="Z9" s="237"/>
      <c r="AA9" s="237"/>
      <c r="AB9" s="237"/>
      <c r="AC9" s="237"/>
      <c r="AD9" s="237"/>
      <c r="AE9" s="237"/>
      <c r="AF9" s="236"/>
      <c r="AG9" s="226"/>
      <c r="AH9" s="226"/>
      <c r="AI9" s="226"/>
      <c r="AJ9" s="226"/>
      <c r="AK9" s="226"/>
      <c r="AL9" s="226"/>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279" customHeight="1" x14ac:dyDescent="0.25">
      <c r="A10" s="203">
        <v>1</v>
      </c>
      <c r="B10" s="206" t="s">
        <v>127</v>
      </c>
      <c r="C10" s="206" t="s">
        <v>218</v>
      </c>
      <c r="D10" s="209" t="s">
        <v>235</v>
      </c>
      <c r="E10" s="150" t="s">
        <v>219</v>
      </c>
      <c r="F10" s="212" t="s">
        <v>236</v>
      </c>
      <c r="G10" s="212" t="s">
        <v>238</v>
      </c>
      <c r="H10" s="288" t="s">
        <v>118</v>
      </c>
      <c r="I10" s="197">
        <v>24</v>
      </c>
      <c r="J10" s="200" t="str">
        <f>IF(I10&lt;=0,"",IF(I10&lt;=2,"Muy Baja",IF(I10&lt;=24,"Baja",IF(I10&lt;=500,"Media",IF(I10&lt;=5000,"Alta","Muy Alta")))))</f>
        <v>Baja</v>
      </c>
      <c r="K10" s="216">
        <f>IF(J10="","",IF(J10="Muy Baja",0.2,IF(J10="Baja",0.4,IF(J10="Media",0.6,IF(J10="Alta",0.8,IF(J10="Muy Alta",1,))))))</f>
        <v>0.4</v>
      </c>
      <c r="L10" s="219" t="s">
        <v>145</v>
      </c>
      <c r="M10" s="216" t="str">
        <f ca="1">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200" t="str">
        <f ca="1">IF(OR(M10='Tabla Impacto'!$C$11,M10='Tabla Impacto'!$D$11),"Leve",IF(OR(M10='Tabla Impacto'!$C$12,M10='Tabla Impacto'!$D$12),"Menor",IF(OR(M10='Tabla Impacto'!$C$13,M10='Tabla Impacto'!$D$13),"Moderado",IF(OR(M10='Tabla Impacto'!$C$14,M10='Tabla Impacto'!$D$14),"Mayor",IF(OR(M10='Tabla Impacto'!$C$15,M10='Tabla Impacto'!$D$15),"Catastrófico","")))))</f>
        <v>Moderado</v>
      </c>
      <c r="O10" s="216">
        <f ca="1">IF(N10="","",IF(N10="Leve",0.2,IF(N10="Menor",0.4,IF(N10="Moderado",0.6,IF(N10="Mayor",0.8,IF(N10="Catastrófico",1,))))))</f>
        <v>0.6</v>
      </c>
      <c r="P10" s="213"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Moderado</v>
      </c>
      <c r="Q10" s="105">
        <v>1</v>
      </c>
      <c r="R10" s="113" t="s">
        <v>237</v>
      </c>
      <c r="S10" s="107" t="str">
        <f>IF(OR(T10="Preventivo",T10="Detectivo"),"Probabilidad",IF(T10="Correctivo","Impacto",""))</f>
        <v>Probabilidad</v>
      </c>
      <c r="T10" s="114" t="s">
        <v>14</v>
      </c>
      <c r="U10" s="114" t="s">
        <v>9</v>
      </c>
      <c r="V10" s="115" t="str">
        <f>IF(AND(T10="Preventivo",U10="Automático"),"50%",IF(AND(T10="Preventivo",U10="Manual"),"40%",IF(AND(T10="Detectivo",U10="Automático"),"40%",IF(AND(T10="Detectivo",U10="Manual"),"30%",IF(AND(T10="Correctivo",U10="Automático"),"35%",IF(AND(T10="Correctivo",U10="Manual"),"25%",""))))))</f>
        <v>40%</v>
      </c>
      <c r="W10" s="114" t="s">
        <v>19</v>
      </c>
      <c r="X10" s="114" t="s">
        <v>22</v>
      </c>
      <c r="Y10" s="114" t="s">
        <v>114</v>
      </c>
      <c r="Z10" s="108">
        <f>IFERROR(IF(S10="Probabilidad",(K10-(+K10*V10)),IF(S10="Impacto",K10,"")),"")</f>
        <v>0.24</v>
      </c>
      <c r="AA10" s="118" t="str">
        <f>IFERROR(IF(Z10="","",IF(Z10&lt;=0.2,"Muy Baja",IF(Z10&lt;=0.4,"Baja",IF(Z10&lt;=0.6,"Media",IF(Z10&lt;=0.8,"Alta","Muy Alta"))))),"")</f>
        <v>Baja</v>
      </c>
      <c r="AB10" s="119">
        <f>+Z10</f>
        <v>0.24</v>
      </c>
      <c r="AC10" s="118" t="str">
        <f ca="1">IFERROR(IF(AD10="","",IF(AD10&lt;=0.2,"Leve",IF(AD10&lt;=0.4,"Menor",IF(AD10&lt;=0.6,"Moderado",IF(AD10&lt;=0.8,"Mayor","Catastrófico"))))),"")</f>
        <v>Moderado</v>
      </c>
      <c r="AD10" s="119">
        <f ca="1">IFERROR(IF(S10="Impacto",(O10-(+O10*V10)),IF(S10="Probabilidad",O10,"")),"")</f>
        <v>0.6</v>
      </c>
      <c r="AE10" s="120"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269" t="s">
        <v>131</v>
      </c>
      <c r="AG10" s="152" t="s">
        <v>247</v>
      </c>
      <c r="AH10" s="152" t="s">
        <v>228</v>
      </c>
      <c r="AI10" s="156" t="s">
        <v>232</v>
      </c>
      <c r="AJ10" s="154" t="s">
        <v>231</v>
      </c>
      <c r="AK10" s="116"/>
      <c r="AL10" s="117" t="s">
        <v>41</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265.5" customHeight="1" x14ac:dyDescent="0.3">
      <c r="A11" s="204"/>
      <c r="B11" s="207"/>
      <c r="C11" s="207"/>
      <c r="D11" s="210"/>
      <c r="E11" s="139" t="s">
        <v>221</v>
      </c>
      <c r="F11" s="212"/>
      <c r="G11" s="212"/>
      <c r="H11" s="289"/>
      <c r="I11" s="198"/>
      <c r="J11" s="201"/>
      <c r="K11" s="217"/>
      <c r="L11" s="220"/>
      <c r="M11" s="217">
        <f ca="1">IF(NOT(ISERROR(MATCH(L11,_xlfn.ANCHORARRAY(F22),0))),K24&amp;"Por favor no seleccionar los criterios de impacto",L11)</f>
        <v>0</v>
      </c>
      <c r="N11" s="201"/>
      <c r="O11" s="217"/>
      <c r="P11" s="214"/>
      <c r="Q11" s="105">
        <v>2</v>
      </c>
      <c r="R11" s="106" t="s">
        <v>223</v>
      </c>
      <c r="S11" s="107" t="str">
        <f>IF(OR(T11="Preventivo",T11="Detectivo"),"Probabilidad",IF(T11="Correctivo","Impacto",""))</f>
        <v>Probabilidad</v>
      </c>
      <c r="T11" s="114" t="s">
        <v>14</v>
      </c>
      <c r="U11" s="114" t="s">
        <v>9</v>
      </c>
      <c r="V11" s="115" t="str">
        <f t="shared" ref="V11" si="0">IF(AND(T11="Preventivo",U11="Automático"),"50%",IF(AND(T11="Preventivo",U11="Manual"),"40%",IF(AND(T11="Detectivo",U11="Automático"),"40%",IF(AND(T11="Detectivo",U11="Manual"),"30%",IF(AND(T11="Correctivo",U11="Automático"),"35%",IF(AND(T11="Correctivo",U11="Manual"),"25%",""))))))</f>
        <v>40%</v>
      </c>
      <c r="W11" s="114" t="s">
        <v>19</v>
      </c>
      <c r="X11" s="114" t="s">
        <v>22</v>
      </c>
      <c r="Y11" s="114" t="s">
        <v>114</v>
      </c>
      <c r="Z11" s="108">
        <f>IFERROR(IF(AND(S10="Probabilidad",S11="Probabilidad"),(AB10-(+AB10*V11)),IF(AND(S10="Impacto",S11="Probabilidad"),(K10-(+K10*V11)),IF(S11="Impacto",AB10,""))),"")</f>
        <v>0.14399999999999999</v>
      </c>
      <c r="AA11" s="118" t="str">
        <f t="shared" ref="AA11" si="1">IFERROR(IF(Z11="","",IF(Z11&lt;=0.2,"Muy Baja",IF(Z11&lt;=0.4,"Baja",IF(Z11&lt;=0.6,"Media",IF(Z11&lt;=0.8,"Alta","Muy Alta"))))),"")</f>
        <v>Muy Baja</v>
      </c>
      <c r="AB11" s="119">
        <f>+Z11</f>
        <v>0.14399999999999999</v>
      </c>
      <c r="AC11" s="118" t="str">
        <f t="shared" ref="AC11" ca="1" si="2">IFERROR(IF(AD11="","",IF(AD11&lt;=0.2,"Leve",IF(AD11&lt;=0.4,"Menor",IF(AD11&lt;=0.6,"Moderado",IF(AD11&lt;=0.8,"Mayor","Catastrófico"))))),"")</f>
        <v>Moderado</v>
      </c>
      <c r="AD11" s="119">
        <f ca="1">IFERROR(IF(AND(S10="Impacto",S11="Impacto"),(AD10-(+AD10*V11)),IF(AND(S10="Probabilidad",S11="Impacto"),(O10-(+O10*V11)),IF(S11="Probabilidad",AD10,""))),"")</f>
        <v>0.6</v>
      </c>
      <c r="AE11" s="120" t="str">
        <f t="shared" ref="AE11" ca="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270"/>
      <c r="AG11" s="153" t="s">
        <v>248</v>
      </c>
      <c r="AH11" s="113" t="s">
        <v>229</v>
      </c>
      <c r="AI11" s="156" t="s">
        <v>233</v>
      </c>
      <c r="AJ11" s="155" t="s">
        <v>231</v>
      </c>
      <c r="AK11" s="109"/>
      <c r="AL11" s="110" t="s">
        <v>41</v>
      </c>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315.75" customHeight="1" x14ac:dyDescent="0.3">
      <c r="A12" s="204"/>
      <c r="B12" s="207"/>
      <c r="C12" s="207"/>
      <c r="D12" s="210"/>
      <c r="E12" s="151" t="s">
        <v>220</v>
      </c>
      <c r="F12" s="212"/>
      <c r="G12" s="212"/>
      <c r="H12" s="289"/>
      <c r="I12" s="198"/>
      <c r="J12" s="201"/>
      <c r="K12" s="217"/>
      <c r="L12" s="220"/>
      <c r="M12" s="217">
        <f ca="1">IF(NOT(ISERROR(MATCH(L12,_xlfn.ANCHORARRAY(F23),0))),K25&amp;"Por favor no seleccionar los criterios de impacto",L12)</f>
        <v>0</v>
      </c>
      <c r="N12" s="201"/>
      <c r="O12" s="217"/>
      <c r="P12" s="214"/>
      <c r="Q12" s="105">
        <v>3</v>
      </c>
      <c r="R12" s="112" t="s">
        <v>224</v>
      </c>
      <c r="S12" s="107" t="str">
        <f t="shared" ref="S12:S15" si="4">IF(OR(T12="Preventivo",T12="Detectivo"),"Probabilidad",IF(T12="Correctivo","Impacto",""))</f>
        <v>Probabilidad</v>
      </c>
      <c r="T12" s="114" t="s">
        <v>14</v>
      </c>
      <c r="U12" s="114" t="s">
        <v>9</v>
      </c>
      <c r="V12" s="115" t="str">
        <f t="shared" ref="V12:V15" si="5">IF(AND(T12="Preventivo",U12="Automático"),"50%",IF(AND(T12="Preventivo",U12="Manual"),"40%",IF(AND(T12="Detectivo",U12="Automático"),"40%",IF(AND(T12="Detectivo",U12="Manual"),"30%",IF(AND(T12="Correctivo",U12="Automático"),"35%",IF(AND(T12="Correctivo",U12="Manual"),"25%",""))))))</f>
        <v>40%</v>
      </c>
      <c r="W12" s="114" t="s">
        <v>19</v>
      </c>
      <c r="X12" s="114" t="s">
        <v>22</v>
      </c>
      <c r="Y12" s="114" t="s">
        <v>114</v>
      </c>
      <c r="Z12" s="108">
        <f>IFERROR(IF(AND(S11="Probabilidad",S12="Probabilidad"),(AB11-(+AB11*V12)),IF(AND(S11="Impacto",S12="Probabilidad"),(AB10-(+AB10*V12)),IF(S12="Impacto",AB11,""))),"")</f>
        <v>8.6399999999999991E-2</v>
      </c>
      <c r="AA12" s="118" t="str">
        <f t="shared" ref="AA12:AA15" si="6">IFERROR(IF(Z12="","",IF(Z12&lt;=0.2,"Muy Baja",IF(Z12&lt;=0.4,"Baja",IF(Z12&lt;=0.6,"Media",IF(Z12&lt;=0.8,"Alta","Muy Alta"))))),"")</f>
        <v>Muy Baja</v>
      </c>
      <c r="AB12" s="119">
        <f t="shared" ref="AB12:AB15" si="7">+Z12</f>
        <v>8.6399999999999991E-2</v>
      </c>
      <c r="AC12" s="118" t="str">
        <f t="shared" ref="AC12:AC15" ca="1" si="8">IFERROR(IF(AD12="","",IF(AD12&lt;=0.2,"Leve",IF(AD12&lt;=0.4,"Menor",IF(AD12&lt;=0.6,"Moderado",IF(AD12&lt;=0.8,"Mayor","Catastrófico"))))),"")</f>
        <v>Moderado</v>
      </c>
      <c r="AD12" s="119">
        <f t="shared" ref="AD12:AD15" ca="1" si="9">IFERROR(IF(AND(S11="Impacto",S12="Impacto"),(AD11-(+AD11*V12)),IF(AND(S11="Probabilidad",S12="Impacto"),(AD10-(+AD10*V12)),IF(S12="Probabilidad",AD11,""))),"")</f>
        <v>0.6</v>
      </c>
      <c r="AE12" s="120" t="str">
        <f t="shared" ref="AE12:AE15" ca="1"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270"/>
      <c r="AG12" s="153" t="s">
        <v>226</v>
      </c>
      <c r="AH12" s="113" t="s">
        <v>228</v>
      </c>
      <c r="AI12" s="154" t="s">
        <v>232</v>
      </c>
      <c r="AJ12" s="155" t="s">
        <v>231</v>
      </c>
      <c r="AK12" s="109"/>
      <c r="AL12" s="110" t="s">
        <v>41</v>
      </c>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286.5" customHeight="1" x14ac:dyDescent="0.3">
      <c r="A13" s="204"/>
      <c r="B13" s="207"/>
      <c r="C13" s="207"/>
      <c r="D13" s="210"/>
      <c r="E13" s="151" t="s">
        <v>222</v>
      </c>
      <c r="F13" s="212"/>
      <c r="G13" s="212"/>
      <c r="H13" s="289"/>
      <c r="I13" s="198"/>
      <c r="J13" s="201"/>
      <c r="K13" s="217"/>
      <c r="L13" s="220"/>
      <c r="M13" s="217">
        <f ca="1">IF(NOT(ISERROR(MATCH(L13,_xlfn.ANCHORARRAY(F24),0))),K26&amp;"Por favor no seleccionar los criterios de impacto",L13)</f>
        <v>0</v>
      </c>
      <c r="N13" s="201"/>
      <c r="O13" s="217"/>
      <c r="P13" s="214"/>
      <c r="Q13" s="105">
        <v>4</v>
      </c>
      <c r="R13" s="106" t="s">
        <v>225</v>
      </c>
      <c r="S13" s="107" t="str">
        <f t="shared" si="4"/>
        <v>Probabilidad</v>
      </c>
      <c r="T13" s="114" t="s">
        <v>14</v>
      </c>
      <c r="U13" s="114" t="s">
        <v>9</v>
      </c>
      <c r="V13" s="115" t="str">
        <f t="shared" si="5"/>
        <v>40%</v>
      </c>
      <c r="W13" s="114" t="s">
        <v>19</v>
      </c>
      <c r="X13" s="114" t="s">
        <v>22</v>
      </c>
      <c r="Y13" s="114" t="s">
        <v>114</v>
      </c>
      <c r="Z13" s="108">
        <f t="shared" ref="Z13:Z15" si="11">IFERROR(IF(AND(S12="Probabilidad",S13="Probabilidad"),(AB12-(+AB12*V13)),IF(AND(S12="Impacto",S13="Probabilidad"),(AB11-(+AB11*V13)),IF(S13="Impacto",AB12,""))),"")</f>
        <v>5.183999999999999E-2</v>
      </c>
      <c r="AA13" s="118" t="str">
        <f t="shared" si="6"/>
        <v>Muy Baja</v>
      </c>
      <c r="AB13" s="119">
        <f t="shared" si="7"/>
        <v>5.183999999999999E-2</v>
      </c>
      <c r="AC13" s="118" t="str">
        <f t="shared" ca="1" si="8"/>
        <v>Moderado</v>
      </c>
      <c r="AD13" s="119">
        <f t="shared" ca="1" si="9"/>
        <v>0.6</v>
      </c>
      <c r="AE13" s="120" t="str">
        <f t="shared" ca="1" si="10"/>
        <v>Moderado</v>
      </c>
      <c r="AF13" s="271"/>
      <c r="AG13" s="113" t="s">
        <v>227</v>
      </c>
      <c r="AH13" s="113" t="s">
        <v>230</v>
      </c>
      <c r="AI13" s="156" t="s">
        <v>234</v>
      </c>
      <c r="AJ13" s="155" t="s">
        <v>231</v>
      </c>
      <c r="AK13" s="109"/>
      <c r="AL13" s="110" t="s">
        <v>41</v>
      </c>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48.75" customHeight="1" x14ac:dyDescent="0.3">
      <c r="A14" s="204"/>
      <c r="B14" s="207"/>
      <c r="C14" s="207"/>
      <c r="D14" s="210"/>
      <c r="E14" s="140"/>
      <c r="F14" s="212"/>
      <c r="G14" s="212"/>
      <c r="H14" s="289"/>
      <c r="I14" s="198"/>
      <c r="J14" s="201"/>
      <c r="K14" s="217"/>
      <c r="L14" s="220"/>
      <c r="M14" s="217">
        <f ca="1">IF(NOT(ISERROR(MATCH(L14,_xlfn.ANCHORARRAY(F25),0))),K27&amp;"Por favor no seleccionar los criterios de impacto",L14)</f>
        <v>0</v>
      </c>
      <c r="N14" s="201"/>
      <c r="O14" s="217"/>
      <c r="P14" s="214"/>
      <c r="Q14" s="105">
        <v>5</v>
      </c>
      <c r="R14" s="106"/>
      <c r="S14" s="107" t="str">
        <f t="shared" si="4"/>
        <v/>
      </c>
      <c r="T14" s="114"/>
      <c r="U14" s="114"/>
      <c r="V14" s="115" t="str">
        <f t="shared" si="5"/>
        <v/>
      </c>
      <c r="W14" s="114"/>
      <c r="X14" s="114"/>
      <c r="Y14" s="114"/>
      <c r="Z14" s="108" t="str">
        <f t="shared" si="11"/>
        <v/>
      </c>
      <c r="AA14" s="118" t="str">
        <f t="shared" si="6"/>
        <v/>
      </c>
      <c r="AB14" s="119" t="str">
        <f t="shared" si="7"/>
        <v/>
      </c>
      <c r="AC14" s="118" t="str">
        <f t="shared" si="8"/>
        <v/>
      </c>
      <c r="AD14" s="119" t="str">
        <f t="shared" si="9"/>
        <v/>
      </c>
      <c r="AE14" s="120" t="str">
        <f t="shared" si="10"/>
        <v/>
      </c>
      <c r="AF14" s="121"/>
      <c r="AG14" s="109"/>
      <c r="AH14" s="110"/>
      <c r="AI14" s="111"/>
      <c r="AJ14" s="111"/>
      <c r="AK14" s="109"/>
      <c r="AL14" s="110"/>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3">
      <c r="A15" s="205"/>
      <c r="B15" s="208"/>
      <c r="C15" s="208"/>
      <c r="D15" s="211"/>
      <c r="E15" s="140"/>
      <c r="F15" s="212"/>
      <c r="G15" s="212"/>
      <c r="H15" s="290"/>
      <c r="I15" s="199"/>
      <c r="J15" s="202"/>
      <c r="K15" s="218"/>
      <c r="L15" s="221"/>
      <c r="M15" s="218">
        <f ca="1">IF(NOT(ISERROR(MATCH(L15,_xlfn.ANCHORARRAY(F26),0))),K28&amp;"Por favor no seleccionar los criterios de impacto",L15)</f>
        <v>0</v>
      </c>
      <c r="N15" s="202"/>
      <c r="O15" s="218"/>
      <c r="P15" s="215"/>
      <c r="Q15" s="105">
        <v>6</v>
      </c>
      <c r="R15" s="106"/>
      <c r="S15" s="107" t="str">
        <f t="shared" si="4"/>
        <v/>
      </c>
      <c r="T15" s="114"/>
      <c r="U15" s="114"/>
      <c r="V15" s="115" t="str">
        <f t="shared" si="5"/>
        <v/>
      </c>
      <c r="W15" s="114"/>
      <c r="X15" s="114"/>
      <c r="Y15" s="114"/>
      <c r="Z15" s="108" t="str">
        <f t="shared" si="11"/>
        <v/>
      </c>
      <c r="AA15" s="118" t="str">
        <f t="shared" si="6"/>
        <v/>
      </c>
      <c r="AB15" s="119" t="str">
        <f t="shared" si="7"/>
        <v/>
      </c>
      <c r="AC15" s="118" t="str">
        <f t="shared" si="8"/>
        <v/>
      </c>
      <c r="AD15" s="119" t="str">
        <f t="shared" si="9"/>
        <v/>
      </c>
      <c r="AE15" s="120" t="str">
        <f t="shared" si="10"/>
        <v/>
      </c>
      <c r="AF15" s="121"/>
      <c r="AG15" s="109"/>
      <c r="AH15" s="110"/>
      <c r="AI15" s="111"/>
      <c r="AJ15" s="111"/>
      <c r="AK15" s="109"/>
      <c r="AL15" s="110"/>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28" customHeight="1" x14ac:dyDescent="0.3">
      <c r="A16" s="203">
        <v>2</v>
      </c>
      <c r="B16" s="247" t="s">
        <v>127</v>
      </c>
      <c r="C16" s="247" t="s">
        <v>239</v>
      </c>
      <c r="D16" s="222" t="s">
        <v>240</v>
      </c>
      <c r="E16" s="157" t="s">
        <v>241</v>
      </c>
      <c r="F16" s="225" t="s">
        <v>242</v>
      </c>
      <c r="G16" s="142" t="s">
        <v>243</v>
      </c>
      <c r="H16" s="254" t="s">
        <v>118</v>
      </c>
      <c r="I16" s="257">
        <v>4</v>
      </c>
      <c r="J16" s="241" t="str">
        <f>IF(I16&lt;=0,"",IF(I16&lt;=2,"Muy Baja",IF(I16&lt;=24,"Baja",IF(I16&lt;=500,"Media",IF(I16&lt;=5000,"Alta","Muy Alta")))))</f>
        <v>Baja</v>
      </c>
      <c r="K16" s="238">
        <f>IF(J16="","",IF(J16="Muy Baja",0.2,IF(J16="Baja",0.4,IF(J16="Media",0.6,IF(J16="Alta",0.8,IF(J16="Muy Alta",1,))))))</f>
        <v>0.4</v>
      </c>
      <c r="L16" s="260" t="s">
        <v>145</v>
      </c>
      <c r="M16" s="238" t="str">
        <f ca="1">IF(NOT(ISERROR(MATCH(L16,'Tabla Impacto'!$B$221:$B$223,0))),'Tabla Impacto'!$F$223&amp;"Por favor no seleccionar los criterios de impacto(Afectación Económica o presupuestal y Pérdida Reputacional)",L16)</f>
        <v xml:space="preserve">     El riesgo afecta la imagen de la entidad con algunos usuarios de relevancia frente al logro de los objetivos</v>
      </c>
      <c r="N16" s="241" t="str">
        <f ca="1">IF(OR(M16='Tabla Impacto'!$C$11,M16='Tabla Impacto'!$D$11),"Leve",IF(OR(M16='Tabla Impacto'!$C$12,M16='Tabla Impacto'!$D$12),"Menor",IF(OR(M16='Tabla Impacto'!$C$13,M16='Tabla Impacto'!$D$13),"Moderado",IF(OR(M16='Tabla Impacto'!$C$14,M16='Tabla Impacto'!$D$14),"Mayor",IF(OR(M16='Tabla Impacto'!$C$15,M16='Tabla Impacto'!$D$15),"Catastrófico","")))))</f>
        <v>Moderado</v>
      </c>
      <c r="O16" s="238">
        <f ca="1">IF(N16="","",IF(N16="Leve",0.2,IF(N16="Menor",0.4,IF(N16="Moderado",0.6,IF(N16="Mayor",0.8,IF(N16="Catastrófico",1,))))))</f>
        <v>0.6</v>
      </c>
      <c r="P16" s="244" t="str">
        <f ca="1">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Moderado</v>
      </c>
      <c r="Q16" s="105">
        <v>1</v>
      </c>
      <c r="R16" s="106" t="s">
        <v>244</v>
      </c>
      <c r="S16" s="107" t="str">
        <f>IF(OR(T16="Preventivo",T16="Detectivo"),"Probabilidad",IF(T16="Correctivo","Impacto",""))</f>
        <v>Probabilidad</v>
      </c>
      <c r="T16" s="114" t="s">
        <v>14</v>
      </c>
      <c r="U16" s="114" t="s">
        <v>9</v>
      </c>
      <c r="V16" s="115" t="str">
        <f>IF(AND(T16="Preventivo",U16="Automático"),"50%",IF(AND(T16="Preventivo",U16="Manual"),"40%",IF(AND(T16="Detectivo",U16="Automático"),"40%",IF(AND(T16="Detectivo",U16="Manual"),"30%",IF(AND(T16="Correctivo",U16="Automático"),"35%",IF(AND(T16="Correctivo",U16="Manual"),"25%",""))))))</f>
        <v>40%</v>
      </c>
      <c r="W16" s="114" t="s">
        <v>19</v>
      </c>
      <c r="X16" s="114" t="s">
        <v>22</v>
      </c>
      <c r="Y16" s="114" t="s">
        <v>114</v>
      </c>
      <c r="Z16" s="108">
        <f>IFERROR(IF(S16="Probabilidad",(K16-(+K16*V16)),IF(S16="Impacto",K16,"")),"")</f>
        <v>0.24</v>
      </c>
      <c r="AA16" s="118" t="str">
        <f>IFERROR(IF(Z16="","",IF(Z16&lt;=0.2,"Muy Baja",IF(Z16&lt;=0.4,"Baja",IF(Z16&lt;=0.6,"Media",IF(Z16&lt;=0.8,"Alta","Muy Alta"))))),"")</f>
        <v>Baja</v>
      </c>
      <c r="AB16" s="119">
        <f>+Z16</f>
        <v>0.24</v>
      </c>
      <c r="AC16" s="118" t="str">
        <f ca="1">IFERROR(IF(AD16="","",IF(AD16&lt;=0.2,"Leve",IF(AD16&lt;=0.4,"Menor",IF(AD16&lt;=0.6,"Moderado",IF(AD16&lt;=0.8,"Mayor","Catastrófico"))))),"")</f>
        <v>Moderado</v>
      </c>
      <c r="AD16" s="119">
        <f ca="1">IFERROR(IF(S16="Impacto",(O16-(+O16*V16)),IF(S16="Probabilidad",O16,"")),"")</f>
        <v>0.6</v>
      </c>
      <c r="AE16" s="120" t="str">
        <f ca="1">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Moderado</v>
      </c>
      <c r="AF16" s="121" t="s">
        <v>131</v>
      </c>
      <c r="AG16" s="113" t="s">
        <v>245</v>
      </c>
      <c r="AH16" s="112" t="s">
        <v>246</v>
      </c>
      <c r="AI16" s="156" t="s">
        <v>234</v>
      </c>
      <c r="AJ16" s="155" t="s">
        <v>231</v>
      </c>
      <c r="AK16" s="109"/>
      <c r="AL16" s="110" t="s">
        <v>41</v>
      </c>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30" customHeight="1" x14ac:dyDescent="0.3">
      <c r="A17" s="204"/>
      <c r="B17" s="248"/>
      <c r="C17" s="248"/>
      <c r="D17" s="223"/>
      <c r="E17" s="141"/>
      <c r="F17" s="225"/>
      <c r="G17" s="142"/>
      <c r="H17" s="255"/>
      <c r="I17" s="258"/>
      <c r="J17" s="242"/>
      <c r="K17" s="239"/>
      <c r="L17" s="261"/>
      <c r="M17" s="239">
        <f ca="1">IF(NOT(ISERROR(MATCH(L17,_xlfn.ANCHORARRAY(F28),0))),K30&amp;"Por favor no seleccionar los criterios de impacto",L17)</f>
        <v>0</v>
      </c>
      <c r="N17" s="242"/>
      <c r="O17" s="239"/>
      <c r="P17" s="245"/>
      <c r="Q17" s="105">
        <v>2</v>
      </c>
      <c r="R17" s="106"/>
      <c r="S17" s="107" t="str">
        <f>IF(OR(T17="Preventivo",T17="Detectivo"),"Probabilidad",IF(T17="Correctivo","Impacto",""))</f>
        <v/>
      </c>
      <c r="T17" s="114"/>
      <c r="U17" s="114"/>
      <c r="V17" s="115" t="str">
        <f t="shared" ref="V17:V21" si="12">IF(AND(T17="Preventivo",U17="Automático"),"50%",IF(AND(T17="Preventivo",U17="Manual"),"40%",IF(AND(T17="Detectivo",U17="Automático"),"40%",IF(AND(T17="Detectivo",U17="Manual"),"30%",IF(AND(T17="Correctivo",U17="Automático"),"35%",IF(AND(T17="Correctivo",U17="Manual"),"25%",""))))))</f>
        <v/>
      </c>
      <c r="W17" s="114"/>
      <c r="X17" s="114"/>
      <c r="Y17" s="114"/>
      <c r="Z17" s="108" t="str">
        <f>IFERROR(IF(AND(S16="Probabilidad",S17="Probabilidad"),(AB16-(+AB16*V17)),IF(AND(S16="Impacto",S17="Probabilidad"),(K16-(+K16*V17)),IF(S17="Impacto",AB16,""))),"")</f>
        <v/>
      </c>
      <c r="AA17" s="118" t="str">
        <f t="shared" ref="AA17:AA21" si="13">IFERROR(IF(Z17="","",IF(Z17&lt;=0.2,"Muy Baja",IF(Z17&lt;=0.4,"Baja",IF(Z17&lt;=0.6,"Media",IF(Z17&lt;=0.8,"Alta","Muy Alta"))))),"")</f>
        <v/>
      </c>
      <c r="AB17" s="119" t="str">
        <f>+Z17</f>
        <v/>
      </c>
      <c r="AC17" s="118" t="str">
        <f t="shared" ref="AC17:AC21" si="14">IFERROR(IF(AD17="","",IF(AD17&lt;=0.2,"Leve",IF(AD17&lt;=0.4,"Menor",IF(AD17&lt;=0.6,"Moderado",IF(AD17&lt;=0.8,"Mayor","Catastrófico"))))),"")</f>
        <v/>
      </c>
      <c r="AD17" s="119" t="str">
        <f>IFERROR(IF(AND(S16="Impacto",S17="Impacto"),(AD16-(+AD16*V17)),IF(AND(S16="Probabilidad",S17="Impacto"),(O16-(+O16*V17)),IF(S17="Probabilidad",AD16,""))),"")</f>
        <v/>
      </c>
      <c r="AE17" s="120" t="str">
        <f t="shared" ref="AE17:AE21" si="15">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
      </c>
      <c r="AF17" s="121"/>
      <c r="AG17" s="109"/>
      <c r="AH17" s="110"/>
      <c r="AI17" s="111"/>
      <c r="AJ17" s="111"/>
      <c r="AK17" s="109"/>
      <c r="AL17" s="110"/>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3">
      <c r="A18" s="204"/>
      <c r="B18" s="248"/>
      <c r="C18" s="248"/>
      <c r="D18" s="223"/>
      <c r="E18" s="141"/>
      <c r="F18" s="225"/>
      <c r="G18" s="142"/>
      <c r="H18" s="255"/>
      <c r="I18" s="258"/>
      <c r="J18" s="242"/>
      <c r="K18" s="239"/>
      <c r="L18" s="261"/>
      <c r="M18" s="239">
        <f ca="1">IF(NOT(ISERROR(MATCH(L18,_xlfn.ANCHORARRAY(F29),0))),K31&amp;"Por favor no seleccionar los criterios de impacto",L18)</f>
        <v>0</v>
      </c>
      <c r="N18" s="242"/>
      <c r="O18" s="239"/>
      <c r="P18" s="245"/>
      <c r="Q18" s="105">
        <v>3</v>
      </c>
      <c r="R18" s="112"/>
      <c r="S18" s="107" t="str">
        <f t="shared" ref="S18:S21" si="16">IF(OR(T18="Preventivo",T18="Detectivo"),"Probabilidad",IF(T18="Correctivo","Impacto",""))</f>
        <v/>
      </c>
      <c r="T18" s="114"/>
      <c r="U18" s="114"/>
      <c r="V18" s="115" t="str">
        <f t="shared" si="12"/>
        <v/>
      </c>
      <c r="W18" s="114"/>
      <c r="X18" s="114"/>
      <c r="Y18" s="114"/>
      <c r="Z18" s="108" t="str">
        <f>IFERROR(IF(AND(S17="Probabilidad",S18="Probabilidad"),(AB17-(+AB17*V18)),IF(AND(S17="Impacto",S18="Probabilidad"),(AB16-(+AB16*V18)),IF(S18="Impacto",AB17,""))),"")</f>
        <v/>
      </c>
      <c r="AA18" s="118" t="str">
        <f t="shared" si="13"/>
        <v/>
      </c>
      <c r="AB18" s="119" t="str">
        <f t="shared" ref="AB18:AB21" si="17">+Z18</f>
        <v/>
      </c>
      <c r="AC18" s="118" t="str">
        <f t="shared" si="14"/>
        <v/>
      </c>
      <c r="AD18" s="119" t="str">
        <f t="shared" ref="AD18:AD21" si="18">IFERROR(IF(AND(S17="Impacto",S18="Impacto"),(AD17-(+AD17*V18)),IF(AND(S17="Probabilidad",S18="Impacto"),(AD16-(+AD16*V18)),IF(S18="Probabilidad",AD17,""))),"")</f>
        <v/>
      </c>
      <c r="AE18" s="120" t="str">
        <f t="shared" si="15"/>
        <v/>
      </c>
      <c r="AF18" s="121"/>
      <c r="AG18" s="109"/>
      <c r="AH18" s="110"/>
      <c r="AI18" s="111"/>
      <c r="AJ18" s="111"/>
      <c r="AK18" s="109"/>
      <c r="AL18" s="110"/>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5.5" customHeight="1" x14ac:dyDescent="0.3">
      <c r="A19" s="204"/>
      <c r="B19" s="248"/>
      <c r="C19" s="248"/>
      <c r="D19" s="223"/>
      <c r="E19" s="141"/>
      <c r="F19" s="225"/>
      <c r="G19" s="142"/>
      <c r="H19" s="255"/>
      <c r="I19" s="258"/>
      <c r="J19" s="242"/>
      <c r="K19" s="239"/>
      <c r="L19" s="261"/>
      <c r="M19" s="239">
        <f ca="1">IF(NOT(ISERROR(MATCH(L19,_xlfn.ANCHORARRAY(F30),0))),K32&amp;"Por favor no seleccionar los criterios de impacto",L19)</f>
        <v>0</v>
      </c>
      <c r="N19" s="242"/>
      <c r="O19" s="239"/>
      <c r="P19" s="245"/>
      <c r="Q19" s="105">
        <v>4</v>
      </c>
      <c r="R19" s="106"/>
      <c r="S19" s="107" t="str">
        <f t="shared" si="16"/>
        <v/>
      </c>
      <c r="T19" s="114"/>
      <c r="U19" s="114"/>
      <c r="V19" s="115" t="str">
        <f t="shared" si="12"/>
        <v/>
      </c>
      <c r="W19" s="114"/>
      <c r="X19" s="114"/>
      <c r="Y19" s="114"/>
      <c r="Z19" s="108" t="str">
        <f t="shared" ref="Z19:Z21" si="19">IFERROR(IF(AND(S18="Probabilidad",S19="Probabilidad"),(AB18-(+AB18*V19)),IF(AND(S18="Impacto",S19="Probabilidad"),(AB17-(+AB17*V19)),IF(S19="Impacto",AB18,""))),"")</f>
        <v/>
      </c>
      <c r="AA19" s="118" t="str">
        <f t="shared" si="13"/>
        <v/>
      </c>
      <c r="AB19" s="119" t="str">
        <f t="shared" si="17"/>
        <v/>
      </c>
      <c r="AC19" s="118" t="str">
        <f t="shared" si="14"/>
        <v/>
      </c>
      <c r="AD19" s="119" t="str">
        <f t="shared" si="18"/>
        <v/>
      </c>
      <c r="AE19" s="120" t="str">
        <f t="shared" si="15"/>
        <v/>
      </c>
      <c r="AF19" s="121"/>
      <c r="AG19" s="109"/>
      <c r="AH19" s="110"/>
      <c r="AI19" s="111"/>
      <c r="AJ19" s="111"/>
      <c r="AK19" s="109"/>
      <c r="AL19" s="110"/>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4" customHeight="1" x14ac:dyDescent="0.3">
      <c r="A20" s="204"/>
      <c r="B20" s="248"/>
      <c r="C20" s="248"/>
      <c r="D20" s="223"/>
      <c r="E20" s="141"/>
      <c r="F20" s="225"/>
      <c r="G20" s="142"/>
      <c r="H20" s="255"/>
      <c r="I20" s="258"/>
      <c r="J20" s="242"/>
      <c r="K20" s="239"/>
      <c r="L20" s="261"/>
      <c r="M20" s="239">
        <f ca="1">IF(NOT(ISERROR(MATCH(L20,_xlfn.ANCHORARRAY(F31),0))),K33&amp;"Por favor no seleccionar los criterios de impacto",L20)</f>
        <v>0</v>
      </c>
      <c r="N20" s="242"/>
      <c r="O20" s="239"/>
      <c r="P20" s="245"/>
      <c r="Q20" s="105">
        <v>5</v>
      </c>
      <c r="R20" s="106"/>
      <c r="S20" s="107" t="str">
        <f t="shared" si="16"/>
        <v/>
      </c>
      <c r="T20" s="114"/>
      <c r="U20" s="114"/>
      <c r="V20" s="115" t="str">
        <f t="shared" si="12"/>
        <v/>
      </c>
      <c r="W20" s="114"/>
      <c r="X20" s="114"/>
      <c r="Y20" s="114"/>
      <c r="Z20" s="108" t="str">
        <f t="shared" si="19"/>
        <v/>
      </c>
      <c r="AA20" s="118" t="str">
        <f t="shared" si="13"/>
        <v/>
      </c>
      <c r="AB20" s="119" t="str">
        <f t="shared" si="17"/>
        <v/>
      </c>
      <c r="AC20" s="118" t="str">
        <f t="shared" si="14"/>
        <v/>
      </c>
      <c r="AD20" s="119" t="str">
        <f t="shared" si="18"/>
        <v/>
      </c>
      <c r="AE20" s="120" t="str">
        <f t="shared" si="15"/>
        <v/>
      </c>
      <c r="AF20" s="121"/>
      <c r="AG20" s="109"/>
      <c r="AH20" s="110"/>
      <c r="AI20" s="111"/>
      <c r="AJ20" s="111"/>
      <c r="AK20" s="109"/>
      <c r="AL20" s="110"/>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5.5" customHeight="1" x14ac:dyDescent="0.3">
      <c r="A21" s="205"/>
      <c r="B21" s="249"/>
      <c r="C21" s="249"/>
      <c r="D21" s="224"/>
      <c r="E21" s="141"/>
      <c r="F21" s="225"/>
      <c r="G21" s="142"/>
      <c r="H21" s="256"/>
      <c r="I21" s="259"/>
      <c r="J21" s="243"/>
      <c r="K21" s="240"/>
      <c r="L21" s="262"/>
      <c r="M21" s="240">
        <f ca="1">IF(NOT(ISERROR(MATCH(L21,_xlfn.ANCHORARRAY(F32),0))),K34&amp;"Por favor no seleccionar los criterios de impacto",L21)</f>
        <v>0</v>
      </c>
      <c r="N21" s="243"/>
      <c r="O21" s="240"/>
      <c r="P21" s="246"/>
      <c r="Q21" s="105">
        <v>6</v>
      </c>
      <c r="R21" s="106"/>
      <c r="S21" s="107" t="str">
        <f t="shared" si="16"/>
        <v/>
      </c>
      <c r="T21" s="114"/>
      <c r="U21" s="114"/>
      <c r="V21" s="115" t="str">
        <f t="shared" si="12"/>
        <v/>
      </c>
      <c r="W21" s="114"/>
      <c r="X21" s="114"/>
      <c r="Y21" s="114"/>
      <c r="Z21" s="108" t="str">
        <f t="shared" si="19"/>
        <v/>
      </c>
      <c r="AA21" s="118" t="str">
        <f t="shared" si="13"/>
        <v/>
      </c>
      <c r="AB21" s="119" t="str">
        <f t="shared" si="17"/>
        <v/>
      </c>
      <c r="AC21" s="118" t="str">
        <f t="shared" si="14"/>
        <v/>
      </c>
      <c r="AD21" s="119" t="str">
        <f t="shared" si="18"/>
        <v/>
      </c>
      <c r="AE21" s="120" t="str">
        <f t="shared" si="15"/>
        <v/>
      </c>
      <c r="AF21" s="121"/>
      <c r="AG21" s="109"/>
      <c r="AH21" s="110"/>
      <c r="AI21" s="111"/>
      <c r="AJ21" s="111"/>
      <c r="AK21" s="109"/>
      <c r="AL21" s="110"/>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0.75" customHeight="1" x14ac:dyDescent="0.3">
      <c r="A22" s="203">
        <v>3</v>
      </c>
      <c r="B22" s="247"/>
      <c r="C22" s="247"/>
      <c r="D22" s="250"/>
      <c r="E22" s="141"/>
      <c r="F22" s="253"/>
      <c r="G22" s="142"/>
      <c r="H22" s="254"/>
      <c r="I22" s="257"/>
      <c r="J22" s="241" t="str">
        <f t="shared" ref="J22" si="20">IF(I22&lt;=0,"",IF(I22&lt;=2,"Muy Baja",IF(I22&lt;=24,"Baja",IF(I22&lt;=500,"Media",IF(I22&lt;=5000,"Alta","Muy Alta")))))</f>
        <v/>
      </c>
      <c r="K22" s="238" t="str">
        <f t="shared" ref="K22" si="21">IF(J22="","",IF(J22="Muy Baja",0.2,IF(J22="Baja",0.4,IF(J22="Media",0.6,IF(J22="Alta",0.8,IF(J22="Muy Alta",1,))))))</f>
        <v/>
      </c>
      <c r="L22" s="260"/>
      <c r="M22" s="238">
        <f ca="1">IF(NOT(ISERROR(MATCH(L22,'Tabla Impacto'!$B$221:$B$223,0))),'Tabla Impacto'!$F$223&amp;"Por favor no seleccionar los criterios de impacto(Afectación Económica o presupuestal y Pérdida Reputacional)",L22)</f>
        <v>0</v>
      </c>
      <c r="N22" s="241" t="str">
        <f ca="1">IF(OR(M22='Tabla Impacto'!$C$11,M22='Tabla Impacto'!$D$11),"Leve",IF(OR(M22='Tabla Impacto'!$C$12,M22='Tabla Impacto'!$D$12),"Menor",IF(OR(M22='Tabla Impacto'!$C$13,M22='Tabla Impacto'!$D$13),"Moderado",IF(OR(M22='Tabla Impacto'!$C$14,M22='Tabla Impacto'!$D$14),"Mayor",IF(OR(M22='Tabla Impacto'!$C$15,M22='Tabla Impacto'!$D$15),"Catastrófico","")))))</f>
        <v/>
      </c>
      <c r="O22" s="238" t="str">
        <f t="shared" ref="O22" ca="1" si="22">IF(N22="","",IF(N22="Leve",0.2,IF(N22="Menor",0.4,IF(N22="Moderado",0.6,IF(N22="Mayor",0.8,IF(N22="Catastrófico",1,))))))</f>
        <v/>
      </c>
      <c r="P22" s="244" t="str">
        <f t="shared" ref="P22" ca="1" si="23">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5">
        <v>1</v>
      </c>
      <c r="R22" s="106"/>
      <c r="S22" s="107" t="str">
        <f>IF(OR(T22="Preventivo",T22="Detectivo"),"Probabilidad",IF(T22="Correctivo","Impacto",""))</f>
        <v/>
      </c>
      <c r="T22" s="114"/>
      <c r="U22" s="114"/>
      <c r="V22" s="115" t="str">
        <f>IF(AND(T22="Preventivo",U22="Automático"),"50%",IF(AND(T22="Preventivo",U22="Manual"),"40%",IF(AND(T22="Detectivo",U22="Automático"),"40%",IF(AND(T22="Detectivo",U22="Manual"),"30%",IF(AND(T22="Correctivo",U22="Automático"),"35%",IF(AND(T22="Correctivo",U22="Manual"),"25%",""))))))</f>
        <v/>
      </c>
      <c r="W22" s="114"/>
      <c r="X22" s="114"/>
      <c r="Y22" s="114"/>
      <c r="Z22" s="108" t="str">
        <f>IFERROR(IF(S22="Probabilidad",(K22-(+K22*V22)),IF(S22="Impacto",K22,"")),"")</f>
        <v/>
      </c>
      <c r="AA22" s="118" t="str">
        <f>IFERROR(IF(Z22="","",IF(Z22&lt;=0.2,"Muy Baja",IF(Z22&lt;=0.4,"Baja",IF(Z22&lt;=0.6,"Media",IF(Z22&lt;=0.8,"Alta","Muy Alta"))))),"")</f>
        <v/>
      </c>
      <c r="AB22" s="119" t="str">
        <f>+Z22</f>
        <v/>
      </c>
      <c r="AC22" s="118" t="str">
        <f>IFERROR(IF(AD22="","",IF(AD22&lt;=0.2,"Leve",IF(AD22&lt;=0.4,"Menor",IF(AD22&lt;=0.6,"Moderado",IF(AD22&lt;=0.8,"Mayor","Catastrófico"))))),"")</f>
        <v/>
      </c>
      <c r="AD22" s="119" t="str">
        <f>IFERROR(IF(S22="Impacto",(O22-(+O22*V22)),IF(S22="Probabilidad",O22,"")),"")</f>
        <v/>
      </c>
      <c r="AE22" s="120"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21"/>
      <c r="AG22" s="109"/>
      <c r="AH22" s="110"/>
      <c r="AI22" s="111"/>
      <c r="AJ22" s="111"/>
      <c r="AK22" s="109"/>
      <c r="AL22" s="110"/>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3">
      <c r="A23" s="204"/>
      <c r="B23" s="248"/>
      <c r="C23" s="248"/>
      <c r="D23" s="251"/>
      <c r="E23" s="141"/>
      <c r="F23" s="253"/>
      <c r="G23" s="142"/>
      <c r="H23" s="255"/>
      <c r="I23" s="258"/>
      <c r="J23" s="242"/>
      <c r="K23" s="239"/>
      <c r="L23" s="261"/>
      <c r="M23" s="239">
        <f ca="1">IF(NOT(ISERROR(MATCH(L23,_xlfn.ANCHORARRAY(F34),0))),K36&amp;"Por favor no seleccionar los criterios de impacto",L23)</f>
        <v>0</v>
      </c>
      <c r="N23" s="242"/>
      <c r="O23" s="239"/>
      <c r="P23" s="245"/>
      <c r="Q23" s="105">
        <v>2</v>
      </c>
      <c r="R23" s="106"/>
      <c r="S23" s="107" t="str">
        <f>IF(OR(T23="Preventivo",T23="Detectivo"),"Probabilidad",IF(T23="Correctivo","Impacto",""))</f>
        <v/>
      </c>
      <c r="T23" s="114"/>
      <c r="U23" s="114"/>
      <c r="V23" s="115" t="str">
        <f t="shared" ref="V23:V27" si="24">IF(AND(T23="Preventivo",U23="Automático"),"50%",IF(AND(T23="Preventivo",U23="Manual"),"40%",IF(AND(T23="Detectivo",U23="Automático"),"40%",IF(AND(T23="Detectivo",U23="Manual"),"30%",IF(AND(T23="Correctivo",U23="Automático"),"35%",IF(AND(T23="Correctivo",U23="Manual"),"25%",""))))))</f>
        <v/>
      </c>
      <c r="W23" s="114"/>
      <c r="X23" s="114"/>
      <c r="Y23" s="114"/>
      <c r="Z23" s="108" t="str">
        <f>IFERROR(IF(AND(S22="Probabilidad",S23="Probabilidad"),(AB22-(+AB22*V23)),IF(AND(S22="Impacto",S23="Probabilidad"),(K22-(+K22*V23)),IF(S23="Impacto",AB22,""))),"")</f>
        <v/>
      </c>
      <c r="AA23" s="118" t="str">
        <f t="shared" ref="AA23:AA27" si="25">IFERROR(IF(Z23="","",IF(Z23&lt;=0.2,"Muy Baja",IF(Z23&lt;=0.4,"Baja",IF(Z23&lt;=0.6,"Media",IF(Z23&lt;=0.8,"Alta","Muy Alta"))))),"")</f>
        <v/>
      </c>
      <c r="AB23" s="119" t="str">
        <f>+Z23</f>
        <v/>
      </c>
      <c r="AC23" s="118" t="str">
        <f t="shared" ref="AC23:AC27" si="26">IFERROR(IF(AD23="","",IF(AD23&lt;=0.2,"Leve",IF(AD23&lt;=0.4,"Menor",IF(AD23&lt;=0.6,"Moderado",IF(AD23&lt;=0.8,"Mayor","Catastrófico"))))),"")</f>
        <v/>
      </c>
      <c r="AD23" s="119" t="str">
        <f>IFERROR(IF(AND(S22="Impacto",S23="Impacto"),(AD22-(+AD22*V23)),IF(AND(S22="Probabilidad",S23="Impacto"),(O22-(+O22*V23)),IF(S23="Probabilidad",AD22,""))),"")</f>
        <v/>
      </c>
      <c r="AE23" s="120" t="str">
        <f t="shared" ref="AE23:AE27" si="27">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21"/>
      <c r="AG23" s="109"/>
      <c r="AH23" s="110"/>
      <c r="AI23" s="111"/>
      <c r="AJ23" s="111"/>
      <c r="AK23" s="109"/>
      <c r="AL23" s="110"/>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3">
      <c r="A24" s="204"/>
      <c r="B24" s="248"/>
      <c r="C24" s="248"/>
      <c r="D24" s="251"/>
      <c r="E24" s="141"/>
      <c r="F24" s="253"/>
      <c r="G24" s="142"/>
      <c r="H24" s="255"/>
      <c r="I24" s="258"/>
      <c r="J24" s="242"/>
      <c r="K24" s="239"/>
      <c r="L24" s="261"/>
      <c r="M24" s="239">
        <f ca="1">IF(NOT(ISERROR(MATCH(L24,_xlfn.ANCHORARRAY(F35),0))),K37&amp;"Por favor no seleccionar los criterios de impacto",L24)</f>
        <v>0</v>
      </c>
      <c r="N24" s="242"/>
      <c r="O24" s="239"/>
      <c r="P24" s="245"/>
      <c r="Q24" s="105">
        <v>3</v>
      </c>
      <c r="R24" s="112"/>
      <c r="S24" s="107" t="str">
        <f t="shared" ref="S24:S27" si="28">IF(OR(T24="Preventivo",T24="Detectivo"),"Probabilidad",IF(T24="Correctivo","Impacto",""))</f>
        <v/>
      </c>
      <c r="T24" s="114"/>
      <c r="U24" s="114"/>
      <c r="V24" s="115" t="str">
        <f t="shared" si="24"/>
        <v/>
      </c>
      <c r="W24" s="114"/>
      <c r="X24" s="114"/>
      <c r="Y24" s="114"/>
      <c r="Z24" s="108" t="str">
        <f>IFERROR(IF(AND(S23="Probabilidad",S24="Probabilidad"),(AB23-(+AB23*V24)),IF(AND(S23="Impacto",S24="Probabilidad"),(AB22-(+AB22*V24)),IF(S24="Impacto",AB23,""))),"")</f>
        <v/>
      </c>
      <c r="AA24" s="118" t="str">
        <f t="shared" si="25"/>
        <v/>
      </c>
      <c r="AB24" s="119" t="str">
        <f t="shared" ref="AB24:AB27" si="29">+Z24</f>
        <v/>
      </c>
      <c r="AC24" s="118" t="str">
        <f t="shared" si="26"/>
        <v/>
      </c>
      <c r="AD24" s="119" t="str">
        <f t="shared" ref="AD24:AD27" si="30">IFERROR(IF(AND(S23="Impacto",S24="Impacto"),(AD23-(+AD23*V24)),IF(AND(S23="Probabilidad",S24="Impacto"),(AD22-(+AD22*V24)),IF(S24="Probabilidad",AD23,""))),"")</f>
        <v/>
      </c>
      <c r="AE24" s="120" t="str">
        <f t="shared" si="27"/>
        <v/>
      </c>
      <c r="AF24" s="121"/>
      <c r="AG24" s="109"/>
      <c r="AH24" s="110"/>
      <c r="AI24" s="111"/>
      <c r="AJ24" s="111"/>
      <c r="AK24" s="109"/>
      <c r="AL24" s="110"/>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3">
      <c r="A25" s="204"/>
      <c r="B25" s="248"/>
      <c r="C25" s="248"/>
      <c r="D25" s="251"/>
      <c r="E25" s="141"/>
      <c r="F25" s="253"/>
      <c r="G25" s="142"/>
      <c r="H25" s="255"/>
      <c r="I25" s="258"/>
      <c r="J25" s="242"/>
      <c r="K25" s="239"/>
      <c r="L25" s="261"/>
      <c r="M25" s="239">
        <f ca="1">IF(NOT(ISERROR(MATCH(L25,_xlfn.ANCHORARRAY(F36),0))),K38&amp;"Por favor no seleccionar los criterios de impacto",L25)</f>
        <v>0</v>
      </c>
      <c r="N25" s="242"/>
      <c r="O25" s="239"/>
      <c r="P25" s="245"/>
      <c r="Q25" s="105">
        <v>4</v>
      </c>
      <c r="R25" s="106"/>
      <c r="S25" s="107" t="str">
        <f t="shared" si="28"/>
        <v/>
      </c>
      <c r="T25" s="114"/>
      <c r="U25" s="114"/>
      <c r="V25" s="115" t="str">
        <f t="shared" si="24"/>
        <v/>
      </c>
      <c r="W25" s="114"/>
      <c r="X25" s="114"/>
      <c r="Y25" s="114"/>
      <c r="Z25" s="108" t="str">
        <f t="shared" ref="Z25:Z27" si="31">IFERROR(IF(AND(S24="Probabilidad",S25="Probabilidad"),(AB24-(+AB24*V25)),IF(AND(S24="Impacto",S25="Probabilidad"),(AB23-(+AB23*V25)),IF(S25="Impacto",AB24,""))),"")</f>
        <v/>
      </c>
      <c r="AA25" s="118" t="str">
        <f t="shared" si="25"/>
        <v/>
      </c>
      <c r="AB25" s="119" t="str">
        <f t="shared" si="29"/>
        <v/>
      </c>
      <c r="AC25" s="118" t="str">
        <f t="shared" si="26"/>
        <v/>
      </c>
      <c r="AD25" s="119" t="str">
        <f t="shared" si="30"/>
        <v/>
      </c>
      <c r="AE25" s="120" t="str">
        <f t="shared" si="27"/>
        <v/>
      </c>
      <c r="AF25" s="121"/>
      <c r="AG25" s="109"/>
      <c r="AH25" s="110"/>
      <c r="AI25" s="111"/>
      <c r="AJ25" s="111"/>
      <c r="AK25" s="109"/>
      <c r="AL25" s="110"/>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3">
      <c r="A26" s="204"/>
      <c r="B26" s="248"/>
      <c r="C26" s="248"/>
      <c r="D26" s="251"/>
      <c r="E26" s="141"/>
      <c r="F26" s="253"/>
      <c r="G26" s="142"/>
      <c r="H26" s="255"/>
      <c r="I26" s="258"/>
      <c r="J26" s="242"/>
      <c r="K26" s="239"/>
      <c r="L26" s="261"/>
      <c r="M26" s="239">
        <f ca="1">IF(NOT(ISERROR(MATCH(L26,_xlfn.ANCHORARRAY(F37),0))),K39&amp;"Por favor no seleccionar los criterios de impacto",L26)</f>
        <v>0</v>
      </c>
      <c r="N26" s="242"/>
      <c r="O26" s="239"/>
      <c r="P26" s="245"/>
      <c r="Q26" s="105">
        <v>5</v>
      </c>
      <c r="R26" s="106"/>
      <c r="S26" s="107" t="str">
        <f t="shared" si="28"/>
        <v/>
      </c>
      <c r="T26" s="114"/>
      <c r="U26" s="114"/>
      <c r="V26" s="115" t="str">
        <f t="shared" si="24"/>
        <v/>
      </c>
      <c r="W26" s="114"/>
      <c r="X26" s="114"/>
      <c r="Y26" s="114"/>
      <c r="Z26" s="108" t="str">
        <f t="shared" si="31"/>
        <v/>
      </c>
      <c r="AA26" s="118" t="str">
        <f t="shared" si="25"/>
        <v/>
      </c>
      <c r="AB26" s="119" t="str">
        <f t="shared" si="29"/>
        <v/>
      </c>
      <c r="AC26" s="118" t="str">
        <f t="shared" si="26"/>
        <v/>
      </c>
      <c r="AD26" s="119" t="str">
        <f t="shared" si="30"/>
        <v/>
      </c>
      <c r="AE26" s="120" t="str">
        <f t="shared" si="27"/>
        <v/>
      </c>
      <c r="AF26" s="121"/>
      <c r="AG26" s="109"/>
      <c r="AH26" s="110"/>
      <c r="AI26" s="111"/>
      <c r="AJ26" s="111"/>
      <c r="AK26" s="109"/>
      <c r="AL26" s="110"/>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3">
      <c r="A27" s="205"/>
      <c r="B27" s="249"/>
      <c r="C27" s="249"/>
      <c r="D27" s="252"/>
      <c r="E27" s="141"/>
      <c r="F27" s="253"/>
      <c r="G27" s="142"/>
      <c r="H27" s="256"/>
      <c r="I27" s="259"/>
      <c r="J27" s="243"/>
      <c r="K27" s="240"/>
      <c r="L27" s="262"/>
      <c r="M27" s="240">
        <f ca="1">IF(NOT(ISERROR(MATCH(L27,_xlfn.ANCHORARRAY(F38),0))),K40&amp;"Por favor no seleccionar los criterios de impacto",L27)</f>
        <v>0</v>
      </c>
      <c r="N27" s="243"/>
      <c r="O27" s="240"/>
      <c r="P27" s="246"/>
      <c r="Q27" s="105">
        <v>6</v>
      </c>
      <c r="R27" s="106"/>
      <c r="S27" s="107" t="str">
        <f t="shared" si="28"/>
        <v/>
      </c>
      <c r="T27" s="114"/>
      <c r="U27" s="114"/>
      <c r="V27" s="115" t="str">
        <f t="shared" si="24"/>
        <v/>
      </c>
      <c r="W27" s="114"/>
      <c r="X27" s="114"/>
      <c r="Y27" s="114"/>
      <c r="Z27" s="108" t="str">
        <f t="shared" si="31"/>
        <v/>
      </c>
      <c r="AA27" s="118" t="str">
        <f t="shared" si="25"/>
        <v/>
      </c>
      <c r="AB27" s="119" t="str">
        <f t="shared" si="29"/>
        <v/>
      </c>
      <c r="AC27" s="118" t="str">
        <f t="shared" si="26"/>
        <v/>
      </c>
      <c r="AD27" s="119" t="str">
        <f t="shared" si="30"/>
        <v/>
      </c>
      <c r="AE27" s="120" t="str">
        <f t="shared" si="27"/>
        <v/>
      </c>
      <c r="AF27" s="121"/>
      <c r="AG27" s="109"/>
      <c r="AH27" s="110"/>
      <c r="AI27" s="111"/>
      <c r="AJ27" s="111"/>
      <c r="AK27" s="109"/>
      <c r="AL27" s="110"/>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3">
      <c r="A28" s="203">
        <v>4</v>
      </c>
      <c r="B28" s="247"/>
      <c r="C28" s="247"/>
      <c r="D28" s="250"/>
      <c r="E28" s="141"/>
      <c r="F28" s="253"/>
      <c r="G28" s="142"/>
      <c r="H28" s="254"/>
      <c r="I28" s="257"/>
      <c r="J28" s="241" t="str">
        <f t="shared" ref="J28" si="32">IF(I28&lt;=0,"",IF(I28&lt;=2,"Muy Baja",IF(I28&lt;=24,"Baja",IF(I28&lt;=500,"Media",IF(I28&lt;=5000,"Alta","Muy Alta")))))</f>
        <v/>
      </c>
      <c r="K28" s="238" t="str">
        <f t="shared" ref="K28" si="33">IF(J28="","",IF(J28="Muy Baja",0.2,IF(J28="Baja",0.4,IF(J28="Media",0.6,IF(J28="Alta",0.8,IF(J28="Muy Alta",1,))))))</f>
        <v/>
      </c>
      <c r="L28" s="260"/>
      <c r="M28" s="238">
        <f ca="1">IF(NOT(ISERROR(MATCH(L28,'Tabla Impacto'!$B$221:$B$223,0))),'Tabla Impacto'!$F$223&amp;"Por favor no seleccionar los criterios de impacto(Afectación Económica o presupuestal y Pérdida Reputacional)",L28)</f>
        <v>0</v>
      </c>
      <c r="N28" s="241" t="str">
        <f ca="1">IF(OR(M28='Tabla Impacto'!$C$11,M28='Tabla Impacto'!$D$11),"Leve",IF(OR(M28='Tabla Impacto'!$C$12,M28='Tabla Impacto'!$D$12),"Menor",IF(OR(M28='Tabla Impacto'!$C$13,M28='Tabla Impacto'!$D$13),"Moderado",IF(OR(M28='Tabla Impacto'!$C$14,M28='Tabla Impacto'!$D$14),"Mayor",IF(OR(M28='Tabla Impacto'!$C$15,M28='Tabla Impacto'!$D$15),"Catastrófico","")))))</f>
        <v/>
      </c>
      <c r="O28" s="238" t="str">
        <f t="shared" ref="O28" ca="1" si="34">IF(N28="","",IF(N28="Leve",0.2,IF(N28="Menor",0.4,IF(N28="Moderado",0.6,IF(N28="Mayor",0.8,IF(N28="Catastrófico",1,))))))</f>
        <v/>
      </c>
      <c r="P28" s="244" t="str">
        <f t="shared" ref="P28" ca="1" si="35">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5">
        <v>1</v>
      </c>
      <c r="R28" s="106"/>
      <c r="S28" s="107" t="str">
        <f>IF(OR(T28="Preventivo",T28="Detectivo"),"Probabilidad",IF(T28="Correctivo","Impacto",""))</f>
        <v/>
      </c>
      <c r="T28" s="114"/>
      <c r="U28" s="114"/>
      <c r="V28" s="115" t="str">
        <f>IF(AND(T28="Preventivo",U28="Automático"),"50%",IF(AND(T28="Preventivo",U28="Manual"),"40%",IF(AND(T28="Detectivo",U28="Automático"),"40%",IF(AND(T28="Detectivo",U28="Manual"),"30%",IF(AND(T28="Correctivo",U28="Automático"),"35%",IF(AND(T28="Correctivo",U28="Manual"),"25%",""))))))</f>
        <v/>
      </c>
      <c r="W28" s="114"/>
      <c r="X28" s="114"/>
      <c r="Y28" s="114"/>
      <c r="Z28" s="108" t="str">
        <f>IFERROR(IF(S28="Probabilidad",(K28-(+K28*V28)),IF(S28="Impacto",K28,"")),"")</f>
        <v/>
      </c>
      <c r="AA28" s="118" t="str">
        <f>IFERROR(IF(Z28="","",IF(Z28&lt;=0.2,"Muy Baja",IF(Z28&lt;=0.4,"Baja",IF(Z28&lt;=0.6,"Media",IF(Z28&lt;=0.8,"Alta","Muy Alta"))))),"")</f>
        <v/>
      </c>
      <c r="AB28" s="119" t="str">
        <f>+Z28</f>
        <v/>
      </c>
      <c r="AC28" s="118" t="str">
        <f>IFERROR(IF(AD28="","",IF(AD28&lt;=0.2,"Leve",IF(AD28&lt;=0.4,"Menor",IF(AD28&lt;=0.6,"Moderado",IF(AD28&lt;=0.8,"Mayor","Catastrófico"))))),"")</f>
        <v/>
      </c>
      <c r="AD28" s="119" t="str">
        <f>IFERROR(IF(S28="Impacto",(O28-(+O28*V28)),IF(S28="Probabilidad",O28,"")),"")</f>
        <v/>
      </c>
      <c r="AE28" s="120"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21"/>
      <c r="AG28" s="109"/>
      <c r="AH28" s="110"/>
      <c r="AI28" s="111"/>
      <c r="AJ28" s="111"/>
      <c r="AK28" s="109"/>
      <c r="AL28" s="110"/>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3">
      <c r="A29" s="204"/>
      <c r="B29" s="248"/>
      <c r="C29" s="248"/>
      <c r="D29" s="251"/>
      <c r="E29" s="141"/>
      <c r="F29" s="253"/>
      <c r="G29" s="142"/>
      <c r="H29" s="255"/>
      <c r="I29" s="258"/>
      <c r="J29" s="242"/>
      <c r="K29" s="239"/>
      <c r="L29" s="261"/>
      <c r="M29" s="239">
        <f ca="1">IF(NOT(ISERROR(MATCH(L29,_xlfn.ANCHORARRAY(F40),0))),K42&amp;"Por favor no seleccionar los criterios de impacto",L29)</f>
        <v>0</v>
      </c>
      <c r="N29" s="242"/>
      <c r="O29" s="239"/>
      <c r="P29" s="245"/>
      <c r="Q29" s="105">
        <v>2</v>
      </c>
      <c r="R29" s="106"/>
      <c r="S29" s="107" t="str">
        <f>IF(OR(T29="Preventivo",T29="Detectivo"),"Probabilidad",IF(T29="Correctivo","Impacto",""))</f>
        <v/>
      </c>
      <c r="T29" s="114"/>
      <c r="U29" s="114"/>
      <c r="V29" s="115" t="str">
        <f t="shared" ref="V29:V33" si="36">IF(AND(T29="Preventivo",U29="Automático"),"50%",IF(AND(T29="Preventivo",U29="Manual"),"40%",IF(AND(T29="Detectivo",U29="Automático"),"40%",IF(AND(T29="Detectivo",U29="Manual"),"30%",IF(AND(T29="Correctivo",U29="Automático"),"35%",IF(AND(T29="Correctivo",U29="Manual"),"25%",""))))))</f>
        <v/>
      </c>
      <c r="W29" s="114"/>
      <c r="X29" s="114"/>
      <c r="Y29" s="114"/>
      <c r="Z29" s="108" t="str">
        <f>IFERROR(IF(AND(S28="Probabilidad",S29="Probabilidad"),(AB28-(+AB28*V29)),IF(AND(S28="Impacto",S29="Probabilidad"),(K28-(+K28*V29)),IF(S29="Impacto",AB28,""))),"")</f>
        <v/>
      </c>
      <c r="AA29" s="118" t="str">
        <f t="shared" ref="AA29:AA33" si="37">IFERROR(IF(Z29="","",IF(Z29&lt;=0.2,"Muy Baja",IF(Z29&lt;=0.4,"Baja",IF(Z29&lt;=0.6,"Media",IF(Z29&lt;=0.8,"Alta","Muy Alta"))))),"")</f>
        <v/>
      </c>
      <c r="AB29" s="119" t="str">
        <f>+Z29</f>
        <v/>
      </c>
      <c r="AC29" s="118" t="str">
        <f t="shared" ref="AC29:AC33" si="38">IFERROR(IF(AD29="","",IF(AD29&lt;=0.2,"Leve",IF(AD29&lt;=0.4,"Menor",IF(AD29&lt;=0.6,"Moderado",IF(AD29&lt;=0.8,"Mayor","Catastrófico"))))),"")</f>
        <v/>
      </c>
      <c r="AD29" s="119" t="str">
        <f>IFERROR(IF(AND(S28="Impacto",S29="Impacto"),(AD28-(+AD28*V29)),IF(AND(S28="Probabilidad",S29="Impacto"),(O28-(+O28*V29)),IF(S29="Probabilidad",AD28,""))),"")</f>
        <v/>
      </c>
      <c r="AE29" s="120" t="str">
        <f t="shared" ref="AE29:AE33" si="39">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21"/>
      <c r="AG29" s="109"/>
      <c r="AH29" s="110"/>
      <c r="AI29" s="111"/>
      <c r="AJ29" s="111"/>
      <c r="AK29" s="109"/>
      <c r="AL29" s="110"/>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3">
      <c r="A30" s="204"/>
      <c r="B30" s="248"/>
      <c r="C30" s="248"/>
      <c r="D30" s="251"/>
      <c r="E30" s="141"/>
      <c r="F30" s="253"/>
      <c r="G30" s="142"/>
      <c r="H30" s="255"/>
      <c r="I30" s="258"/>
      <c r="J30" s="242"/>
      <c r="K30" s="239"/>
      <c r="L30" s="261"/>
      <c r="M30" s="239">
        <f ca="1">IF(NOT(ISERROR(MATCH(L30,_xlfn.ANCHORARRAY(F41),0))),K43&amp;"Por favor no seleccionar los criterios de impacto",L30)</f>
        <v>0</v>
      </c>
      <c r="N30" s="242"/>
      <c r="O30" s="239"/>
      <c r="P30" s="245"/>
      <c r="Q30" s="105">
        <v>3</v>
      </c>
      <c r="R30" s="112"/>
      <c r="S30" s="107" t="str">
        <f t="shared" ref="S30:S33" si="40">IF(OR(T30="Preventivo",T30="Detectivo"),"Probabilidad",IF(T30="Correctivo","Impacto",""))</f>
        <v/>
      </c>
      <c r="T30" s="114"/>
      <c r="U30" s="114"/>
      <c r="V30" s="115" t="str">
        <f t="shared" si="36"/>
        <v/>
      </c>
      <c r="W30" s="114"/>
      <c r="X30" s="114"/>
      <c r="Y30" s="114"/>
      <c r="Z30" s="108" t="str">
        <f>IFERROR(IF(AND(S29="Probabilidad",S30="Probabilidad"),(AB29-(+AB29*V30)),IF(AND(S29="Impacto",S30="Probabilidad"),(AB28-(+AB28*V30)),IF(S30="Impacto",AB29,""))),"")</f>
        <v/>
      </c>
      <c r="AA30" s="118" t="str">
        <f t="shared" si="37"/>
        <v/>
      </c>
      <c r="AB30" s="119" t="str">
        <f t="shared" ref="AB30:AB33" si="41">+Z30</f>
        <v/>
      </c>
      <c r="AC30" s="118" t="str">
        <f t="shared" si="38"/>
        <v/>
      </c>
      <c r="AD30" s="119" t="str">
        <f t="shared" ref="AD30:AD33" si="42">IFERROR(IF(AND(S29="Impacto",S30="Impacto"),(AD29-(+AD29*V30)),IF(AND(S29="Probabilidad",S30="Impacto"),(AD28-(+AD28*V30)),IF(S30="Probabilidad",AD29,""))),"")</f>
        <v/>
      </c>
      <c r="AE30" s="120" t="str">
        <f t="shared" si="39"/>
        <v/>
      </c>
      <c r="AF30" s="121"/>
      <c r="AG30" s="109"/>
      <c r="AH30" s="110"/>
      <c r="AI30" s="111"/>
      <c r="AJ30" s="111"/>
      <c r="AK30" s="109"/>
      <c r="AL30" s="110"/>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3">
      <c r="A31" s="204"/>
      <c r="B31" s="248"/>
      <c r="C31" s="248"/>
      <c r="D31" s="251"/>
      <c r="E31" s="141"/>
      <c r="F31" s="253"/>
      <c r="G31" s="142"/>
      <c r="H31" s="255"/>
      <c r="I31" s="258"/>
      <c r="J31" s="242"/>
      <c r="K31" s="239"/>
      <c r="L31" s="261"/>
      <c r="M31" s="239">
        <f ca="1">IF(NOT(ISERROR(MATCH(L31,_xlfn.ANCHORARRAY(F42),0))),K44&amp;"Por favor no seleccionar los criterios de impacto",L31)</f>
        <v>0</v>
      </c>
      <c r="N31" s="242"/>
      <c r="O31" s="239"/>
      <c r="P31" s="245"/>
      <c r="Q31" s="105">
        <v>4</v>
      </c>
      <c r="R31" s="106"/>
      <c r="S31" s="107" t="str">
        <f t="shared" si="40"/>
        <v/>
      </c>
      <c r="T31" s="114"/>
      <c r="U31" s="114"/>
      <c r="V31" s="115" t="str">
        <f t="shared" si="36"/>
        <v/>
      </c>
      <c r="W31" s="114"/>
      <c r="X31" s="114"/>
      <c r="Y31" s="114"/>
      <c r="Z31" s="108" t="str">
        <f t="shared" ref="Z31:Z33" si="43">IFERROR(IF(AND(S30="Probabilidad",S31="Probabilidad"),(AB30-(+AB30*V31)),IF(AND(S30="Impacto",S31="Probabilidad"),(AB29-(+AB29*V31)),IF(S31="Impacto",AB30,""))),"")</f>
        <v/>
      </c>
      <c r="AA31" s="118" t="str">
        <f t="shared" si="37"/>
        <v/>
      </c>
      <c r="AB31" s="119" t="str">
        <f t="shared" si="41"/>
        <v/>
      </c>
      <c r="AC31" s="118" t="str">
        <f t="shared" si="38"/>
        <v/>
      </c>
      <c r="AD31" s="119" t="str">
        <f t="shared" si="42"/>
        <v/>
      </c>
      <c r="AE31" s="120" t="str">
        <f t="shared" si="39"/>
        <v/>
      </c>
      <c r="AF31" s="121"/>
      <c r="AG31" s="109"/>
      <c r="AH31" s="110"/>
      <c r="AI31" s="111"/>
      <c r="AJ31" s="111"/>
      <c r="AK31" s="109"/>
      <c r="AL31" s="110"/>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3">
      <c r="A32" s="204"/>
      <c r="B32" s="248"/>
      <c r="C32" s="248"/>
      <c r="D32" s="251"/>
      <c r="E32" s="141"/>
      <c r="F32" s="253"/>
      <c r="G32" s="142"/>
      <c r="H32" s="255"/>
      <c r="I32" s="258"/>
      <c r="J32" s="242"/>
      <c r="K32" s="239"/>
      <c r="L32" s="261"/>
      <c r="M32" s="239">
        <f ca="1">IF(NOT(ISERROR(MATCH(L32,_xlfn.ANCHORARRAY(F43),0))),K45&amp;"Por favor no seleccionar los criterios de impacto",L32)</f>
        <v>0</v>
      </c>
      <c r="N32" s="242"/>
      <c r="O32" s="239"/>
      <c r="P32" s="245"/>
      <c r="Q32" s="105">
        <v>5</v>
      </c>
      <c r="R32" s="106"/>
      <c r="S32" s="107" t="str">
        <f t="shared" si="40"/>
        <v/>
      </c>
      <c r="T32" s="114"/>
      <c r="U32" s="114"/>
      <c r="V32" s="115" t="str">
        <f t="shared" si="36"/>
        <v/>
      </c>
      <c r="W32" s="114"/>
      <c r="X32" s="114"/>
      <c r="Y32" s="114"/>
      <c r="Z32" s="108" t="str">
        <f t="shared" si="43"/>
        <v/>
      </c>
      <c r="AA32" s="118" t="str">
        <f t="shared" si="37"/>
        <v/>
      </c>
      <c r="AB32" s="119" t="str">
        <f t="shared" si="41"/>
        <v/>
      </c>
      <c r="AC32" s="118" t="str">
        <f t="shared" si="38"/>
        <v/>
      </c>
      <c r="AD32" s="119" t="str">
        <f t="shared" si="42"/>
        <v/>
      </c>
      <c r="AE32" s="120" t="str">
        <f t="shared" si="39"/>
        <v/>
      </c>
      <c r="AF32" s="121"/>
      <c r="AG32" s="109"/>
      <c r="AH32" s="110"/>
      <c r="AI32" s="111"/>
      <c r="AJ32" s="111"/>
      <c r="AK32" s="109"/>
      <c r="AL32" s="110"/>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3">
      <c r="A33" s="205"/>
      <c r="B33" s="249"/>
      <c r="C33" s="249"/>
      <c r="D33" s="252"/>
      <c r="E33" s="141"/>
      <c r="F33" s="253"/>
      <c r="G33" s="142"/>
      <c r="H33" s="256"/>
      <c r="I33" s="259"/>
      <c r="J33" s="243"/>
      <c r="K33" s="240"/>
      <c r="L33" s="262"/>
      <c r="M33" s="240">
        <f ca="1">IF(NOT(ISERROR(MATCH(L33,_xlfn.ANCHORARRAY(F44),0))),K46&amp;"Por favor no seleccionar los criterios de impacto",L33)</f>
        <v>0</v>
      </c>
      <c r="N33" s="243"/>
      <c r="O33" s="240"/>
      <c r="P33" s="246"/>
      <c r="Q33" s="105">
        <v>6</v>
      </c>
      <c r="R33" s="106"/>
      <c r="S33" s="107" t="str">
        <f t="shared" si="40"/>
        <v/>
      </c>
      <c r="T33" s="114"/>
      <c r="U33" s="114"/>
      <c r="V33" s="115" t="str">
        <f t="shared" si="36"/>
        <v/>
      </c>
      <c r="W33" s="114"/>
      <c r="X33" s="114"/>
      <c r="Y33" s="114"/>
      <c r="Z33" s="108" t="str">
        <f t="shared" si="43"/>
        <v/>
      </c>
      <c r="AA33" s="118" t="str">
        <f t="shared" si="37"/>
        <v/>
      </c>
      <c r="AB33" s="119" t="str">
        <f t="shared" si="41"/>
        <v/>
      </c>
      <c r="AC33" s="118" t="str">
        <f t="shared" si="38"/>
        <v/>
      </c>
      <c r="AD33" s="119" t="str">
        <f t="shared" si="42"/>
        <v/>
      </c>
      <c r="AE33" s="120" t="str">
        <f t="shared" si="39"/>
        <v/>
      </c>
      <c r="AF33" s="121"/>
      <c r="AG33" s="109"/>
      <c r="AH33" s="110"/>
      <c r="AI33" s="111"/>
      <c r="AJ33" s="111"/>
      <c r="AK33" s="109"/>
      <c r="AL33" s="110"/>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3">
      <c r="A34" s="203">
        <v>5</v>
      </c>
      <c r="B34" s="247"/>
      <c r="C34" s="247"/>
      <c r="D34" s="250"/>
      <c r="E34" s="141"/>
      <c r="F34" s="253"/>
      <c r="G34" s="142"/>
      <c r="H34" s="254"/>
      <c r="I34" s="257"/>
      <c r="J34" s="241" t="str">
        <f t="shared" ref="J34" si="44">IF(I34&lt;=0,"",IF(I34&lt;=2,"Muy Baja",IF(I34&lt;=24,"Baja",IF(I34&lt;=500,"Media",IF(I34&lt;=5000,"Alta","Muy Alta")))))</f>
        <v/>
      </c>
      <c r="K34" s="238" t="str">
        <f t="shared" ref="K34" si="45">IF(J34="","",IF(J34="Muy Baja",0.2,IF(J34="Baja",0.4,IF(J34="Media",0.6,IF(J34="Alta",0.8,IF(J34="Muy Alta",1,))))))</f>
        <v/>
      </c>
      <c r="L34" s="260"/>
      <c r="M34" s="238">
        <f ca="1">IF(NOT(ISERROR(MATCH(L34,'Tabla Impacto'!$B$221:$B$223,0))),'Tabla Impacto'!$F$223&amp;"Por favor no seleccionar los criterios de impacto(Afectación Económica o presupuestal y Pérdida Reputacional)",L34)</f>
        <v>0</v>
      </c>
      <c r="N34" s="241" t="str">
        <f ca="1">IF(OR(M34='Tabla Impacto'!$C$11,M34='Tabla Impacto'!$D$11),"Leve",IF(OR(M34='Tabla Impacto'!$C$12,M34='Tabla Impacto'!$D$12),"Menor",IF(OR(M34='Tabla Impacto'!$C$13,M34='Tabla Impacto'!$D$13),"Moderado",IF(OR(M34='Tabla Impacto'!$C$14,M34='Tabla Impacto'!$D$14),"Mayor",IF(OR(M34='Tabla Impacto'!$C$15,M34='Tabla Impacto'!$D$15),"Catastrófico","")))))</f>
        <v/>
      </c>
      <c r="O34" s="238" t="str">
        <f t="shared" ref="O34" ca="1" si="46">IF(N34="","",IF(N34="Leve",0.2,IF(N34="Menor",0.4,IF(N34="Moderado",0.6,IF(N34="Mayor",0.8,IF(N34="Catastrófico",1,))))))</f>
        <v/>
      </c>
      <c r="P34" s="244" t="str">
        <f t="shared" ref="P34" ca="1" si="47">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5">
        <v>1</v>
      </c>
      <c r="R34" s="106"/>
      <c r="S34" s="107" t="str">
        <f>IF(OR(T34="Preventivo",T34="Detectivo"),"Probabilidad",IF(T34="Correctivo","Impacto",""))</f>
        <v/>
      </c>
      <c r="T34" s="114"/>
      <c r="U34" s="114"/>
      <c r="V34" s="115" t="str">
        <f>IF(AND(T34="Preventivo",U34="Automático"),"50%",IF(AND(T34="Preventivo",U34="Manual"),"40%",IF(AND(T34="Detectivo",U34="Automático"),"40%",IF(AND(T34="Detectivo",U34="Manual"),"30%",IF(AND(T34="Correctivo",U34="Automático"),"35%",IF(AND(T34="Correctivo",U34="Manual"),"25%",""))))))</f>
        <v/>
      </c>
      <c r="W34" s="114"/>
      <c r="X34" s="114"/>
      <c r="Y34" s="114"/>
      <c r="Z34" s="108" t="str">
        <f>IFERROR(IF(S34="Probabilidad",(K34-(+K34*V34)),IF(S34="Impacto",K34,"")),"")</f>
        <v/>
      </c>
      <c r="AA34" s="118" t="str">
        <f>IFERROR(IF(Z34="","",IF(Z34&lt;=0.2,"Muy Baja",IF(Z34&lt;=0.4,"Baja",IF(Z34&lt;=0.6,"Media",IF(Z34&lt;=0.8,"Alta","Muy Alta"))))),"")</f>
        <v/>
      </c>
      <c r="AB34" s="119" t="str">
        <f>+Z34</f>
        <v/>
      </c>
      <c r="AC34" s="118" t="str">
        <f>IFERROR(IF(AD34="","",IF(AD34&lt;=0.2,"Leve",IF(AD34&lt;=0.4,"Menor",IF(AD34&lt;=0.6,"Moderado",IF(AD34&lt;=0.8,"Mayor","Catastrófico"))))),"")</f>
        <v/>
      </c>
      <c r="AD34" s="119" t="str">
        <f>IFERROR(IF(S34="Impacto",(O34-(+O34*V34)),IF(S34="Probabilidad",O34,"")),"")</f>
        <v/>
      </c>
      <c r="AE34" s="120"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21"/>
      <c r="AG34" s="109"/>
      <c r="AH34" s="110"/>
      <c r="AI34" s="111"/>
      <c r="AJ34" s="111"/>
      <c r="AK34" s="109"/>
      <c r="AL34" s="110"/>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3">
      <c r="A35" s="204"/>
      <c r="B35" s="248"/>
      <c r="C35" s="248"/>
      <c r="D35" s="251"/>
      <c r="E35" s="141"/>
      <c r="F35" s="253"/>
      <c r="G35" s="142"/>
      <c r="H35" s="255"/>
      <c r="I35" s="258"/>
      <c r="J35" s="242"/>
      <c r="K35" s="239"/>
      <c r="L35" s="261"/>
      <c r="M35" s="239">
        <f ca="1">IF(NOT(ISERROR(MATCH(L35,_xlfn.ANCHORARRAY(F46),0))),K48&amp;"Por favor no seleccionar los criterios de impacto",L35)</f>
        <v>0</v>
      </c>
      <c r="N35" s="242"/>
      <c r="O35" s="239"/>
      <c r="P35" s="245"/>
      <c r="Q35" s="105">
        <v>2</v>
      </c>
      <c r="R35" s="106"/>
      <c r="S35" s="107" t="str">
        <f>IF(OR(T35="Preventivo",T35="Detectivo"),"Probabilidad",IF(T35="Correctivo","Impacto",""))</f>
        <v/>
      </c>
      <c r="T35" s="114"/>
      <c r="U35" s="114"/>
      <c r="V35" s="115" t="str">
        <f t="shared" ref="V35:V39" si="48">IF(AND(T35="Preventivo",U35="Automático"),"50%",IF(AND(T35="Preventivo",U35="Manual"),"40%",IF(AND(T35="Detectivo",U35="Automático"),"40%",IF(AND(T35="Detectivo",U35="Manual"),"30%",IF(AND(T35="Correctivo",U35="Automático"),"35%",IF(AND(T35="Correctivo",U35="Manual"),"25%",""))))))</f>
        <v/>
      </c>
      <c r="W35" s="114"/>
      <c r="X35" s="114"/>
      <c r="Y35" s="114"/>
      <c r="Z35" s="108" t="str">
        <f>IFERROR(IF(AND(S34="Probabilidad",S35="Probabilidad"),(AB34-(+AB34*V35)),IF(AND(S34="Impacto",S35="Probabilidad"),(K34-(+K34*V35)),IF(S35="Impacto",AB34,""))),"")</f>
        <v/>
      </c>
      <c r="AA35" s="118" t="str">
        <f t="shared" ref="AA35:AA39" si="49">IFERROR(IF(Z35="","",IF(Z35&lt;=0.2,"Muy Baja",IF(Z35&lt;=0.4,"Baja",IF(Z35&lt;=0.6,"Media",IF(Z35&lt;=0.8,"Alta","Muy Alta"))))),"")</f>
        <v/>
      </c>
      <c r="AB35" s="119" t="str">
        <f>+Z35</f>
        <v/>
      </c>
      <c r="AC35" s="118" t="str">
        <f t="shared" ref="AC35:AC39" si="50">IFERROR(IF(AD35="","",IF(AD35&lt;=0.2,"Leve",IF(AD35&lt;=0.4,"Menor",IF(AD35&lt;=0.6,"Moderado",IF(AD35&lt;=0.8,"Mayor","Catastrófico"))))),"")</f>
        <v/>
      </c>
      <c r="AD35" s="119" t="str">
        <f>IFERROR(IF(AND(S34="Impacto",S35="Impacto"),(AD34-(+AD34*V35)),IF(AND(S34="Probabilidad",S35="Impacto"),(O34-(+O34*V35)),IF(S35="Probabilidad",AD34,""))),"")</f>
        <v/>
      </c>
      <c r="AE35" s="120" t="str">
        <f t="shared" ref="AE35:AE39" si="51">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21"/>
      <c r="AG35" s="109"/>
      <c r="AH35" s="110"/>
      <c r="AI35" s="111"/>
      <c r="AJ35" s="111"/>
      <c r="AK35" s="109"/>
      <c r="AL35" s="110"/>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3">
      <c r="A36" s="204"/>
      <c r="B36" s="248"/>
      <c r="C36" s="248"/>
      <c r="D36" s="251"/>
      <c r="E36" s="141"/>
      <c r="F36" s="253"/>
      <c r="G36" s="142"/>
      <c r="H36" s="255"/>
      <c r="I36" s="258"/>
      <c r="J36" s="242"/>
      <c r="K36" s="239"/>
      <c r="L36" s="261"/>
      <c r="M36" s="239">
        <f ca="1">IF(NOT(ISERROR(MATCH(L36,_xlfn.ANCHORARRAY(F47),0))),K49&amp;"Por favor no seleccionar los criterios de impacto",L36)</f>
        <v>0</v>
      </c>
      <c r="N36" s="242"/>
      <c r="O36" s="239"/>
      <c r="P36" s="245"/>
      <c r="Q36" s="105">
        <v>3</v>
      </c>
      <c r="R36" s="112"/>
      <c r="S36" s="107" t="str">
        <f t="shared" ref="S36:S39" si="52">IF(OR(T36="Preventivo",T36="Detectivo"),"Probabilidad",IF(T36="Correctivo","Impacto",""))</f>
        <v/>
      </c>
      <c r="T36" s="114"/>
      <c r="U36" s="114"/>
      <c r="V36" s="115" t="str">
        <f t="shared" si="48"/>
        <v/>
      </c>
      <c r="W36" s="114"/>
      <c r="X36" s="114"/>
      <c r="Y36" s="114"/>
      <c r="Z36" s="108" t="str">
        <f>IFERROR(IF(AND(S35="Probabilidad",S36="Probabilidad"),(AB35-(+AB35*V36)),IF(AND(S35="Impacto",S36="Probabilidad"),(AB34-(+AB34*V36)),IF(S36="Impacto",AB35,""))),"")</f>
        <v/>
      </c>
      <c r="AA36" s="118" t="str">
        <f t="shared" si="49"/>
        <v/>
      </c>
      <c r="AB36" s="119" t="str">
        <f t="shared" ref="AB36:AB39" si="53">+Z36</f>
        <v/>
      </c>
      <c r="AC36" s="118" t="str">
        <f t="shared" si="50"/>
        <v/>
      </c>
      <c r="AD36" s="119" t="str">
        <f t="shared" ref="AD36:AD39" si="54">IFERROR(IF(AND(S35="Impacto",S36="Impacto"),(AD35-(+AD35*V36)),IF(AND(S35="Probabilidad",S36="Impacto"),(AD34-(+AD34*V36)),IF(S36="Probabilidad",AD35,""))),"")</f>
        <v/>
      </c>
      <c r="AE36" s="120" t="str">
        <f t="shared" si="51"/>
        <v/>
      </c>
      <c r="AF36" s="121"/>
      <c r="AG36" s="109"/>
      <c r="AH36" s="110"/>
      <c r="AI36" s="111"/>
      <c r="AJ36" s="111"/>
      <c r="AK36" s="109"/>
      <c r="AL36" s="110"/>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3">
      <c r="A37" s="204"/>
      <c r="B37" s="248"/>
      <c r="C37" s="248"/>
      <c r="D37" s="251"/>
      <c r="E37" s="141"/>
      <c r="F37" s="253"/>
      <c r="G37" s="142"/>
      <c r="H37" s="255"/>
      <c r="I37" s="258"/>
      <c r="J37" s="242"/>
      <c r="K37" s="239"/>
      <c r="L37" s="261"/>
      <c r="M37" s="239">
        <f ca="1">IF(NOT(ISERROR(MATCH(L37,_xlfn.ANCHORARRAY(F48),0))),K50&amp;"Por favor no seleccionar los criterios de impacto",L37)</f>
        <v>0</v>
      </c>
      <c r="N37" s="242"/>
      <c r="O37" s="239"/>
      <c r="P37" s="245"/>
      <c r="Q37" s="105">
        <v>4</v>
      </c>
      <c r="R37" s="106"/>
      <c r="S37" s="107" t="str">
        <f t="shared" si="52"/>
        <v/>
      </c>
      <c r="T37" s="114"/>
      <c r="U37" s="114"/>
      <c r="V37" s="115" t="str">
        <f t="shared" si="48"/>
        <v/>
      </c>
      <c r="W37" s="114"/>
      <c r="X37" s="114"/>
      <c r="Y37" s="114"/>
      <c r="Z37" s="108" t="str">
        <f t="shared" ref="Z37:Z39" si="55">IFERROR(IF(AND(S36="Probabilidad",S37="Probabilidad"),(AB36-(+AB36*V37)),IF(AND(S36="Impacto",S37="Probabilidad"),(AB35-(+AB35*V37)),IF(S37="Impacto",AB36,""))),"")</f>
        <v/>
      </c>
      <c r="AA37" s="118" t="str">
        <f t="shared" si="49"/>
        <v/>
      </c>
      <c r="AB37" s="119" t="str">
        <f t="shared" si="53"/>
        <v/>
      </c>
      <c r="AC37" s="118" t="str">
        <f t="shared" si="50"/>
        <v/>
      </c>
      <c r="AD37" s="119" t="str">
        <f t="shared" si="54"/>
        <v/>
      </c>
      <c r="AE37" s="120" t="str">
        <f t="shared" si="51"/>
        <v/>
      </c>
      <c r="AF37" s="121"/>
      <c r="AG37" s="109"/>
      <c r="AH37" s="110"/>
      <c r="AI37" s="111"/>
      <c r="AJ37" s="111"/>
      <c r="AK37" s="109"/>
      <c r="AL37" s="110"/>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3">
      <c r="A38" s="204"/>
      <c r="B38" s="248"/>
      <c r="C38" s="248"/>
      <c r="D38" s="251"/>
      <c r="E38" s="141"/>
      <c r="F38" s="253"/>
      <c r="G38" s="142"/>
      <c r="H38" s="255"/>
      <c r="I38" s="258"/>
      <c r="J38" s="242"/>
      <c r="K38" s="239"/>
      <c r="L38" s="261"/>
      <c r="M38" s="239">
        <f ca="1">IF(NOT(ISERROR(MATCH(L38,_xlfn.ANCHORARRAY(F49),0))),K51&amp;"Por favor no seleccionar los criterios de impacto",L38)</f>
        <v>0</v>
      </c>
      <c r="N38" s="242"/>
      <c r="O38" s="239"/>
      <c r="P38" s="245"/>
      <c r="Q38" s="105">
        <v>5</v>
      </c>
      <c r="R38" s="106"/>
      <c r="S38" s="107" t="str">
        <f t="shared" si="52"/>
        <v/>
      </c>
      <c r="T38" s="114"/>
      <c r="U38" s="114"/>
      <c r="V38" s="115" t="str">
        <f t="shared" si="48"/>
        <v/>
      </c>
      <c r="W38" s="114"/>
      <c r="X38" s="114"/>
      <c r="Y38" s="114"/>
      <c r="Z38" s="108" t="str">
        <f t="shared" si="55"/>
        <v/>
      </c>
      <c r="AA38" s="118" t="str">
        <f t="shared" si="49"/>
        <v/>
      </c>
      <c r="AB38" s="119" t="str">
        <f t="shared" si="53"/>
        <v/>
      </c>
      <c r="AC38" s="118" t="str">
        <f t="shared" si="50"/>
        <v/>
      </c>
      <c r="AD38" s="119" t="str">
        <f t="shared" si="54"/>
        <v/>
      </c>
      <c r="AE38" s="120" t="str">
        <f t="shared" si="51"/>
        <v/>
      </c>
      <c r="AF38" s="121"/>
      <c r="AG38" s="109"/>
      <c r="AH38" s="110"/>
      <c r="AI38" s="111"/>
      <c r="AJ38" s="111"/>
      <c r="AK38" s="109"/>
      <c r="AL38" s="110"/>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3">
      <c r="A39" s="205"/>
      <c r="B39" s="249"/>
      <c r="C39" s="249"/>
      <c r="D39" s="252"/>
      <c r="E39" s="141"/>
      <c r="F39" s="253"/>
      <c r="G39" s="142"/>
      <c r="H39" s="256"/>
      <c r="I39" s="259"/>
      <c r="J39" s="243"/>
      <c r="K39" s="240"/>
      <c r="L39" s="262"/>
      <c r="M39" s="240">
        <f ca="1">IF(NOT(ISERROR(MATCH(L39,_xlfn.ANCHORARRAY(F50),0))),K52&amp;"Por favor no seleccionar los criterios de impacto",L39)</f>
        <v>0</v>
      </c>
      <c r="N39" s="243"/>
      <c r="O39" s="240"/>
      <c r="P39" s="246"/>
      <c r="Q39" s="105">
        <v>6</v>
      </c>
      <c r="R39" s="106"/>
      <c r="S39" s="107" t="str">
        <f t="shared" si="52"/>
        <v/>
      </c>
      <c r="T39" s="114"/>
      <c r="U39" s="114"/>
      <c r="V39" s="115" t="str">
        <f t="shared" si="48"/>
        <v/>
      </c>
      <c r="W39" s="114"/>
      <c r="X39" s="114"/>
      <c r="Y39" s="114"/>
      <c r="Z39" s="108" t="str">
        <f t="shared" si="55"/>
        <v/>
      </c>
      <c r="AA39" s="118" t="str">
        <f t="shared" si="49"/>
        <v/>
      </c>
      <c r="AB39" s="119" t="str">
        <f t="shared" si="53"/>
        <v/>
      </c>
      <c r="AC39" s="118" t="str">
        <f t="shared" si="50"/>
        <v/>
      </c>
      <c r="AD39" s="119" t="str">
        <f t="shared" si="54"/>
        <v/>
      </c>
      <c r="AE39" s="120" t="str">
        <f t="shared" si="51"/>
        <v/>
      </c>
      <c r="AF39" s="121"/>
      <c r="AG39" s="109"/>
      <c r="AH39" s="110"/>
      <c r="AI39" s="111"/>
      <c r="AJ39" s="111"/>
      <c r="AK39" s="109"/>
      <c r="AL39" s="110"/>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3">
      <c r="A40" s="203">
        <v>6</v>
      </c>
      <c r="B40" s="247"/>
      <c r="C40" s="247"/>
      <c r="D40" s="250"/>
      <c r="E40" s="141"/>
      <c r="F40" s="253"/>
      <c r="G40" s="142"/>
      <c r="H40" s="254"/>
      <c r="I40" s="257"/>
      <c r="J40" s="241" t="str">
        <f t="shared" ref="J40" si="56">IF(I40&lt;=0,"",IF(I40&lt;=2,"Muy Baja",IF(I40&lt;=24,"Baja",IF(I40&lt;=500,"Media",IF(I40&lt;=5000,"Alta","Muy Alta")))))</f>
        <v/>
      </c>
      <c r="K40" s="238" t="str">
        <f t="shared" ref="K40" si="57">IF(J40="","",IF(J40="Muy Baja",0.2,IF(J40="Baja",0.4,IF(J40="Media",0.6,IF(J40="Alta",0.8,IF(J40="Muy Alta",1,))))))</f>
        <v/>
      </c>
      <c r="L40" s="260"/>
      <c r="M40" s="238">
        <f ca="1">IF(NOT(ISERROR(MATCH(L40,'Tabla Impacto'!$B$221:$B$223,0))),'Tabla Impacto'!$F$223&amp;"Por favor no seleccionar los criterios de impacto(Afectación Económica o presupuestal y Pérdida Reputacional)",L40)</f>
        <v>0</v>
      </c>
      <c r="N40" s="241" t="str">
        <f ca="1">IF(OR(M40='Tabla Impacto'!$C$11,M40='Tabla Impacto'!$D$11),"Leve",IF(OR(M40='Tabla Impacto'!$C$12,M40='Tabla Impacto'!$D$12),"Menor",IF(OR(M40='Tabla Impacto'!$C$13,M40='Tabla Impacto'!$D$13),"Moderado",IF(OR(M40='Tabla Impacto'!$C$14,M40='Tabla Impacto'!$D$14),"Mayor",IF(OR(M40='Tabla Impacto'!$C$15,M40='Tabla Impacto'!$D$15),"Catastrófico","")))))</f>
        <v/>
      </c>
      <c r="O40" s="238" t="str">
        <f t="shared" ref="O40" ca="1" si="58">IF(N40="","",IF(N40="Leve",0.2,IF(N40="Menor",0.4,IF(N40="Moderado",0.6,IF(N40="Mayor",0.8,IF(N40="Catastrófico",1,))))))</f>
        <v/>
      </c>
      <c r="P40" s="244" t="str">
        <f t="shared" ref="P40" ca="1" si="59">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5">
        <v>1</v>
      </c>
      <c r="R40" s="106"/>
      <c r="S40" s="107" t="str">
        <f>IF(OR(T40="Preventivo",T40="Detectivo"),"Probabilidad",IF(T40="Correctivo","Impacto",""))</f>
        <v/>
      </c>
      <c r="T40" s="114"/>
      <c r="U40" s="114"/>
      <c r="V40" s="115" t="str">
        <f>IF(AND(T40="Preventivo",U40="Automático"),"50%",IF(AND(T40="Preventivo",U40="Manual"),"40%",IF(AND(T40="Detectivo",U40="Automático"),"40%",IF(AND(T40="Detectivo",U40="Manual"),"30%",IF(AND(T40="Correctivo",U40="Automático"),"35%",IF(AND(T40="Correctivo",U40="Manual"),"25%",""))))))</f>
        <v/>
      </c>
      <c r="W40" s="114"/>
      <c r="X40" s="114"/>
      <c r="Y40" s="114"/>
      <c r="Z40" s="108" t="str">
        <f>IFERROR(IF(S40="Probabilidad",(K40-(+K40*V40)),IF(S40="Impacto",K40,"")),"")</f>
        <v/>
      </c>
      <c r="AA40" s="118" t="str">
        <f>IFERROR(IF(Z40="","",IF(Z40&lt;=0.2,"Muy Baja",IF(Z40&lt;=0.4,"Baja",IF(Z40&lt;=0.6,"Media",IF(Z40&lt;=0.8,"Alta","Muy Alta"))))),"")</f>
        <v/>
      </c>
      <c r="AB40" s="119" t="str">
        <f>+Z40</f>
        <v/>
      </c>
      <c r="AC40" s="118" t="str">
        <f>IFERROR(IF(AD40="","",IF(AD40&lt;=0.2,"Leve",IF(AD40&lt;=0.4,"Menor",IF(AD40&lt;=0.6,"Moderado",IF(AD40&lt;=0.8,"Mayor","Catastrófico"))))),"")</f>
        <v/>
      </c>
      <c r="AD40" s="119" t="str">
        <f>IFERROR(IF(S40="Impacto",(O40-(+O40*V40)),IF(S40="Probabilidad",O40,"")),"")</f>
        <v/>
      </c>
      <c r="AE40" s="120"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21"/>
      <c r="AG40" s="109"/>
      <c r="AH40" s="110"/>
      <c r="AI40" s="111"/>
      <c r="AJ40" s="111"/>
      <c r="AK40" s="109"/>
      <c r="AL40" s="110"/>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3">
      <c r="A41" s="204"/>
      <c r="B41" s="248"/>
      <c r="C41" s="248"/>
      <c r="D41" s="251"/>
      <c r="E41" s="141"/>
      <c r="F41" s="253"/>
      <c r="G41" s="142"/>
      <c r="H41" s="255"/>
      <c r="I41" s="258"/>
      <c r="J41" s="242"/>
      <c r="K41" s="239"/>
      <c r="L41" s="261"/>
      <c r="M41" s="239">
        <f ca="1">IF(NOT(ISERROR(MATCH(L41,_xlfn.ANCHORARRAY(F52),0))),K54&amp;"Por favor no seleccionar los criterios de impacto",L41)</f>
        <v>0</v>
      </c>
      <c r="N41" s="242"/>
      <c r="O41" s="239"/>
      <c r="P41" s="245"/>
      <c r="Q41" s="105">
        <v>2</v>
      </c>
      <c r="R41" s="106"/>
      <c r="S41" s="107" t="str">
        <f>IF(OR(T41="Preventivo",T41="Detectivo"),"Probabilidad",IF(T41="Correctivo","Impacto",""))</f>
        <v/>
      </c>
      <c r="T41" s="114"/>
      <c r="U41" s="114"/>
      <c r="V41" s="115" t="str">
        <f t="shared" ref="V41:V45" si="60">IF(AND(T41="Preventivo",U41="Automático"),"50%",IF(AND(T41="Preventivo",U41="Manual"),"40%",IF(AND(T41="Detectivo",U41="Automático"),"40%",IF(AND(T41="Detectivo",U41="Manual"),"30%",IF(AND(T41="Correctivo",U41="Automático"),"35%",IF(AND(T41="Correctivo",U41="Manual"),"25%",""))))))</f>
        <v/>
      </c>
      <c r="W41" s="114"/>
      <c r="X41" s="114"/>
      <c r="Y41" s="114"/>
      <c r="Z41" s="108" t="str">
        <f>IFERROR(IF(AND(S40="Probabilidad",S41="Probabilidad"),(AB40-(+AB40*V41)),IF(AND(S40="Impacto",S41="Probabilidad"),(K40-(+K40*V41)),IF(S41="Impacto",AB40,""))),"")</f>
        <v/>
      </c>
      <c r="AA41" s="118" t="str">
        <f t="shared" ref="AA41:AA45" si="61">IFERROR(IF(Z41="","",IF(Z41&lt;=0.2,"Muy Baja",IF(Z41&lt;=0.4,"Baja",IF(Z41&lt;=0.6,"Media",IF(Z41&lt;=0.8,"Alta","Muy Alta"))))),"")</f>
        <v/>
      </c>
      <c r="AB41" s="119" t="str">
        <f>+Z41</f>
        <v/>
      </c>
      <c r="AC41" s="118" t="str">
        <f t="shared" ref="AC41:AC45" si="62">IFERROR(IF(AD41="","",IF(AD41&lt;=0.2,"Leve",IF(AD41&lt;=0.4,"Menor",IF(AD41&lt;=0.6,"Moderado",IF(AD41&lt;=0.8,"Mayor","Catastrófico"))))),"")</f>
        <v/>
      </c>
      <c r="AD41" s="119" t="str">
        <f>IFERROR(IF(AND(S40="Impacto",S41="Impacto"),(AD40-(+AD40*V41)),IF(AND(S40="Probabilidad",S41="Impacto"),(O40-(+O40*V41)),IF(S41="Probabilidad",AD40,""))),"")</f>
        <v/>
      </c>
      <c r="AE41" s="120" t="str">
        <f t="shared" ref="AE41:AE45" si="63">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21"/>
      <c r="AG41" s="109"/>
      <c r="AH41" s="110"/>
      <c r="AI41" s="111"/>
      <c r="AJ41" s="111"/>
      <c r="AK41" s="109"/>
      <c r="AL41" s="110"/>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3">
      <c r="A42" s="204"/>
      <c r="B42" s="248"/>
      <c r="C42" s="248"/>
      <c r="D42" s="251"/>
      <c r="E42" s="141"/>
      <c r="F42" s="253"/>
      <c r="G42" s="142"/>
      <c r="H42" s="255"/>
      <c r="I42" s="258"/>
      <c r="J42" s="242"/>
      <c r="K42" s="239"/>
      <c r="L42" s="261"/>
      <c r="M42" s="239">
        <f ca="1">IF(NOT(ISERROR(MATCH(L42,_xlfn.ANCHORARRAY(F53),0))),K55&amp;"Por favor no seleccionar los criterios de impacto",L42)</f>
        <v>0</v>
      </c>
      <c r="N42" s="242"/>
      <c r="O42" s="239"/>
      <c r="P42" s="245"/>
      <c r="Q42" s="105">
        <v>3</v>
      </c>
      <c r="R42" s="112"/>
      <c r="S42" s="107" t="str">
        <f t="shared" ref="S42:S45" si="64">IF(OR(T42="Preventivo",T42="Detectivo"),"Probabilidad",IF(T42="Correctivo","Impacto",""))</f>
        <v/>
      </c>
      <c r="T42" s="114"/>
      <c r="U42" s="114"/>
      <c r="V42" s="115" t="str">
        <f t="shared" si="60"/>
        <v/>
      </c>
      <c r="W42" s="114"/>
      <c r="X42" s="114"/>
      <c r="Y42" s="114"/>
      <c r="Z42" s="108" t="str">
        <f>IFERROR(IF(AND(S41="Probabilidad",S42="Probabilidad"),(AB41-(+AB41*V42)),IF(AND(S41="Impacto",S42="Probabilidad"),(AB40-(+AB40*V42)),IF(S42="Impacto",AB41,""))),"")</f>
        <v/>
      </c>
      <c r="AA42" s="118" t="str">
        <f t="shared" si="61"/>
        <v/>
      </c>
      <c r="AB42" s="119" t="str">
        <f t="shared" ref="AB42:AB45" si="65">+Z42</f>
        <v/>
      </c>
      <c r="AC42" s="118" t="str">
        <f t="shared" si="62"/>
        <v/>
      </c>
      <c r="AD42" s="119" t="str">
        <f t="shared" ref="AD42:AD45" si="66">IFERROR(IF(AND(S41="Impacto",S42="Impacto"),(AD41-(+AD41*V42)),IF(AND(S41="Probabilidad",S42="Impacto"),(AD40-(+AD40*V42)),IF(S42="Probabilidad",AD41,""))),"")</f>
        <v/>
      </c>
      <c r="AE42" s="120" t="str">
        <f t="shared" si="63"/>
        <v/>
      </c>
      <c r="AF42" s="121"/>
      <c r="AG42" s="109"/>
      <c r="AH42" s="110"/>
      <c r="AI42" s="111"/>
      <c r="AJ42" s="111"/>
      <c r="AK42" s="109"/>
      <c r="AL42" s="110"/>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3">
      <c r="A43" s="204"/>
      <c r="B43" s="248"/>
      <c r="C43" s="248"/>
      <c r="D43" s="251"/>
      <c r="E43" s="141"/>
      <c r="F43" s="253"/>
      <c r="G43" s="142"/>
      <c r="H43" s="255"/>
      <c r="I43" s="258"/>
      <c r="J43" s="242"/>
      <c r="K43" s="239"/>
      <c r="L43" s="261"/>
      <c r="M43" s="239">
        <f ca="1">IF(NOT(ISERROR(MATCH(L43,_xlfn.ANCHORARRAY(F54),0))),K56&amp;"Por favor no seleccionar los criterios de impacto",L43)</f>
        <v>0</v>
      </c>
      <c r="N43" s="242"/>
      <c r="O43" s="239"/>
      <c r="P43" s="245"/>
      <c r="Q43" s="105">
        <v>4</v>
      </c>
      <c r="R43" s="106"/>
      <c r="S43" s="107" t="str">
        <f t="shared" si="64"/>
        <v/>
      </c>
      <c r="T43" s="114"/>
      <c r="U43" s="114"/>
      <c r="V43" s="115" t="str">
        <f t="shared" si="60"/>
        <v/>
      </c>
      <c r="W43" s="114"/>
      <c r="X43" s="114"/>
      <c r="Y43" s="114"/>
      <c r="Z43" s="108" t="str">
        <f t="shared" ref="Z43:Z45" si="67">IFERROR(IF(AND(S42="Probabilidad",S43="Probabilidad"),(AB42-(+AB42*V43)),IF(AND(S42="Impacto",S43="Probabilidad"),(AB41-(+AB41*V43)),IF(S43="Impacto",AB42,""))),"")</f>
        <v/>
      </c>
      <c r="AA43" s="118" t="str">
        <f t="shared" si="61"/>
        <v/>
      </c>
      <c r="AB43" s="119" t="str">
        <f t="shared" si="65"/>
        <v/>
      </c>
      <c r="AC43" s="118" t="str">
        <f t="shared" si="62"/>
        <v/>
      </c>
      <c r="AD43" s="119" t="str">
        <f t="shared" si="66"/>
        <v/>
      </c>
      <c r="AE43" s="120" t="str">
        <f t="shared" si="63"/>
        <v/>
      </c>
      <c r="AF43" s="121"/>
      <c r="AG43" s="109"/>
      <c r="AH43" s="110"/>
      <c r="AI43" s="111"/>
      <c r="AJ43" s="111"/>
      <c r="AK43" s="109"/>
      <c r="AL43" s="110"/>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3">
      <c r="A44" s="204"/>
      <c r="B44" s="248"/>
      <c r="C44" s="248"/>
      <c r="D44" s="251"/>
      <c r="E44" s="141"/>
      <c r="F44" s="253"/>
      <c r="G44" s="142"/>
      <c r="H44" s="255"/>
      <c r="I44" s="258"/>
      <c r="J44" s="242"/>
      <c r="K44" s="239"/>
      <c r="L44" s="261"/>
      <c r="M44" s="239">
        <f ca="1">IF(NOT(ISERROR(MATCH(L44,_xlfn.ANCHORARRAY(F55),0))),K57&amp;"Por favor no seleccionar los criterios de impacto",L44)</f>
        <v>0</v>
      </c>
      <c r="N44" s="242"/>
      <c r="O44" s="239"/>
      <c r="P44" s="245"/>
      <c r="Q44" s="105">
        <v>5</v>
      </c>
      <c r="R44" s="106"/>
      <c r="S44" s="107" t="str">
        <f t="shared" si="64"/>
        <v/>
      </c>
      <c r="T44" s="114"/>
      <c r="U44" s="114"/>
      <c r="V44" s="115" t="str">
        <f t="shared" si="60"/>
        <v/>
      </c>
      <c r="W44" s="114"/>
      <c r="X44" s="114"/>
      <c r="Y44" s="114"/>
      <c r="Z44" s="108" t="str">
        <f t="shared" si="67"/>
        <v/>
      </c>
      <c r="AA44" s="118" t="str">
        <f t="shared" si="61"/>
        <v/>
      </c>
      <c r="AB44" s="119" t="str">
        <f t="shared" si="65"/>
        <v/>
      </c>
      <c r="AC44" s="118" t="str">
        <f t="shared" si="62"/>
        <v/>
      </c>
      <c r="AD44" s="119" t="str">
        <f t="shared" si="66"/>
        <v/>
      </c>
      <c r="AE44" s="120" t="str">
        <f t="shared" si="63"/>
        <v/>
      </c>
      <c r="AF44" s="121"/>
      <c r="AG44" s="109"/>
      <c r="AH44" s="110"/>
      <c r="AI44" s="111"/>
      <c r="AJ44" s="111"/>
      <c r="AK44" s="109"/>
      <c r="AL44" s="110"/>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3">
      <c r="A45" s="205"/>
      <c r="B45" s="249"/>
      <c r="C45" s="249"/>
      <c r="D45" s="252"/>
      <c r="E45" s="141"/>
      <c r="F45" s="253"/>
      <c r="G45" s="142"/>
      <c r="H45" s="256"/>
      <c r="I45" s="259"/>
      <c r="J45" s="243"/>
      <c r="K45" s="240"/>
      <c r="L45" s="262"/>
      <c r="M45" s="240">
        <f ca="1">IF(NOT(ISERROR(MATCH(L45,_xlfn.ANCHORARRAY(F56),0))),K58&amp;"Por favor no seleccionar los criterios de impacto",L45)</f>
        <v>0</v>
      </c>
      <c r="N45" s="243"/>
      <c r="O45" s="240"/>
      <c r="P45" s="246"/>
      <c r="Q45" s="105">
        <v>6</v>
      </c>
      <c r="R45" s="106"/>
      <c r="S45" s="107" t="str">
        <f t="shared" si="64"/>
        <v/>
      </c>
      <c r="T45" s="114"/>
      <c r="U45" s="114"/>
      <c r="V45" s="115" t="str">
        <f t="shared" si="60"/>
        <v/>
      </c>
      <c r="W45" s="114"/>
      <c r="X45" s="114"/>
      <c r="Y45" s="114"/>
      <c r="Z45" s="108" t="str">
        <f t="shared" si="67"/>
        <v/>
      </c>
      <c r="AA45" s="118" t="str">
        <f t="shared" si="61"/>
        <v/>
      </c>
      <c r="AB45" s="119" t="str">
        <f t="shared" si="65"/>
        <v/>
      </c>
      <c r="AC45" s="118" t="str">
        <f t="shared" si="62"/>
        <v/>
      </c>
      <c r="AD45" s="119" t="str">
        <f t="shared" si="66"/>
        <v/>
      </c>
      <c r="AE45" s="120" t="str">
        <f t="shared" si="63"/>
        <v/>
      </c>
      <c r="AF45" s="121"/>
      <c r="AG45" s="109"/>
      <c r="AH45" s="110"/>
      <c r="AI45" s="111"/>
      <c r="AJ45" s="111"/>
      <c r="AK45" s="109"/>
      <c r="AL45" s="110"/>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3">
      <c r="A46" s="203">
        <v>7</v>
      </c>
      <c r="B46" s="247"/>
      <c r="C46" s="247"/>
      <c r="D46" s="247"/>
      <c r="E46" s="123"/>
      <c r="F46" s="264"/>
      <c r="G46" s="126"/>
      <c r="H46" s="247"/>
      <c r="I46" s="257"/>
      <c r="J46" s="241" t="str">
        <f t="shared" ref="J46" si="68">IF(I46&lt;=0,"",IF(I46&lt;=2,"Muy Baja",IF(I46&lt;=24,"Baja",IF(I46&lt;=500,"Media",IF(I46&lt;=5000,"Alta","Muy Alta")))))</f>
        <v/>
      </c>
      <c r="K46" s="238" t="str">
        <f t="shared" ref="K46" si="69">IF(J46="","",IF(J46="Muy Baja",0.2,IF(J46="Baja",0.4,IF(J46="Media",0.6,IF(J46="Alta",0.8,IF(J46="Muy Alta",1,))))))</f>
        <v/>
      </c>
      <c r="L46" s="260"/>
      <c r="M46" s="238">
        <f ca="1">IF(NOT(ISERROR(MATCH(L46,'Tabla Impacto'!$B$221:$B$223,0))),'Tabla Impacto'!$F$223&amp;"Por favor no seleccionar los criterios de impacto(Afectación Económica o presupuestal y Pérdida Reputacional)",L46)</f>
        <v>0</v>
      </c>
      <c r="N46" s="241" t="str">
        <f ca="1">IF(OR(M46='Tabla Impacto'!$C$11,M46='Tabla Impacto'!$D$11),"Leve",IF(OR(M46='Tabla Impacto'!$C$12,M46='Tabla Impacto'!$D$12),"Menor",IF(OR(M46='Tabla Impacto'!$C$13,M46='Tabla Impacto'!$D$13),"Moderado",IF(OR(M46='Tabla Impacto'!$C$14,M46='Tabla Impacto'!$D$14),"Mayor",IF(OR(M46='Tabla Impacto'!$C$15,M46='Tabla Impacto'!$D$15),"Catastrófico","")))))</f>
        <v/>
      </c>
      <c r="O46" s="238" t="str">
        <f t="shared" ref="O46" ca="1" si="70">IF(N46="","",IF(N46="Leve",0.2,IF(N46="Menor",0.4,IF(N46="Moderado",0.6,IF(N46="Mayor",0.8,IF(N46="Catastrófico",1,))))))</f>
        <v/>
      </c>
      <c r="P46" s="244" t="str">
        <f t="shared" ref="P46" ca="1" si="71">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5">
        <v>1</v>
      </c>
      <c r="R46" s="106"/>
      <c r="S46" s="107" t="str">
        <f>IF(OR(T46="Preventivo",T46="Detectivo"),"Probabilidad",IF(T46="Correctivo","Impacto",""))</f>
        <v/>
      </c>
      <c r="T46" s="114"/>
      <c r="U46" s="114"/>
      <c r="V46" s="115" t="str">
        <f>IF(AND(T46="Preventivo",U46="Automático"),"50%",IF(AND(T46="Preventivo",U46="Manual"),"40%",IF(AND(T46="Detectivo",U46="Automático"),"40%",IF(AND(T46="Detectivo",U46="Manual"),"30%",IF(AND(T46="Correctivo",U46="Automático"),"35%",IF(AND(T46="Correctivo",U46="Manual"),"25%",""))))))</f>
        <v/>
      </c>
      <c r="W46" s="114"/>
      <c r="X46" s="114"/>
      <c r="Y46" s="114"/>
      <c r="Z46" s="108" t="str">
        <f>IFERROR(IF(S46="Probabilidad",(K46-(+K46*V46)),IF(S46="Impacto",K46,"")),"")</f>
        <v/>
      </c>
      <c r="AA46" s="118" t="str">
        <f>IFERROR(IF(Z46="","",IF(Z46&lt;=0.2,"Muy Baja",IF(Z46&lt;=0.4,"Baja",IF(Z46&lt;=0.6,"Media",IF(Z46&lt;=0.8,"Alta","Muy Alta"))))),"")</f>
        <v/>
      </c>
      <c r="AB46" s="119" t="str">
        <f>+Z46</f>
        <v/>
      </c>
      <c r="AC46" s="118" t="str">
        <f>IFERROR(IF(AD46="","",IF(AD46&lt;=0.2,"Leve",IF(AD46&lt;=0.4,"Menor",IF(AD46&lt;=0.6,"Moderado",IF(AD46&lt;=0.8,"Mayor","Catastrófico"))))),"")</f>
        <v/>
      </c>
      <c r="AD46" s="119" t="str">
        <f>IFERROR(IF(S46="Impacto",(O46-(+O46*V46)),IF(S46="Probabilidad",O46,"")),"")</f>
        <v/>
      </c>
      <c r="AE46" s="120"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21"/>
      <c r="AG46" s="109"/>
      <c r="AH46" s="110"/>
      <c r="AI46" s="111"/>
      <c r="AJ46" s="111"/>
      <c r="AK46" s="109"/>
      <c r="AL46" s="110"/>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3">
      <c r="A47" s="204"/>
      <c r="B47" s="248"/>
      <c r="C47" s="248"/>
      <c r="D47" s="248"/>
      <c r="E47" s="123"/>
      <c r="F47" s="264"/>
      <c r="G47" s="126"/>
      <c r="H47" s="248"/>
      <c r="I47" s="258"/>
      <c r="J47" s="242"/>
      <c r="K47" s="239"/>
      <c r="L47" s="261"/>
      <c r="M47" s="239">
        <f ca="1">IF(NOT(ISERROR(MATCH(L47,_xlfn.ANCHORARRAY(F58),0))),K60&amp;"Por favor no seleccionar los criterios de impacto",L47)</f>
        <v>0</v>
      </c>
      <c r="N47" s="242"/>
      <c r="O47" s="239"/>
      <c r="P47" s="245"/>
      <c r="Q47" s="105">
        <v>2</v>
      </c>
      <c r="R47" s="106"/>
      <c r="S47" s="107" t="str">
        <f>IF(OR(T47="Preventivo",T47="Detectivo"),"Probabilidad",IF(T47="Correctivo","Impacto",""))</f>
        <v/>
      </c>
      <c r="T47" s="114"/>
      <c r="U47" s="114"/>
      <c r="V47" s="115" t="str">
        <f t="shared" ref="V47:V51" si="72">IF(AND(T47="Preventivo",U47="Automático"),"50%",IF(AND(T47="Preventivo",U47="Manual"),"40%",IF(AND(T47="Detectivo",U47="Automático"),"40%",IF(AND(T47="Detectivo",U47="Manual"),"30%",IF(AND(T47="Correctivo",U47="Automático"),"35%",IF(AND(T47="Correctivo",U47="Manual"),"25%",""))))))</f>
        <v/>
      </c>
      <c r="W47" s="114"/>
      <c r="X47" s="114"/>
      <c r="Y47" s="114"/>
      <c r="Z47" s="108" t="str">
        <f>IFERROR(IF(AND(S46="Probabilidad",S47="Probabilidad"),(AB46-(+AB46*V47)),IF(AND(S46="Impacto",S47="Probabilidad"),(K46-(+K46*V47)),IF(S47="Impacto",AB46,""))),"")</f>
        <v/>
      </c>
      <c r="AA47" s="118" t="str">
        <f t="shared" ref="AA47:AA51" si="73">IFERROR(IF(Z47="","",IF(Z47&lt;=0.2,"Muy Baja",IF(Z47&lt;=0.4,"Baja",IF(Z47&lt;=0.6,"Media",IF(Z47&lt;=0.8,"Alta","Muy Alta"))))),"")</f>
        <v/>
      </c>
      <c r="AB47" s="119" t="str">
        <f>+Z47</f>
        <v/>
      </c>
      <c r="AC47" s="118" t="str">
        <f t="shared" ref="AC47:AC51" si="74">IFERROR(IF(AD47="","",IF(AD47&lt;=0.2,"Leve",IF(AD47&lt;=0.4,"Menor",IF(AD47&lt;=0.6,"Moderado",IF(AD47&lt;=0.8,"Mayor","Catastrófico"))))),"")</f>
        <v/>
      </c>
      <c r="AD47" s="119" t="str">
        <f>IFERROR(IF(AND(S46="Impacto",S47="Impacto"),(AD46-(+AD46*V47)),IF(AND(S46="Probabilidad",S47="Impacto"),(O46-(+O46*V47)),IF(S47="Probabilidad",AD46,""))),"")</f>
        <v/>
      </c>
      <c r="AE47" s="120" t="str">
        <f t="shared" ref="AE47:AE51" si="75">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21"/>
      <c r="AG47" s="109"/>
      <c r="AH47" s="110"/>
      <c r="AI47" s="111"/>
      <c r="AJ47" s="111"/>
      <c r="AK47" s="109"/>
      <c r="AL47" s="110"/>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3">
      <c r="A48" s="204"/>
      <c r="B48" s="248"/>
      <c r="C48" s="248"/>
      <c r="D48" s="248"/>
      <c r="E48" s="123"/>
      <c r="F48" s="264"/>
      <c r="G48" s="126"/>
      <c r="H48" s="248"/>
      <c r="I48" s="258"/>
      <c r="J48" s="242"/>
      <c r="K48" s="239"/>
      <c r="L48" s="261"/>
      <c r="M48" s="239">
        <f ca="1">IF(NOT(ISERROR(MATCH(L48,_xlfn.ANCHORARRAY(F59),0))),K61&amp;"Por favor no seleccionar los criterios de impacto",L48)</f>
        <v>0</v>
      </c>
      <c r="N48" s="242"/>
      <c r="O48" s="239"/>
      <c r="P48" s="245"/>
      <c r="Q48" s="105">
        <v>3</v>
      </c>
      <c r="R48" s="112"/>
      <c r="S48" s="107" t="str">
        <f t="shared" ref="S48:S51" si="76">IF(OR(T48="Preventivo",T48="Detectivo"),"Probabilidad",IF(T48="Correctivo","Impacto",""))</f>
        <v/>
      </c>
      <c r="T48" s="114"/>
      <c r="U48" s="114"/>
      <c r="V48" s="115" t="str">
        <f t="shared" si="72"/>
        <v/>
      </c>
      <c r="W48" s="114"/>
      <c r="X48" s="114"/>
      <c r="Y48" s="114"/>
      <c r="Z48" s="108" t="str">
        <f>IFERROR(IF(AND(S47="Probabilidad",S48="Probabilidad"),(AB47-(+AB47*V48)),IF(AND(S47="Impacto",S48="Probabilidad"),(AB46-(+AB46*V48)),IF(S48="Impacto",AB47,""))),"")</f>
        <v/>
      </c>
      <c r="AA48" s="118" t="str">
        <f t="shared" si="73"/>
        <v/>
      </c>
      <c r="AB48" s="119" t="str">
        <f t="shared" ref="AB48:AB51" si="77">+Z48</f>
        <v/>
      </c>
      <c r="AC48" s="118" t="str">
        <f t="shared" si="74"/>
        <v/>
      </c>
      <c r="AD48" s="119" t="str">
        <f t="shared" ref="AD48:AD51" si="78">IFERROR(IF(AND(S47="Impacto",S48="Impacto"),(AD47-(+AD47*V48)),IF(AND(S47="Probabilidad",S48="Impacto"),(AD46-(+AD46*V48)),IF(S48="Probabilidad",AD47,""))),"")</f>
        <v/>
      </c>
      <c r="AE48" s="120" t="str">
        <f t="shared" si="75"/>
        <v/>
      </c>
      <c r="AF48" s="121"/>
      <c r="AG48" s="109"/>
      <c r="AH48" s="110"/>
      <c r="AI48" s="111"/>
      <c r="AJ48" s="111"/>
      <c r="AK48" s="109"/>
      <c r="AL48" s="110"/>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3">
      <c r="A49" s="204"/>
      <c r="B49" s="248"/>
      <c r="C49" s="248"/>
      <c r="D49" s="248"/>
      <c r="E49" s="123"/>
      <c r="F49" s="264"/>
      <c r="G49" s="126"/>
      <c r="H49" s="248"/>
      <c r="I49" s="258"/>
      <c r="J49" s="242"/>
      <c r="K49" s="239"/>
      <c r="L49" s="261"/>
      <c r="M49" s="239">
        <f ca="1">IF(NOT(ISERROR(MATCH(L49,_xlfn.ANCHORARRAY(F60),0))),K62&amp;"Por favor no seleccionar los criterios de impacto",L49)</f>
        <v>0</v>
      </c>
      <c r="N49" s="242"/>
      <c r="O49" s="239"/>
      <c r="P49" s="245"/>
      <c r="Q49" s="105">
        <v>4</v>
      </c>
      <c r="R49" s="106"/>
      <c r="S49" s="107" t="str">
        <f t="shared" si="76"/>
        <v/>
      </c>
      <c r="T49" s="114"/>
      <c r="U49" s="114"/>
      <c r="V49" s="115" t="str">
        <f t="shared" si="72"/>
        <v/>
      </c>
      <c r="W49" s="114"/>
      <c r="X49" s="114"/>
      <c r="Y49" s="114"/>
      <c r="Z49" s="108" t="str">
        <f t="shared" ref="Z49:Z51" si="79">IFERROR(IF(AND(S48="Probabilidad",S49="Probabilidad"),(AB48-(+AB48*V49)),IF(AND(S48="Impacto",S49="Probabilidad"),(AB47-(+AB47*V49)),IF(S49="Impacto",AB48,""))),"")</f>
        <v/>
      </c>
      <c r="AA49" s="118" t="str">
        <f t="shared" si="73"/>
        <v/>
      </c>
      <c r="AB49" s="119" t="str">
        <f t="shared" si="77"/>
        <v/>
      </c>
      <c r="AC49" s="118" t="str">
        <f t="shared" si="74"/>
        <v/>
      </c>
      <c r="AD49" s="119" t="str">
        <f t="shared" si="78"/>
        <v/>
      </c>
      <c r="AE49" s="120" t="str">
        <f t="shared" si="75"/>
        <v/>
      </c>
      <c r="AF49" s="121"/>
      <c r="AG49" s="109"/>
      <c r="AH49" s="110"/>
      <c r="AI49" s="111"/>
      <c r="AJ49" s="111"/>
      <c r="AK49" s="109"/>
      <c r="AL49" s="110"/>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3">
      <c r="A50" s="204"/>
      <c r="B50" s="248"/>
      <c r="C50" s="248"/>
      <c r="D50" s="248"/>
      <c r="E50" s="123"/>
      <c r="F50" s="264"/>
      <c r="G50" s="126"/>
      <c r="H50" s="248"/>
      <c r="I50" s="258"/>
      <c r="J50" s="242"/>
      <c r="K50" s="239"/>
      <c r="L50" s="261"/>
      <c r="M50" s="239">
        <f ca="1">IF(NOT(ISERROR(MATCH(L50,_xlfn.ANCHORARRAY(F61),0))),K63&amp;"Por favor no seleccionar los criterios de impacto",L50)</f>
        <v>0</v>
      </c>
      <c r="N50" s="242"/>
      <c r="O50" s="239"/>
      <c r="P50" s="245"/>
      <c r="Q50" s="105">
        <v>5</v>
      </c>
      <c r="R50" s="106"/>
      <c r="S50" s="107" t="str">
        <f t="shared" si="76"/>
        <v/>
      </c>
      <c r="T50" s="114"/>
      <c r="U50" s="114"/>
      <c r="V50" s="115" t="str">
        <f t="shared" si="72"/>
        <v/>
      </c>
      <c r="W50" s="114"/>
      <c r="X50" s="114"/>
      <c r="Y50" s="114"/>
      <c r="Z50" s="108" t="str">
        <f t="shared" si="79"/>
        <v/>
      </c>
      <c r="AA50" s="118" t="str">
        <f t="shared" si="73"/>
        <v/>
      </c>
      <c r="AB50" s="119" t="str">
        <f t="shared" si="77"/>
        <v/>
      </c>
      <c r="AC50" s="118" t="str">
        <f t="shared" si="74"/>
        <v/>
      </c>
      <c r="AD50" s="119" t="str">
        <f t="shared" si="78"/>
        <v/>
      </c>
      <c r="AE50" s="120" t="str">
        <f t="shared" si="75"/>
        <v/>
      </c>
      <c r="AF50" s="121"/>
      <c r="AG50" s="109"/>
      <c r="AH50" s="110"/>
      <c r="AI50" s="111"/>
      <c r="AJ50" s="111"/>
      <c r="AK50" s="109"/>
      <c r="AL50" s="110"/>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3">
      <c r="A51" s="205"/>
      <c r="B51" s="249"/>
      <c r="C51" s="249"/>
      <c r="D51" s="249"/>
      <c r="E51" s="124"/>
      <c r="F51" s="265"/>
      <c r="G51" s="127"/>
      <c r="H51" s="249"/>
      <c r="I51" s="259"/>
      <c r="J51" s="243"/>
      <c r="K51" s="240"/>
      <c r="L51" s="262"/>
      <c r="M51" s="240">
        <f ca="1">IF(NOT(ISERROR(MATCH(L51,_xlfn.ANCHORARRAY(F62),0))),K64&amp;"Por favor no seleccionar los criterios de impacto",L51)</f>
        <v>0</v>
      </c>
      <c r="N51" s="243"/>
      <c r="O51" s="240"/>
      <c r="P51" s="246"/>
      <c r="Q51" s="105">
        <v>6</v>
      </c>
      <c r="R51" s="106"/>
      <c r="S51" s="107" t="str">
        <f t="shared" si="76"/>
        <v/>
      </c>
      <c r="T51" s="114"/>
      <c r="U51" s="114"/>
      <c r="V51" s="115" t="str">
        <f t="shared" si="72"/>
        <v/>
      </c>
      <c r="W51" s="114"/>
      <c r="X51" s="114"/>
      <c r="Y51" s="114"/>
      <c r="Z51" s="108" t="str">
        <f t="shared" si="79"/>
        <v/>
      </c>
      <c r="AA51" s="118" t="str">
        <f t="shared" si="73"/>
        <v/>
      </c>
      <c r="AB51" s="119" t="str">
        <f t="shared" si="77"/>
        <v/>
      </c>
      <c r="AC51" s="118" t="str">
        <f t="shared" si="74"/>
        <v/>
      </c>
      <c r="AD51" s="119" t="str">
        <f t="shared" si="78"/>
        <v/>
      </c>
      <c r="AE51" s="120" t="str">
        <f t="shared" si="75"/>
        <v/>
      </c>
      <c r="AF51" s="121"/>
      <c r="AG51" s="109"/>
      <c r="AH51" s="110"/>
      <c r="AI51" s="111"/>
      <c r="AJ51" s="111"/>
      <c r="AK51" s="109"/>
      <c r="AL51" s="110"/>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3">
      <c r="A52" s="203">
        <v>8</v>
      </c>
      <c r="B52" s="247"/>
      <c r="C52" s="247"/>
      <c r="D52" s="247"/>
      <c r="E52" s="122"/>
      <c r="F52" s="263"/>
      <c r="G52" s="125"/>
      <c r="H52" s="247"/>
      <c r="I52" s="257"/>
      <c r="J52" s="241" t="str">
        <f t="shared" ref="J52" si="80">IF(I52&lt;=0,"",IF(I52&lt;=2,"Muy Baja",IF(I52&lt;=24,"Baja",IF(I52&lt;=500,"Media",IF(I52&lt;=5000,"Alta","Muy Alta")))))</f>
        <v/>
      </c>
      <c r="K52" s="238" t="str">
        <f t="shared" ref="K52" si="81">IF(J52="","",IF(J52="Muy Baja",0.2,IF(J52="Baja",0.4,IF(J52="Media",0.6,IF(J52="Alta",0.8,IF(J52="Muy Alta",1,))))))</f>
        <v/>
      </c>
      <c r="L52" s="260"/>
      <c r="M52" s="238">
        <f ca="1">IF(NOT(ISERROR(MATCH(L52,'Tabla Impacto'!$B$221:$B$223,0))),'Tabla Impacto'!$F$223&amp;"Por favor no seleccionar los criterios de impacto(Afectación Económica o presupuestal y Pérdida Reputacional)",L52)</f>
        <v>0</v>
      </c>
      <c r="N52" s="241" t="str">
        <f ca="1">IF(OR(M52='Tabla Impacto'!$C$11,M52='Tabla Impacto'!$D$11),"Leve",IF(OR(M52='Tabla Impacto'!$C$12,M52='Tabla Impacto'!$D$12),"Menor",IF(OR(M52='Tabla Impacto'!$C$13,M52='Tabla Impacto'!$D$13),"Moderado",IF(OR(M52='Tabla Impacto'!$C$14,M52='Tabla Impacto'!$D$14),"Mayor",IF(OR(M52='Tabla Impacto'!$C$15,M52='Tabla Impacto'!$D$15),"Catastrófico","")))))</f>
        <v/>
      </c>
      <c r="O52" s="238" t="str">
        <f t="shared" ref="O52" ca="1" si="82">IF(N52="","",IF(N52="Leve",0.2,IF(N52="Menor",0.4,IF(N52="Moderado",0.6,IF(N52="Mayor",0.8,IF(N52="Catastrófico",1,))))))</f>
        <v/>
      </c>
      <c r="P52" s="244" t="str">
        <f t="shared" ref="P52" ca="1" si="83">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5">
        <v>1</v>
      </c>
      <c r="R52" s="106"/>
      <c r="S52" s="107" t="str">
        <f>IF(OR(T52="Preventivo",T52="Detectivo"),"Probabilidad",IF(T52="Correctivo","Impacto",""))</f>
        <v/>
      </c>
      <c r="T52" s="114"/>
      <c r="U52" s="114"/>
      <c r="V52" s="115" t="str">
        <f>IF(AND(T52="Preventivo",U52="Automático"),"50%",IF(AND(T52="Preventivo",U52="Manual"),"40%",IF(AND(T52="Detectivo",U52="Automático"),"40%",IF(AND(T52="Detectivo",U52="Manual"),"30%",IF(AND(T52="Correctivo",U52="Automático"),"35%",IF(AND(T52="Correctivo",U52="Manual"),"25%",""))))))</f>
        <v/>
      </c>
      <c r="W52" s="114"/>
      <c r="X52" s="114"/>
      <c r="Y52" s="114"/>
      <c r="Z52" s="108" t="str">
        <f>IFERROR(IF(S52="Probabilidad",(K52-(+K52*V52)),IF(S52="Impacto",K52,"")),"")</f>
        <v/>
      </c>
      <c r="AA52" s="118" t="str">
        <f>IFERROR(IF(Z52="","",IF(Z52&lt;=0.2,"Muy Baja",IF(Z52&lt;=0.4,"Baja",IF(Z52&lt;=0.6,"Media",IF(Z52&lt;=0.8,"Alta","Muy Alta"))))),"")</f>
        <v/>
      </c>
      <c r="AB52" s="119" t="str">
        <f>+Z52</f>
        <v/>
      </c>
      <c r="AC52" s="118" t="str">
        <f>IFERROR(IF(AD52="","",IF(AD52&lt;=0.2,"Leve",IF(AD52&lt;=0.4,"Menor",IF(AD52&lt;=0.6,"Moderado",IF(AD52&lt;=0.8,"Mayor","Catastrófico"))))),"")</f>
        <v/>
      </c>
      <c r="AD52" s="119" t="str">
        <f>IFERROR(IF(S52="Impacto",(O52-(+O52*V52)),IF(S52="Probabilidad",O52,"")),"")</f>
        <v/>
      </c>
      <c r="AE52" s="120"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21"/>
      <c r="AG52" s="109"/>
      <c r="AH52" s="110"/>
      <c r="AI52" s="111"/>
      <c r="AJ52" s="111"/>
      <c r="AK52" s="109"/>
      <c r="AL52" s="110"/>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3">
      <c r="A53" s="204"/>
      <c r="B53" s="248"/>
      <c r="C53" s="248"/>
      <c r="D53" s="248"/>
      <c r="E53" s="123"/>
      <c r="F53" s="264"/>
      <c r="G53" s="126"/>
      <c r="H53" s="248"/>
      <c r="I53" s="258"/>
      <c r="J53" s="242"/>
      <c r="K53" s="239"/>
      <c r="L53" s="261"/>
      <c r="M53" s="239">
        <f ca="1">IF(NOT(ISERROR(MATCH(L53,_xlfn.ANCHORARRAY(F64),0))),K66&amp;"Por favor no seleccionar los criterios de impacto",L53)</f>
        <v>0</v>
      </c>
      <c r="N53" s="242"/>
      <c r="O53" s="239"/>
      <c r="P53" s="245"/>
      <c r="Q53" s="105">
        <v>2</v>
      </c>
      <c r="R53" s="106"/>
      <c r="S53" s="107" t="str">
        <f>IF(OR(T53="Preventivo",T53="Detectivo"),"Probabilidad",IF(T53="Correctivo","Impacto",""))</f>
        <v/>
      </c>
      <c r="T53" s="114"/>
      <c r="U53" s="114"/>
      <c r="V53" s="115" t="str">
        <f t="shared" ref="V53:V57" si="84">IF(AND(T53="Preventivo",U53="Automático"),"50%",IF(AND(T53="Preventivo",U53="Manual"),"40%",IF(AND(T53="Detectivo",U53="Automático"),"40%",IF(AND(T53="Detectivo",U53="Manual"),"30%",IF(AND(T53="Correctivo",U53="Automático"),"35%",IF(AND(T53="Correctivo",U53="Manual"),"25%",""))))))</f>
        <v/>
      </c>
      <c r="W53" s="114"/>
      <c r="X53" s="114"/>
      <c r="Y53" s="114"/>
      <c r="Z53" s="108" t="str">
        <f>IFERROR(IF(AND(S52="Probabilidad",S53="Probabilidad"),(AB52-(+AB52*V53)),IF(AND(S52="Impacto",S53="Probabilidad"),(K52-(+K52*V53)),IF(S53="Impacto",AB52,""))),"")</f>
        <v/>
      </c>
      <c r="AA53" s="118" t="str">
        <f t="shared" ref="AA53:AA57" si="85">IFERROR(IF(Z53="","",IF(Z53&lt;=0.2,"Muy Baja",IF(Z53&lt;=0.4,"Baja",IF(Z53&lt;=0.6,"Media",IF(Z53&lt;=0.8,"Alta","Muy Alta"))))),"")</f>
        <v/>
      </c>
      <c r="AB53" s="119" t="str">
        <f>+Z53</f>
        <v/>
      </c>
      <c r="AC53" s="118" t="str">
        <f t="shared" ref="AC53:AC57" si="86">IFERROR(IF(AD53="","",IF(AD53&lt;=0.2,"Leve",IF(AD53&lt;=0.4,"Menor",IF(AD53&lt;=0.6,"Moderado",IF(AD53&lt;=0.8,"Mayor","Catastrófico"))))),"")</f>
        <v/>
      </c>
      <c r="AD53" s="119" t="str">
        <f>IFERROR(IF(AND(S52="Impacto",S53="Impacto"),(AD52-(+AD52*V53)),IF(AND(S52="Probabilidad",S53="Impacto"),(O52-(+O52*V53)),IF(S53="Probabilidad",AD52,""))),"")</f>
        <v/>
      </c>
      <c r="AE53" s="120" t="str">
        <f t="shared" ref="AE53:AE57" si="87">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21"/>
      <c r="AG53" s="109"/>
      <c r="AH53" s="110"/>
      <c r="AI53" s="111"/>
      <c r="AJ53" s="111"/>
      <c r="AK53" s="109"/>
      <c r="AL53" s="110"/>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3">
      <c r="A54" s="204"/>
      <c r="B54" s="248"/>
      <c r="C54" s="248"/>
      <c r="D54" s="248"/>
      <c r="E54" s="123"/>
      <c r="F54" s="264"/>
      <c r="G54" s="126"/>
      <c r="H54" s="248"/>
      <c r="I54" s="258"/>
      <c r="J54" s="242"/>
      <c r="K54" s="239"/>
      <c r="L54" s="261"/>
      <c r="M54" s="239">
        <f ca="1">IF(NOT(ISERROR(MATCH(L54,_xlfn.ANCHORARRAY(F65),0))),K67&amp;"Por favor no seleccionar los criterios de impacto",L54)</f>
        <v>0</v>
      </c>
      <c r="N54" s="242"/>
      <c r="O54" s="239"/>
      <c r="P54" s="245"/>
      <c r="Q54" s="105">
        <v>3</v>
      </c>
      <c r="R54" s="112"/>
      <c r="S54" s="107" t="str">
        <f t="shared" ref="S54:S57" si="88">IF(OR(T54="Preventivo",T54="Detectivo"),"Probabilidad",IF(T54="Correctivo","Impacto",""))</f>
        <v/>
      </c>
      <c r="T54" s="114"/>
      <c r="U54" s="114"/>
      <c r="V54" s="115" t="str">
        <f t="shared" si="84"/>
        <v/>
      </c>
      <c r="W54" s="114"/>
      <c r="X54" s="114"/>
      <c r="Y54" s="114"/>
      <c r="Z54" s="108" t="str">
        <f>IFERROR(IF(AND(S53="Probabilidad",S54="Probabilidad"),(AB53-(+AB53*V54)),IF(AND(S53="Impacto",S54="Probabilidad"),(AB52-(+AB52*V54)),IF(S54="Impacto",AB53,""))),"")</f>
        <v/>
      </c>
      <c r="AA54" s="118" t="str">
        <f t="shared" si="85"/>
        <v/>
      </c>
      <c r="AB54" s="119" t="str">
        <f t="shared" ref="AB54:AB57" si="89">+Z54</f>
        <v/>
      </c>
      <c r="AC54" s="118" t="str">
        <f t="shared" si="86"/>
        <v/>
      </c>
      <c r="AD54" s="119" t="str">
        <f t="shared" ref="AD54:AD57" si="90">IFERROR(IF(AND(S53="Impacto",S54="Impacto"),(AD53-(+AD53*V54)),IF(AND(S53="Probabilidad",S54="Impacto"),(AD52-(+AD52*V54)),IF(S54="Probabilidad",AD53,""))),"")</f>
        <v/>
      </c>
      <c r="AE54" s="120" t="str">
        <f t="shared" si="87"/>
        <v/>
      </c>
      <c r="AF54" s="121"/>
      <c r="AG54" s="109"/>
      <c r="AH54" s="110"/>
      <c r="AI54" s="111"/>
      <c r="AJ54" s="111"/>
      <c r="AK54" s="109"/>
      <c r="AL54" s="110"/>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3">
      <c r="A55" s="204"/>
      <c r="B55" s="248"/>
      <c r="C55" s="248"/>
      <c r="D55" s="248"/>
      <c r="E55" s="123"/>
      <c r="F55" s="264"/>
      <c r="G55" s="126"/>
      <c r="H55" s="248"/>
      <c r="I55" s="258"/>
      <c r="J55" s="242"/>
      <c r="K55" s="239"/>
      <c r="L55" s="261"/>
      <c r="M55" s="239">
        <f ca="1">IF(NOT(ISERROR(MATCH(L55,_xlfn.ANCHORARRAY(F66),0))),K68&amp;"Por favor no seleccionar los criterios de impacto",L55)</f>
        <v>0</v>
      </c>
      <c r="N55" s="242"/>
      <c r="O55" s="239"/>
      <c r="P55" s="245"/>
      <c r="Q55" s="105">
        <v>4</v>
      </c>
      <c r="R55" s="106"/>
      <c r="S55" s="107" t="str">
        <f t="shared" si="88"/>
        <v/>
      </c>
      <c r="T55" s="114"/>
      <c r="U55" s="114"/>
      <c r="V55" s="115" t="str">
        <f t="shared" si="84"/>
        <v/>
      </c>
      <c r="W55" s="114"/>
      <c r="X55" s="114"/>
      <c r="Y55" s="114"/>
      <c r="Z55" s="108" t="str">
        <f t="shared" ref="Z55:Z57" si="91">IFERROR(IF(AND(S54="Probabilidad",S55="Probabilidad"),(AB54-(+AB54*V55)),IF(AND(S54="Impacto",S55="Probabilidad"),(AB53-(+AB53*V55)),IF(S55="Impacto",AB54,""))),"")</f>
        <v/>
      </c>
      <c r="AA55" s="118" t="str">
        <f t="shared" si="85"/>
        <v/>
      </c>
      <c r="AB55" s="119" t="str">
        <f t="shared" si="89"/>
        <v/>
      </c>
      <c r="AC55" s="118" t="str">
        <f t="shared" si="86"/>
        <v/>
      </c>
      <c r="AD55" s="119" t="str">
        <f t="shared" si="90"/>
        <v/>
      </c>
      <c r="AE55" s="120" t="str">
        <f t="shared" si="87"/>
        <v/>
      </c>
      <c r="AF55" s="121"/>
      <c r="AG55" s="109"/>
      <c r="AH55" s="110"/>
      <c r="AI55" s="111"/>
      <c r="AJ55" s="111"/>
      <c r="AK55" s="109"/>
      <c r="AL55" s="110"/>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3">
      <c r="A56" s="204"/>
      <c r="B56" s="248"/>
      <c r="C56" s="248"/>
      <c r="D56" s="248"/>
      <c r="E56" s="123"/>
      <c r="F56" s="264"/>
      <c r="G56" s="126"/>
      <c r="H56" s="248"/>
      <c r="I56" s="258"/>
      <c r="J56" s="242"/>
      <c r="K56" s="239"/>
      <c r="L56" s="261"/>
      <c r="M56" s="239">
        <f ca="1">IF(NOT(ISERROR(MATCH(L56,_xlfn.ANCHORARRAY(F67),0))),K69&amp;"Por favor no seleccionar los criterios de impacto",L56)</f>
        <v>0</v>
      </c>
      <c r="N56" s="242"/>
      <c r="O56" s="239"/>
      <c r="P56" s="245"/>
      <c r="Q56" s="105">
        <v>5</v>
      </c>
      <c r="R56" s="106"/>
      <c r="S56" s="107" t="str">
        <f t="shared" si="88"/>
        <v/>
      </c>
      <c r="T56" s="114"/>
      <c r="U56" s="114"/>
      <c r="V56" s="115" t="str">
        <f t="shared" si="84"/>
        <v/>
      </c>
      <c r="W56" s="114"/>
      <c r="X56" s="114"/>
      <c r="Y56" s="114"/>
      <c r="Z56" s="108" t="str">
        <f t="shared" si="91"/>
        <v/>
      </c>
      <c r="AA56" s="118" t="str">
        <f t="shared" si="85"/>
        <v/>
      </c>
      <c r="AB56" s="119" t="str">
        <f t="shared" si="89"/>
        <v/>
      </c>
      <c r="AC56" s="118" t="str">
        <f t="shared" si="86"/>
        <v/>
      </c>
      <c r="AD56" s="119" t="str">
        <f t="shared" si="90"/>
        <v/>
      </c>
      <c r="AE56" s="120" t="str">
        <f t="shared" si="87"/>
        <v/>
      </c>
      <c r="AF56" s="121"/>
      <c r="AG56" s="109"/>
      <c r="AH56" s="110"/>
      <c r="AI56" s="111"/>
      <c r="AJ56" s="111"/>
      <c r="AK56" s="109"/>
      <c r="AL56" s="110"/>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3">
      <c r="A57" s="205"/>
      <c r="B57" s="249"/>
      <c r="C57" s="249"/>
      <c r="D57" s="249"/>
      <c r="E57" s="124"/>
      <c r="F57" s="265"/>
      <c r="G57" s="127"/>
      <c r="H57" s="249"/>
      <c r="I57" s="259"/>
      <c r="J57" s="243"/>
      <c r="K57" s="240"/>
      <c r="L57" s="262"/>
      <c r="M57" s="240">
        <f ca="1">IF(NOT(ISERROR(MATCH(L57,_xlfn.ANCHORARRAY(F68),0))),K70&amp;"Por favor no seleccionar los criterios de impacto",L57)</f>
        <v>0</v>
      </c>
      <c r="N57" s="243"/>
      <c r="O57" s="240"/>
      <c r="P57" s="246"/>
      <c r="Q57" s="105">
        <v>6</v>
      </c>
      <c r="R57" s="106"/>
      <c r="S57" s="107" t="str">
        <f t="shared" si="88"/>
        <v/>
      </c>
      <c r="T57" s="114"/>
      <c r="U57" s="114"/>
      <c r="V57" s="115" t="str">
        <f t="shared" si="84"/>
        <v/>
      </c>
      <c r="W57" s="114"/>
      <c r="X57" s="114"/>
      <c r="Y57" s="114"/>
      <c r="Z57" s="108" t="str">
        <f t="shared" si="91"/>
        <v/>
      </c>
      <c r="AA57" s="118" t="str">
        <f t="shared" si="85"/>
        <v/>
      </c>
      <c r="AB57" s="119" t="str">
        <f t="shared" si="89"/>
        <v/>
      </c>
      <c r="AC57" s="118" t="str">
        <f t="shared" si="86"/>
        <v/>
      </c>
      <c r="AD57" s="119" t="str">
        <f t="shared" si="90"/>
        <v/>
      </c>
      <c r="AE57" s="120" t="str">
        <f t="shared" si="87"/>
        <v/>
      </c>
      <c r="AF57" s="121"/>
      <c r="AG57" s="109"/>
      <c r="AH57" s="110"/>
      <c r="AI57" s="111"/>
      <c r="AJ57" s="111"/>
      <c r="AK57" s="109"/>
      <c r="AL57" s="110"/>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3">
      <c r="A58" s="203">
        <v>9</v>
      </c>
      <c r="B58" s="247"/>
      <c r="C58" s="247"/>
      <c r="D58" s="247"/>
      <c r="E58" s="122"/>
      <c r="F58" s="263"/>
      <c r="G58" s="125"/>
      <c r="H58" s="247"/>
      <c r="I58" s="257"/>
      <c r="J58" s="241" t="str">
        <f t="shared" ref="J58" si="92">IF(I58&lt;=0,"",IF(I58&lt;=2,"Muy Baja",IF(I58&lt;=24,"Baja",IF(I58&lt;=500,"Media",IF(I58&lt;=5000,"Alta","Muy Alta")))))</f>
        <v/>
      </c>
      <c r="K58" s="238" t="str">
        <f t="shared" ref="K58" si="93">IF(J58="","",IF(J58="Muy Baja",0.2,IF(J58="Baja",0.4,IF(J58="Media",0.6,IF(J58="Alta",0.8,IF(J58="Muy Alta",1,))))))</f>
        <v/>
      </c>
      <c r="L58" s="260"/>
      <c r="M58" s="238">
        <f ca="1">IF(NOT(ISERROR(MATCH(L58,'Tabla Impacto'!$B$221:$B$223,0))),'Tabla Impacto'!$F$223&amp;"Por favor no seleccionar los criterios de impacto(Afectación Económica o presupuestal y Pérdida Reputacional)",L58)</f>
        <v>0</v>
      </c>
      <c r="N58" s="241" t="str">
        <f ca="1">IF(OR(M58='Tabla Impacto'!$C$11,M58='Tabla Impacto'!$D$11),"Leve",IF(OR(M58='Tabla Impacto'!$C$12,M58='Tabla Impacto'!$D$12),"Menor",IF(OR(M58='Tabla Impacto'!$C$13,M58='Tabla Impacto'!$D$13),"Moderado",IF(OR(M58='Tabla Impacto'!$C$14,M58='Tabla Impacto'!$D$14),"Mayor",IF(OR(M58='Tabla Impacto'!$C$15,M58='Tabla Impacto'!$D$15),"Catastrófico","")))))</f>
        <v/>
      </c>
      <c r="O58" s="238" t="str">
        <f t="shared" ref="O58" ca="1" si="94">IF(N58="","",IF(N58="Leve",0.2,IF(N58="Menor",0.4,IF(N58="Moderado",0.6,IF(N58="Mayor",0.8,IF(N58="Catastrófico",1,))))))</f>
        <v/>
      </c>
      <c r="P58" s="244" t="str">
        <f t="shared" ref="P58" ca="1" si="95">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5">
        <v>1</v>
      </c>
      <c r="R58" s="106"/>
      <c r="S58" s="107" t="str">
        <f>IF(OR(T58="Preventivo",T58="Detectivo"),"Probabilidad",IF(T58="Correctivo","Impacto",""))</f>
        <v/>
      </c>
      <c r="T58" s="114"/>
      <c r="U58" s="114"/>
      <c r="V58" s="115" t="str">
        <f>IF(AND(T58="Preventivo",U58="Automático"),"50%",IF(AND(T58="Preventivo",U58="Manual"),"40%",IF(AND(T58="Detectivo",U58="Automático"),"40%",IF(AND(T58="Detectivo",U58="Manual"),"30%",IF(AND(T58="Correctivo",U58="Automático"),"35%",IF(AND(T58="Correctivo",U58="Manual"),"25%",""))))))</f>
        <v/>
      </c>
      <c r="W58" s="114"/>
      <c r="X58" s="114"/>
      <c r="Y58" s="114"/>
      <c r="Z58" s="108" t="str">
        <f>IFERROR(IF(S58="Probabilidad",(K58-(+K58*V58)),IF(S58="Impacto",K58,"")),"")</f>
        <v/>
      </c>
      <c r="AA58" s="118" t="str">
        <f>IFERROR(IF(Z58="","",IF(Z58&lt;=0.2,"Muy Baja",IF(Z58&lt;=0.4,"Baja",IF(Z58&lt;=0.6,"Media",IF(Z58&lt;=0.8,"Alta","Muy Alta"))))),"")</f>
        <v/>
      </c>
      <c r="AB58" s="119" t="str">
        <f>+Z58</f>
        <v/>
      </c>
      <c r="AC58" s="118" t="str">
        <f>IFERROR(IF(AD58="","",IF(AD58&lt;=0.2,"Leve",IF(AD58&lt;=0.4,"Menor",IF(AD58&lt;=0.6,"Moderado",IF(AD58&lt;=0.8,"Mayor","Catastrófico"))))),"")</f>
        <v/>
      </c>
      <c r="AD58" s="119" t="str">
        <f>IFERROR(IF(S58="Impacto",(O58-(+O58*V58)),IF(S58="Probabilidad",O58,"")),"")</f>
        <v/>
      </c>
      <c r="AE58" s="120"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21"/>
      <c r="AG58" s="109"/>
      <c r="AH58" s="110"/>
      <c r="AI58" s="111"/>
      <c r="AJ58" s="111"/>
      <c r="AK58" s="109"/>
      <c r="AL58" s="110"/>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3">
      <c r="A59" s="204"/>
      <c r="B59" s="248"/>
      <c r="C59" s="248"/>
      <c r="D59" s="248"/>
      <c r="E59" s="123"/>
      <c r="F59" s="264"/>
      <c r="G59" s="126"/>
      <c r="H59" s="248"/>
      <c r="I59" s="258"/>
      <c r="J59" s="242"/>
      <c r="K59" s="239"/>
      <c r="L59" s="261"/>
      <c r="M59" s="239">
        <f ca="1">IF(NOT(ISERROR(MATCH(L59,_xlfn.ANCHORARRAY(F70),0))),K72&amp;"Por favor no seleccionar los criterios de impacto",L59)</f>
        <v>0</v>
      </c>
      <c r="N59" s="242"/>
      <c r="O59" s="239"/>
      <c r="P59" s="245"/>
      <c r="Q59" s="105">
        <v>2</v>
      </c>
      <c r="R59" s="106"/>
      <c r="S59" s="107" t="str">
        <f>IF(OR(T59="Preventivo",T59="Detectivo"),"Probabilidad",IF(T59="Correctivo","Impacto",""))</f>
        <v/>
      </c>
      <c r="T59" s="114"/>
      <c r="U59" s="114"/>
      <c r="V59" s="115" t="str">
        <f t="shared" ref="V59:V63" si="96">IF(AND(T59="Preventivo",U59="Automático"),"50%",IF(AND(T59="Preventivo",U59="Manual"),"40%",IF(AND(T59="Detectivo",U59="Automático"),"40%",IF(AND(T59="Detectivo",U59="Manual"),"30%",IF(AND(T59="Correctivo",U59="Automático"),"35%",IF(AND(T59="Correctivo",U59="Manual"),"25%",""))))))</f>
        <v/>
      </c>
      <c r="W59" s="114"/>
      <c r="X59" s="114"/>
      <c r="Y59" s="114"/>
      <c r="Z59" s="108" t="str">
        <f>IFERROR(IF(AND(S58="Probabilidad",S59="Probabilidad"),(AB58-(+AB58*V59)),IF(AND(S58="Impacto",S59="Probabilidad"),(K58-(+K58*V59)),IF(S59="Impacto",AB58,""))),"")</f>
        <v/>
      </c>
      <c r="AA59" s="118" t="str">
        <f t="shared" ref="AA59:AA63" si="97">IFERROR(IF(Z59="","",IF(Z59&lt;=0.2,"Muy Baja",IF(Z59&lt;=0.4,"Baja",IF(Z59&lt;=0.6,"Media",IF(Z59&lt;=0.8,"Alta","Muy Alta"))))),"")</f>
        <v/>
      </c>
      <c r="AB59" s="119" t="str">
        <f>+Z59</f>
        <v/>
      </c>
      <c r="AC59" s="118" t="str">
        <f t="shared" ref="AC59:AC63" si="98">IFERROR(IF(AD59="","",IF(AD59&lt;=0.2,"Leve",IF(AD59&lt;=0.4,"Menor",IF(AD59&lt;=0.6,"Moderado",IF(AD59&lt;=0.8,"Mayor","Catastrófico"))))),"")</f>
        <v/>
      </c>
      <c r="AD59" s="119" t="str">
        <f>IFERROR(IF(AND(S58="Impacto",S59="Impacto"),(AD58-(+AD58*V59)),IF(AND(S58="Probabilidad",S59="Impacto"),(O58-(+O58*V59)),IF(S59="Probabilidad",AD58,""))),"")</f>
        <v/>
      </c>
      <c r="AE59" s="120" t="str">
        <f t="shared" ref="AE59:AE63" si="99">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21"/>
      <c r="AG59" s="109"/>
      <c r="AH59" s="110"/>
      <c r="AI59" s="111"/>
      <c r="AJ59" s="111"/>
      <c r="AK59" s="109"/>
      <c r="AL59" s="110"/>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3">
      <c r="A60" s="204"/>
      <c r="B60" s="248"/>
      <c r="C60" s="248"/>
      <c r="D60" s="248"/>
      <c r="E60" s="123"/>
      <c r="F60" s="264"/>
      <c r="G60" s="126"/>
      <c r="H60" s="248"/>
      <c r="I60" s="258"/>
      <c r="J60" s="242"/>
      <c r="K60" s="239"/>
      <c r="L60" s="261"/>
      <c r="M60" s="239">
        <f ca="1">IF(NOT(ISERROR(MATCH(L60,_xlfn.ANCHORARRAY(F71),0))),K73&amp;"Por favor no seleccionar los criterios de impacto",L60)</f>
        <v>0</v>
      </c>
      <c r="N60" s="242"/>
      <c r="O60" s="239"/>
      <c r="P60" s="245"/>
      <c r="Q60" s="105">
        <v>3</v>
      </c>
      <c r="R60" s="112"/>
      <c r="S60" s="107" t="str">
        <f t="shared" ref="S60:S63" si="100">IF(OR(T60="Preventivo",T60="Detectivo"),"Probabilidad",IF(T60="Correctivo","Impacto",""))</f>
        <v/>
      </c>
      <c r="T60" s="114"/>
      <c r="U60" s="114"/>
      <c r="V60" s="115" t="str">
        <f t="shared" si="96"/>
        <v/>
      </c>
      <c r="W60" s="114"/>
      <c r="X60" s="114"/>
      <c r="Y60" s="114"/>
      <c r="Z60" s="108" t="str">
        <f>IFERROR(IF(AND(S59="Probabilidad",S60="Probabilidad"),(AB59-(+AB59*V60)),IF(AND(S59="Impacto",S60="Probabilidad"),(AB58-(+AB58*V60)),IF(S60="Impacto",AB59,""))),"")</f>
        <v/>
      </c>
      <c r="AA60" s="118" t="str">
        <f t="shared" si="97"/>
        <v/>
      </c>
      <c r="AB60" s="119" t="str">
        <f t="shared" ref="AB60:AB63" si="101">+Z60</f>
        <v/>
      </c>
      <c r="AC60" s="118" t="str">
        <f t="shared" si="98"/>
        <v/>
      </c>
      <c r="AD60" s="119" t="str">
        <f t="shared" ref="AD60:AD63" si="102">IFERROR(IF(AND(S59="Impacto",S60="Impacto"),(AD59-(+AD59*V60)),IF(AND(S59="Probabilidad",S60="Impacto"),(AD58-(+AD58*V60)),IF(S60="Probabilidad",AD59,""))),"")</f>
        <v/>
      </c>
      <c r="AE60" s="120" t="str">
        <f t="shared" si="99"/>
        <v/>
      </c>
      <c r="AF60" s="121"/>
      <c r="AG60" s="109"/>
      <c r="AH60" s="110"/>
      <c r="AI60" s="111"/>
      <c r="AJ60" s="111"/>
      <c r="AK60" s="109"/>
      <c r="AL60" s="110"/>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26.25" customHeight="1" x14ac:dyDescent="0.3">
      <c r="A61" s="204"/>
      <c r="B61" s="248"/>
      <c r="C61" s="248"/>
      <c r="D61" s="248"/>
      <c r="E61" s="123"/>
      <c r="F61" s="264"/>
      <c r="G61" s="126"/>
      <c r="H61" s="248"/>
      <c r="I61" s="258"/>
      <c r="J61" s="242"/>
      <c r="K61" s="239"/>
      <c r="L61" s="261"/>
      <c r="M61" s="239">
        <f ca="1">IF(NOT(ISERROR(MATCH(L61,_xlfn.ANCHORARRAY(F72),0))),K74&amp;"Por favor no seleccionar los criterios de impacto",L61)</f>
        <v>0</v>
      </c>
      <c r="N61" s="242"/>
      <c r="O61" s="239"/>
      <c r="P61" s="245"/>
      <c r="Q61" s="105">
        <v>4</v>
      </c>
      <c r="R61" s="106"/>
      <c r="S61" s="107" t="str">
        <f t="shared" si="100"/>
        <v/>
      </c>
      <c r="T61" s="114"/>
      <c r="U61" s="114"/>
      <c r="V61" s="115" t="str">
        <f t="shared" si="96"/>
        <v/>
      </c>
      <c r="W61" s="114"/>
      <c r="X61" s="114"/>
      <c r="Y61" s="114"/>
      <c r="Z61" s="108" t="str">
        <f t="shared" ref="Z61:Z63" si="103">IFERROR(IF(AND(S60="Probabilidad",S61="Probabilidad"),(AB60-(+AB60*V61)),IF(AND(S60="Impacto",S61="Probabilidad"),(AB59-(+AB59*V61)),IF(S61="Impacto",AB60,""))),"")</f>
        <v/>
      </c>
      <c r="AA61" s="118" t="str">
        <f t="shared" si="97"/>
        <v/>
      </c>
      <c r="AB61" s="119" t="str">
        <f t="shared" si="101"/>
        <v/>
      </c>
      <c r="AC61" s="118" t="str">
        <f t="shared" si="98"/>
        <v/>
      </c>
      <c r="AD61" s="119" t="str">
        <f t="shared" si="102"/>
        <v/>
      </c>
      <c r="AE61" s="120" t="str">
        <f t="shared" si="99"/>
        <v/>
      </c>
      <c r="AF61" s="121"/>
      <c r="AG61" s="109"/>
      <c r="AH61" s="110"/>
      <c r="AI61" s="111"/>
      <c r="AJ61" s="111"/>
      <c r="AK61" s="109"/>
      <c r="AL61" s="110"/>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26.25" customHeight="1" x14ac:dyDescent="0.3">
      <c r="A62" s="204"/>
      <c r="B62" s="248"/>
      <c r="C62" s="248"/>
      <c r="D62" s="248"/>
      <c r="E62" s="123"/>
      <c r="F62" s="264"/>
      <c r="G62" s="126"/>
      <c r="H62" s="248"/>
      <c r="I62" s="258"/>
      <c r="J62" s="242"/>
      <c r="K62" s="239"/>
      <c r="L62" s="261"/>
      <c r="M62" s="239">
        <f ca="1">IF(NOT(ISERROR(MATCH(L62,_xlfn.ANCHORARRAY(F73),0))),K75&amp;"Por favor no seleccionar los criterios de impacto",L62)</f>
        <v>0</v>
      </c>
      <c r="N62" s="242"/>
      <c r="O62" s="239"/>
      <c r="P62" s="245"/>
      <c r="Q62" s="105">
        <v>5</v>
      </c>
      <c r="R62" s="106"/>
      <c r="S62" s="107" t="str">
        <f t="shared" si="100"/>
        <v/>
      </c>
      <c r="T62" s="114"/>
      <c r="U62" s="114"/>
      <c r="V62" s="115" t="str">
        <f t="shared" si="96"/>
        <v/>
      </c>
      <c r="W62" s="114"/>
      <c r="X62" s="114"/>
      <c r="Y62" s="114"/>
      <c r="Z62" s="108" t="str">
        <f t="shared" si="103"/>
        <v/>
      </c>
      <c r="AA62" s="118" t="str">
        <f t="shared" si="97"/>
        <v/>
      </c>
      <c r="AB62" s="119" t="str">
        <f t="shared" si="101"/>
        <v/>
      </c>
      <c r="AC62" s="118" t="str">
        <f t="shared" si="98"/>
        <v/>
      </c>
      <c r="AD62" s="119" t="str">
        <f t="shared" si="102"/>
        <v/>
      </c>
      <c r="AE62" s="120" t="str">
        <f t="shared" si="99"/>
        <v/>
      </c>
      <c r="AF62" s="121"/>
      <c r="AG62" s="109"/>
      <c r="AH62" s="110"/>
      <c r="AI62" s="111"/>
      <c r="AJ62" s="111"/>
      <c r="AK62" s="109"/>
      <c r="AL62" s="110"/>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26.25" customHeight="1" x14ac:dyDescent="0.3">
      <c r="A63" s="205"/>
      <c r="B63" s="249"/>
      <c r="C63" s="249"/>
      <c r="D63" s="249"/>
      <c r="E63" s="124"/>
      <c r="F63" s="265"/>
      <c r="G63" s="127"/>
      <c r="H63" s="249"/>
      <c r="I63" s="259"/>
      <c r="J63" s="243"/>
      <c r="K63" s="240"/>
      <c r="L63" s="262"/>
      <c r="M63" s="240">
        <f ca="1">IF(NOT(ISERROR(MATCH(L63,_xlfn.ANCHORARRAY(F74),0))),K76&amp;"Por favor no seleccionar los criterios de impacto",L63)</f>
        <v>0</v>
      </c>
      <c r="N63" s="243"/>
      <c r="O63" s="240"/>
      <c r="P63" s="246"/>
      <c r="Q63" s="105">
        <v>6</v>
      </c>
      <c r="R63" s="106"/>
      <c r="S63" s="107" t="str">
        <f t="shared" si="100"/>
        <v/>
      </c>
      <c r="T63" s="114"/>
      <c r="U63" s="114"/>
      <c r="V63" s="115" t="str">
        <f t="shared" si="96"/>
        <v/>
      </c>
      <c r="W63" s="114"/>
      <c r="X63" s="114"/>
      <c r="Y63" s="114"/>
      <c r="Z63" s="108" t="str">
        <f t="shared" si="103"/>
        <v/>
      </c>
      <c r="AA63" s="118" t="str">
        <f t="shared" si="97"/>
        <v/>
      </c>
      <c r="AB63" s="119" t="str">
        <f t="shared" si="101"/>
        <v/>
      </c>
      <c r="AC63" s="118" t="str">
        <f t="shared" si="98"/>
        <v/>
      </c>
      <c r="AD63" s="119" t="str">
        <f t="shared" si="102"/>
        <v/>
      </c>
      <c r="AE63" s="120" t="str">
        <f t="shared" si="99"/>
        <v/>
      </c>
      <c r="AF63" s="121"/>
      <c r="AG63" s="109"/>
      <c r="AH63" s="110"/>
      <c r="AI63" s="111"/>
      <c r="AJ63" s="111"/>
      <c r="AK63" s="109"/>
      <c r="AL63" s="110"/>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9.5" customHeight="1" x14ac:dyDescent="0.3">
      <c r="A64" s="203">
        <v>10</v>
      </c>
      <c r="B64" s="247"/>
      <c r="C64" s="247"/>
      <c r="D64" s="247"/>
      <c r="E64" s="122"/>
      <c r="F64" s="263"/>
      <c r="G64" s="125"/>
      <c r="H64" s="247"/>
      <c r="I64" s="257"/>
      <c r="J64" s="241" t="str">
        <f t="shared" ref="J64" si="104">IF(I64&lt;=0,"",IF(I64&lt;=2,"Muy Baja",IF(I64&lt;=24,"Baja",IF(I64&lt;=500,"Media",IF(I64&lt;=5000,"Alta","Muy Alta")))))</f>
        <v/>
      </c>
      <c r="K64" s="238" t="str">
        <f t="shared" ref="K64" si="105">IF(J64="","",IF(J64="Muy Baja",0.2,IF(J64="Baja",0.4,IF(J64="Media",0.6,IF(J64="Alta",0.8,IF(J64="Muy Alta",1,))))))</f>
        <v/>
      </c>
      <c r="L64" s="260"/>
      <c r="M64" s="238">
        <f ca="1">IF(NOT(ISERROR(MATCH(L64,'Tabla Impacto'!$B$221:$B$223,0))),'Tabla Impacto'!$F$223&amp;"Por favor no seleccionar los criterios de impacto(Afectación Económica o presupuestal y Pérdida Reputacional)",L64)</f>
        <v>0</v>
      </c>
      <c r="N64" s="241" t="str">
        <f ca="1">IF(OR(M64='Tabla Impacto'!$C$11,M64='Tabla Impacto'!$D$11),"Leve",IF(OR(M64='Tabla Impacto'!$C$12,M64='Tabla Impacto'!$D$12),"Menor",IF(OR(M64='Tabla Impacto'!$C$13,M64='Tabla Impacto'!$D$13),"Moderado",IF(OR(M64='Tabla Impacto'!$C$14,M64='Tabla Impacto'!$D$14),"Mayor",IF(OR(M64='Tabla Impacto'!$C$15,M64='Tabla Impacto'!$D$15),"Catastrófico","")))))</f>
        <v/>
      </c>
      <c r="O64" s="238" t="str">
        <f t="shared" ref="O64" ca="1" si="106">IF(N64="","",IF(N64="Leve",0.2,IF(N64="Menor",0.4,IF(N64="Moderado",0.6,IF(N64="Mayor",0.8,IF(N64="Catastrófico",1,))))))</f>
        <v/>
      </c>
      <c r="P64" s="244" t="str">
        <f t="shared" ref="P64" ca="1" si="107">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5">
        <v>1</v>
      </c>
      <c r="R64" s="106"/>
      <c r="S64" s="107" t="str">
        <f>IF(OR(T64="Preventivo",T64="Detectivo"),"Probabilidad",IF(T64="Correctivo","Impacto",""))</f>
        <v/>
      </c>
      <c r="T64" s="114"/>
      <c r="U64" s="114"/>
      <c r="V64" s="115" t="str">
        <f>IF(AND(T64="Preventivo",U64="Automático"),"50%",IF(AND(T64="Preventivo",U64="Manual"),"40%",IF(AND(T64="Detectivo",U64="Automático"),"40%",IF(AND(T64="Detectivo",U64="Manual"),"30%",IF(AND(T64="Correctivo",U64="Automático"),"35%",IF(AND(T64="Correctivo",U64="Manual"),"25%",""))))))</f>
        <v/>
      </c>
      <c r="W64" s="114"/>
      <c r="X64" s="114"/>
      <c r="Y64" s="114"/>
      <c r="Z64" s="108" t="str">
        <f>IFERROR(IF(S64="Probabilidad",(K64-(+K64*V64)),IF(S64="Impacto",K64,"")),"")</f>
        <v/>
      </c>
      <c r="AA64" s="118" t="str">
        <f>IFERROR(IF(Z64="","",IF(Z64&lt;=0.2,"Muy Baja",IF(Z64&lt;=0.4,"Baja",IF(Z64&lt;=0.6,"Media",IF(Z64&lt;=0.8,"Alta","Muy Alta"))))),"")</f>
        <v/>
      </c>
      <c r="AB64" s="119" t="str">
        <f>+Z64</f>
        <v/>
      </c>
      <c r="AC64" s="118" t="str">
        <f>IFERROR(IF(AD64="","",IF(AD64&lt;=0.2,"Leve",IF(AD64&lt;=0.4,"Menor",IF(AD64&lt;=0.6,"Moderado",IF(AD64&lt;=0.8,"Mayor","Catastrófico"))))),"")</f>
        <v/>
      </c>
      <c r="AD64" s="119" t="str">
        <f>IFERROR(IF(S64="Impacto",(O64-(+O64*V64)),IF(S64="Probabilidad",O64,"")),"")</f>
        <v/>
      </c>
      <c r="AE64" s="120"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21"/>
      <c r="AG64" s="109"/>
      <c r="AH64" s="110"/>
      <c r="AI64" s="111"/>
      <c r="AJ64" s="111"/>
      <c r="AK64" s="109"/>
      <c r="AL64" s="110"/>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9.5" customHeight="1" x14ac:dyDescent="0.3">
      <c r="A65" s="204"/>
      <c r="B65" s="248"/>
      <c r="C65" s="248"/>
      <c r="D65" s="248"/>
      <c r="E65" s="123"/>
      <c r="F65" s="264"/>
      <c r="G65" s="126"/>
      <c r="H65" s="248"/>
      <c r="I65" s="258"/>
      <c r="J65" s="242"/>
      <c r="K65" s="239"/>
      <c r="L65" s="261"/>
      <c r="M65" s="239">
        <f ca="1">IF(NOT(ISERROR(MATCH(L65,_xlfn.ANCHORARRAY(F76),0))),K78&amp;"Por favor no seleccionar los criterios de impacto",L65)</f>
        <v>0</v>
      </c>
      <c r="N65" s="242"/>
      <c r="O65" s="239"/>
      <c r="P65" s="245"/>
      <c r="Q65" s="105">
        <v>2</v>
      </c>
      <c r="R65" s="106"/>
      <c r="S65" s="107" t="str">
        <f>IF(OR(T65="Preventivo",T65="Detectivo"),"Probabilidad",IF(T65="Correctivo","Impacto",""))</f>
        <v/>
      </c>
      <c r="T65" s="114"/>
      <c r="U65" s="114"/>
      <c r="V65" s="115" t="str">
        <f t="shared" ref="V65:V69" si="108">IF(AND(T65="Preventivo",U65="Automático"),"50%",IF(AND(T65="Preventivo",U65="Manual"),"40%",IF(AND(T65="Detectivo",U65="Automático"),"40%",IF(AND(T65="Detectivo",U65="Manual"),"30%",IF(AND(T65="Correctivo",U65="Automático"),"35%",IF(AND(T65="Correctivo",U65="Manual"),"25%",""))))))</f>
        <v/>
      </c>
      <c r="W65" s="114"/>
      <c r="X65" s="114"/>
      <c r="Y65" s="114"/>
      <c r="Z65" s="108" t="str">
        <f>IFERROR(IF(AND(S64="Probabilidad",S65="Probabilidad"),(AB64-(+AB64*V65)),IF(AND(S64="Impacto",S65="Probabilidad"),(K64-(+K64*V65)),IF(S65="Impacto",AB64,""))),"")</f>
        <v/>
      </c>
      <c r="AA65" s="118" t="str">
        <f t="shared" ref="AA65:AA69" si="109">IFERROR(IF(Z65="","",IF(Z65&lt;=0.2,"Muy Baja",IF(Z65&lt;=0.4,"Baja",IF(Z65&lt;=0.6,"Media",IF(Z65&lt;=0.8,"Alta","Muy Alta"))))),"")</f>
        <v/>
      </c>
      <c r="AB65" s="119" t="str">
        <f>+Z65</f>
        <v/>
      </c>
      <c r="AC65" s="118" t="str">
        <f t="shared" ref="AC65:AC69" si="110">IFERROR(IF(AD65="","",IF(AD65&lt;=0.2,"Leve",IF(AD65&lt;=0.4,"Menor",IF(AD65&lt;=0.6,"Moderado",IF(AD65&lt;=0.8,"Mayor","Catastrófico"))))),"")</f>
        <v/>
      </c>
      <c r="AD65" s="119" t="str">
        <f>IFERROR(IF(AND(S64="Impacto",S65="Impacto"),(AD64-(+AD64*V65)),IF(AND(S64="Probabilidad",S65="Impacto"),(O64-(+O64*V65)),IF(S65="Probabilidad",AD64,""))),"")</f>
        <v/>
      </c>
      <c r="AE65" s="120" t="str">
        <f t="shared" ref="AE65:AE69" si="111">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21"/>
      <c r="AG65" s="109"/>
      <c r="AH65" s="110"/>
      <c r="AI65" s="111"/>
      <c r="AJ65" s="111"/>
      <c r="AK65" s="109"/>
      <c r="AL65" s="110"/>
    </row>
    <row r="66" spans="1:38" ht="19.5" customHeight="1" x14ac:dyDescent="0.3">
      <c r="A66" s="204"/>
      <c r="B66" s="248"/>
      <c r="C66" s="248"/>
      <c r="D66" s="248"/>
      <c r="E66" s="123"/>
      <c r="F66" s="264"/>
      <c r="G66" s="126"/>
      <c r="H66" s="248"/>
      <c r="I66" s="258"/>
      <c r="J66" s="242"/>
      <c r="K66" s="239"/>
      <c r="L66" s="261"/>
      <c r="M66" s="239">
        <f ca="1">IF(NOT(ISERROR(MATCH(L66,_xlfn.ANCHORARRAY(F77),0))),K79&amp;"Por favor no seleccionar los criterios de impacto",L66)</f>
        <v>0</v>
      </c>
      <c r="N66" s="242"/>
      <c r="O66" s="239"/>
      <c r="P66" s="245"/>
      <c r="Q66" s="105">
        <v>3</v>
      </c>
      <c r="R66" s="112"/>
      <c r="S66" s="107" t="str">
        <f t="shared" ref="S66:S69" si="112">IF(OR(T66="Preventivo",T66="Detectivo"),"Probabilidad",IF(T66="Correctivo","Impacto",""))</f>
        <v/>
      </c>
      <c r="T66" s="114"/>
      <c r="U66" s="114"/>
      <c r="V66" s="115" t="str">
        <f t="shared" si="108"/>
        <v/>
      </c>
      <c r="W66" s="114"/>
      <c r="X66" s="114"/>
      <c r="Y66" s="114"/>
      <c r="Z66" s="108" t="str">
        <f>IFERROR(IF(AND(S65="Probabilidad",S66="Probabilidad"),(AB65-(+AB65*V66)),IF(AND(S65="Impacto",S66="Probabilidad"),(AB64-(+AB64*V66)),IF(S66="Impacto",AB65,""))),"")</f>
        <v/>
      </c>
      <c r="AA66" s="118" t="str">
        <f t="shared" si="109"/>
        <v/>
      </c>
      <c r="AB66" s="119" t="str">
        <f t="shared" ref="AB66:AB69" si="113">+Z66</f>
        <v/>
      </c>
      <c r="AC66" s="118" t="str">
        <f t="shared" si="110"/>
        <v/>
      </c>
      <c r="AD66" s="119" t="str">
        <f t="shared" ref="AD66:AD69" si="114">IFERROR(IF(AND(S65="Impacto",S66="Impacto"),(AD65-(+AD65*V66)),IF(AND(S65="Probabilidad",S66="Impacto"),(AD64-(+AD64*V66)),IF(S66="Probabilidad",AD65,""))),"")</f>
        <v/>
      </c>
      <c r="AE66" s="120" t="str">
        <f t="shared" si="111"/>
        <v/>
      </c>
      <c r="AF66" s="121"/>
      <c r="AG66" s="109"/>
      <c r="AH66" s="110"/>
      <c r="AI66" s="111"/>
      <c r="AJ66" s="111"/>
      <c r="AK66" s="109"/>
      <c r="AL66" s="110"/>
    </row>
    <row r="67" spans="1:38" ht="19.5" customHeight="1" x14ac:dyDescent="0.3">
      <c r="A67" s="204"/>
      <c r="B67" s="248"/>
      <c r="C67" s="248"/>
      <c r="D67" s="248"/>
      <c r="E67" s="123"/>
      <c r="F67" s="264"/>
      <c r="G67" s="126"/>
      <c r="H67" s="248"/>
      <c r="I67" s="258"/>
      <c r="J67" s="242"/>
      <c r="K67" s="239"/>
      <c r="L67" s="261"/>
      <c r="M67" s="239">
        <f ca="1">IF(NOT(ISERROR(MATCH(L67,_xlfn.ANCHORARRAY(F78),0))),K80&amp;"Por favor no seleccionar los criterios de impacto",L67)</f>
        <v>0</v>
      </c>
      <c r="N67" s="242"/>
      <c r="O67" s="239"/>
      <c r="P67" s="245"/>
      <c r="Q67" s="105">
        <v>4</v>
      </c>
      <c r="R67" s="106"/>
      <c r="S67" s="107" t="str">
        <f t="shared" si="112"/>
        <v/>
      </c>
      <c r="T67" s="114"/>
      <c r="U67" s="114"/>
      <c r="V67" s="115" t="str">
        <f t="shared" si="108"/>
        <v/>
      </c>
      <c r="W67" s="114"/>
      <c r="X67" s="114"/>
      <c r="Y67" s="114"/>
      <c r="Z67" s="108" t="str">
        <f t="shared" ref="Z67:Z69" si="115">IFERROR(IF(AND(S66="Probabilidad",S67="Probabilidad"),(AB66-(+AB66*V67)),IF(AND(S66="Impacto",S67="Probabilidad"),(AB65-(+AB65*V67)),IF(S67="Impacto",AB66,""))),"")</f>
        <v/>
      </c>
      <c r="AA67" s="118" t="str">
        <f t="shared" si="109"/>
        <v/>
      </c>
      <c r="AB67" s="119" t="str">
        <f t="shared" si="113"/>
        <v/>
      </c>
      <c r="AC67" s="118" t="str">
        <f t="shared" si="110"/>
        <v/>
      </c>
      <c r="AD67" s="119" t="str">
        <f t="shared" si="114"/>
        <v/>
      </c>
      <c r="AE67" s="120" t="str">
        <f t="shared" si="111"/>
        <v/>
      </c>
      <c r="AF67" s="121"/>
      <c r="AG67" s="109"/>
      <c r="AH67" s="110"/>
      <c r="AI67" s="111"/>
      <c r="AJ67" s="111"/>
      <c r="AK67" s="109"/>
      <c r="AL67" s="110"/>
    </row>
    <row r="68" spans="1:38" ht="19.5" customHeight="1" x14ac:dyDescent="0.3">
      <c r="A68" s="204"/>
      <c r="B68" s="248"/>
      <c r="C68" s="248"/>
      <c r="D68" s="248"/>
      <c r="E68" s="123"/>
      <c r="F68" s="264"/>
      <c r="G68" s="126"/>
      <c r="H68" s="248"/>
      <c r="I68" s="258"/>
      <c r="J68" s="242"/>
      <c r="K68" s="239"/>
      <c r="L68" s="261"/>
      <c r="M68" s="239">
        <f ca="1">IF(NOT(ISERROR(MATCH(L68,_xlfn.ANCHORARRAY(F79),0))),K81&amp;"Por favor no seleccionar los criterios de impacto",L68)</f>
        <v>0</v>
      </c>
      <c r="N68" s="242"/>
      <c r="O68" s="239"/>
      <c r="P68" s="245"/>
      <c r="Q68" s="105">
        <v>5</v>
      </c>
      <c r="R68" s="106"/>
      <c r="S68" s="107" t="str">
        <f t="shared" si="112"/>
        <v/>
      </c>
      <c r="T68" s="114"/>
      <c r="U68" s="114"/>
      <c r="V68" s="115" t="str">
        <f t="shared" si="108"/>
        <v/>
      </c>
      <c r="W68" s="114"/>
      <c r="X68" s="114"/>
      <c r="Y68" s="114"/>
      <c r="Z68" s="108" t="str">
        <f t="shared" si="115"/>
        <v/>
      </c>
      <c r="AA68" s="118" t="str">
        <f t="shared" si="109"/>
        <v/>
      </c>
      <c r="AB68" s="119" t="str">
        <f t="shared" si="113"/>
        <v/>
      </c>
      <c r="AC68" s="118" t="str">
        <f t="shared" si="110"/>
        <v/>
      </c>
      <c r="AD68" s="119" t="str">
        <f t="shared" si="114"/>
        <v/>
      </c>
      <c r="AE68" s="120" t="str">
        <f t="shared" si="111"/>
        <v/>
      </c>
      <c r="AF68" s="121"/>
      <c r="AG68" s="109"/>
      <c r="AH68" s="110"/>
      <c r="AI68" s="111"/>
      <c r="AJ68" s="111"/>
      <c r="AK68" s="109"/>
      <c r="AL68" s="110"/>
    </row>
    <row r="69" spans="1:38" ht="19.5" customHeight="1" x14ac:dyDescent="0.3">
      <c r="A69" s="205"/>
      <c r="B69" s="249"/>
      <c r="C69" s="249"/>
      <c r="D69" s="249"/>
      <c r="E69" s="124"/>
      <c r="F69" s="265"/>
      <c r="G69" s="127"/>
      <c r="H69" s="249"/>
      <c r="I69" s="259"/>
      <c r="J69" s="243"/>
      <c r="K69" s="240"/>
      <c r="L69" s="262"/>
      <c r="M69" s="240">
        <f ca="1">IF(NOT(ISERROR(MATCH(L69,_xlfn.ANCHORARRAY(F80),0))),K82&amp;"Por favor no seleccionar los criterios de impacto",L69)</f>
        <v>0</v>
      </c>
      <c r="N69" s="243"/>
      <c r="O69" s="240"/>
      <c r="P69" s="246"/>
      <c r="Q69" s="105">
        <v>6</v>
      </c>
      <c r="R69" s="106"/>
      <c r="S69" s="107" t="str">
        <f t="shared" si="112"/>
        <v/>
      </c>
      <c r="T69" s="114"/>
      <c r="U69" s="114"/>
      <c r="V69" s="115" t="str">
        <f t="shared" si="108"/>
        <v/>
      </c>
      <c r="W69" s="114"/>
      <c r="X69" s="114"/>
      <c r="Y69" s="114"/>
      <c r="Z69" s="108" t="str">
        <f t="shared" si="115"/>
        <v/>
      </c>
      <c r="AA69" s="118" t="str">
        <f t="shared" si="109"/>
        <v/>
      </c>
      <c r="AB69" s="119" t="str">
        <f t="shared" si="113"/>
        <v/>
      </c>
      <c r="AC69" s="118" t="str">
        <f t="shared" si="110"/>
        <v/>
      </c>
      <c r="AD69" s="119" t="str">
        <f t="shared" si="114"/>
        <v/>
      </c>
      <c r="AE69" s="120" t="str">
        <f t="shared" si="111"/>
        <v/>
      </c>
      <c r="AF69" s="121"/>
      <c r="AG69" s="109"/>
      <c r="AH69" s="110"/>
      <c r="AI69" s="111"/>
      <c r="AJ69" s="111"/>
      <c r="AK69" s="109"/>
      <c r="AL69" s="110"/>
    </row>
    <row r="70" spans="1:38" ht="49.5" customHeight="1" x14ac:dyDescent="0.3">
      <c r="A70" s="6"/>
      <c r="B70" s="266" t="s">
        <v>126</v>
      </c>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8"/>
    </row>
    <row r="72" spans="1:38" x14ac:dyDescent="0.3">
      <c r="A72" s="1"/>
      <c r="B72" s="24" t="s">
        <v>138</v>
      </c>
      <c r="C72" s="1"/>
      <c r="D72" s="1"/>
      <c r="E72" s="1"/>
      <c r="H72" s="1"/>
    </row>
  </sheetData>
  <dataConsolidate/>
  <mergeCells count="187">
    <mergeCell ref="AF10:AF13"/>
    <mergeCell ref="C4:AL4"/>
    <mergeCell ref="C5:AL5"/>
    <mergeCell ref="C6:AL6"/>
    <mergeCell ref="A1:AL2"/>
    <mergeCell ref="A7:I7"/>
    <mergeCell ref="J7:P7"/>
    <mergeCell ref="Q7:Y7"/>
    <mergeCell ref="Z7:AF7"/>
    <mergeCell ref="AG7:AL7"/>
    <mergeCell ref="AB8:AB9"/>
    <mergeCell ref="I8:I9"/>
    <mergeCell ref="J8:J9"/>
    <mergeCell ref="K8:K9"/>
    <mergeCell ref="N8:N9"/>
    <mergeCell ref="O8:O9"/>
    <mergeCell ref="B8:B9"/>
    <mergeCell ref="P8:P9"/>
    <mergeCell ref="L8:L9"/>
    <mergeCell ref="M8:M9"/>
    <mergeCell ref="S8:S9"/>
    <mergeCell ref="T8:Y8"/>
    <mergeCell ref="E8:E9"/>
    <mergeCell ref="H10:H15"/>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M16:M21"/>
    <mergeCell ref="N16:N21"/>
    <mergeCell ref="O16:O21"/>
    <mergeCell ref="P16:P21"/>
    <mergeCell ref="A22:A27"/>
    <mergeCell ref="B22:B27"/>
    <mergeCell ref="C22:C27"/>
    <mergeCell ref="D22:D27"/>
    <mergeCell ref="F22:F27"/>
    <mergeCell ref="H22:H27"/>
    <mergeCell ref="I22:I27"/>
    <mergeCell ref="J22:J27"/>
    <mergeCell ref="K22:K27"/>
    <mergeCell ref="L22:L27"/>
    <mergeCell ref="M22:M27"/>
    <mergeCell ref="N22:N27"/>
    <mergeCell ref="H16:H21"/>
    <mergeCell ref="I16:I21"/>
    <mergeCell ref="J16:J21"/>
    <mergeCell ref="K16:K21"/>
    <mergeCell ref="L16:L21"/>
    <mergeCell ref="A16:A21"/>
    <mergeCell ref="B16:B21"/>
    <mergeCell ref="C16:C21"/>
    <mergeCell ref="D16:D21"/>
    <mergeCell ref="F16:F21"/>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I10:I15"/>
    <mergeCell ref="J10:J15"/>
    <mergeCell ref="A10:A15"/>
    <mergeCell ref="B10:B15"/>
    <mergeCell ref="C10:C15"/>
    <mergeCell ref="D10:D15"/>
    <mergeCell ref="F10:F15"/>
    <mergeCell ref="P10:P15"/>
    <mergeCell ref="K10:K15"/>
    <mergeCell ref="L10:L15"/>
    <mergeCell ref="M10:M15"/>
    <mergeCell ref="N10:N15"/>
    <mergeCell ref="O10:O15"/>
    <mergeCell ref="G10:G15"/>
  </mergeCells>
  <conditionalFormatting sqref="J10 J16 J22 J28 J34 J40 J46 J52 J58 J64">
    <cfRule type="cellIs" dxfId="314" priority="641" operator="equal">
      <formula>"Muy Alta"</formula>
    </cfRule>
    <cfRule type="cellIs" dxfId="313" priority="642" operator="equal">
      <formula>"Alta"</formula>
    </cfRule>
    <cfRule type="cellIs" dxfId="312" priority="643" operator="equal">
      <formula>"Media"</formula>
    </cfRule>
    <cfRule type="cellIs" dxfId="311" priority="644" operator="equal">
      <formula>"Baja"</formula>
    </cfRule>
    <cfRule type="cellIs" dxfId="310" priority="645" operator="equal">
      <formula>"Muy Baja"</formula>
    </cfRule>
  </conditionalFormatting>
  <conditionalFormatting sqref="N10 N16 N22 N28 N34 N40 N46 N52 N58 N64">
    <cfRule type="cellIs" dxfId="309" priority="636" operator="equal">
      <formula>"Catastrófico"</formula>
    </cfRule>
    <cfRule type="cellIs" dxfId="308" priority="637" operator="equal">
      <formula>"Mayor"</formula>
    </cfRule>
    <cfRule type="cellIs" dxfId="307" priority="638" operator="equal">
      <formula>"Moderado"</formula>
    </cfRule>
    <cfRule type="cellIs" dxfId="306" priority="639" operator="equal">
      <formula>"Menor"</formula>
    </cfRule>
    <cfRule type="cellIs" dxfId="305" priority="640" operator="equal">
      <formula>"Leve"</formula>
    </cfRule>
  </conditionalFormatting>
  <conditionalFormatting sqref="P10">
    <cfRule type="cellIs" dxfId="304" priority="632" operator="equal">
      <formula>"Extremo"</formula>
    </cfRule>
    <cfRule type="cellIs" dxfId="303" priority="633" operator="equal">
      <formula>"Alto"</formula>
    </cfRule>
    <cfRule type="cellIs" dxfId="302" priority="634" operator="equal">
      <formula>"Moderado"</formula>
    </cfRule>
    <cfRule type="cellIs" dxfId="301" priority="635" operator="equal">
      <formula>"Bajo"</formula>
    </cfRule>
  </conditionalFormatting>
  <conditionalFormatting sqref="AA10">
    <cfRule type="cellIs" dxfId="300" priority="627" operator="equal">
      <formula>"Muy Alta"</formula>
    </cfRule>
    <cfRule type="cellIs" dxfId="299" priority="628" operator="equal">
      <formula>"Alta"</formula>
    </cfRule>
    <cfRule type="cellIs" dxfId="298" priority="629" operator="equal">
      <formula>"Media"</formula>
    </cfRule>
    <cfRule type="cellIs" dxfId="297" priority="630" operator="equal">
      <formula>"Baja"</formula>
    </cfRule>
    <cfRule type="cellIs" dxfId="296" priority="631" operator="equal">
      <formula>"Muy Baja"</formula>
    </cfRule>
  </conditionalFormatting>
  <conditionalFormatting sqref="AC10">
    <cfRule type="cellIs" dxfId="295" priority="622" operator="equal">
      <formula>"Catastrófico"</formula>
    </cfRule>
    <cfRule type="cellIs" dxfId="294" priority="623" operator="equal">
      <formula>"Mayor"</formula>
    </cfRule>
    <cfRule type="cellIs" dxfId="293" priority="624" operator="equal">
      <formula>"Moderado"</formula>
    </cfRule>
    <cfRule type="cellIs" dxfId="292" priority="625" operator="equal">
      <formula>"Menor"</formula>
    </cfRule>
    <cfRule type="cellIs" dxfId="291" priority="626" operator="equal">
      <formula>"Leve"</formula>
    </cfRule>
  </conditionalFormatting>
  <conditionalFormatting sqref="AE10">
    <cfRule type="cellIs" dxfId="290" priority="618" operator="equal">
      <formula>"Extremo"</formula>
    </cfRule>
    <cfRule type="cellIs" dxfId="289" priority="619" operator="equal">
      <formula>"Alto"</formula>
    </cfRule>
    <cfRule type="cellIs" dxfId="288" priority="620" operator="equal">
      <formula>"Moderado"</formula>
    </cfRule>
    <cfRule type="cellIs" dxfId="287" priority="621" operator="equal">
      <formula>"Bajo"</formula>
    </cfRule>
  </conditionalFormatting>
  <conditionalFormatting sqref="P16 P22 P28 P34 P40 P46 P52 P58 P64">
    <cfRule type="cellIs" dxfId="286" priority="562" operator="equal">
      <formula>"Extremo"</formula>
    </cfRule>
    <cfRule type="cellIs" dxfId="285" priority="563" operator="equal">
      <formula>"Alto"</formula>
    </cfRule>
    <cfRule type="cellIs" dxfId="284" priority="564" operator="equal">
      <formula>"Moderado"</formula>
    </cfRule>
    <cfRule type="cellIs" dxfId="283" priority="565" operator="equal">
      <formula>"Bajo"</formula>
    </cfRule>
  </conditionalFormatting>
  <conditionalFormatting sqref="M10:M69">
    <cfRule type="containsText" dxfId="282" priority="323" operator="containsText" text="❌">
      <formula>NOT(ISERROR(SEARCH("❌",M10)))</formula>
    </cfRule>
  </conditionalFormatting>
  <conditionalFormatting sqref="AA11:AA15">
    <cfRule type="cellIs" dxfId="281" priority="318" operator="equal">
      <formula>"Muy Alta"</formula>
    </cfRule>
    <cfRule type="cellIs" dxfId="280" priority="319" operator="equal">
      <formula>"Alta"</formula>
    </cfRule>
    <cfRule type="cellIs" dxfId="279" priority="320" operator="equal">
      <formula>"Media"</formula>
    </cfRule>
    <cfRule type="cellIs" dxfId="278" priority="321" operator="equal">
      <formula>"Baja"</formula>
    </cfRule>
    <cfRule type="cellIs" dxfId="277" priority="322" operator="equal">
      <formula>"Muy Baja"</formula>
    </cfRule>
  </conditionalFormatting>
  <conditionalFormatting sqref="AC11:AC15">
    <cfRule type="cellIs" dxfId="276" priority="313" operator="equal">
      <formula>"Catastrófico"</formula>
    </cfRule>
    <cfRule type="cellIs" dxfId="275" priority="314" operator="equal">
      <formula>"Mayor"</formula>
    </cfRule>
    <cfRule type="cellIs" dxfId="274" priority="315" operator="equal">
      <formula>"Moderado"</formula>
    </cfRule>
    <cfRule type="cellIs" dxfId="273" priority="316" operator="equal">
      <formula>"Menor"</formula>
    </cfRule>
    <cfRule type="cellIs" dxfId="272" priority="317" operator="equal">
      <formula>"Leve"</formula>
    </cfRule>
  </conditionalFormatting>
  <conditionalFormatting sqref="AE11:AE15">
    <cfRule type="cellIs" dxfId="271" priority="309" operator="equal">
      <formula>"Extremo"</formula>
    </cfRule>
    <cfRule type="cellIs" dxfId="270" priority="310" operator="equal">
      <formula>"Alto"</formula>
    </cfRule>
    <cfRule type="cellIs" dxfId="269" priority="311" operator="equal">
      <formula>"Moderado"</formula>
    </cfRule>
    <cfRule type="cellIs" dxfId="268" priority="312" operator="equal">
      <formula>"Bajo"</formula>
    </cfRule>
  </conditionalFormatting>
  <conditionalFormatting sqref="AA16">
    <cfRule type="cellIs" dxfId="267" priority="276" operator="equal">
      <formula>"Muy Alta"</formula>
    </cfRule>
    <cfRule type="cellIs" dxfId="266" priority="277" operator="equal">
      <formula>"Alta"</formula>
    </cfRule>
    <cfRule type="cellIs" dxfId="265" priority="278" operator="equal">
      <formula>"Media"</formula>
    </cfRule>
    <cfRule type="cellIs" dxfId="264" priority="279" operator="equal">
      <formula>"Baja"</formula>
    </cfRule>
    <cfRule type="cellIs" dxfId="263" priority="280" operator="equal">
      <formula>"Muy Baja"</formula>
    </cfRule>
  </conditionalFormatting>
  <conditionalFormatting sqref="AC16">
    <cfRule type="cellIs" dxfId="262" priority="271" operator="equal">
      <formula>"Catastrófico"</formula>
    </cfRule>
    <cfRule type="cellIs" dxfId="261" priority="272" operator="equal">
      <formula>"Mayor"</formula>
    </cfRule>
    <cfRule type="cellIs" dxfId="260" priority="273" operator="equal">
      <formula>"Moderado"</formula>
    </cfRule>
    <cfRule type="cellIs" dxfId="259" priority="274" operator="equal">
      <formula>"Menor"</formula>
    </cfRule>
    <cfRule type="cellIs" dxfId="258" priority="275" operator="equal">
      <formula>"Leve"</formula>
    </cfRule>
  </conditionalFormatting>
  <conditionalFormatting sqref="AE16">
    <cfRule type="cellIs" dxfId="257" priority="267" operator="equal">
      <formula>"Extremo"</formula>
    </cfRule>
    <cfRule type="cellIs" dxfId="256" priority="268" operator="equal">
      <formula>"Alto"</formula>
    </cfRule>
    <cfRule type="cellIs" dxfId="255" priority="269" operator="equal">
      <formula>"Moderado"</formula>
    </cfRule>
    <cfRule type="cellIs" dxfId="254" priority="270" operator="equal">
      <formula>"Bajo"</formula>
    </cfRule>
  </conditionalFormatting>
  <conditionalFormatting sqref="AA17:AA21">
    <cfRule type="cellIs" dxfId="253" priority="262" operator="equal">
      <formula>"Muy Alta"</formula>
    </cfRule>
    <cfRule type="cellIs" dxfId="252" priority="263" operator="equal">
      <formula>"Alta"</formula>
    </cfRule>
    <cfRule type="cellIs" dxfId="251" priority="264" operator="equal">
      <formula>"Media"</formula>
    </cfRule>
    <cfRule type="cellIs" dxfId="250" priority="265" operator="equal">
      <formula>"Baja"</formula>
    </cfRule>
    <cfRule type="cellIs" dxfId="249" priority="266" operator="equal">
      <formula>"Muy Baja"</formula>
    </cfRule>
  </conditionalFormatting>
  <conditionalFormatting sqref="AC17:AC21">
    <cfRule type="cellIs" dxfId="248" priority="257" operator="equal">
      <formula>"Catastrófico"</formula>
    </cfRule>
    <cfRule type="cellIs" dxfId="247" priority="258" operator="equal">
      <formula>"Mayor"</formula>
    </cfRule>
    <cfRule type="cellIs" dxfId="246" priority="259" operator="equal">
      <formula>"Moderado"</formula>
    </cfRule>
    <cfRule type="cellIs" dxfId="245" priority="260" operator="equal">
      <formula>"Menor"</formula>
    </cfRule>
    <cfRule type="cellIs" dxfId="244" priority="261" operator="equal">
      <formula>"Leve"</formula>
    </cfRule>
  </conditionalFormatting>
  <conditionalFormatting sqref="AE17:AE21">
    <cfRule type="cellIs" dxfId="243" priority="253" operator="equal">
      <formula>"Extremo"</formula>
    </cfRule>
    <cfRule type="cellIs" dxfId="242" priority="254" operator="equal">
      <formula>"Alto"</formula>
    </cfRule>
    <cfRule type="cellIs" dxfId="241" priority="255" operator="equal">
      <formula>"Moderado"</formula>
    </cfRule>
    <cfRule type="cellIs" dxfId="240" priority="256" operator="equal">
      <formula>"Bajo"</formula>
    </cfRule>
  </conditionalFormatting>
  <conditionalFormatting sqref="AA22">
    <cfRule type="cellIs" dxfId="239" priority="220" operator="equal">
      <formula>"Muy Alta"</formula>
    </cfRule>
    <cfRule type="cellIs" dxfId="238" priority="221" operator="equal">
      <formula>"Alta"</formula>
    </cfRule>
    <cfRule type="cellIs" dxfId="237" priority="222" operator="equal">
      <formula>"Media"</formula>
    </cfRule>
    <cfRule type="cellIs" dxfId="236" priority="223" operator="equal">
      <formula>"Baja"</formula>
    </cfRule>
    <cfRule type="cellIs" dxfId="235" priority="224" operator="equal">
      <formula>"Muy Baja"</formula>
    </cfRule>
  </conditionalFormatting>
  <conditionalFormatting sqref="AC22">
    <cfRule type="cellIs" dxfId="234" priority="215" operator="equal">
      <formula>"Catastrófico"</formula>
    </cfRule>
    <cfRule type="cellIs" dxfId="233" priority="216" operator="equal">
      <formula>"Mayor"</formula>
    </cfRule>
    <cfRule type="cellIs" dxfId="232" priority="217" operator="equal">
      <formula>"Moderado"</formula>
    </cfRule>
    <cfRule type="cellIs" dxfId="231" priority="218" operator="equal">
      <formula>"Menor"</formula>
    </cfRule>
    <cfRule type="cellIs" dxfId="230" priority="219" operator="equal">
      <formula>"Leve"</formula>
    </cfRule>
  </conditionalFormatting>
  <conditionalFormatting sqref="AE22">
    <cfRule type="cellIs" dxfId="229" priority="211" operator="equal">
      <formula>"Extremo"</formula>
    </cfRule>
    <cfRule type="cellIs" dxfId="228" priority="212" operator="equal">
      <formula>"Alto"</formula>
    </cfRule>
    <cfRule type="cellIs" dxfId="227" priority="213" operator="equal">
      <formula>"Moderado"</formula>
    </cfRule>
    <cfRule type="cellIs" dxfId="226" priority="214" operator="equal">
      <formula>"Bajo"</formula>
    </cfRule>
  </conditionalFormatting>
  <conditionalFormatting sqref="AA23:AA27">
    <cfRule type="cellIs" dxfId="225" priority="206" operator="equal">
      <formula>"Muy Alta"</formula>
    </cfRule>
    <cfRule type="cellIs" dxfId="224" priority="207" operator="equal">
      <formula>"Alta"</formula>
    </cfRule>
    <cfRule type="cellIs" dxfId="223" priority="208" operator="equal">
      <formula>"Media"</formula>
    </cfRule>
    <cfRule type="cellIs" dxfId="222" priority="209" operator="equal">
      <formula>"Baja"</formula>
    </cfRule>
    <cfRule type="cellIs" dxfId="221" priority="210" operator="equal">
      <formula>"Muy Baja"</formula>
    </cfRule>
  </conditionalFormatting>
  <conditionalFormatting sqref="AC23:AC27">
    <cfRule type="cellIs" dxfId="220" priority="201" operator="equal">
      <formula>"Catastrófico"</formula>
    </cfRule>
    <cfRule type="cellIs" dxfId="219" priority="202" operator="equal">
      <formula>"Mayor"</formula>
    </cfRule>
    <cfRule type="cellIs" dxfId="218" priority="203" operator="equal">
      <formula>"Moderado"</formula>
    </cfRule>
    <cfRule type="cellIs" dxfId="217" priority="204" operator="equal">
      <formula>"Menor"</formula>
    </cfRule>
    <cfRule type="cellIs" dxfId="216" priority="205" operator="equal">
      <formula>"Leve"</formula>
    </cfRule>
  </conditionalFormatting>
  <conditionalFormatting sqref="AE23:AE27">
    <cfRule type="cellIs" dxfId="215" priority="197" operator="equal">
      <formula>"Extremo"</formula>
    </cfRule>
    <cfRule type="cellIs" dxfId="214" priority="198" operator="equal">
      <formula>"Alto"</formula>
    </cfRule>
    <cfRule type="cellIs" dxfId="213" priority="199" operator="equal">
      <formula>"Moderado"</formula>
    </cfRule>
    <cfRule type="cellIs" dxfId="212" priority="200" operator="equal">
      <formula>"Bajo"</formula>
    </cfRule>
  </conditionalFormatting>
  <conditionalFormatting sqref="AA28">
    <cfRule type="cellIs" dxfId="211" priority="192" operator="equal">
      <formula>"Muy Alta"</formula>
    </cfRule>
    <cfRule type="cellIs" dxfId="210" priority="193" operator="equal">
      <formula>"Alta"</formula>
    </cfRule>
    <cfRule type="cellIs" dxfId="209" priority="194" operator="equal">
      <formula>"Media"</formula>
    </cfRule>
    <cfRule type="cellIs" dxfId="208" priority="195" operator="equal">
      <formula>"Baja"</formula>
    </cfRule>
    <cfRule type="cellIs" dxfId="207" priority="196" operator="equal">
      <formula>"Muy Baja"</formula>
    </cfRule>
  </conditionalFormatting>
  <conditionalFormatting sqref="AC28">
    <cfRule type="cellIs" dxfId="206" priority="187" operator="equal">
      <formula>"Catastrófico"</formula>
    </cfRule>
    <cfRule type="cellIs" dxfId="205" priority="188" operator="equal">
      <formula>"Mayor"</formula>
    </cfRule>
    <cfRule type="cellIs" dxfId="204" priority="189" operator="equal">
      <formula>"Moderado"</formula>
    </cfRule>
    <cfRule type="cellIs" dxfId="203" priority="190" operator="equal">
      <formula>"Menor"</formula>
    </cfRule>
    <cfRule type="cellIs" dxfId="202" priority="191" operator="equal">
      <formula>"Leve"</formula>
    </cfRule>
  </conditionalFormatting>
  <conditionalFormatting sqref="AE28">
    <cfRule type="cellIs" dxfId="201" priority="183" operator="equal">
      <formula>"Extremo"</formula>
    </cfRule>
    <cfRule type="cellIs" dxfId="200" priority="184" operator="equal">
      <formula>"Alto"</formula>
    </cfRule>
    <cfRule type="cellIs" dxfId="199" priority="185" operator="equal">
      <formula>"Moderado"</formula>
    </cfRule>
    <cfRule type="cellIs" dxfId="198" priority="186" operator="equal">
      <formula>"Bajo"</formula>
    </cfRule>
  </conditionalFormatting>
  <conditionalFormatting sqref="AA29:AA33">
    <cfRule type="cellIs" dxfId="197" priority="178" operator="equal">
      <formula>"Muy Alta"</formula>
    </cfRule>
    <cfRule type="cellIs" dxfId="196" priority="179" operator="equal">
      <formula>"Alta"</formula>
    </cfRule>
    <cfRule type="cellIs" dxfId="195" priority="180" operator="equal">
      <formula>"Media"</formula>
    </cfRule>
    <cfRule type="cellIs" dxfId="194" priority="181" operator="equal">
      <formula>"Baja"</formula>
    </cfRule>
    <cfRule type="cellIs" dxfId="193" priority="182" operator="equal">
      <formula>"Muy Baja"</formula>
    </cfRule>
  </conditionalFormatting>
  <conditionalFormatting sqref="AC29:AC33">
    <cfRule type="cellIs" dxfId="192" priority="173" operator="equal">
      <formula>"Catastrófico"</formula>
    </cfRule>
    <cfRule type="cellIs" dxfId="191" priority="174" operator="equal">
      <formula>"Mayor"</formula>
    </cfRule>
    <cfRule type="cellIs" dxfId="190" priority="175" operator="equal">
      <formula>"Moderado"</formula>
    </cfRule>
    <cfRule type="cellIs" dxfId="189" priority="176" operator="equal">
      <formula>"Menor"</formula>
    </cfRule>
    <cfRule type="cellIs" dxfId="188" priority="177" operator="equal">
      <formula>"Leve"</formula>
    </cfRule>
  </conditionalFormatting>
  <conditionalFormatting sqref="AE29:AE33">
    <cfRule type="cellIs" dxfId="187" priority="169" operator="equal">
      <formula>"Extremo"</formula>
    </cfRule>
    <cfRule type="cellIs" dxfId="186" priority="170" operator="equal">
      <formula>"Alto"</formula>
    </cfRule>
    <cfRule type="cellIs" dxfId="185" priority="171" operator="equal">
      <formula>"Moderado"</formula>
    </cfRule>
    <cfRule type="cellIs" dxfId="184" priority="172" operator="equal">
      <formula>"Bajo"</formula>
    </cfRule>
  </conditionalFormatting>
  <conditionalFormatting sqref="AA34">
    <cfRule type="cellIs" dxfId="183" priority="164" operator="equal">
      <formula>"Muy Alta"</formula>
    </cfRule>
    <cfRule type="cellIs" dxfId="182" priority="165" operator="equal">
      <formula>"Alta"</formula>
    </cfRule>
    <cfRule type="cellIs" dxfId="181" priority="166" operator="equal">
      <formula>"Media"</formula>
    </cfRule>
    <cfRule type="cellIs" dxfId="180" priority="167" operator="equal">
      <formula>"Baja"</formula>
    </cfRule>
    <cfRule type="cellIs" dxfId="179" priority="168" operator="equal">
      <formula>"Muy Baja"</formula>
    </cfRule>
  </conditionalFormatting>
  <conditionalFormatting sqref="AC34">
    <cfRule type="cellIs" dxfId="178" priority="159" operator="equal">
      <formula>"Catastrófico"</formula>
    </cfRule>
    <cfRule type="cellIs" dxfId="177" priority="160" operator="equal">
      <formula>"Mayor"</formula>
    </cfRule>
    <cfRule type="cellIs" dxfId="176" priority="161" operator="equal">
      <formula>"Moderado"</formula>
    </cfRule>
    <cfRule type="cellIs" dxfId="175" priority="162" operator="equal">
      <formula>"Menor"</formula>
    </cfRule>
    <cfRule type="cellIs" dxfId="174" priority="163" operator="equal">
      <formula>"Leve"</formula>
    </cfRule>
  </conditionalFormatting>
  <conditionalFormatting sqref="AE34">
    <cfRule type="cellIs" dxfId="173" priority="155" operator="equal">
      <formula>"Extremo"</formula>
    </cfRule>
    <cfRule type="cellIs" dxfId="172" priority="156" operator="equal">
      <formula>"Alto"</formula>
    </cfRule>
    <cfRule type="cellIs" dxfId="171" priority="157" operator="equal">
      <formula>"Moderado"</formula>
    </cfRule>
    <cfRule type="cellIs" dxfId="170" priority="158" operator="equal">
      <formula>"Bajo"</formula>
    </cfRule>
  </conditionalFormatting>
  <conditionalFormatting sqref="AA35:AA39">
    <cfRule type="cellIs" dxfId="169" priority="150" operator="equal">
      <formula>"Muy Alta"</formula>
    </cfRule>
    <cfRule type="cellIs" dxfId="168" priority="151" operator="equal">
      <formula>"Alta"</formula>
    </cfRule>
    <cfRule type="cellIs" dxfId="167" priority="152" operator="equal">
      <formula>"Media"</formula>
    </cfRule>
    <cfRule type="cellIs" dxfId="166" priority="153" operator="equal">
      <formula>"Baja"</formula>
    </cfRule>
    <cfRule type="cellIs" dxfId="165" priority="154" operator="equal">
      <formula>"Muy Baja"</formula>
    </cfRule>
  </conditionalFormatting>
  <conditionalFormatting sqref="AC35:AC39">
    <cfRule type="cellIs" dxfId="164" priority="145" operator="equal">
      <formula>"Catastrófico"</formula>
    </cfRule>
    <cfRule type="cellIs" dxfId="163" priority="146" operator="equal">
      <formula>"Mayor"</formula>
    </cfRule>
    <cfRule type="cellIs" dxfId="162" priority="147" operator="equal">
      <formula>"Moderado"</formula>
    </cfRule>
    <cfRule type="cellIs" dxfId="161" priority="148" operator="equal">
      <formula>"Menor"</formula>
    </cfRule>
    <cfRule type="cellIs" dxfId="160" priority="149" operator="equal">
      <formula>"Leve"</formula>
    </cfRule>
  </conditionalFormatting>
  <conditionalFormatting sqref="AE35:AE39">
    <cfRule type="cellIs" dxfId="159" priority="141" operator="equal">
      <formula>"Extremo"</formula>
    </cfRule>
    <cfRule type="cellIs" dxfId="158" priority="142" operator="equal">
      <formula>"Alto"</formula>
    </cfRule>
    <cfRule type="cellIs" dxfId="157" priority="143" operator="equal">
      <formula>"Moderado"</formula>
    </cfRule>
    <cfRule type="cellIs" dxfId="156" priority="144" operator="equal">
      <formula>"Bajo"</formula>
    </cfRule>
  </conditionalFormatting>
  <conditionalFormatting sqref="AA40">
    <cfRule type="cellIs" dxfId="155" priority="136" operator="equal">
      <formula>"Muy Alta"</formula>
    </cfRule>
    <cfRule type="cellIs" dxfId="154" priority="137" operator="equal">
      <formula>"Alta"</formula>
    </cfRule>
    <cfRule type="cellIs" dxfId="153" priority="138" operator="equal">
      <formula>"Media"</formula>
    </cfRule>
    <cfRule type="cellIs" dxfId="152" priority="139" operator="equal">
      <formula>"Baja"</formula>
    </cfRule>
    <cfRule type="cellIs" dxfId="151" priority="140" operator="equal">
      <formula>"Muy Baja"</formula>
    </cfRule>
  </conditionalFormatting>
  <conditionalFormatting sqref="AC40">
    <cfRule type="cellIs" dxfId="150" priority="131" operator="equal">
      <formula>"Catastrófico"</formula>
    </cfRule>
    <cfRule type="cellIs" dxfId="149" priority="132" operator="equal">
      <formula>"Mayor"</formula>
    </cfRule>
    <cfRule type="cellIs" dxfId="148" priority="133" operator="equal">
      <formula>"Moderado"</formula>
    </cfRule>
    <cfRule type="cellIs" dxfId="147" priority="134" operator="equal">
      <formula>"Menor"</formula>
    </cfRule>
    <cfRule type="cellIs" dxfId="146" priority="135" operator="equal">
      <formula>"Leve"</formula>
    </cfRule>
  </conditionalFormatting>
  <conditionalFormatting sqref="AE40">
    <cfRule type="cellIs" dxfId="145" priority="127" operator="equal">
      <formula>"Extremo"</formula>
    </cfRule>
    <cfRule type="cellIs" dxfId="144" priority="128" operator="equal">
      <formula>"Alto"</formula>
    </cfRule>
    <cfRule type="cellIs" dxfId="143" priority="129" operator="equal">
      <formula>"Moderado"</formula>
    </cfRule>
    <cfRule type="cellIs" dxfId="142" priority="130" operator="equal">
      <formula>"Bajo"</formula>
    </cfRule>
  </conditionalFormatting>
  <conditionalFormatting sqref="AA41:AA45">
    <cfRule type="cellIs" dxfId="141" priority="122" operator="equal">
      <formula>"Muy Alta"</formula>
    </cfRule>
    <cfRule type="cellIs" dxfId="140" priority="123" operator="equal">
      <formula>"Alta"</formula>
    </cfRule>
    <cfRule type="cellIs" dxfId="139" priority="124" operator="equal">
      <formula>"Media"</formula>
    </cfRule>
    <cfRule type="cellIs" dxfId="138" priority="125" operator="equal">
      <formula>"Baja"</formula>
    </cfRule>
    <cfRule type="cellIs" dxfId="137" priority="126" operator="equal">
      <formula>"Muy Baja"</formula>
    </cfRule>
  </conditionalFormatting>
  <conditionalFormatting sqref="AC41:AC45">
    <cfRule type="cellIs" dxfId="136" priority="117" operator="equal">
      <formula>"Catastrófico"</formula>
    </cfRule>
    <cfRule type="cellIs" dxfId="135" priority="118" operator="equal">
      <formula>"Mayor"</formula>
    </cfRule>
    <cfRule type="cellIs" dxfId="134" priority="119" operator="equal">
      <formula>"Moderado"</formula>
    </cfRule>
    <cfRule type="cellIs" dxfId="133" priority="120" operator="equal">
      <formula>"Menor"</formula>
    </cfRule>
    <cfRule type="cellIs" dxfId="132" priority="121" operator="equal">
      <formula>"Leve"</formula>
    </cfRule>
  </conditionalFormatting>
  <conditionalFormatting sqref="AE41:AE45">
    <cfRule type="cellIs" dxfId="131" priority="113" operator="equal">
      <formula>"Extremo"</formula>
    </cfRule>
    <cfRule type="cellIs" dxfId="130" priority="114" operator="equal">
      <formula>"Alto"</formula>
    </cfRule>
    <cfRule type="cellIs" dxfId="129" priority="115" operator="equal">
      <formula>"Moderado"</formula>
    </cfRule>
    <cfRule type="cellIs" dxfId="128" priority="116" operator="equal">
      <formula>"Bajo"</formula>
    </cfRule>
  </conditionalFormatting>
  <conditionalFormatting sqref="AA46">
    <cfRule type="cellIs" dxfId="127" priority="108" operator="equal">
      <formula>"Muy Alta"</formula>
    </cfRule>
    <cfRule type="cellIs" dxfId="126" priority="109" operator="equal">
      <formula>"Alta"</formula>
    </cfRule>
    <cfRule type="cellIs" dxfId="125" priority="110" operator="equal">
      <formula>"Media"</formula>
    </cfRule>
    <cfRule type="cellIs" dxfId="124" priority="111" operator="equal">
      <formula>"Baja"</formula>
    </cfRule>
    <cfRule type="cellIs" dxfId="123" priority="112" operator="equal">
      <formula>"Muy Baja"</formula>
    </cfRule>
  </conditionalFormatting>
  <conditionalFormatting sqref="AC46">
    <cfRule type="cellIs" dxfId="122" priority="103" operator="equal">
      <formula>"Catastrófico"</formula>
    </cfRule>
    <cfRule type="cellIs" dxfId="121" priority="104" operator="equal">
      <formula>"Mayor"</formula>
    </cfRule>
    <cfRule type="cellIs" dxfId="120" priority="105" operator="equal">
      <formula>"Moderado"</formula>
    </cfRule>
    <cfRule type="cellIs" dxfId="119" priority="106" operator="equal">
      <formula>"Menor"</formula>
    </cfRule>
    <cfRule type="cellIs" dxfId="118" priority="107" operator="equal">
      <formula>"Leve"</formula>
    </cfRule>
  </conditionalFormatting>
  <conditionalFormatting sqref="AE46">
    <cfRule type="cellIs" dxfId="117" priority="99" operator="equal">
      <formula>"Extremo"</formula>
    </cfRule>
    <cfRule type="cellIs" dxfId="116" priority="100" operator="equal">
      <formula>"Alto"</formula>
    </cfRule>
    <cfRule type="cellIs" dxfId="115" priority="101" operator="equal">
      <formula>"Moderado"</formula>
    </cfRule>
    <cfRule type="cellIs" dxfId="114" priority="102" operator="equal">
      <formula>"Bajo"</formula>
    </cfRule>
  </conditionalFormatting>
  <conditionalFormatting sqref="AA47:AA51">
    <cfRule type="cellIs" dxfId="113" priority="94" operator="equal">
      <formula>"Muy Alta"</formula>
    </cfRule>
    <cfRule type="cellIs" dxfId="112" priority="95" operator="equal">
      <formula>"Alta"</formula>
    </cfRule>
    <cfRule type="cellIs" dxfId="111" priority="96" operator="equal">
      <formula>"Media"</formula>
    </cfRule>
    <cfRule type="cellIs" dxfId="110" priority="97" operator="equal">
      <formula>"Baja"</formula>
    </cfRule>
    <cfRule type="cellIs" dxfId="109" priority="98" operator="equal">
      <formula>"Muy Baja"</formula>
    </cfRule>
  </conditionalFormatting>
  <conditionalFormatting sqref="AC47:AC51">
    <cfRule type="cellIs" dxfId="108" priority="89" operator="equal">
      <formula>"Catastrófico"</formula>
    </cfRule>
    <cfRule type="cellIs" dxfId="107" priority="90" operator="equal">
      <formula>"Mayor"</formula>
    </cfRule>
    <cfRule type="cellIs" dxfId="106" priority="91" operator="equal">
      <formula>"Moderado"</formula>
    </cfRule>
    <cfRule type="cellIs" dxfId="105" priority="92" operator="equal">
      <formula>"Menor"</formula>
    </cfRule>
    <cfRule type="cellIs" dxfId="104" priority="93" operator="equal">
      <formula>"Leve"</formula>
    </cfRule>
  </conditionalFormatting>
  <conditionalFormatting sqref="AE47:AE51">
    <cfRule type="cellIs" dxfId="103" priority="85" operator="equal">
      <formula>"Extremo"</formula>
    </cfRule>
    <cfRule type="cellIs" dxfId="102" priority="86" operator="equal">
      <formula>"Alto"</formula>
    </cfRule>
    <cfRule type="cellIs" dxfId="101" priority="87" operator="equal">
      <formula>"Moderado"</formula>
    </cfRule>
    <cfRule type="cellIs" dxfId="100" priority="88" operator="equal">
      <formula>"Bajo"</formula>
    </cfRule>
  </conditionalFormatting>
  <conditionalFormatting sqref="AA52">
    <cfRule type="cellIs" dxfId="99" priority="80" operator="equal">
      <formula>"Muy Alta"</formula>
    </cfRule>
    <cfRule type="cellIs" dxfId="98" priority="81" operator="equal">
      <formula>"Alta"</formula>
    </cfRule>
    <cfRule type="cellIs" dxfId="97" priority="82" operator="equal">
      <formula>"Media"</formula>
    </cfRule>
    <cfRule type="cellIs" dxfId="96" priority="83" operator="equal">
      <formula>"Baja"</formula>
    </cfRule>
    <cfRule type="cellIs" dxfId="95" priority="84" operator="equal">
      <formula>"Muy Baja"</formula>
    </cfRule>
  </conditionalFormatting>
  <conditionalFormatting sqref="AC52">
    <cfRule type="cellIs" dxfId="94" priority="75" operator="equal">
      <formula>"Catastrófico"</formula>
    </cfRule>
    <cfRule type="cellIs" dxfId="93" priority="76" operator="equal">
      <formula>"Mayor"</formula>
    </cfRule>
    <cfRule type="cellIs" dxfId="92" priority="77" operator="equal">
      <formula>"Moderado"</formula>
    </cfRule>
    <cfRule type="cellIs" dxfId="91" priority="78" operator="equal">
      <formula>"Menor"</formula>
    </cfRule>
    <cfRule type="cellIs" dxfId="90" priority="79" operator="equal">
      <formula>"Leve"</formula>
    </cfRule>
  </conditionalFormatting>
  <conditionalFormatting sqref="AE52">
    <cfRule type="cellIs" dxfId="89" priority="71" operator="equal">
      <formula>"Extremo"</formula>
    </cfRule>
    <cfRule type="cellIs" dxfId="88" priority="72" operator="equal">
      <formula>"Alto"</formula>
    </cfRule>
    <cfRule type="cellIs" dxfId="87" priority="73" operator="equal">
      <formula>"Moderado"</formula>
    </cfRule>
    <cfRule type="cellIs" dxfId="86" priority="74" operator="equal">
      <formula>"Bajo"</formula>
    </cfRule>
  </conditionalFormatting>
  <conditionalFormatting sqref="AA53:AA57">
    <cfRule type="cellIs" dxfId="85" priority="66" operator="equal">
      <formula>"Muy Alta"</formula>
    </cfRule>
    <cfRule type="cellIs" dxfId="84" priority="67" operator="equal">
      <formula>"Alta"</formula>
    </cfRule>
    <cfRule type="cellIs" dxfId="83" priority="68" operator="equal">
      <formula>"Media"</formula>
    </cfRule>
    <cfRule type="cellIs" dxfId="82" priority="69" operator="equal">
      <formula>"Baja"</formula>
    </cfRule>
    <cfRule type="cellIs" dxfId="81" priority="70" operator="equal">
      <formula>"Muy Baja"</formula>
    </cfRule>
  </conditionalFormatting>
  <conditionalFormatting sqref="AC53:AC57">
    <cfRule type="cellIs" dxfId="80" priority="61" operator="equal">
      <formula>"Catastrófico"</formula>
    </cfRule>
    <cfRule type="cellIs" dxfId="79" priority="62" operator="equal">
      <formula>"Mayor"</formula>
    </cfRule>
    <cfRule type="cellIs" dxfId="78" priority="63" operator="equal">
      <formula>"Moderado"</formula>
    </cfRule>
    <cfRule type="cellIs" dxfId="77" priority="64" operator="equal">
      <formula>"Menor"</formula>
    </cfRule>
    <cfRule type="cellIs" dxfId="76" priority="65" operator="equal">
      <formula>"Leve"</formula>
    </cfRule>
  </conditionalFormatting>
  <conditionalFormatting sqref="AE53:AE57">
    <cfRule type="cellIs" dxfId="75" priority="57" operator="equal">
      <formula>"Extremo"</formula>
    </cfRule>
    <cfRule type="cellIs" dxfId="74" priority="58" operator="equal">
      <formula>"Alto"</formula>
    </cfRule>
    <cfRule type="cellIs" dxfId="73" priority="59" operator="equal">
      <formula>"Moderado"</formula>
    </cfRule>
    <cfRule type="cellIs" dxfId="72" priority="60" operator="equal">
      <formula>"Bajo"</formula>
    </cfRule>
  </conditionalFormatting>
  <conditionalFormatting sqref="AA58">
    <cfRule type="cellIs" dxfId="71" priority="52" operator="equal">
      <formula>"Muy Alta"</formula>
    </cfRule>
    <cfRule type="cellIs" dxfId="70" priority="53" operator="equal">
      <formula>"Alta"</formula>
    </cfRule>
    <cfRule type="cellIs" dxfId="69" priority="54" operator="equal">
      <formula>"Media"</formula>
    </cfRule>
    <cfRule type="cellIs" dxfId="68" priority="55" operator="equal">
      <formula>"Baja"</formula>
    </cfRule>
    <cfRule type="cellIs" dxfId="67" priority="56" operator="equal">
      <formula>"Muy Baja"</formula>
    </cfRule>
  </conditionalFormatting>
  <conditionalFormatting sqref="AC58">
    <cfRule type="cellIs" dxfId="66" priority="47" operator="equal">
      <formula>"Catastrófico"</formula>
    </cfRule>
    <cfRule type="cellIs" dxfId="65" priority="48" operator="equal">
      <formula>"Mayor"</formula>
    </cfRule>
    <cfRule type="cellIs" dxfId="64" priority="49" operator="equal">
      <formula>"Moderado"</formula>
    </cfRule>
    <cfRule type="cellIs" dxfId="63" priority="50" operator="equal">
      <formula>"Menor"</formula>
    </cfRule>
    <cfRule type="cellIs" dxfId="62" priority="51" operator="equal">
      <formula>"Leve"</formula>
    </cfRule>
  </conditionalFormatting>
  <conditionalFormatting sqref="AE58">
    <cfRule type="cellIs" dxfId="61" priority="43" operator="equal">
      <formula>"Extremo"</formula>
    </cfRule>
    <cfRule type="cellIs" dxfId="60" priority="44" operator="equal">
      <formula>"Alto"</formula>
    </cfRule>
    <cfRule type="cellIs" dxfId="59" priority="45" operator="equal">
      <formula>"Moderado"</formula>
    </cfRule>
    <cfRule type="cellIs" dxfId="58" priority="46" operator="equal">
      <formula>"Bajo"</formula>
    </cfRule>
  </conditionalFormatting>
  <conditionalFormatting sqref="AA59:AA63">
    <cfRule type="cellIs" dxfId="57" priority="38" operator="equal">
      <formula>"Muy Alta"</formula>
    </cfRule>
    <cfRule type="cellIs" dxfId="56" priority="39" operator="equal">
      <formula>"Alta"</formula>
    </cfRule>
    <cfRule type="cellIs" dxfId="55" priority="40" operator="equal">
      <formula>"Media"</formula>
    </cfRule>
    <cfRule type="cellIs" dxfId="54" priority="41" operator="equal">
      <formula>"Baja"</formula>
    </cfRule>
    <cfRule type="cellIs" dxfId="53" priority="42" operator="equal">
      <formula>"Muy Baja"</formula>
    </cfRule>
  </conditionalFormatting>
  <conditionalFormatting sqref="AC59:AC63">
    <cfRule type="cellIs" dxfId="52" priority="33" operator="equal">
      <formula>"Catastrófico"</formula>
    </cfRule>
    <cfRule type="cellIs" dxfId="51" priority="34" operator="equal">
      <formula>"Mayor"</formula>
    </cfRule>
    <cfRule type="cellIs" dxfId="50" priority="35" operator="equal">
      <formula>"Moderado"</formula>
    </cfRule>
    <cfRule type="cellIs" dxfId="49" priority="36" operator="equal">
      <formula>"Menor"</formula>
    </cfRule>
    <cfRule type="cellIs" dxfId="48" priority="37" operator="equal">
      <formula>"Leve"</formula>
    </cfRule>
  </conditionalFormatting>
  <conditionalFormatting sqref="AE59:AE63">
    <cfRule type="cellIs" dxfId="47" priority="29" operator="equal">
      <formula>"Extremo"</formula>
    </cfRule>
    <cfRule type="cellIs" dxfId="46" priority="30" operator="equal">
      <formula>"Alto"</formula>
    </cfRule>
    <cfRule type="cellIs" dxfId="45" priority="31" operator="equal">
      <formula>"Moderado"</formula>
    </cfRule>
    <cfRule type="cellIs" dxfId="44" priority="32" operator="equal">
      <formula>"Bajo"</formula>
    </cfRule>
  </conditionalFormatting>
  <conditionalFormatting sqref="AA64">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64">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64">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65:AA69">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65:AC69">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65:AE69">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T10:T69</xm:sqref>
        </x14:dataValidation>
        <x14:dataValidation type="list" allowBlank="1" showInputMessage="1" showErrorMessage="1">
          <x14:formula1>
            <xm:f>'Tabla Valoración controles'!$D$7:$D$8</xm:f>
          </x14:formula1>
          <xm:sqref>U10:U69</xm:sqref>
        </x14:dataValidation>
        <x14:dataValidation type="list" allowBlank="1" showInputMessage="1" showErrorMessage="1">
          <x14:formula1>
            <xm:f>'Tabla Valoración controles'!$D$9:$D$10</xm:f>
          </x14:formula1>
          <xm:sqref>W10:W69</xm:sqref>
        </x14:dataValidation>
        <x14:dataValidation type="list" allowBlank="1" showInputMessage="1" showErrorMessage="1">
          <x14:formula1>
            <xm:f>'Tabla Valoración controles'!$D$11:$D$12</xm:f>
          </x14:formula1>
          <xm:sqref>X10:X69</xm:sqref>
        </x14:dataValidation>
        <x14:dataValidation type="list" allowBlank="1" showInputMessage="1" showErrorMessage="1">
          <x14:formula1>
            <xm:f>'Opciones Tratamiento'!$B$9:$B$10</xm:f>
          </x14:formula1>
          <xm:sqref>AL67:AL68 AL19:AL20 AL22:AL23 AL25:AL26 AL28:AL29 AL31:AL32 AL34:AL35 AL37:AL38 AL40:AL41 AL43:AL44 AL46:AL47 AL49:AL50 AL52:AL53 AL55:AL56 AL58:AL59 AL61:AL62 AL64:AL65 AL10:AL17</xm:sqref>
        </x14:dataValidation>
        <x14:dataValidation type="list" allowBlank="1" showInputMessage="1" showErrorMessage="1">
          <x14:formula1>
            <xm:f>'Tabla Valoración controles'!$D$13:$D$14</xm:f>
          </x14:formula1>
          <xm:sqref>Y10:Y69</xm:sqref>
        </x14:dataValidation>
        <x14:dataValidation type="list" allowBlank="1" showInputMessage="1" showErrorMessage="1">
          <x14:formula1>
            <xm:f>'Opciones Tratamiento'!$B$13:$B$19</xm:f>
          </x14:formula1>
          <xm:sqref>H10:H69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AF10 AF66:AF69 AF18:AF22 AF24:AF28 AF30:AF34 AF36:AF40 AF42:AF46 AF48:AF52 AF54:AF58 AF60:AF64 AF14:AF16</xm:sqref>
        </x14:dataValidation>
        <x14:dataValidation type="list" allowBlank="1" showInputMessage="1" showErrorMessage="1">
          <x14:formula1>
            <xm:f>'Tabla Impacto'!$F$210:$F$221</xm:f>
          </x14:formula1>
          <xm:sqref>L10:L69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AG10:AG69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AK10:AK69</xm:sqref>
        </x14:dataValidation>
        <x14:dataValidation type="list" allowBlank="1" showInputMessage="1" showErrorMessage="1">
          <x14:formula1>
            <xm:f>'C:\Users\HOME\Downloads\[Formato Matriz de Riesgos 2021 (1).xlsx]Opciones Tratamiento'!#REF!</xm:f>
          </x14:formula1>
          <xm:sqref>AF65 AF17 AF23 AF29 AF35 AF41 AF47 AF53 AF59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25" zoomScale="70" zoomScaleNormal="70" workbookViewId="0"/>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291" t="s">
        <v>150</v>
      </c>
      <c r="C2" s="291"/>
      <c r="D2" s="291"/>
      <c r="E2" s="291"/>
      <c r="F2" s="291"/>
      <c r="G2" s="291"/>
      <c r="H2" s="291"/>
      <c r="I2" s="291"/>
      <c r="J2" s="328" t="s">
        <v>2</v>
      </c>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291"/>
      <c r="C3" s="291"/>
      <c r="D3" s="291"/>
      <c r="E3" s="291"/>
      <c r="F3" s="291"/>
      <c r="G3" s="291"/>
      <c r="H3" s="291"/>
      <c r="I3" s="291"/>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291"/>
      <c r="C4" s="291"/>
      <c r="D4" s="291"/>
      <c r="E4" s="291"/>
      <c r="F4" s="291"/>
      <c r="G4" s="291"/>
      <c r="H4" s="291"/>
      <c r="I4" s="291"/>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339" t="s">
        <v>4</v>
      </c>
      <c r="C6" s="339"/>
      <c r="D6" s="340"/>
      <c r="E6" s="329" t="s">
        <v>111</v>
      </c>
      <c r="F6" s="330"/>
      <c r="G6" s="330"/>
      <c r="H6" s="330"/>
      <c r="I6" s="331"/>
      <c r="J6" s="325" t="str">
        <f ca="1">IF(AND('Mapa final'!$J$10="Muy Alta",'Mapa final'!$N$10="Leve"),CONCATENATE("R",'Mapa final'!$A$10),"")</f>
        <v/>
      </c>
      <c r="K6" s="326"/>
      <c r="L6" s="326" t="str">
        <f ca="1">IF(AND('Mapa final'!$J$16="Muy Alta",'Mapa final'!$N$16="Leve"),CONCATENATE("R",'Mapa final'!$A$16),"")</f>
        <v/>
      </c>
      <c r="M6" s="326"/>
      <c r="N6" s="326" t="str">
        <f ca="1">IF(AND('Mapa final'!$J$22="Muy Alta",'Mapa final'!$N$22="Leve"),CONCATENATE("R",'Mapa final'!$A$22),"")</f>
        <v/>
      </c>
      <c r="O6" s="327"/>
      <c r="P6" s="325" t="str">
        <f ca="1">IF(AND('Mapa final'!$J$10="Muy Alta",'Mapa final'!$N$10="Menor"),CONCATENATE("R",'Mapa final'!$A$10),"")</f>
        <v/>
      </c>
      <c r="Q6" s="326"/>
      <c r="R6" s="326" t="str">
        <f ca="1">IF(AND('Mapa final'!$J$16="Muy Alta",'Mapa final'!$N$16="Menor"),CONCATENATE("R",'Mapa final'!$A$16),"")</f>
        <v/>
      </c>
      <c r="S6" s="326"/>
      <c r="T6" s="326" t="str">
        <f ca="1">IF(AND('Mapa final'!$J$22="Muy Alta",'Mapa final'!$N$22="Menor"),CONCATENATE("R",'Mapa final'!$A$22),"")</f>
        <v/>
      </c>
      <c r="U6" s="327"/>
      <c r="V6" s="325" t="str">
        <f ca="1">IF(AND('Mapa final'!$J$10="Muy Alta",'Mapa final'!$N$10="Moderado"),CONCATENATE("R",'Mapa final'!$A$10),"")</f>
        <v/>
      </c>
      <c r="W6" s="326"/>
      <c r="X6" s="326" t="str">
        <f ca="1">IF(AND('Mapa final'!$J$16="Muy Alta",'Mapa final'!$N$16="Moderado"),CONCATENATE("R",'Mapa final'!$A$16),"")</f>
        <v/>
      </c>
      <c r="Y6" s="326"/>
      <c r="Z6" s="326" t="str">
        <f ca="1">IF(AND('Mapa final'!$J$22="Muy Alta",'Mapa final'!$N$22="Moderado"),CONCATENATE("R",'Mapa final'!$A$22),"")</f>
        <v/>
      </c>
      <c r="AA6" s="327"/>
      <c r="AB6" s="325" t="str">
        <f ca="1">IF(AND('Mapa final'!$J$10="Muy Alta",'Mapa final'!$N$10="Mayor"),CONCATENATE("R",'Mapa final'!$A$10),"")</f>
        <v/>
      </c>
      <c r="AC6" s="326"/>
      <c r="AD6" s="326" t="str">
        <f ca="1">IF(AND('Mapa final'!$J$16="Muy Alta",'Mapa final'!$N$16="Mayor"),CONCATENATE("R",'Mapa final'!$A$16),"")</f>
        <v/>
      </c>
      <c r="AE6" s="326"/>
      <c r="AF6" s="326" t="str">
        <f ca="1">IF(AND('Mapa final'!$J$22="Muy Alta",'Mapa final'!$N$22="Mayor"),CONCATENATE("R",'Mapa final'!$A$22),"")</f>
        <v/>
      </c>
      <c r="AG6" s="327"/>
      <c r="AH6" s="316" t="str">
        <f ca="1">IF(AND('Mapa final'!$J$10="Muy Alta",'Mapa final'!$N$10="Catastrófico"),CONCATENATE("R",'Mapa final'!$A$10),"")</f>
        <v/>
      </c>
      <c r="AI6" s="317"/>
      <c r="AJ6" s="317" t="str">
        <f ca="1">IF(AND('Mapa final'!$J$16="Muy Alta",'Mapa final'!$N$16="Catastrófico"),CONCATENATE("R",'Mapa final'!$A$16),"")</f>
        <v/>
      </c>
      <c r="AK6" s="317"/>
      <c r="AL6" s="317" t="str">
        <f ca="1">IF(AND('Mapa final'!$J$22="Muy Alta",'Mapa final'!$N$22="Catastrófico"),CONCATENATE("R",'Mapa final'!$A$22),"")</f>
        <v/>
      </c>
      <c r="AM6" s="318"/>
      <c r="AO6" s="341" t="s">
        <v>78</v>
      </c>
      <c r="AP6" s="342"/>
      <c r="AQ6" s="342"/>
      <c r="AR6" s="342"/>
      <c r="AS6" s="342"/>
      <c r="AT6" s="34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339"/>
      <c r="C7" s="339"/>
      <c r="D7" s="340"/>
      <c r="E7" s="332"/>
      <c r="F7" s="333"/>
      <c r="G7" s="333"/>
      <c r="H7" s="333"/>
      <c r="I7" s="334"/>
      <c r="J7" s="319"/>
      <c r="K7" s="320"/>
      <c r="L7" s="320"/>
      <c r="M7" s="320"/>
      <c r="N7" s="320"/>
      <c r="O7" s="321"/>
      <c r="P7" s="319"/>
      <c r="Q7" s="320"/>
      <c r="R7" s="320"/>
      <c r="S7" s="320"/>
      <c r="T7" s="320"/>
      <c r="U7" s="321"/>
      <c r="V7" s="319"/>
      <c r="W7" s="320"/>
      <c r="X7" s="320"/>
      <c r="Y7" s="320"/>
      <c r="Z7" s="320"/>
      <c r="AA7" s="321"/>
      <c r="AB7" s="319"/>
      <c r="AC7" s="320"/>
      <c r="AD7" s="320"/>
      <c r="AE7" s="320"/>
      <c r="AF7" s="320"/>
      <c r="AG7" s="321"/>
      <c r="AH7" s="310"/>
      <c r="AI7" s="311"/>
      <c r="AJ7" s="311"/>
      <c r="AK7" s="311"/>
      <c r="AL7" s="311"/>
      <c r="AM7" s="312"/>
      <c r="AN7" s="67"/>
      <c r="AO7" s="344"/>
      <c r="AP7" s="345"/>
      <c r="AQ7" s="345"/>
      <c r="AR7" s="345"/>
      <c r="AS7" s="345"/>
      <c r="AT7" s="34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339"/>
      <c r="C8" s="339"/>
      <c r="D8" s="340"/>
      <c r="E8" s="332"/>
      <c r="F8" s="333"/>
      <c r="G8" s="333"/>
      <c r="H8" s="333"/>
      <c r="I8" s="334"/>
      <c r="J8" s="319" t="str">
        <f ca="1">IF(AND('Mapa final'!$J$28="Muy Alta",'Mapa final'!$N$28="Leve"),CONCATENATE("R",'Mapa final'!$A$28),"")</f>
        <v/>
      </c>
      <c r="K8" s="320"/>
      <c r="L8" s="320" t="str">
        <f ca="1">IF(AND('Mapa final'!$J$34="Muy Alta",'Mapa final'!$N$34="Leve"),CONCATENATE("R",'Mapa final'!$A$34),"")</f>
        <v/>
      </c>
      <c r="M8" s="320"/>
      <c r="N8" s="320" t="str">
        <f ca="1">IF(AND('Mapa final'!$J$40="Muy Alta",'Mapa final'!$N$40="Leve"),CONCATENATE("R",'Mapa final'!$A$40),"")</f>
        <v/>
      </c>
      <c r="O8" s="321"/>
      <c r="P8" s="319" t="str">
        <f ca="1">IF(AND('Mapa final'!$J$28="Muy Alta",'Mapa final'!$N$28="Menor"),CONCATENATE("R",'Mapa final'!$A$28),"")</f>
        <v/>
      </c>
      <c r="Q8" s="320"/>
      <c r="R8" s="320" t="str">
        <f ca="1">IF(AND('Mapa final'!$J$34="Muy Alta",'Mapa final'!$N$34="Menor"),CONCATENATE("R",'Mapa final'!$A$34),"")</f>
        <v/>
      </c>
      <c r="S8" s="320"/>
      <c r="T8" s="320" t="str">
        <f ca="1">IF(AND('Mapa final'!$J$40="Muy Alta",'Mapa final'!$N$40="Menor"),CONCATENATE("R",'Mapa final'!$A$40),"")</f>
        <v/>
      </c>
      <c r="U8" s="321"/>
      <c r="V8" s="319" t="str">
        <f ca="1">IF(AND('Mapa final'!$J$28="Muy Alta",'Mapa final'!$N$28="Moderado"),CONCATENATE("R",'Mapa final'!$A$28),"")</f>
        <v/>
      </c>
      <c r="W8" s="320"/>
      <c r="X8" s="320" t="str">
        <f ca="1">IF(AND('Mapa final'!$J$34="Muy Alta",'Mapa final'!$N$34="Moderado"),CONCATENATE("R",'Mapa final'!$A$34),"")</f>
        <v/>
      </c>
      <c r="Y8" s="320"/>
      <c r="Z8" s="320" t="str">
        <f ca="1">IF(AND('Mapa final'!$J$40="Muy Alta",'Mapa final'!$N$40="Moderado"),CONCATENATE("R",'Mapa final'!$A$40),"")</f>
        <v/>
      </c>
      <c r="AA8" s="321"/>
      <c r="AB8" s="319" t="str">
        <f ca="1">IF(AND('Mapa final'!$J$28="Muy Alta",'Mapa final'!$N$28="Mayor"),CONCATENATE("R",'Mapa final'!$A$28),"")</f>
        <v/>
      </c>
      <c r="AC8" s="320"/>
      <c r="AD8" s="320" t="str">
        <f ca="1">IF(AND('Mapa final'!$J$34="Muy Alta",'Mapa final'!$N$34="Mayor"),CONCATENATE("R",'Mapa final'!$A$34),"")</f>
        <v/>
      </c>
      <c r="AE8" s="320"/>
      <c r="AF8" s="320" t="str">
        <f ca="1">IF(AND('Mapa final'!$J$40="Muy Alta",'Mapa final'!$N$40="Mayor"),CONCATENATE("R",'Mapa final'!$A$40),"")</f>
        <v/>
      </c>
      <c r="AG8" s="321"/>
      <c r="AH8" s="310" t="str">
        <f ca="1">IF(AND('Mapa final'!$J$28="Muy Alta",'Mapa final'!$N$28="Catastrófico"),CONCATENATE("R",'Mapa final'!$A$28),"")</f>
        <v/>
      </c>
      <c r="AI8" s="311"/>
      <c r="AJ8" s="311" t="str">
        <f ca="1">IF(AND('Mapa final'!$J$34="Muy Alta",'Mapa final'!$N$34="Catastrófico"),CONCATENATE("R",'Mapa final'!$A$34),"")</f>
        <v/>
      </c>
      <c r="AK8" s="311"/>
      <c r="AL8" s="311" t="str">
        <f ca="1">IF(AND('Mapa final'!$J$40="Muy Alta",'Mapa final'!$N$40="Catastrófico"),CONCATENATE("R",'Mapa final'!$A$40),"")</f>
        <v/>
      </c>
      <c r="AM8" s="312"/>
      <c r="AN8" s="67"/>
      <c r="AO8" s="344"/>
      <c r="AP8" s="345"/>
      <c r="AQ8" s="345"/>
      <c r="AR8" s="345"/>
      <c r="AS8" s="345"/>
      <c r="AT8" s="34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339"/>
      <c r="C9" s="339"/>
      <c r="D9" s="340"/>
      <c r="E9" s="332"/>
      <c r="F9" s="333"/>
      <c r="G9" s="333"/>
      <c r="H9" s="333"/>
      <c r="I9" s="334"/>
      <c r="J9" s="319"/>
      <c r="K9" s="320"/>
      <c r="L9" s="320"/>
      <c r="M9" s="320"/>
      <c r="N9" s="320"/>
      <c r="O9" s="321"/>
      <c r="P9" s="319"/>
      <c r="Q9" s="320"/>
      <c r="R9" s="320"/>
      <c r="S9" s="320"/>
      <c r="T9" s="320"/>
      <c r="U9" s="321"/>
      <c r="V9" s="319"/>
      <c r="W9" s="320"/>
      <c r="X9" s="320"/>
      <c r="Y9" s="320"/>
      <c r="Z9" s="320"/>
      <c r="AA9" s="321"/>
      <c r="AB9" s="319"/>
      <c r="AC9" s="320"/>
      <c r="AD9" s="320"/>
      <c r="AE9" s="320"/>
      <c r="AF9" s="320"/>
      <c r="AG9" s="321"/>
      <c r="AH9" s="310"/>
      <c r="AI9" s="311"/>
      <c r="AJ9" s="311"/>
      <c r="AK9" s="311"/>
      <c r="AL9" s="311"/>
      <c r="AM9" s="312"/>
      <c r="AN9" s="67"/>
      <c r="AO9" s="344"/>
      <c r="AP9" s="345"/>
      <c r="AQ9" s="345"/>
      <c r="AR9" s="345"/>
      <c r="AS9" s="345"/>
      <c r="AT9" s="34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339"/>
      <c r="C10" s="339"/>
      <c r="D10" s="340"/>
      <c r="E10" s="332"/>
      <c r="F10" s="333"/>
      <c r="G10" s="333"/>
      <c r="H10" s="333"/>
      <c r="I10" s="334"/>
      <c r="J10" s="319" t="str">
        <f ca="1">IF(AND('Mapa final'!$J$46="Muy Alta",'Mapa final'!$N$46="Leve"),CONCATENATE("R",'Mapa final'!$A$46),"")</f>
        <v/>
      </c>
      <c r="K10" s="320"/>
      <c r="L10" s="320" t="str">
        <f ca="1">IF(AND('Mapa final'!$J$52="Muy Alta",'Mapa final'!$N$52="Leve"),CONCATENATE("R",'Mapa final'!$A$52),"")</f>
        <v/>
      </c>
      <c r="M10" s="320"/>
      <c r="N10" s="320" t="str">
        <f ca="1">IF(AND('Mapa final'!$J$58="Muy Alta",'Mapa final'!$N$58="Leve"),CONCATENATE("R",'Mapa final'!$A$58),"")</f>
        <v/>
      </c>
      <c r="O10" s="321"/>
      <c r="P10" s="319" t="str">
        <f ca="1">IF(AND('Mapa final'!$J$46="Muy Alta",'Mapa final'!$N$46="Menor"),CONCATENATE("R",'Mapa final'!$A$46),"")</f>
        <v/>
      </c>
      <c r="Q10" s="320"/>
      <c r="R10" s="320" t="str">
        <f ca="1">IF(AND('Mapa final'!$J$52="Muy Alta",'Mapa final'!$N$52="Menor"),CONCATENATE("R",'Mapa final'!$A$52),"")</f>
        <v/>
      </c>
      <c r="S10" s="320"/>
      <c r="T10" s="320" t="str">
        <f ca="1">IF(AND('Mapa final'!$J$58="Muy Alta",'Mapa final'!$N$58="Menor"),CONCATENATE("R",'Mapa final'!$A$58),"")</f>
        <v/>
      </c>
      <c r="U10" s="321"/>
      <c r="V10" s="319" t="str">
        <f ca="1">IF(AND('Mapa final'!$J$46="Muy Alta",'Mapa final'!$N$46="Moderado"),CONCATENATE("R",'Mapa final'!$A$46),"")</f>
        <v/>
      </c>
      <c r="W10" s="320"/>
      <c r="X10" s="320" t="str">
        <f ca="1">IF(AND('Mapa final'!$J$52="Muy Alta",'Mapa final'!$N$52="Moderado"),CONCATENATE("R",'Mapa final'!$A$52),"")</f>
        <v/>
      </c>
      <c r="Y10" s="320"/>
      <c r="Z10" s="320" t="str">
        <f ca="1">IF(AND('Mapa final'!$J$58="Muy Alta",'Mapa final'!$N$58="Moderado"),CONCATENATE("R",'Mapa final'!$A$58),"")</f>
        <v/>
      </c>
      <c r="AA10" s="321"/>
      <c r="AB10" s="319" t="str">
        <f ca="1">IF(AND('Mapa final'!$J$46="Muy Alta",'Mapa final'!$N$46="Mayor"),CONCATENATE("R",'Mapa final'!$A$46),"")</f>
        <v/>
      </c>
      <c r="AC10" s="320"/>
      <c r="AD10" s="320" t="str">
        <f ca="1">IF(AND('Mapa final'!$J$52="Muy Alta",'Mapa final'!$N$52="Mayor"),CONCATENATE("R",'Mapa final'!$A$52),"")</f>
        <v/>
      </c>
      <c r="AE10" s="320"/>
      <c r="AF10" s="320" t="str">
        <f ca="1">IF(AND('Mapa final'!$J$58="Muy Alta",'Mapa final'!$N$58="Mayor"),CONCATENATE("R",'Mapa final'!$A$58),"")</f>
        <v/>
      </c>
      <c r="AG10" s="321"/>
      <c r="AH10" s="310" t="str">
        <f ca="1">IF(AND('Mapa final'!$J$46="Muy Alta",'Mapa final'!$N$46="Catastrófico"),CONCATENATE("R",'Mapa final'!$A$46),"")</f>
        <v/>
      </c>
      <c r="AI10" s="311"/>
      <c r="AJ10" s="311" t="str">
        <f ca="1">IF(AND('Mapa final'!$J$52="Muy Alta",'Mapa final'!$N$52="Catastrófico"),CONCATENATE("R",'Mapa final'!$A$52),"")</f>
        <v/>
      </c>
      <c r="AK10" s="311"/>
      <c r="AL10" s="311" t="str">
        <f ca="1">IF(AND('Mapa final'!$J$58="Muy Alta",'Mapa final'!$N$58="Catastrófico"),CONCATENATE("R",'Mapa final'!$A$58),"")</f>
        <v/>
      </c>
      <c r="AM10" s="312"/>
      <c r="AN10" s="67"/>
      <c r="AO10" s="344"/>
      <c r="AP10" s="345"/>
      <c r="AQ10" s="345"/>
      <c r="AR10" s="345"/>
      <c r="AS10" s="345"/>
      <c r="AT10" s="34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339"/>
      <c r="C11" s="339"/>
      <c r="D11" s="340"/>
      <c r="E11" s="332"/>
      <c r="F11" s="333"/>
      <c r="G11" s="333"/>
      <c r="H11" s="333"/>
      <c r="I11" s="334"/>
      <c r="J11" s="319"/>
      <c r="K11" s="320"/>
      <c r="L11" s="320"/>
      <c r="M11" s="320"/>
      <c r="N11" s="320"/>
      <c r="O11" s="321"/>
      <c r="P11" s="319"/>
      <c r="Q11" s="320"/>
      <c r="R11" s="320"/>
      <c r="S11" s="320"/>
      <c r="T11" s="320"/>
      <c r="U11" s="321"/>
      <c r="V11" s="319"/>
      <c r="W11" s="320"/>
      <c r="X11" s="320"/>
      <c r="Y11" s="320"/>
      <c r="Z11" s="320"/>
      <c r="AA11" s="321"/>
      <c r="AB11" s="319"/>
      <c r="AC11" s="320"/>
      <c r="AD11" s="320"/>
      <c r="AE11" s="320"/>
      <c r="AF11" s="320"/>
      <c r="AG11" s="321"/>
      <c r="AH11" s="310"/>
      <c r="AI11" s="311"/>
      <c r="AJ11" s="311"/>
      <c r="AK11" s="311"/>
      <c r="AL11" s="311"/>
      <c r="AM11" s="312"/>
      <c r="AN11" s="67"/>
      <c r="AO11" s="344"/>
      <c r="AP11" s="345"/>
      <c r="AQ11" s="345"/>
      <c r="AR11" s="345"/>
      <c r="AS11" s="345"/>
      <c r="AT11" s="34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339"/>
      <c r="C12" s="339"/>
      <c r="D12" s="340"/>
      <c r="E12" s="332"/>
      <c r="F12" s="333"/>
      <c r="G12" s="333"/>
      <c r="H12" s="333"/>
      <c r="I12" s="334"/>
      <c r="J12" s="319" t="str">
        <f ca="1">IF(AND('Mapa final'!$J$64="Muy Alta",'Mapa final'!$N$64="Leve"),CONCATENATE("R",'Mapa final'!$A$64),"")</f>
        <v/>
      </c>
      <c r="K12" s="320"/>
      <c r="L12" s="320" t="str">
        <f>IF(AND('Mapa final'!$J$70="Muy Alta",'Mapa final'!$N$70="Leve"),CONCATENATE("R",'Mapa final'!$A$70),"")</f>
        <v/>
      </c>
      <c r="M12" s="320"/>
      <c r="N12" s="320" t="str">
        <f>IF(AND('Mapa final'!$J$76="Muy Alta",'Mapa final'!$N$76="Leve"),CONCATENATE("R",'Mapa final'!$A$76),"")</f>
        <v/>
      </c>
      <c r="O12" s="321"/>
      <c r="P12" s="319" t="str">
        <f ca="1">IF(AND('Mapa final'!$J$64="Muy Alta",'Mapa final'!$N$64="Menor"),CONCATENATE("R",'Mapa final'!$A$64),"")</f>
        <v/>
      </c>
      <c r="Q12" s="320"/>
      <c r="R12" s="320" t="str">
        <f>IF(AND('Mapa final'!$J$70="Muy Alta",'Mapa final'!$N$70="Menor"),CONCATENATE("R",'Mapa final'!$A$70),"")</f>
        <v/>
      </c>
      <c r="S12" s="320"/>
      <c r="T12" s="320" t="str">
        <f>IF(AND('Mapa final'!$J$76="Muy Alta",'Mapa final'!$N$76="Menor"),CONCATENATE("R",'Mapa final'!$A$76),"")</f>
        <v/>
      </c>
      <c r="U12" s="321"/>
      <c r="V12" s="319" t="str">
        <f ca="1">IF(AND('Mapa final'!$J$64="Muy Alta",'Mapa final'!$N$64="Moderado"),CONCATENATE("R",'Mapa final'!$A$64),"")</f>
        <v/>
      </c>
      <c r="W12" s="320"/>
      <c r="X12" s="320" t="str">
        <f>IF(AND('Mapa final'!$J$70="Muy Alta",'Mapa final'!$N$70="Moderado"),CONCATENATE("R",'Mapa final'!$A$70),"")</f>
        <v/>
      </c>
      <c r="Y12" s="320"/>
      <c r="Z12" s="320" t="str">
        <f>IF(AND('Mapa final'!$J$76="Muy Alta",'Mapa final'!$N$76="Moderado"),CONCATENATE("R",'Mapa final'!$A$76),"")</f>
        <v/>
      </c>
      <c r="AA12" s="321"/>
      <c r="AB12" s="319" t="str">
        <f ca="1">IF(AND('Mapa final'!$J$64="Muy Alta",'Mapa final'!$N$64="Mayor"),CONCATENATE("R",'Mapa final'!$A$64),"")</f>
        <v/>
      </c>
      <c r="AC12" s="320"/>
      <c r="AD12" s="320" t="str">
        <f>IF(AND('Mapa final'!$J$70="Muy Alta",'Mapa final'!$N$70="Mayor"),CONCATENATE("R",'Mapa final'!$A$70),"")</f>
        <v/>
      </c>
      <c r="AE12" s="320"/>
      <c r="AF12" s="320" t="str">
        <f>IF(AND('Mapa final'!$J$76="Muy Alta",'Mapa final'!$N$76="Mayor"),CONCATENATE("R",'Mapa final'!$A$76),"")</f>
        <v/>
      </c>
      <c r="AG12" s="321"/>
      <c r="AH12" s="310" t="str">
        <f ca="1">IF(AND('Mapa final'!$J$64="Muy Alta",'Mapa final'!$N$64="Catastrófico"),CONCATENATE("R",'Mapa final'!$A$64),"")</f>
        <v/>
      </c>
      <c r="AI12" s="311"/>
      <c r="AJ12" s="311" t="str">
        <f>IF(AND('Mapa final'!$J$70="Muy Alta",'Mapa final'!$N$70="Catastrófico"),CONCATENATE("R",'Mapa final'!$A$70),"")</f>
        <v/>
      </c>
      <c r="AK12" s="311"/>
      <c r="AL12" s="311" t="str">
        <f>IF(AND('Mapa final'!$J$76="Muy Alta",'Mapa final'!$N$76="Catastrófico"),CONCATENATE("R",'Mapa final'!$A$76),"")</f>
        <v/>
      </c>
      <c r="AM12" s="312"/>
      <c r="AN12" s="67"/>
      <c r="AO12" s="344"/>
      <c r="AP12" s="345"/>
      <c r="AQ12" s="345"/>
      <c r="AR12" s="345"/>
      <c r="AS12" s="345"/>
      <c r="AT12" s="34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339"/>
      <c r="C13" s="339"/>
      <c r="D13" s="340"/>
      <c r="E13" s="335"/>
      <c r="F13" s="336"/>
      <c r="G13" s="336"/>
      <c r="H13" s="336"/>
      <c r="I13" s="337"/>
      <c r="J13" s="319"/>
      <c r="K13" s="320"/>
      <c r="L13" s="320"/>
      <c r="M13" s="320"/>
      <c r="N13" s="320"/>
      <c r="O13" s="321"/>
      <c r="P13" s="319"/>
      <c r="Q13" s="320"/>
      <c r="R13" s="320"/>
      <c r="S13" s="320"/>
      <c r="T13" s="320"/>
      <c r="U13" s="321"/>
      <c r="V13" s="319"/>
      <c r="W13" s="320"/>
      <c r="X13" s="320"/>
      <c r="Y13" s="320"/>
      <c r="Z13" s="320"/>
      <c r="AA13" s="321"/>
      <c r="AB13" s="319"/>
      <c r="AC13" s="320"/>
      <c r="AD13" s="320"/>
      <c r="AE13" s="320"/>
      <c r="AF13" s="320"/>
      <c r="AG13" s="321"/>
      <c r="AH13" s="313"/>
      <c r="AI13" s="314"/>
      <c r="AJ13" s="314"/>
      <c r="AK13" s="314"/>
      <c r="AL13" s="314"/>
      <c r="AM13" s="315"/>
      <c r="AN13" s="67"/>
      <c r="AO13" s="347"/>
      <c r="AP13" s="348"/>
      <c r="AQ13" s="348"/>
      <c r="AR13" s="348"/>
      <c r="AS13" s="348"/>
      <c r="AT13" s="34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339"/>
      <c r="C14" s="339"/>
      <c r="D14" s="340"/>
      <c r="E14" s="329" t="s">
        <v>110</v>
      </c>
      <c r="F14" s="330"/>
      <c r="G14" s="330"/>
      <c r="H14" s="330"/>
      <c r="I14" s="330"/>
      <c r="J14" s="307" t="str">
        <f ca="1">IF(AND('Mapa final'!$J$10="Alta",'Mapa final'!$N$10="Leve"),CONCATENATE("R",'Mapa final'!$A$10),"")</f>
        <v/>
      </c>
      <c r="K14" s="308"/>
      <c r="L14" s="308" t="str">
        <f ca="1">IF(AND('Mapa final'!$J$16="Alta",'Mapa final'!$N$16="Leve"),CONCATENATE("R",'Mapa final'!$A$16),"")</f>
        <v/>
      </c>
      <c r="M14" s="308"/>
      <c r="N14" s="308" t="str">
        <f ca="1">IF(AND('Mapa final'!$J$22="Alta",'Mapa final'!$N$22="Leve"),CONCATENATE("R",'Mapa final'!$A$22),"")</f>
        <v/>
      </c>
      <c r="O14" s="309"/>
      <c r="P14" s="307" t="str">
        <f ca="1">IF(AND('Mapa final'!$J$10="Alta",'Mapa final'!$N$10="Menor"),CONCATENATE("R",'Mapa final'!$A$10),"")</f>
        <v/>
      </c>
      <c r="Q14" s="308"/>
      <c r="R14" s="308" t="str">
        <f ca="1">IF(AND('Mapa final'!$J$16="Alta",'Mapa final'!$N$16="Menor"),CONCATENATE("R",'Mapa final'!$A$16),"")</f>
        <v/>
      </c>
      <c r="S14" s="308"/>
      <c r="T14" s="308" t="str">
        <f ca="1">IF(AND('Mapa final'!$J$22="Alta",'Mapa final'!$N$22="Menor"),CONCATENATE("R",'Mapa final'!$A$22),"")</f>
        <v/>
      </c>
      <c r="U14" s="309"/>
      <c r="V14" s="325" t="str">
        <f ca="1">IF(AND('Mapa final'!$J$10="Alta",'Mapa final'!$N$10="Moderado"),CONCATENATE("R",'Mapa final'!$A$10),"")</f>
        <v/>
      </c>
      <c r="W14" s="326"/>
      <c r="X14" s="326" t="str">
        <f ca="1">IF(AND('Mapa final'!$J$16="Alta",'Mapa final'!$N$16="Moderado"),CONCATENATE("R",'Mapa final'!$A$16),"")</f>
        <v/>
      </c>
      <c r="Y14" s="326"/>
      <c r="Z14" s="326" t="str">
        <f ca="1">IF(AND('Mapa final'!$J$22="Alta",'Mapa final'!$N$22="Moderado"),CONCATENATE("R",'Mapa final'!$A$22),"")</f>
        <v/>
      </c>
      <c r="AA14" s="327"/>
      <c r="AB14" s="325" t="str">
        <f ca="1">IF(AND('Mapa final'!$J$10="Alta",'Mapa final'!$N$10="Mayor"),CONCATENATE("R",'Mapa final'!$A$10),"")</f>
        <v/>
      </c>
      <c r="AC14" s="326"/>
      <c r="AD14" s="326" t="str">
        <f ca="1">IF(AND('Mapa final'!$J$16="Alta",'Mapa final'!$N$16="Mayor"),CONCATENATE("R",'Mapa final'!$A$16),"")</f>
        <v/>
      </c>
      <c r="AE14" s="326"/>
      <c r="AF14" s="326" t="str">
        <f ca="1">IF(AND('Mapa final'!$J$22="Alta",'Mapa final'!$N$22="Mayor"),CONCATENATE("R",'Mapa final'!$A$22),"")</f>
        <v/>
      </c>
      <c r="AG14" s="327"/>
      <c r="AH14" s="316" t="str">
        <f ca="1">IF(AND('Mapa final'!$J$10="Alta",'Mapa final'!$N$10="Catastrófico"),CONCATENATE("R",'Mapa final'!$A$10),"")</f>
        <v/>
      </c>
      <c r="AI14" s="317"/>
      <c r="AJ14" s="317" t="str">
        <f ca="1">IF(AND('Mapa final'!$J$16="Alta",'Mapa final'!$N$16="Catastrófico"),CONCATENATE("R",'Mapa final'!$A$16),"")</f>
        <v/>
      </c>
      <c r="AK14" s="317"/>
      <c r="AL14" s="317" t="str">
        <f ca="1">IF(AND('Mapa final'!$J$22="Alta",'Mapa final'!$N$22="Catastrófico"),CONCATENATE("R",'Mapa final'!$A$22),"")</f>
        <v/>
      </c>
      <c r="AM14" s="318"/>
      <c r="AN14" s="67"/>
      <c r="AO14" s="350" t="s">
        <v>79</v>
      </c>
      <c r="AP14" s="351"/>
      <c r="AQ14" s="351"/>
      <c r="AR14" s="351"/>
      <c r="AS14" s="351"/>
      <c r="AT14" s="35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339"/>
      <c r="C15" s="339"/>
      <c r="D15" s="340"/>
      <c r="E15" s="332"/>
      <c r="F15" s="333"/>
      <c r="G15" s="333"/>
      <c r="H15" s="333"/>
      <c r="I15" s="333"/>
      <c r="J15" s="301"/>
      <c r="K15" s="302"/>
      <c r="L15" s="302"/>
      <c r="M15" s="302"/>
      <c r="N15" s="302"/>
      <c r="O15" s="303"/>
      <c r="P15" s="301"/>
      <c r="Q15" s="302"/>
      <c r="R15" s="302"/>
      <c r="S15" s="302"/>
      <c r="T15" s="302"/>
      <c r="U15" s="303"/>
      <c r="V15" s="319"/>
      <c r="W15" s="320"/>
      <c r="X15" s="320"/>
      <c r="Y15" s="320"/>
      <c r="Z15" s="320"/>
      <c r="AA15" s="321"/>
      <c r="AB15" s="319"/>
      <c r="AC15" s="320"/>
      <c r="AD15" s="320"/>
      <c r="AE15" s="320"/>
      <c r="AF15" s="320"/>
      <c r="AG15" s="321"/>
      <c r="AH15" s="310"/>
      <c r="AI15" s="311"/>
      <c r="AJ15" s="311"/>
      <c r="AK15" s="311"/>
      <c r="AL15" s="311"/>
      <c r="AM15" s="312"/>
      <c r="AN15" s="67"/>
      <c r="AO15" s="353"/>
      <c r="AP15" s="354"/>
      <c r="AQ15" s="354"/>
      <c r="AR15" s="354"/>
      <c r="AS15" s="354"/>
      <c r="AT15" s="35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339"/>
      <c r="C16" s="339"/>
      <c r="D16" s="340"/>
      <c r="E16" s="332"/>
      <c r="F16" s="333"/>
      <c r="G16" s="333"/>
      <c r="H16" s="333"/>
      <c r="I16" s="333"/>
      <c r="J16" s="301" t="str">
        <f ca="1">IF(AND('Mapa final'!$J$28="Alta",'Mapa final'!$N$28="Leve"),CONCATENATE("R",'Mapa final'!$A$28),"")</f>
        <v/>
      </c>
      <c r="K16" s="302"/>
      <c r="L16" s="302" t="str">
        <f ca="1">IF(AND('Mapa final'!$J$34="Alta",'Mapa final'!$N$34="Leve"),CONCATENATE("R",'Mapa final'!$A$34),"")</f>
        <v/>
      </c>
      <c r="M16" s="302"/>
      <c r="N16" s="302" t="str">
        <f ca="1">IF(AND('Mapa final'!$J$40="Alta",'Mapa final'!$N$40="Leve"),CONCATENATE("R",'Mapa final'!$A$40),"")</f>
        <v/>
      </c>
      <c r="O16" s="303"/>
      <c r="P16" s="301" t="str">
        <f ca="1">IF(AND('Mapa final'!$J$28="Alta",'Mapa final'!$N$28="Menor"),CONCATENATE("R",'Mapa final'!$A$28),"")</f>
        <v/>
      </c>
      <c r="Q16" s="302"/>
      <c r="R16" s="302" t="str">
        <f ca="1">IF(AND('Mapa final'!$J$34="Alta",'Mapa final'!$N$34="Menor"),CONCATENATE("R",'Mapa final'!$A$34),"")</f>
        <v/>
      </c>
      <c r="S16" s="302"/>
      <c r="T16" s="302" t="str">
        <f ca="1">IF(AND('Mapa final'!$J$40="Alta",'Mapa final'!$N$40="Menor"),CONCATENATE("R",'Mapa final'!$A$40),"")</f>
        <v/>
      </c>
      <c r="U16" s="303"/>
      <c r="V16" s="319" t="str">
        <f ca="1">IF(AND('Mapa final'!$J$28="Alta",'Mapa final'!$N$28="Moderado"),CONCATENATE("R",'Mapa final'!$A$28),"")</f>
        <v/>
      </c>
      <c r="W16" s="320"/>
      <c r="X16" s="320" t="str">
        <f ca="1">IF(AND('Mapa final'!$J$34="Alta",'Mapa final'!$N$34="Moderado"),CONCATENATE("R",'Mapa final'!$A$34),"")</f>
        <v/>
      </c>
      <c r="Y16" s="320"/>
      <c r="Z16" s="320" t="str">
        <f ca="1">IF(AND('Mapa final'!$J$40="Alta",'Mapa final'!$N$40="Moderado"),CONCATENATE("R",'Mapa final'!$A$40),"")</f>
        <v/>
      </c>
      <c r="AA16" s="321"/>
      <c r="AB16" s="319" t="str">
        <f ca="1">IF(AND('Mapa final'!$J$28="Alta",'Mapa final'!$N$28="Mayor"),CONCATENATE("R",'Mapa final'!$A$28),"")</f>
        <v/>
      </c>
      <c r="AC16" s="320"/>
      <c r="AD16" s="320" t="str">
        <f ca="1">IF(AND('Mapa final'!$J$34="Alta",'Mapa final'!$N$34="Mayor"),CONCATENATE("R",'Mapa final'!$A$34),"")</f>
        <v/>
      </c>
      <c r="AE16" s="320"/>
      <c r="AF16" s="320" t="str">
        <f ca="1">IF(AND('Mapa final'!$J$40="Alta",'Mapa final'!$N$40="Mayor"),CONCATENATE("R",'Mapa final'!$A$40),"")</f>
        <v/>
      </c>
      <c r="AG16" s="321"/>
      <c r="AH16" s="310" t="str">
        <f ca="1">IF(AND('Mapa final'!$J$28="Alta",'Mapa final'!$N$28="Catastrófico"),CONCATENATE("R",'Mapa final'!$A$28),"")</f>
        <v/>
      </c>
      <c r="AI16" s="311"/>
      <c r="AJ16" s="311" t="str">
        <f ca="1">IF(AND('Mapa final'!$J$34="Alta",'Mapa final'!$N$34="Catastrófico"),CONCATENATE("R",'Mapa final'!$A$34),"")</f>
        <v/>
      </c>
      <c r="AK16" s="311"/>
      <c r="AL16" s="311" t="str">
        <f ca="1">IF(AND('Mapa final'!$J$40="Alta",'Mapa final'!$N$40="Catastrófico"),CONCATENATE("R",'Mapa final'!$A$40),"")</f>
        <v/>
      </c>
      <c r="AM16" s="312"/>
      <c r="AN16" s="67"/>
      <c r="AO16" s="353"/>
      <c r="AP16" s="354"/>
      <c r="AQ16" s="354"/>
      <c r="AR16" s="354"/>
      <c r="AS16" s="354"/>
      <c r="AT16" s="35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339"/>
      <c r="C17" s="339"/>
      <c r="D17" s="340"/>
      <c r="E17" s="332"/>
      <c r="F17" s="333"/>
      <c r="G17" s="333"/>
      <c r="H17" s="333"/>
      <c r="I17" s="333"/>
      <c r="J17" s="301"/>
      <c r="K17" s="302"/>
      <c r="L17" s="302"/>
      <c r="M17" s="302"/>
      <c r="N17" s="302"/>
      <c r="O17" s="303"/>
      <c r="P17" s="301"/>
      <c r="Q17" s="302"/>
      <c r="R17" s="302"/>
      <c r="S17" s="302"/>
      <c r="T17" s="302"/>
      <c r="U17" s="303"/>
      <c r="V17" s="319"/>
      <c r="W17" s="320"/>
      <c r="X17" s="320"/>
      <c r="Y17" s="320"/>
      <c r="Z17" s="320"/>
      <c r="AA17" s="321"/>
      <c r="AB17" s="319"/>
      <c r="AC17" s="320"/>
      <c r="AD17" s="320"/>
      <c r="AE17" s="320"/>
      <c r="AF17" s="320"/>
      <c r="AG17" s="321"/>
      <c r="AH17" s="310"/>
      <c r="AI17" s="311"/>
      <c r="AJ17" s="311"/>
      <c r="AK17" s="311"/>
      <c r="AL17" s="311"/>
      <c r="AM17" s="312"/>
      <c r="AN17" s="67"/>
      <c r="AO17" s="353"/>
      <c r="AP17" s="354"/>
      <c r="AQ17" s="354"/>
      <c r="AR17" s="354"/>
      <c r="AS17" s="354"/>
      <c r="AT17" s="35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339"/>
      <c r="C18" s="339"/>
      <c r="D18" s="340"/>
      <c r="E18" s="332"/>
      <c r="F18" s="333"/>
      <c r="G18" s="333"/>
      <c r="H18" s="333"/>
      <c r="I18" s="333"/>
      <c r="J18" s="301" t="str">
        <f ca="1">IF(AND('Mapa final'!$J$46="Alta",'Mapa final'!$N$46="Leve"),CONCATENATE("R",'Mapa final'!$A$46),"")</f>
        <v/>
      </c>
      <c r="K18" s="302"/>
      <c r="L18" s="302" t="str">
        <f ca="1">IF(AND('Mapa final'!$J$52="Alta",'Mapa final'!$N$52="Leve"),CONCATENATE("R",'Mapa final'!$A$52),"")</f>
        <v/>
      </c>
      <c r="M18" s="302"/>
      <c r="N18" s="302" t="str">
        <f ca="1">IF(AND('Mapa final'!$J$58="Alta",'Mapa final'!$N$58="Leve"),CONCATENATE("R",'Mapa final'!$A$58),"")</f>
        <v/>
      </c>
      <c r="O18" s="303"/>
      <c r="P18" s="301" t="str">
        <f ca="1">IF(AND('Mapa final'!$J$46="Alta",'Mapa final'!$N$46="Menor"),CONCATENATE("R",'Mapa final'!$A$46),"")</f>
        <v/>
      </c>
      <c r="Q18" s="302"/>
      <c r="R18" s="302" t="str">
        <f ca="1">IF(AND('Mapa final'!$J$52="Alta",'Mapa final'!$N$52="Menor"),CONCATENATE("R",'Mapa final'!$A$52),"")</f>
        <v/>
      </c>
      <c r="S18" s="302"/>
      <c r="T18" s="302" t="str">
        <f ca="1">IF(AND('Mapa final'!$J$58="Alta",'Mapa final'!$N$58="Menor"),CONCATENATE("R",'Mapa final'!$A$58),"")</f>
        <v/>
      </c>
      <c r="U18" s="303"/>
      <c r="V18" s="319" t="str">
        <f ca="1">IF(AND('Mapa final'!$J$46="Alta",'Mapa final'!$N$46="Moderado"),CONCATENATE("R",'Mapa final'!$A$46),"")</f>
        <v/>
      </c>
      <c r="W18" s="320"/>
      <c r="X18" s="320" t="str">
        <f ca="1">IF(AND('Mapa final'!$J$52="Alta",'Mapa final'!$N$52="Moderado"),CONCATENATE("R",'Mapa final'!$A$52),"")</f>
        <v/>
      </c>
      <c r="Y18" s="320"/>
      <c r="Z18" s="320" t="str">
        <f ca="1">IF(AND('Mapa final'!$J$58="Alta",'Mapa final'!$N$58="Moderado"),CONCATENATE("R",'Mapa final'!$A$58),"")</f>
        <v/>
      </c>
      <c r="AA18" s="321"/>
      <c r="AB18" s="319" t="str">
        <f ca="1">IF(AND('Mapa final'!$J$46="Alta",'Mapa final'!$N$46="Mayor"),CONCATENATE("R",'Mapa final'!$A$46),"")</f>
        <v/>
      </c>
      <c r="AC18" s="320"/>
      <c r="AD18" s="320" t="str">
        <f ca="1">IF(AND('Mapa final'!$J$52="Alta",'Mapa final'!$N$52="Mayor"),CONCATENATE("R",'Mapa final'!$A$52),"")</f>
        <v/>
      </c>
      <c r="AE18" s="320"/>
      <c r="AF18" s="320" t="str">
        <f ca="1">IF(AND('Mapa final'!$J$58="Alta",'Mapa final'!$N$58="Mayor"),CONCATENATE("R",'Mapa final'!$A$58),"")</f>
        <v/>
      </c>
      <c r="AG18" s="321"/>
      <c r="AH18" s="310" t="str">
        <f ca="1">IF(AND('Mapa final'!$J$46="Alta",'Mapa final'!$N$46="Catastrófico"),CONCATENATE("R",'Mapa final'!$A$46),"")</f>
        <v/>
      </c>
      <c r="AI18" s="311"/>
      <c r="AJ18" s="311" t="str">
        <f ca="1">IF(AND('Mapa final'!$J$52="Alta",'Mapa final'!$N$52="Catastrófico"),CONCATENATE("R",'Mapa final'!$A$52),"")</f>
        <v/>
      </c>
      <c r="AK18" s="311"/>
      <c r="AL18" s="311" t="str">
        <f ca="1">IF(AND('Mapa final'!$J$58="Alta",'Mapa final'!$N$58="Catastrófico"),CONCATENATE("R",'Mapa final'!$A$58),"")</f>
        <v/>
      </c>
      <c r="AM18" s="312"/>
      <c r="AN18" s="67"/>
      <c r="AO18" s="353"/>
      <c r="AP18" s="354"/>
      <c r="AQ18" s="354"/>
      <c r="AR18" s="354"/>
      <c r="AS18" s="354"/>
      <c r="AT18" s="35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339"/>
      <c r="C19" s="339"/>
      <c r="D19" s="340"/>
      <c r="E19" s="332"/>
      <c r="F19" s="333"/>
      <c r="G19" s="333"/>
      <c r="H19" s="333"/>
      <c r="I19" s="333"/>
      <c r="J19" s="301"/>
      <c r="K19" s="302"/>
      <c r="L19" s="302"/>
      <c r="M19" s="302"/>
      <c r="N19" s="302"/>
      <c r="O19" s="303"/>
      <c r="P19" s="301"/>
      <c r="Q19" s="302"/>
      <c r="R19" s="302"/>
      <c r="S19" s="302"/>
      <c r="T19" s="302"/>
      <c r="U19" s="303"/>
      <c r="V19" s="319"/>
      <c r="W19" s="320"/>
      <c r="X19" s="320"/>
      <c r="Y19" s="320"/>
      <c r="Z19" s="320"/>
      <c r="AA19" s="321"/>
      <c r="AB19" s="319"/>
      <c r="AC19" s="320"/>
      <c r="AD19" s="320"/>
      <c r="AE19" s="320"/>
      <c r="AF19" s="320"/>
      <c r="AG19" s="321"/>
      <c r="AH19" s="310"/>
      <c r="AI19" s="311"/>
      <c r="AJ19" s="311"/>
      <c r="AK19" s="311"/>
      <c r="AL19" s="311"/>
      <c r="AM19" s="312"/>
      <c r="AN19" s="67"/>
      <c r="AO19" s="353"/>
      <c r="AP19" s="354"/>
      <c r="AQ19" s="354"/>
      <c r="AR19" s="354"/>
      <c r="AS19" s="354"/>
      <c r="AT19" s="35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339"/>
      <c r="C20" s="339"/>
      <c r="D20" s="340"/>
      <c r="E20" s="332"/>
      <c r="F20" s="333"/>
      <c r="G20" s="333"/>
      <c r="H20" s="333"/>
      <c r="I20" s="333"/>
      <c r="J20" s="301" t="str">
        <f ca="1">IF(AND('Mapa final'!$J$64="Alta",'Mapa final'!$N$64="Leve"),CONCATENATE("R",'Mapa final'!$A$64),"")</f>
        <v/>
      </c>
      <c r="K20" s="302"/>
      <c r="L20" s="302" t="str">
        <f>IF(AND('Mapa final'!$J$70="Alta",'Mapa final'!$N$70="Leve"),CONCATENATE("R",'Mapa final'!$A$70),"")</f>
        <v/>
      </c>
      <c r="M20" s="302"/>
      <c r="N20" s="302" t="str">
        <f>IF(AND('Mapa final'!$J$76="Alta",'Mapa final'!$N$76="Leve"),CONCATENATE("R",'Mapa final'!$A$76),"")</f>
        <v/>
      </c>
      <c r="O20" s="303"/>
      <c r="P20" s="301" t="str">
        <f ca="1">IF(AND('Mapa final'!$J$64="Alta",'Mapa final'!$N$64="Menor"),CONCATENATE("R",'Mapa final'!$A$64),"")</f>
        <v/>
      </c>
      <c r="Q20" s="302"/>
      <c r="R20" s="302" t="str">
        <f>IF(AND('Mapa final'!$J$70="Alta",'Mapa final'!$N$70="Menor"),CONCATENATE("R",'Mapa final'!$A$70),"")</f>
        <v/>
      </c>
      <c r="S20" s="302"/>
      <c r="T20" s="302" t="str">
        <f>IF(AND('Mapa final'!$J$76="Alta",'Mapa final'!$N$76="Menor"),CONCATENATE("R",'Mapa final'!$A$76),"")</f>
        <v/>
      </c>
      <c r="U20" s="303"/>
      <c r="V20" s="319" t="str">
        <f ca="1">IF(AND('Mapa final'!$J$64="Alta",'Mapa final'!$N$64="Moderado"),CONCATENATE("R",'Mapa final'!$A$64),"")</f>
        <v/>
      </c>
      <c r="W20" s="320"/>
      <c r="X20" s="320" t="str">
        <f>IF(AND('Mapa final'!$J$70="Alta",'Mapa final'!$N$70="Moderado"),CONCATENATE("R",'Mapa final'!$A$70),"")</f>
        <v/>
      </c>
      <c r="Y20" s="320"/>
      <c r="Z20" s="320" t="str">
        <f>IF(AND('Mapa final'!$J$76="Alta",'Mapa final'!$N$76="Moderado"),CONCATENATE("R",'Mapa final'!$A$76),"")</f>
        <v/>
      </c>
      <c r="AA20" s="321"/>
      <c r="AB20" s="319" t="str">
        <f ca="1">IF(AND('Mapa final'!$J$64="Alta",'Mapa final'!$N$64="Mayor"),CONCATENATE("R",'Mapa final'!$A$64),"")</f>
        <v/>
      </c>
      <c r="AC20" s="320"/>
      <c r="AD20" s="320" t="str">
        <f>IF(AND('Mapa final'!$J$70="Alta",'Mapa final'!$N$70="Mayor"),CONCATENATE("R",'Mapa final'!$A$70),"")</f>
        <v/>
      </c>
      <c r="AE20" s="320"/>
      <c r="AF20" s="320" t="str">
        <f>IF(AND('Mapa final'!$J$76="Alta",'Mapa final'!$N$76="Mayor"),CONCATENATE("R",'Mapa final'!$A$76),"")</f>
        <v/>
      </c>
      <c r="AG20" s="321"/>
      <c r="AH20" s="310" t="str">
        <f ca="1">IF(AND('Mapa final'!$J$64="Alta",'Mapa final'!$N$64="Catastrófico"),CONCATENATE("R",'Mapa final'!$A$64),"")</f>
        <v/>
      </c>
      <c r="AI20" s="311"/>
      <c r="AJ20" s="311" t="str">
        <f>IF(AND('Mapa final'!$J$70="Alta",'Mapa final'!$N$70="Catastrófico"),CONCATENATE("R",'Mapa final'!$A$70),"")</f>
        <v/>
      </c>
      <c r="AK20" s="311"/>
      <c r="AL20" s="311" t="str">
        <f>IF(AND('Mapa final'!$J$76="Alta",'Mapa final'!$N$76="Catastrófico"),CONCATENATE("R",'Mapa final'!$A$76),"")</f>
        <v/>
      </c>
      <c r="AM20" s="312"/>
      <c r="AN20" s="67"/>
      <c r="AO20" s="353"/>
      <c r="AP20" s="354"/>
      <c r="AQ20" s="354"/>
      <c r="AR20" s="354"/>
      <c r="AS20" s="354"/>
      <c r="AT20" s="35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339"/>
      <c r="C21" s="339"/>
      <c r="D21" s="340"/>
      <c r="E21" s="335"/>
      <c r="F21" s="336"/>
      <c r="G21" s="336"/>
      <c r="H21" s="336"/>
      <c r="I21" s="336"/>
      <c r="J21" s="304"/>
      <c r="K21" s="305"/>
      <c r="L21" s="305"/>
      <c r="M21" s="305"/>
      <c r="N21" s="305"/>
      <c r="O21" s="306"/>
      <c r="P21" s="304"/>
      <c r="Q21" s="305"/>
      <c r="R21" s="305"/>
      <c r="S21" s="305"/>
      <c r="T21" s="305"/>
      <c r="U21" s="306"/>
      <c r="V21" s="322"/>
      <c r="W21" s="323"/>
      <c r="X21" s="323"/>
      <c r="Y21" s="323"/>
      <c r="Z21" s="323"/>
      <c r="AA21" s="324"/>
      <c r="AB21" s="322"/>
      <c r="AC21" s="323"/>
      <c r="AD21" s="323"/>
      <c r="AE21" s="323"/>
      <c r="AF21" s="323"/>
      <c r="AG21" s="324"/>
      <c r="AH21" s="313"/>
      <c r="AI21" s="314"/>
      <c r="AJ21" s="314"/>
      <c r="AK21" s="314"/>
      <c r="AL21" s="314"/>
      <c r="AM21" s="315"/>
      <c r="AN21" s="67"/>
      <c r="AO21" s="356"/>
      <c r="AP21" s="357"/>
      <c r="AQ21" s="357"/>
      <c r="AR21" s="357"/>
      <c r="AS21" s="357"/>
      <c r="AT21" s="35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339"/>
      <c r="C22" s="339"/>
      <c r="D22" s="340"/>
      <c r="E22" s="329" t="s">
        <v>112</v>
      </c>
      <c r="F22" s="330"/>
      <c r="G22" s="330"/>
      <c r="H22" s="330"/>
      <c r="I22" s="331"/>
      <c r="J22" s="307" t="str">
        <f ca="1">IF(AND('Mapa final'!$J$10="Media",'Mapa final'!$N$10="Leve"),CONCATENATE("R",'Mapa final'!$A$10),"")</f>
        <v/>
      </c>
      <c r="K22" s="308"/>
      <c r="L22" s="308" t="str">
        <f ca="1">IF(AND('Mapa final'!$J$16="Media",'Mapa final'!$N$16="Leve"),CONCATENATE("R",'Mapa final'!$A$16),"")</f>
        <v/>
      </c>
      <c r="M22" s="308"/>
      <c r="N22" s="308" t="str">
        <f ca="1">IF(AND('Mapa final'!$J$22="Media",'Mapa final'!$N$22="Leve"),CONCATENATE("R",'Mapa final'!$A$22),"")</f>
        <v/>
      </c>
      <c r="O22" s="309"/>
      <c r="P22" s="307" t="str">
        <f ca="1">IF(AND('Mapa final'!$J$10="Media",'Mapa final'!$N$10="Menor"),CONCATENATE("R",'Mapa final'!$A$10),"")</f>
        <v/>
      </c>
      <c r="Q22" s="308"/>
      <c r="R22" s="308" t="str">
        <f ca="1">IF(AND('Mapa final'!$J$16="Media",'Mapa final'!$N$16="Menor"),CONCATENATE("R",'Mapa final'!$A$16),"")</f>
        <v/>
      </c>
      <c r="S22" s="308"/>
      <c r="T22" s="308" t="str">
        <f ca="1">IF(AND('Mapa final'!$J$22="Media",'Mapa final'!$N$22="Menor"),CONCATENATE("R",'Mapa final'!$A$22),"")</f>
        <v/>
      </c>
      <c r="U22" s="309"/>
      <c r="V22" s="307" t="str">
        <f ca="1">IF(AND('Mapa final'!$J$10="Media",'Mapa final'!$N$10="Moderado"),CONCATENATE("R",'Mapa final'!$A$10),"")</f>
        <v/>
      </c>
      <c r="W22" s="308"/>
      <c r="X22" s="308" t="str">
        <f ca="1">IF(AND('Mapa final'!$J$16="Media",'Mapa final'!$N$16="Moderado"),CONCATENATE("R",'Mapa final'!$A$16),"")</f>
        <v/>
      </c>
      <c r="Y22" s="308"/>
      <c r="Z22" s="308" t="str">
        <f ca="1">IF(AND('Mapa final'!$J$22="Media",'Mapa final'!$N$22="Moderado"),CONCATENATE("R",'Mapa final'!$A$22),"")</f>
        <v/>
      </c>
      <c r="AA22" s="309"/>
      <c r="AB22" s="325" t="str">
        <f ca="1">IF(AND('Mapa final'!$J$10="Media",'Mapa final'!$N$10="Mayor"),CONCATENATE("R",'Mapa final'!$A$10),"")</f>
        <v/>
      </c>
      <c r="AC22" s="326"/>
      <c r="AD22" s="326" t="str">
        <f ca="1">IF(AND('Mapa final'!$J$16="Media",'Mapa final'!$N$16="Mayor"),CONCATENATE("R",'Mapa final'!$A$16),"")</f>
        <v/>
      </c>
      <c r="AE22" s="326"/>
      <c r="AF22" s="326" t="str">
        <f ca="1">IF(AND('Mapa final'!$J$22="Media",'Mapa final'!$N$22="Mayor"),CONCATENATE("R",'Mapa final'!$A$22),"")</f>
        <v/>
      </c>
      <c r="AG22" s="327"/>
      <c r="AH22" s="316" t="str">
        <f ca="1">IF(AND('Mapa final'!$J$10="Media",'Mapa final'!$N$10="Catastrófico"),CONCATENATE("R",'Mapa final'!$A$10),"")</f>
        <v/>
      </c>
      <c r="AI22" s="317"/>
      <c r="AJ22" s="317" t="str">
        <f ca="1">IF(AND('Mapa final'!$J$16="Media",'Mapa final'!$N$16="Catastrófico"),CONCATENATE("R",'Mapa final'!$A$16),"")</f>
        <v/>
      </c>
      <c r="AK22" s="317"/>
      <c r="AL22" s="317" t="str">
        <f ca="1">IF(AND('Mapa final'!$J$22="Media",'Mapa final'!$N$22="Catastrófico"),CONCATENATE("R",'Mapa final'!$A$22),"")</f>
        <v/>
      </c>
      <c r="AM22" s="318"/>
      <c r="AN22" s="67"/>
      <c r="AO22" s="359" t="s">
        <v>80</v>
      </c>
      <c r="AP22" s="360"/>
      <c r="AQ22" s="360"/>
      <c r="AR22" s="360"/>
      <c r="AS22" s="360"/>
      <c r="AT22" s="36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339"/>
      <c r="C23" s="339"/>
      <c r="D23" s="340"/>
      <c r="E23" s="332"/>
      <c r="F23" s="333"/>
      <c r="G23" s="333"/>
      <c r="H23" s="333"/>
      <c r="I23" s="334"/>
      <c r="J23" s="301"/>
      <c r="K23" s="302"/>
      <c r="L23" s="302"/>
      <c r="M23" s="302"/>
      <c r="N23" s="302"/>
      <c r="O23" s="303"/>
      <c r="P23" s="301"/>
      <c r="Q23" s="302"/>
      <c r="R23" s="302"/>
      <c r="S23" s="302"/>
      <c r="T23" s="302"/>
      <c r="U23" s="303"/>
      <c r="V23" s="301"/>
      <c r="W23" s="302"/>
      <c r="X23" s="302"/>
      <c r="Y23" s="302"/>
      <c r="Z23" s="302"/>
      <c r="AA23" s="303"/>
      <c r="AB23" s="319"/>
      <c r="AC23" s="320"/>
      <c r="AD23" s="320"/>
      <c r="AE23" s="320"/>
      <c r="AF23" s="320"/>
      <c r="AG23" s="321"/>
      <c r="AH23" s="310"/>
      <c r="AI23" s="311"/>
      <c r="AJ23" s="311"/>
      <c r="AK23" s="311"/>
      <c r="AL23" s="311"/>
      <c r="AM23" s="312"/>
      <c r="AN23" s="67"/>
      <c r="AO23" s="362"/>
      <c r="AP23" s="363"/>
      <c r="AQ23" s="363"/>
      <c r="AR23" s="363"/>
      <c r="AS23" s="363"/>
      <c r="AT23" s="36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339"/>
      <c r="C24" s="339"/>
      <c r="D24" s="340"/>
      <c r="E24" s="332"/>
      <c r="F24" s="333"/>
      <c r="G24" s="333"/>
      <c r="H24" s="333"/>
      <c r="I24" s="334"/>
      <c r="J24" s="301" t="str">
        <f ca="1">IF(AND('Mapa final'!$J$28="Media",'Mapa final'!$N$28="Leve"),CONCATENATE("R",'Mapa final'!$A$28),"")</f>
        <v/>
      </c>
      <c r="K24" s="302"/>
      <c r="L24" s="302" t="str">
        <f ca="1">IF(AND('Mapa final'!$J$34="Media",'Mapa final'!$N$34="Leve"),CONCATENATE("R",'Mapa final'!$A$34),"")</f>
        <v/>
      </c>
      <c r="M24" s="302"/>
      <c r="N24" s="302" t="str">
        <f ca="1">IF(AND('Mapa final'!$J$40="Media",'Mapa final'!$N$40="Leve"),CONCATENATE("R",'Mapa final'!$A$40),"")</f>
        <v/>
      </c>
      <c r="O24" s="303"/>
      <c r="P24" s="301" t="str">
        <f ca="1">IF(AND('Mapa final'!$J$28="Media",'Mapa final'!$N$28="Menor"),CONCATENATE("R",'Mapa final'!$A$28),"")</f>
        <v/>
      </c>
      <c r="Q24" s="302"/>
      <c r="R24" s="302" t="str">
        <f ca="1">IF(AND('Mapa final'!$J$34="Media",'Mapa final'!$N$34="Menor"),CONCATENATE("R",'Mapa final'!$A$34),"")</f>
        <v/>
      </c>
      <c r="S24" s="302"/>
      <c r="T24" s="302" t="str">
        <f ca="1">IF(AND('Mapa final'!$J$40="Media",'Mapa final'!$N$40="Menor"),CONCATENATE("R",'Mapa final'!$A$40),"")</f>
        <v/>
      </c>
      <c r="U24" s="303"/>
      <c r="V24" s="301" t="str">
        <f ca="1">IF(AND('Mapa final'!$J$28="Media",'Mapa final'!$N$28="Moderado"),CONCATENATE("R",'Mapa final'!$A$28),"")</f>
        <v/>
      </c>
      <c r="W24" s="302"/>
      <c r="X24" s="302" t="str">
        <f ca="1">IF(AND('Mapa final'!$J$34="Media",'Mapa final'!$N$34="Moderado"),CONCATENATE("R",'Mapa final'!$A$34),"")</f>
        <v/>
      </c>
      <c r="Y24" s="302"/>
      <c r="Z24" s="302" t="str">
        <f ca="1">IF(AND('Mapa final'!$J$40="Media",'Mapa final'!$N$40="Moderado"),CONCATENATE("R",'Mapa final'!$A$40),"")</f>
        <v/>
      </c>
      <c r="AA24" s="303"/>
      <c r="AB24" s="319" t="str">
        <f ca="1">IF(AND('Mapa final'!$J$28="Media",'Mapa final'!$N$28="Mayor"),CONCATENATE("R",'Mapa final'!$A$28),"")</f>
        <v/>
      </c>
      <c r="AC24" s="320"/>
      <c r="AD24" s="320" t="str">
        <f ca="1">IF(AND('Mapa final'!$J$34="Media",'Mapa final'!$N$34="Mayor"),CONCATENATE("R",'Mapa final'!$A$34),"")</f>
        <v/>
      </c>
      <c r="AE24" s="320"/>
      <c r="AF24" s="320" t="str">
        <f ca="1">IF(AND('Mapa final'!$J$40="Media",'Mapa final'!$N$40="Mayor"),CONCATENATE("R",'Mapa final'!$A$40),"")</f>
        <v/>
      </c>
      <c r="AG24" s="321"/>
      <c r="AH24" s="310" t="str">
        <f ca="1">IF(AND('Mapa final'!$J$28="Media",'Mapa final'!$N$28="Catastrófico"),CONCATENATE("R",'Mapa final'!$A$28),"")</f>
        <v/>
      </c>
      <c r="AI24" s="311"/>
      <c r="AJ24" s="311" t="str">
        <f ca="1">IF(AND('Mapa final'!$J$34="Media",'Mapa final'!$N$34="Catastrófico"),CONCATENATE("R",'Mapa final'!$A$34),"")</f>
        <v/>
      </c>
      <c r="AK24" s="311"/>
      <c r="AL24" s="311" t="str">
        <f ca="1">IF(AND('Mapa final'!$J$40="Media",'Mapa final'!$N$40="Catastrófico"),CONCATENATE("R",'Mapa final'!$A$40),"")</f>
        <v/>
      </c>
      <c r="AM24" s="312"/>
      <c r="AN24" s="67"/>
      <c r="AO24" s="362"/>
      <c r="AP24" s="363"/>
      <c r="AQ24" s="363"/>
      <c r="AR24" s="363"/>
      <c r="AS24" s="363"/>
      <c r="AT24" s="36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339"/>
      <c r="C25" s="339"/>
      <c r="D25" s="340"/>
      <c r="E25" s="332"/>
      <c r="F25" s="333"/>
      <c r="G25" s="333"/>
      <c r="H25" s="333"/>
      <c r="I25" s="334"/>
      <c r="J25" s="301"/>
      <c r="K25" s="302"/>
      <c r="L25" s="302"/>
      <c r="M25" s="302"/>
      <c r="N25" s="302"/>
      <c r="O25" s="303"/>
      <c r="P25" s="301"/>
      <c r="Q25" s="302"/>
      <c r="R25" s="302"/>
      <c r="S25" s="302"/>
      <c r="T25" s="302"/>
      <c r="U25" s="303"/>
      <c r="V25" s="301"/>
      <c r="W25" s="302"/>
      <c r="X25" s="302"/>
      <c r="Y25" s="302"/>
      <c r="Z25" s="302"/>
      <c r="AA25" s="303"/>
      <c r="AB25" s="319"/>
      <c r="AC25" s="320"/>
      <c r="AD25" s="320"/>
      <c r="AE25" s="320"/>
      <c r="AF25" s="320"/>
      <c r="AG25" s="321"/>
      <c r="AH25" s="310"/>
      <c r="AI25" s="311"/>
      <c r="AJ25" s="311"/>
      <c r="AK25" s="311"/>
      <c r="AL25" s="311"/>
      <c r="AM25" s="312"/>
      <c r="AN25" s="67"/>
      <c r="AO25" s="362"/>
      <c r="AP25" s="363"/>
      <c r="AQ25" s="363"/>
      <c r="AR25" s="363"/>
      <c r="AS25" s="363"/>
      <c r="AT25" s="36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339"/>
      <c r="C26" s="339"/>
      <c r="D26" s="340"/>
      <c r="E26" s="332"/>
      <c r="F26" s="333"/>
      <c r="G26" s="333"/>
      <c r="H26" s="333"/>
      <c r="I26" s="334"/>
      <c r="J26" s="301" t="str">
        <f ca="1">IF(AND('Mapa final'!$J$46="Media",'Mapa final'!$N$46="Leve"),CONCATENATE("R",'Mapa final'!$A$46),"")</f>
        <v/>
      </c>
      <c r="K26" s="302"/>
      <c r="L26" s="302" t="str">
        <f ca="1">IF(AND('Mapa final'!$J$52="Media",'Mapa final'!$N$52="Leve"),CONCATENATE("R",'Mapa final'!$A$52),"")</f>
        <v/>
      </c>
      <c r="M26" s="302"/>
      <c r="N26" s="302" t="str">
        <f ca="1">IF(AND('Mapa final'!$J$58="Media",'Mapa final'!$N$58="Leve"),CONCATENATE("R",'Mapa final'!$A$58),"")</f>
        <v/>
      </c>
      <c r="O26" s="303"/>
      <c r="P26" s="301" t="str">
        <f ca="1">IF(AND('Mapa final'!$J$46="Media",'Mapa final'!$N$46="Menor"),CONCATENATE("R",'Mapa final'!$A$46),"")</f>
        <v/>
      </c>
      <c r="Q26" s="302"/>
      <c r="R26" s="302" t="str">
        <f ca="1">IF(AND('Mapa final'!$J$52="Media",'Mapa final'!$N$52="Menor"),CONCATENATE("R",'Mapa final'!$A$52),"")</f>
        <v/>
      </c>
      <c r="S26" s="302"/>
      <c r="T26" s="302" t="str">
        <f ca="1">IF(AND('Mapa final'!$J$58="Media",'Mapa final'!$N$58="Menor"),CONCATENATE("R",'Mapa final'!$A$58),"")</f>
        <v/>
      </c>
      <c r="U26" s="303"/>
      <c r="V26" s="301" t="str">
        <f ca="1">IF(AND('Mapa final'!$J$46="Media",'Mapa final'!$N$46="Moderado"),CONCATENATE("R",'Mapa final'!$A$46),"")</f>
        <v/>
      </c>
      <c r="W26" s="302"/>
      <c r="X26" s="302" t="str">
        <f ca="1">IF(AND('Mapa final'!$J$52="Media",'Mapa final'!$N$52="Moderado"),CONCATENATE("R",'Mapa final'!$A$52),"")</f>
        <v/>
      </c>
      <c r="Y26" s="302"/>
      <c r="Z26" s="302" t="str">
        <f ca="1">IF(AND('Mapa final'!$J$58="Media",'Mapa final'!$N$58="Moderado"),CONCATENATE("R",'Mapa final'!$A$58),"")</f>
        <v/>
      </c>
      <c r="AA26" s="303"/>
      <c r="AB26" s="319" t="str">
        <f ca="1">IF(AND('Mapa final'!$J$46="Media",'Mapa final'!$N$46="Mayor"),CONCATENATE("R",'Mapa final'!$A$46),"")</f>
        <v/>
      </c>
      <c r="AC26" s="320"/>
      <c r="AD26" s="320" t="str">
        <f ca="1">IF(AND('Mapa final'!$J$52="Media",'Mapa final'!$N$52="Mayor"),CONCATENATE("R",'Mapa final'!$A$52),"")</f>
        <v/>
      </c>
      <c r="AE26" s="320"/>
      <c r="AF26" s="320" t="str">
        <f ca="1">IF(AND('Mapa final'!$J$58="Media",'Mapa final'!$N$58="Mayor"),CONCATENATE("R",'Mapa final'!$A$58),"")</f>
        <v/>
      </c>
      <c r="AG26" s="321"/>
      <c r="AH26" s="310" t="str">
        <f ca="1">IF(AND('Mapa final'!$J$46="Media",'Mapa final'!$N$46="Catastrófico"),CONCATENATE("R",'Mapa final'!$A$46),"")</f>
        <v/>
      </c>
      <c r="AI26" s="311"/>
      <c r="AJ26" s="311" t="str">
        <f ca="1">IF(AND('Mapa final'!$J$52="Media",'Mapa final'!$N$52="Catastrófico"),CONCATENATE("R",'Mapa final'!$A$52),"")</f>
        <v/>
      </c>
      <c r="AK26" s="311"/>
      <c r="AL26" s="311" t="str">
        <f ca="1">IF(AND('Mapa final'!$J$58="Media",'Mapa final'!$N$58="Catastrófico"),CONCATENATE("R",'Mapa final'!$A$58),"")</f>
        <v/>
      </c>
      <c r="AM26" s="312"/>
      <c r="AN26" s="67"/>
      <c r="AO26" s="362"/>
      <c r="AP26" s="363"/>
      <c r="AQ26" s="363"/>
      <c r="AR26" s="363"/>
      <c r="AS26" s="363"/>
      <c r="AT26" s="364"/>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339"/>
      <c r="C27" s="339"/>
      <c r="D27" s="340"/>
      <c r="E27" s="332"/>
      <c r="F27" s="333"/>
      <c r="G27" s="333"/>
      <c r="H27" s="333"/>
      <c r="I27" s="334"/>
      <c r="J27" s="301"/>
      <c r="K27" s="302"/>
      <c r="L27" s="302"/>
      <c r="M27" s="302"/>
      <c r="N27" s="302"/>
      <c r="O27" s="303"/>
      <c r="P27" s="301"/>
      <c r="Q27" s="302"/>
      <c r="R27" s="302"/>
      <c r="S27" s="302"/>
      <c r="T27" s="302"/>
      <c r="U27" s="303"/>
      <c r="V27" s="301"/>
      <c r="W27" s="302"/>
      <c r="X27" s="302"/>
      <c r="Y27" s="302"/>
      <c r="Z27" s="302"/>
      <c r="AA27" s="303"/>
      <c r="AB27" s="319"/>
      <c r="AC27" s="320"/>
      <c r="AD27" s="320"/>
      <c r="AE27" s="320"/>
      <c r="AF27" s="320"/>
      <c r="AG27" s="321"/>
      <c r="AH27" s="310"/>
      <c r="AI27" s="311"/>
      <c r="AJ27" s="311"/>
      <c r="AK27" s="311"/>
      <c r="AL27" s="311"/>
      <c r="AM27" s="312"/>
      <c r="AN27" s="67"/>
      <c r="AO27" s="362"/>
      <c r="AP27" s="363"/>
      <c r="AQ27" s="363"/>
      <c r="AR27" s="363"/>
      <c r="AS27" s="363"/>
      <c r="AT27" s="364"/>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339"/>
      <c r="C28" s="339"/>
      <c r="D28" s="340"/>
      <c r="E28" s="332"/>
      <c r="F28" s="333"/>
      <c r="G28" s="333"/>
      <c r="H28" s="333"/>
      <c r="I28" s="334"/>
      <c r="J28" s="301" t="str">
        <f ca="1">IF(AND('Mapa final'!$J$64="Media",'Mapa final'!$N$64="Leve"),CONCATENATE("R",'Mapa final'!$A$64),"")</f>
        <v/>
      </c>
      <c r="K28" s="302"/>
      <c r="L28" s="302" t="str">
        <f>IF(AND('Mapa final'!$J$70="Media",'Mapa final'!$N$70="Leve"),CONCATENATE("R",'Mapa final'!$A$70),"")</f>
        <v/>
      </c>
      <c r="M28" s="302"/>
      <c r="N28" s="302" t="str">
        <f>IF(AND('Mapa final'!$J$76="Media",'Mapa final'!$N$76="Leve"),CONCATENATE("R",'Mapa final'!$A$76),"")</f>
        <v/>
      </c>
      <c r="O28" s="303"/>
      <c r="P28" s="301" t="str">
        <f ca="1">IF(AND('Mapa final'!$J$64="Media",'Mapa final'!$N$64="Menor"),CONCATENATE("R",'Mapa final'!$A$64),"")</f>
        <v/>
      </c>
      <c r="Q28" s="302"/>
      <c r="R28" s="302" t="str">
        <f>IF(AND('Mapa final'!$J$70="Media",'Mapa final'!$N$70="Menor"),CONCATENATE("R",'Mapa final'!$A$70),"")</f>
        <v/>
      </c>
      <c r="S28" s="302"/>
      <c r="T28" s="302" t="str">
        <f>IF(AND('Mapa final'!$J$76="Media",'Mapa final'!$N$76="Menor"),CONCATENATE("R",'Mapa final'!$A$76),"")</f>
        <v/>
      </c>
      <c r="U28" s="303"/>
      <c r="V28" s="301" t="str">
        <f ca="1">IF(AND('Mapa final'!$J$64="Media",'Mapa final'!$N$64="Moderado"),CONCATENATE("R",'Mapa final'!$A$64),"")</f>
        <v/>
      </c>
      <c r="W28" s="302"/>
      <c r="X28" s="302" t="str">
        <f>IF(AND('Mapa final'!$J$70="Media",'Mapa final'!$N$70="Moderado"),CONCATENATE("R",'Mapa final'!$A$70),"")</f>
        <v/>
      </c>
      <c r="Y28" s="302"/>
      <c r="Z28" s="302" t="str">
        <f>IF(AND('Mapa final'!$J$76="Media",'Mapa final'!$N$76="Moderado"),CONCATENATE("R",'Mapa final'!$A$76),"")</f>
        <v/>
      </c>
      <c r="AA28" s="303"/>
      <c r="AB28" s="319" t="str">
        <f ca="1">IF(AND('Mapa final'!$J$64="Media",'Mapa final'!$N$64="Mayor"),CONCATENATE("R",'Mapa final'!$A$64),"")</f>
        <v/>
      </c>
      <c r="AC28" s="320"/>
      <c r="AD28" s="320" t="str">
        <f>IF(AND('Mapa final'!$J$70="Media",'Mapa final'!$N$70="Mayor"),CONCATENATE("R",'Mapa final'!$A$70),"")</f>
        <v/>
      </c>
      <c r="AE28" s="320"/>
      <c r="AF28" s="320" t="str">
        <f>IF(AND('Mapa final'!$J$76="Media",'Mapa final'!$N$76="Mayor"),CONCATENATE("R",'Mapa final'!$A$76),"")</f>
        <v/>
      </c>
      <c r="AG28" s="321"/>
      <c r="AH28" s="310" t="str">
        <f ca="1">IF(AND('Mapa final'!$J$64="Media",'Mapa final'!$N$64="Catastrófico"),CONCATENATE("R",'Mapa final'!$A$64),"")</f>
        <v/>
      </c>
      <c r="AI28" s="311"/>
      <c r="AJ28" s="311" t="str">
        <f>IF(AND('Mapa final'!$J$70="Media",'Mapa final'!$N$70="Catastrófico"),CONCATENATE("R",'Mapa final'!$A$70),"")</f>
        <v/>
      </c>
      <c r="AK28" s="311"/>
      <c r="AL28" s="311" t="str">
        <f>IF(AND('Mapa final'!$J$76="Media",'Mapa final'!$N$76="Catastrófico"),CONCATENATE("R",'Mapa final'!$A$76),"")</f>
        <v/>
      </c>
      <c r="AM28" s="312"/>
      <c r="AN28" s="67"/>
      <c r="AO28" s="362"/>
      <c r="AP28" s="363"/>
      <c r="AQ28" s="363"/>
      <c r="AR28" s="363"/>
      <c r="AS28" s="363"/>
      <c r="AT28" s="364"/>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339"/>
      <c r="C29" s="339"/>
      <c r="D29" s="340"/>
      <c r="E29" s="335"/>
      <c r="F29" s="336"/>
      <c r="G29" s="336"/>
      <c r="H29" s="336"/>
      <c r="I29" s="337"/>
      <c r="J29" s="301"/>
      <c r="K29" s="302"/>
      <c r="L29" s="302"/>
      <c r="M29" s="302"/>
      <c r="N29" s="302"/>
      <c r="O29" s="303"/>
      <c r="P29" s="304"/>
      <c r="Q29" s="305"/>
      <c r="R29" s="305"/>
      <c r="S29" s="305"/>
      <c r="T29" s="305"/>
      <c r="U29" s="306"/>
      <c r="V29" s="304"/>
      <c r="W29" s="305"/>
      <c r="X29" s="305"/>
      <c r="Y29" s="305"/>
      <c r="Z29" s="305"/>
      <c r="AA29" s="306"/>
      <c r="AB29" s="322"/>
      <c r="AC29" s="323"/>
      <c r="AD29" s="323"/>
      <c r="AE29" s="323"/>
      <c r="AF29" s="323"/>
      <c r="AG29" s="324"/>
      <c r="AH29" s="313"/>
      <c r="AI29" s="314"/>
      <c r="AJ29" s="314"/>
      <c r="AK29" s="314"/>
      <c r="AL29" s="314"/>
      <c r="AM29" s="315"/>
      <c r="AN29" s="67"/>
      <c r="AO29" s="365"/>
      <c r="AP29" s="366"/>
      <c r="AQ29" s="366"/>
      <c r="AR29" s="366"/>
      <c r="AS29" s="366"/>
      <c r="AT29" s="3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339"/>
      <c r="C30" s="339"/>
      <c r="D30" s="340"/>
      <c r="E30" s="329" t="s">
        <v>109</v>
      </c>
      <c r="F30" s="330"/>
      <c r="G30" s="330"/>
      <c r="H30" s="330"/>
      <c r="I30" s="330"/>
      <c r="J30" s="298" t="str">
        <f ca="1">IF(AND('Mapa final'!$J$10="Baja",'Mapa final'!$N$10="Leve"),CONCATENATE("R",'Mapa final'!$A$10),"")</f>
        <v/>
      </c>
      <c r="K30" s="299"/>
      <c r="L30" s="299" t="str">
        <f ca="1">IF(AND('Mapa final'!$J$16="Baja",'Mapa final'!$N$16="Leve"),CONCATENATE("R",'Mapa final'!$A$16),"")</f>
        <v/>
      </c>
      <c r="M30" s="299"/>
      <c r="N30" s="299" t="str">
        <f ca="1">IF(AND('Mapa final'!$J$22="Baja",'Mapa final'!$N$22="Leve"),CONCATENATE("R",'Mapa final'!$A$22),"")</f>
        <v/>
      </c>
      <c r="O30" s="300"/>
      <c r="P30" s="308" t="str">
        <f ca="1">IF(AND('Mapa final'!$J$10="Baja",'Mapa final'!$N$10="Menor"),CONCATENATE("R",'Mapa final'!$A$10),"")</f>
        <v/>
      </c>
      <c r="Q30" s="308"/>
      <c r="R30" s="308" t="str">
        <f ca="1">IF(AND('Mapa final'!$J$16="Baja",'Mapa final'!$N$16="Menor"),CONCATENATE("R",'Mapa final'!$A$16),"")</f>
        <v/>
      </c>
      <c r="S30" s="308"/>
      <c r="T30" s="308" t="str">
        <f ca="1">IF(AND('Mapa final'!$J$22="Baja",'Mapa final'!$N$22="Menor"),CONCATENATE("R",'Mapa final'!$A$22),"")</f>
        <v/>
      </c>
      <c r="U30" s="309"/>
      <c r="V30" s="307" t="str">
        <f ca="1">IF(AND('Mapa final'!$J$10="Baja",'Mapa final'!$N$10="Moderado"),CONCATENATE("R",'Mapa final'!$A$10),"")</f>
        <v>R1</v>
      </c>
      <c r="W30" s="308"/>
      <c r="X30" s="308" t="str">
        <f ca="1">IF(AND('Mapa final'!$J$16="Baja",'Mapa final'!$N$16="Moderado"),CONCATENATE("R",'Mapa final'!$A$16),"")</f>
        <v>R2</v>
      </c>
      <c r="Y30" s="308"/>
      <c r="Z30" s="308" t="str">
        <f ca="1">IF(AND('Mapa final'!$J$22="Baja",'Mapa final'!$N$22="Moderado"),CONCATENATE("R",'Mapa final'!$A$22),"")</f>
        <v/>
      </c>
      <c r="AA30" s="309"/>
      <c r="AB30" s="325" t="str">
        <f ca="1">IF(AND('Mapa final'!$J$10="Baja",'Mapa final'!$N$10="Mayor"),CONCATENATE("R",'Mapa final'!$A$10),"")</f>
        <v/>
      </c>
      <c r="AC30" s="326"/>
      <c r="AD30" s="326" t="str">
        <f ca="1">IF(AND('Mapa final'!$J$16="Baja",'Mapa final'!$N$16="Mayor"),CONCATENATE("R",'Mapa final'!$A$16),"")</f>
        <v/>
      </c>
      <c r="AE30" s="326"/>
      <c r="AF30" s="326" t="str">
        <f ca="1">IF(AND('Mapa final'!$J$22="Baja",'Mapa final'!$N$22="Mayor"),CONCATENATE("R",'Mapa final'!$A$22),"")</f>
        <v/>
      </c>
      <c r="AG30" s="327"/>
      <c r="AH30" s="316" t="str">
        <f ca="1">IF(AND('Mapa final'!$J$10="Baja",'Mapa final'!$N$10="Catastrófico"),CONCATENATE("R",'Mapa final'!$A$10),"")</f>
        <v/>
      </c>
      <c r="AI30" s="317"/>
      <c r="AJ30" s="317" t="str">
        <f ca="1">IF(AND('Mapa final'!$J$16="Baja",'Mapa final'!$N$16="Catastrófico"),CONCATENATE("R",'Mapa final'!$A$16),"")</f>
        <v/>
      </c>
      <c r="AK30" s="317"/>
      <c r="AL30" s="317" t="str">
        <f ca="1">IF(AND('Mapa final'!$J$22="Baja",'Mapa final'!$N$22="Catastrófico"),CONCATENATE("R",'Mapa final'!$A$22),"")</f>
        <v/>
      </c>
      <c r="AM30" s="318"/>
      <c r="AN30" s="67"/>
      <c r="AO30" s="368" t="s">
        <v>81</v>
      </c>
      <c r="AP30" s="369"/>
      <c r="AQ30" s="369"/>
      <c r="AR30" s="369"/>
      <c r="AS30" s="369"/>
      <c r="AT30" s="37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339"/>
      <c r="C31" s="339"/>
      <c r="D31" s="340"/>
      <c r="E31" s="332"/>
      <c r="F31" s="333"/>
      <c r="G31" s="333"/>
      <c r="H31" s="333"/>
      <c r="I31" s="333"/>
      <c r="J31" s="292"/>
      <c r="K31" s="293"/>
      <c r="L31" s="293"/>
      <c r="M31" s="293"/>
      <c r="N31" s="293"/>
      <c r="O31" s="294"/>
      <c r="P31" s="302"/>
      <c r="Q31" s="302"/>
      <c r="R31" s="302"/>
      <c r="S31" s="302"/>
      <c r="T31" s="302"/>
      <c r="U31" s="303"/>
      <c r="V31" s="301"/>
      <c r="W31" s="302"/>
      <c r="X31" s="302"/>
      <c r="Y31" s="302"/>
      <c r="Z31" s="302"/>
      <c r="AA31" s="303"/>
      <c r="AB31" s="319"/>
      <c r="AC31" s="320"/>
      <c r="AD31" s="320"/>
      <c r="AE31" s="320"/>
      <c r="AF31" s="320"/>
      <c r="AG31" s="321"/>
      <c r="AH31" s="310"/>
      <c r="AI31" s="311"/>
      <c r="AJ31" s="311"/>
      <c r="AK31" s="311"/>
      <c r="AL31" s="311"/>
      <c r="AM31" s="312"/>
      <c r="AN31" s="67"/>
      <c r="AO31" s="371"/>
      <c r="AP31" s="372"/>
      <c r="AQ31" s="372"/>
      <c r="AR31" s="372"/>
      <c r="AS31" s="372"/>
      <c r="AT31" s="37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339"/>
      <c r="C32" s="339"/>
      <c r="D32" s="340"/>
      <c r="E32" s="332"/>
      <c r="F32" s="333"/>
      <c r="G32" s="333"/>
      <c r="H32" s="333"/>
      <c r="I32" s="333"/>
      <c r="J32" s="292" t="str">
        <f ca="1">IF(AND('Mapa final'!$J$28="Baja",'Mapa final'!$N$28="Leve"),CONCATENATE("R",'Mapa final'!$A$28),"")</f>
        <v/>
      </c>
      <c r="K32" s="293"/>
      <c r="L32" s="293" t="str">
        <f ca="1">IF(AND('Mapa final'!$J$34="Baja",'Mapa final'!$N$34="Leve"),CONCATENATE("R",'Mapa final'!$A$34),"")</f>
        <v/>
      </c>
      <c r="M32" s="293"/>
      <c r="N32" s="293" t="str">
        <f ca="1">IF(AND('Mapa final'!$J$40="Baja",'Mapa final'!$N$40="Leve"),CONCATENATE("R",'Mapa final'!$A$40),"")</f>
        <v/>
      </c>
      <c r="O32" s="294"/>
      <c r="P32" s="302" t="str">
        <f ca="1">IF(AND('Mapa final'!$J$28="Baja",'Mapa final'!$N$28="Menor"),CONCATENATE("R",'Mapa final'!$A$28),"")</f>
        <v/>
      </c>
      <c r="Q32" s="302"/>
      <c r="R32" s="302" t="str">
        <f ca="1">IF(AND('Mapa final'!$J$34="Baja",'Mapa final'!$N$34="Menor"),CONCATENATE("R",'Mapa final'!$A$34),"")</f>
        <v/>
      </c>
      <c r="S32" s="302"/>
      <c r="T32" s="302" t="str">
        <f ca="1">IF(AND('Mapa final'!$J$40="Baja",'Mapa final'!$N$40="Menor"),CONCATENATE("R",'Mapa final'!$A$40),"")</f>
        <v/>
      </c>
      <c r="U32" s="303"/>
      <c r="V32" s="301" t="str">
        <f ca="1">IF(AND('Mapa final'!$J$28="Baja",'Mapa final'!$N$28="Moderado"),CONCATENATE("R",'Mapa final'!$A$28),"")</f>
        <v/>
      </c>
      <c r="W32" s="302"/>
      <c r="X32" s="302" t="str">
        <f ca="1">IF(AND('Mapa final'!$J$34="Baja",'Mapa final'!$N$34="Moderado"),CONCATENATE("R",'Mapa final'!$A$34),"")</f>
        <v/>
      </c>
      <c r="Y32" s="302"/>
      <c r="Z32" s="302" t="str">
        <f ca="1">IF(AND('Mapa final'!$J$40="Baja",'Mapa final'!$N$40="Moderado"),CONCATENATE("R",'Mapa final'!$A$40),"")</f>
        <v/>
      </c>
      <c r="AA32" s="303"/>
      <c r="AB32" s="319" t="str">
        <f ca="1">IF(AND('Mapa final'!$J$28="Baja",'Mapa final'!$N$28="Mayor"),CONCATENATE("R",'Mapa final'!$A$28),"")</f>
        <v/>
      </c>
      <c r="AC32" s="320"/>
      <c r="AD32" s="320" t="str">
        <f ca="1">IF(AND('Mapa final'!$J$34="Baja",'Mapa final'!$N$34="Mayor"),CONCATENATE("R",'Mapa final'!$A$34),"")</f>
        <v/>
      </c>
      <c r="AE32" s="320"/>
      <c r="AF32" s="320" t="str">
        <f ca="1">IF(AND('Mapa final'!$J$40="Baja",'Mapa final'!$N$40="Mayor"),CONCATENATE("R",'Mapa final'!$A$40),"")</f>
        <v/>
      </c>
      <c r="AG32" s="321"/>
      <c r="AH32" s="310" t="str">
        <f ca="1">IF(AND('Mapa final'!$J$28="Baja",'Mapa final'!$N$28="Catastrófico"),CONCATENATE("R",'Mapa final'!$A$28),"")</f>
        <v/>
      </c>
      <c r="AI32" s="311"/>
      <c r="AJ32" s="311" t="str">
        <f ca="1">IF(AND('Mapa final'!$J$34="Baja",'Mapa final'!$N$34="Catastrófico"),CONCATENATE("R",'Mapa final'!$A$34),"")</f>
        <v/>
      </c>
      <c r="AK32" s="311"/>
      <c r="AL32" s="311" t="str">
        <f ca="1">IF(AND('Mapa final'!$J$40="Baja",'Mapa final'!$N$40="Catastrófico"),CONCATENATE("R",'Mapa final'!$A$40),"")</f>
        <v/>
      </c>
      <c r="AM32" s="312"/>
      <c r="AN32" s="67"/>
      <c r="AO32" s="371"/>
      <c r="AP32" s="372"/>
      <c r="AQ32" s="372"/>
      <c r="AR32" s="372"/>
      <c r="AS32" s="372"/>
      <c r="AT32" s="37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339"/>
      <c r="C33" s="339"/>
      <c r="D33" s="340"/>
      <c r="E33" s="332"/>
      <c r="F33" s="333"/>
      <c r="G33" s="333"/>
      <c r="H33" s="333"/>
      <c r="I33" s="333"/>
      <c r="J33" s="292"/>
      <c r="K33" s="293"/>
      <c r="L33" s="293"/>
      <c r="M33" s="293"/>
      <c r="N33" s="293"/>
      <c r="O33" s="294"/>
      <c r="P33" s="302"/>
      <c r="Q33" s="302"/>
      <c r="R33" s="302"/>
      <c r="S33" s="302"/>
      <c r="T33" s="302"/>
      <c r="U33" s="303"/>
      <c r="V33" s="301"/>
      <c r="W33" s="302"/>
      <c r="X33" s="302"/>
      <c r="Y33" s="302"/>
      <c r="Z33" s="302"/>
      <c r="AA33" s="303"/>
      <c r="AB33" s="319"/>
      <c r="AC33" s="320"/>
      <c r="AD33" s="320"/>
      <c r="AE33" s="320"/>
      <c r="AF33" s="320"/>
      <c r="AG33" s="321"/>
      <c r="AH33" s="310"/>
      <c r="AI33" s="311"/>
      <c r="AJ33" s="311"/>
      <c r="AK33" s="311"/>
      <c r="AL33" s="311"/>
      <c r="AM33" s="312"/>
      <c r="AN33" s="67"/>
      <c r="AO33" s="371"/>
      <c r="AP33" s="372"/>
      <c r="AQ33" s="372"/>
      <c r="AR33" s="372"/>
      <c r="AS33" s="372"/>
      <c r="AT33" s="37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339"/>
      <c r="C34" s="339"/>
      <c r="D34" s="340"/>
      <c r="E34" s="332"/>
      <c r="F34" s="333"/>
      <c r="G34" s="333"/>
      <c r="H34" s="333"/>
      <c r="I34" s="333"/>
      <c r="J34" s="292" t="str">
        <f ca="1">IF(AND('Mapa final'!$J$46="Baja",'Mapa final'!$N$46="Leve"),CONCATENATE("R",'Mapa final'!$A$46),"")</f>
        <v/>
      </c>
      <c r="K34" s="293"/>
      <c r="L34" s="293" t="str">
        <f ca="1">IF(AND('Mapa final'!$J$52="Baja",'Mapa final'!$N$52="Leve"),CONCATENATE("R",'Mapa final'!$A$52),"")</f>
        <v/>
      </c>
      <c r="M34" s="293"/>
      <c r="N34" s="293" t="str">
        <f ca="1">IF(AND('Mapa final'!$J$58="Baja",'Mapa final'!$N$58="Leve"),CONCATENATE("R",'Mapa final'!$A$58),"")</f>
        <v/>
      </c>
      <c r="O34" s="294"/>
      <c r="P34" s="302" t="str">
        <f ca="1">IF(AND('Mapa final'!$J$46="Baja",'Mapa final'!$N$46="Menor"),CONCATENATE("R",'Mapa final'!$A$46),"")</f>
        <v/>
      </c>
      <c r="Q34" s="302"/>
      <c r="R34" s="302" t="str">
        <f ca="1">IF(AND('Mapa final'!$J$52="Baja",'Mapa final'!$N$52="Menor"),CONCATENATE("R",'Mapa final'!$A$52),"")</f>
        <v/>
      </c>
      <c r="S34" s="302"/>
      <c r="T34" s="302" t="str">
        <f ca="1">IF(AND('Mapa final'!$J$58="Baja",'Mapa final'!$N$58="Menor"),CONCATENATE("R",'Mapa final'!$A$58),"")</f>
        <v/>
      </c>
      <c r="U34" s="303"/>
      <c r="V34" s="301" t="str">
        <f ca="1">IF(AND('Mapa final'!$J$46="Baja",'Mapa final'!$N$46="Moderado"),CONCATENATE("R",'Mapa final'!$A$46),"")</f>
        <v/>
      </c>
      <c r="W34" s="302"/>
      <c r="X34" s="302" t="str">
        <f ca="1">IF(AND('Mapa final'!$J$52="Baja",'Mapa final'!$N$52="Moderado"),CONCATENATE("R",'Mapa final'!$A$52),"")</f>
        <v/>
      </c>
      <c r="Y34" s="302"/>
      <c r="Z34" s="302" t="str">
        <f ca="1">IF(AND('Mapa final'!$J$58="Baja",'Mapa final'!$N$58="Moderado"),CONCATENATE("R",'Mapa final'!$A$58),"")</f>
        <v/>
      </c>
      <c r="AA34" s="303"/>
      <c r="AB34" s="319" t="str">
        <f ca="1">IF(AND('Mapa final'!$J$46="Baja",'Mapa final'!$N$46="Mayor"),CONCATENATE("R",'Mapa final'!$A$46),"")</f>
        <v/>
      </c>
      <c r="AC34" s="320"/>
      <c r="AD34" s="320" t="str">
        <f ca="1">IF(AND('Mapa final'!$J$52="Baja",'Mapa final'!$N$52="Mayor"),CONCATENATE("R",'Mapa final'!$A$52),"")</f>
        <v/>
      </c>
      <c r="AE34" s="320"/>
      <c r="AF34" s="320" t="str">
        <f ca="1">IF(AND('Mapa final'!$J$58="Baja",'Mapa final'!$N$58="Mayor"),CONCATENATE("R",'Mapa final'!$A$58),"")</f>
        <v/>
      </c>
      <c r="AG34" s="321"/>
      <c r="AH34" s="310" t="str">
        <f ca="1">IF(AND('Mapa final'!$J$46="Baja",'Mapa final'!$N$46="Catastrófico"),CONCATENATE("R",'Mapa final'!$A$46),"")</f>
        <v/>
      </c>
      <c r="AI34" s="311"/>
      <c r="AJ34" s="311" t="str">
        <f ca="1">IF(AND('Mapa final'!$J$52="Baja",'Mapa final'!$N$52="Catastrófico"),CONCATENATE("R",'Mapa final'!$A$52),"")</f>
        <v/>
      </c>
      <c r="AK34" s="311"/>
      <c r="AL34" s="311" t="str">
        <f ca="1">IF(AND('Mapa final'!$J$58="Baja",'Mapa final'!$N$58="Catastrófico"),CONCATENATE("R",'Mapa final'!$A$58),"")</f>
        <v/>
      </c>
      <c r="AM34" s="312"/>
      <c r="AN34" s="67"/>
      <c r="AO34" s="371"/>
      <c r="AP34" s="372"/>
      <c r="AQ34" s="372"/>
      <c r="AR34" s="372"/>
      <c r="AS34" s="372"/>
      <c r="AT34" s="37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339"/>
      <c r="C35" s="339"/>
      <c r="D35" s="340"/>
      <c r="E35" s="332"/>
      <c r="F35" s="333"/>
      <c r="G35" s="333"/>
      <c r="H35" s="333"/>
      <c r="I35" s="333"/>
      <c r="J35" s="292"/>
      <c r="K35" s="293"/>
      <c r="L35" s="293"/>
      <c r="M35" s="293"/>
      <c r="N35" s="293"/>
      <c r="O35" s="294"/>
      <c r="P35" s="302"/>
      <c r="Q35" s="302"/>
      <c r="R35" s="302"/>
      <c r="S35" s="302"/>
      <c r="T35" s="302"/>
      <c r="U35" s="303"/>
      <c r="V35" s="301"/>
      <c r="W35" s="302"/>
      <c r="X35" s="302"/>
      <c r="Y35" s="302"/>
      <c r="Z35" s="302"/>
      <c r="AA35" s="303"/>
      <c r="AB35" s="319"/>
      <c r="AC35" s="320"/>
      <c r="AD35" s="320"/>
      <c r="AE35" s="320"/>
      <c r="AF35" s="320"/>
      <c r="AG35" s="321"/>
      <c r="AH35" s="310"/>
      <c r="AI35" s="311"/>
      <c r="AJ35" s="311"/>
      <c r="AK35" s="311"/>
      <c r="AL35" s="311"/>
      <c r="AM35" s="312"/>
      <c r="AN35" s="67"/>
      <c r="AO35" s="371"/>
      <c r="AP35" s="372"/>
      <c r="AQ35" s="372"/>
      <c r="AR35" s="372"/>
      <c r="AS35" s="372"/>
      <c r="AT35" s="37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339"/>
      <c r="C36" s="339"/>
      <c r="D36" s="340"/>
      <c r="E36" s="332"/>
      <c r="F36" s="333"/>
      <c r="G36" s="333"/>
      <c r="H36" s="333"/>
      <c r="I36" s="333"/>
      <c r="J36" s="292" t="str">
        <f ca="1">IF(AND('Mapa final'!$J$64="Baja",'Mapa final'!$N$64="Leve"),CONCATENATE("R",'Mapa final'!$A$64),"")</f>
        <v/>
      </c>
      <c r="K36" s="293"/>
      <c r="L36" s="293" t="str">
        <f>IF(AND('Mapa final'!$J$70="Baja",'Mapa final'!$N$70="Leve"),CONCATENATE("R",'Mapa final'!$A$70),"")</f>
        <v/>
      </c>
      <c r="M36" s="293"/>
      <c r="N36" s="293" t="str">
        <f>IF(AND('Mapa final'!$J$76="Baja",'Mapa final'!$N$76="Leve"),CONCATENATE("R",'Mapa final'!$A$76),"")</f>
        <v/>
      </c>
      <c r="O36" s="294"/>
      <c r="P36" s="302" t="str">
        <f ca="1">IF(AND('Mapa final'!$J$64="Baja",'Mapa final'!$N$64="Menor"),CONCATENATE("R",'Mapa final'!$A$64),"")</f>
        <v/>
      </c>
      <c r="Q36" s="302"/>
      <c r="R36" s="302" t="str">
        <f>IF(AND('Mapa final'!$J$70="Baja",'Mapa final'!$N$70="Menor"),CONCATENATE("R",'Mapa final'!$A$70),"")</f>
        <v/>
      </c>
      <c r="S36" s="302"/>
      <c r="T36" s="302" t="str">
        <f>IF(AND('Mapa final'!$J$76="Baja",'Mapa final'!$N$76="Menor"),CONCATENATE("R",'Mapa final'!$A$76),"")</f>
        <v/>
      </c>
      <c r="U36" s="303"/>
      <c r="V36" s="301" t="str">
        <f ca="1">IF(AND('Mapa final'!$J$64="Baja",'Mapa final'!$N$64="Moderado"),CONCATENATE("R",'Mapa final'!$A$64),"")</f>
        <v/>
      </c>
      <c r="W36" s="302"/>
      <c r="X36" s="302" t="str">
        <f>IF(AND('Mapa final'!$J$70="Baja",'Mapa final'!$N$70="Moderado"),CONCATENATE("R",'Mapa final'!$A$70),"")</f>
        <v/>
      </c>
      <c r="Y36" s="302"/>
      <c r="Z36" s="302" t="str">
        <f>IF(AND('Mapa final'!$J$76="Baja",'Mapa final'!$N$76="Moderado"),CONCATENATE("R",'Mapa final'!$A$76),"")</f>
        <v/>
      </c>
      <c r="AA36" s="303"/>
      <c r="AB36" s="319" t="str">
        <f ca="1">IF(AND('Mapa final'!$J$64="Baja",'Mapa final'!$N$64="Mayor"),CONCATENATE("R",'Mapa final'!$A$64),"")</f>
        <v/>
      </c>
      <c r="AC36" s="320"/>
      <c r="AD36" s="320" t="str">
        <f>IF(AND('Mapa final'!$J$70="Baja",'Mapa final'!$N$70="Mayor"),CONCATENATE("R",'Mapa final'!$A$70),"")</f>
        <v/>
      </c>
      <c r="AE36" s="320"/>
      <c r="AF36" s="320" t="str">
        <f>IF(AND('Mapa final'!$J$76="Baja",'Mapa final'!$N$76="Mayor"),CONCATENATE("R",'Mapa final'!$A$76),"")</f>
        <v/>
      </c>
      <c r="AG36" s="321"/>
      <c r="AH36" s="310" t="str">
        <f ca="1">IF(AND('Mapa final'!$J$64="Baja",'Mapa final'!$N$64="Catastrófico"),CONCATENATE("R",'Mapa final'!$A$64),"")</f>
        <v/>
      </c>
      <c r="AI36" s="311"/>
      <c r="AJ36" s="311" t="str">
        <f>IF(AND('Mapa final'!$J$70="Baja",'Mapa final'!$N$70="Catastrófico"),CONCATENATE("R",'Mapa final'!$A$70),"")</f>
        <v/>
      </c>
      <c r="AK36" s="311"/>
      <c r="AL36" s="311" t="str">
        <f>IF(AND('Mapa final'!$J$76="Baja",'Mapa final'!$N$76="Catastrófico"),CONCATENATE("R",'Mapa final'!$A$76),"")</f>
        <v/>
      </c>
      <c r="AM36" s="312"/>
      <c r="AN36" s="67"/>
      <c r="AO36" s="371"/>
      <c r="AP36" s="372"/>
      <c r="AQ36" s="372"/>
      <c r="AR36" s="372"/>
      <c r="AS36" s="372"/>
      <c r="AT36" s="37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339"/>
      <c r="C37" s="339"/>
      <c r="D37" s="340"/>
      <c r="E37" s="335"/>
      <c r="F37" s="336"/>
      <c r="G37" s="336"/>
      <c r="H37" s="336"/>
      <c r="I37" s="336"/>
      <c r="J37" s="295"/>
      <c r="K37" s="296"/>
      <c r="L37" s="296"/>
      <c r="M37" s="296"/>
      <c r="N37" s="296"/>
      <c r="O37" s="297"/>
      <c r="P37" s="305"/>
      <c r="Q37" s="305"/>
      <c r="R37" s="305"/>
      <c r="S37" s="305"/>
      <c r="T37" s="305"/>
      <c r="U37" s="306"/>
      <c r="V37" s="304"/>
      <c r="W37" s="305"/>
      <c r="X37" s="305"/>
      <c r="Y37" s="305"/>
      <c r="Z37" s="305"/>
      <c r="AA37" s="306"/>
      <c r="AB37" s="322"/>
      <c r="AC37" s="323"/>
      <c r="AD37" s="323"/>
      <c r="AE37" s="323"/>
      <c r="AF37" s="323"/>
      <c r="AG37" s="324"/>
      <c r="AH37" s="313"/>
      <c r="AI37" s="314"/>
      <c r="AJ37" s="314"/>
      <c r="AK37" s="314"/>
      <c r="AL37" s="314"/>
      <c r="AM37" s="315"/>
      <c r="AN37" s="67"/>
      <c r="AO37" s="374"/>
      <c r="AP37" s="375"/>
      <c r="AQ37" s="375"/>
      <c r="AR37" s="375"/>
      <c r="AS37" s="375"/>
      <c r="AT37" s="37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339"/>
      <c r="C38" s="339"/>
      <c r="D38" s="340"/>
      <c r="E38" s="329" t="s">
        <v>108</v>
      </c>
      <c r="F38" s="330"/>
      <c r="G38" s="330"/>
      <c r="H38" s="330"/>
      <c r="I38" s="331"/>
      <c r="J38" s="298" t="str">
        <f ca="1">IF(AND('Mapa final'!$J$10="Muy Baja",'Mapa final'!$N$10="Leve"),CONCATENATE("R",'Mapa final'!$A$10),"")</f>
        <v/>
      </c>
      <c r="K38" s="299"/>
      <c r="L38" s="299" t="str">
        <f ca="1">IF(AND('Mapa final'!$J$16="Muy Baja",'Mapa final'!$N$16="Leve"),CONCATENATE("R",'Mapa final'!$A$16),"")</f>
        <v/>
      </c>
      <c r="M38" s="299"/>
      <c r="N38" s="299" t="str">
        <f ca="1">IF(AND('Mapa final'!$J$22="Muy Baja",'Mapa final'!$N$22="Leve"),CONCATENATE("R",'Mapa final'!$A$22),"")</f>
        <v/>
      </c>
      <c r="O38" s="300"/>
      <c r="P38" s="298" t="str">
        <f ca="1">IF(AND('Mapa final'!$J$10="Muy Baja",'Mapa final'!$N$10="Menor"),CONCATENATE("R",'Mapa final'!$A$10),"")</f>
        <v/>
      </c>
      <c r="Q38" s="299"/>
      <c r="R38" s="299" t="str">
        <f ca="1">IF(AND('Mapa final'!$J$16="Muy Baja",'Mapa final'!$N$16="Menor"),CONCATENATE("R",'Mapa final'!$A$16),"")</f>
        <v/>
      </c>
      <c r="S38" s="299"/>
      <c r="T38" s="299" t="str">
        <f ca="1">IF(AND('Mapa final'!$J$22="Muy Baja",'Mapa final'!$N$22="Menor"),CONCATENATE("R",'Mapa final'!$A$22),"")</f>
        <v/>
      </c>
      <c r="U38" s="300"/>
      <c r="V38" s="307" t="str">
        <f ca="1">IF(AND('Mapa final'!$J$10="Muy Baja",'Mapa final'!$N$10="Moderado"),CONCATENATE("R",'Mapa final'!$A$10),"")</f>
        <v/>
      </c>
      <c r="W38" s="308"/>
      <c r="X38" s="308" t="str">
        <f ca="1">IF(AND('Mapa final'!$J$16="Muy Baja",'Mapa final'!$N$16="Moderado"),CONCATENATE("R",'Mapa final'!$A$16),"")</f>
        <v/>
      </c>
      <c r="Y38" s="308"/>
      <c r="Z38" s="308" t="str">
        <f ca="1">IF(AND('Mapa final'!$J$22="Muy Baja",'Mapa final'!$N$22="Moderado"),CONCATENATE("R",'Mapa final'!$A$22),"")</f>
        <v/>
      </c>
      <c r="AA38" s="309"/>
      <c r="AB38" s="325" t="str">
        <f ca="1">IF(AND('Mapa final'!$J$10="Muy Baja",'Mapa final'!$N$10="Mayor"),CONCATENATE("R",'Mapa final'!$A$10),"")</f>
        <v/>
      </c>
      <c r="AC38" s="326"/>
      <c r="AD38" s="326" t="str">
        <f ca="1">IF(AND('Mapa final'!$J$16="Muy Baja",'Mapa final'!$N$16="Mayor"),CONCATENATE("R",'Mapa final'!$A$16),"")</f>
        <v/>
      </c>
      <c r="AE38" s="326"/>
      <c r="AF38" s="326" t="str">
        <f ca="1">IF(AND('Mapa final'!$J$22="Muy Baja",'Mapa final'!$N$22="Mayor"),CONCATENATE("R",'Mapa final'!$A$22),"")</f>
        <v/>
      </c>
      <c r="AG38" s="327"/>
      <c r="AH38" s="316" t="str">
        <f ca="1">IF(AND('Mapa final'!$J$10="Muy Baja",'Mapa final'!$N$10="Catastrófico"),CONCATENATE("R",'Mapa final'!$A$10),"")</f>
        <v/>
      </c>
      <c r="AI38" s="317"/>
      <c r="AJ38" s="317" t="str">
        <f ca="1">IF(AND('Mapa final'!$J$16="Muy Baja",'Mapa final'!$N$16="Catastrófico"),CONCATENATE("R",'Mapa final'!$A$16),"")</f>
        <v/>
      </c>
      <c r="AK38" s="317"/>
      <c r="AL38" s="317" t="str">
        <f ca="1">IF(AND('Mapa final'!$J$22="Muy Baja",'Mapa final'!$N$22="Catastrófico"),CONCATENATE("R",'Mapa final'!$A$22),"")</f>
        <v/>
      </c>
      <c r="AM38" s="318"/>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339"/>
      <c r="C39" s="339"/>
      <c r="D39" s="340"/>
      <c r="E39" s="332"/>
      <c r="F39" s="333"/>
      <c r="G39" s="333"/>
      <c r="H39" s="333"/>
      <c r="I39" s="334"/>
      <c r="J39" s="292"/>
      <c r="K39" s="293"/>
      <c r="L39" s="293"/>
      <c r="M39" s="293"/>
      <c r="N39" s="293"/>
      <c r="O39" s="294"/>
      <c r="P39" s="292"/>
      <c r="Q39" s="293"/>
      <c r="R39" s="293"/>
      <c r="S39" s="293"/>
      <c r="T39" s="293"/>
      <c r="U39" s="294"/>
      <c r="V39" s="301"/>
      <c r="W39" s="302"/>
      <c r="X39" s="302"/>
      <c r="Y39" s="302"/>
      <c r="Z39" s="302"/>
      <c r="AA39" s="303"/>
      <c r="AB39" s="319"/>
      <c r="AC39" s="320"/>
      <c r="AD39" s="320"/>
      <c r="AE39" s="320"/>
      <c r="AF39" s="320"/>
      <c r="AG39" s="321"/>
      <c r="AH39" s="310"/>
      <c r="AI39" s="311"/>
      <c r="AJ39" s="311"/>
      <c r="AK39" s="311"/>
      <c r="AL39" s="311"/>
      <c r="AM39" s="312"/>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339"/>
      <c r="C40" s="339"/>
      <c r="D40" s="340"/>
      <c r="E40" s="332"/>
      <c r="F40" s="333"/>
      <c r="G40" s="333"/>
      <c r="H40" s="333"/>
      <c r="I40" s="334"/>
      <c r="J40" s="292" t="str">
        <f ca="1">IF(AND('Mapa final'!$J$28="Muy Baja",'Mapa final'!$N$28="Leve"),CONCATENATE("R",'Mapa final'!$A$28),"")</f>
        <v/>
      </c>
      <c r="K40" s="293"/>
      <c r="L40" s="293" t="str">
        <f ca="1">IF(AND('Mapa final'!$J$34="Muy Baja",'Mapa final'!$N$34="Leve"),CONCATENATE("R",'Mapa final'!$A$34),"")</f>
        <v/>
      </c>
      <c r="M40" s="293"/>
      <c r="N40" s="293" t="str">
        <f ca="1">IF(AND('Mapa final'!$J$40="Muy Baja",'Mapa final'!$N$40="Leve"),CONCATENATE("R",'Mapa final'!$A$40),"")</f>
        <v/>
      </c>
      <c r="O40" s="294"/>
      <c r="P40" s="292" t="str">
        <f ca="1">IF(AND('Mapa final'!$J$28="Muy Baja",'Mapa final'!$N$28="Menor"),CONCATENATE("R",'Mapa final'!$A$28),"")</f>
        <v/>
      </c>
      <c r="Q40" s="293"/>
      <c r="R40" s="293" t="str">
        <f ca="1">IF(AND('Mapa final'!$J$34="Muy Baja",'Mapa final'!$N$34="Menor"),CONCATENATE("R",'Mapa final'!$A$34),"")</f>
        <v/>
      </c>
      <c r="S40" s="293"/>
      <c r="T40" s="293" t="str">
        <f ca="1">IF(AND('Mapa final'!$J$40="Muy Baja",'Mapa final'!$N$40="Menor"),CONCATENATE("R",'Mapa final'!$A$40),"")</f>
        <v/>
      </c>
      <c r="U40" s="294"/>
      <c r="V40" s="301" t="str">
        <f ca="1">IF(AND('Mapa final'!$J$28="Muy Baja",'Mapa final'!$N$28="Moderado"),CONCATENATE("R",'Mapa final'!$A$28),"")</f>
        <v/>
      </c>
      <c r="W40" s="302"/>
      <c r="X40" s="302" t="str">
        <f ca="1">IF(AND('Mapa final'!$J$34="Muy Baja",'Mapa final'!$N$34="Moderado"),CONCATENATE("R",'Mapa final'!$A$34),"")</f>
        <v/>
      </c>
      <c r="Y40" s="302"/>
      <c r="Z40" s="302" t="str">
        <f ca="1">IF(AND('Mapa final'!$J$40="Muy Baja",'Mapa final'!$N$40="Moderado"),CONCATENATE("R",'Mapa final'!$A$40),"")</f>
        <v/>
      </c>
      <c r="AA40" s="303"/>
      <c r="AB40" s="319" t="str">
        <f ca="1">IF(AND('Mapa final'!$J$28="Muy Baja",'Mapa final'!$N$28="Mayor"),CONCATENATE("R",'Mapa final'!$A$28),"")</f>
        <v/>
      </c>
      <c r="AC40" s="320"/>
      <c r="AD40" s="320" t="str">
        <f ca="1">IF(AND('Mapa final'!$J$34="Muy Baja",'Mapa final'!$N$34="Mayor"),CONCATENATE("R",'Mapa final'!$A$34),"")</f>
        <v/>
      </c>
      <c r="AE40" s="320"/>
      <c r="AF40" s="320" t="str">
        <f ca="1">IF(AND('Mapa final'!$J$40="Muy Baja",'Mapa final'!$N$40="Mayor"),CONCATENATE("R",'Mapa final'!$A$40),"")</f>
        <v/>
      </c>
      <c r="AG40" s="321"/>
      <c r="AH40" s="310" t="str">
        <f ca="1">IF(AND('Mapa final'!$J$28="Muy Baja",'Mapa final'!$N$28="Catastrófico"),CONCATENATE("R",'Mapa final'!$A$28),"")</f>
        <v/>
      </c>
      <c r="AI40" s="311"/>
      <c r="AJ40" s="311" t="str">
        <f ca="1">IF(AND('Mapa final'!$J$34="Muy Baja",'Mapa final'!$N$34="Catastrófico"),CONCATENATE("R",'Mapa final'!$A$34),"")</f>
        <v/>
      </c>
      <c r="AK40" s="311"/>
      <c r="AL40" s="311" t="str">
        <f ca="1">IF(AND('Mapa final'!$J$40="Muy Baja",'Mapa final'!$N$40="Catastrófico"),CONCATENATE("R",'Mapa final'!$A$40),"")</f>
        <v/>
      </c>
      <c r="AM40" s="312"/>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339"/>
      <c r="C41" s="339"/>
      <c r="D41" s="340"/>
      <c r="E41" s="332"/>
      <c r="F41" s="333"/>
      <c r="G41" s="333"/>
      <c r="H41" s="333"/>
      <c r="I41" s="334"/>
      <c r="J41" s="292"/>
      <c r="K41" s="293"/>
      <c r="L41" s="293"/>
      <c r="M41" s="293"/>
      <c r="N41" s="293"/>
      <c r="O41" s="294"/>
      <c r="P41" s="292"/>
      <c r="Q41" s="293"/>
      <c r="R41" s="293"/>
      <c r="S41" s="293"/>
      <c r="T41" s="293"/>
      <c r="U41" s="294"/>
      <c r="V41" s="301"/>
      <c r="W41" s="302"/>
      <c r="X41" s="302"/>
      <c r="Y41" s="302"/>
      <c r="Z41" s="302"/>
      <c r="AA41" s="303"/>
      <c r="AB41" s="319"/>
      <c r="AC41" s="320"/>
      <c r="AD41" s="320"/>
      <c r="AE41" s="320"/>
      <c r="AF41" s="320"/>
      <c r="AG41" s="321"/>
      <c r="AH41" s="310"/>
      <c r="AI41" s="311"/>
      <c r="AJ41" s="311"/>
      <c r="AK41" s="311"/>
      <c r="AL41" s="311"/>
      <c r="AM41" s="312"/>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339"/>
      <c r="C42" s="339"/>
      <c r="D42" s="340"/>
      <c r="E42" s="332"/>
      <c r="F42" s="333"/>
      <c r="G42" s="333"/>
      <c r="H42" s="333"/>
      <c r="I42" s="334"/>
      <c r="J42" s="292" t="str">
        <f ca="1">IF(AND('Mapa final'!$J$46="Muy Baja",'Mapa final'!$N$46="Leve"),CONCATENATE("R",'Mapa final'!$A$46),"")</f>
        <v/>
      </c>
      <c r="K42" s="293"/>
      <c r="L42" s="293" t="str">
        <f ca="1">IF(AND('Mapa final'!$J$52="Muy Baja",'Mapa final'!$N$52="Leve"),CONCATENATE("R",'Mapa final'!$A$52),"")</f>
        <v/>
      </c>
      <c r="M42" s="293"/>
      <c r="N42" s="293" t="str">
        <f ca="1">IF(AND('Mapa final'!$J$58="Muy Baja",'Mapa final'!$N$58="Leve"),CONCATENATE("R",'Mapa final'!$A$58),"")</f>
        <v/>
      </c>
      <c r="O42" s="294"/>
      <c r="P42" s="292" t="str">
        <f ca="1">IF(AND('Mapa final'!$J$46="Muy Baja",'Mapa final'!$N$46="Menor"),CONCATENATE("R",'Mapa final'!$A$46),"")</f>
        <v/>
      </c>
      <c r="Q42" s="293"/>
      <c r="R42" s="293" t="str">
        <f ca="1">IF(AND('Mapa final'!$J$52="Muy Baja",'Mapa final'!$N$52="Menor"),CONCATENATE("R",'Mapa final'!$A$52),"")</f>
        <v/>
      </c>
      <c r="S42" s="293"/>
      <c r="T42" s="293" t="str">
        <f ca="1">IF(AND('Mapa final'!$J$58="Muy Baja",'Mapa final'!$N$58="Menor"),CONCATENATE("R",'Mapa final'!$A$58),"")</f>
        <v/>
      </c>
      <c r="U42" s="294"/>
      <c r="V42" s="301" t="str">
        <f ca="1">IF(AND('Mapa final'!$J$46="Muy Baja",'Mapa final'!$N$46="Moderado"),CONCATENATE("R",'Mapa final'!$A$46),"")</f>
        <v/>
      </c>
      <c r="W42" s="302"/>
      <c r="X42" s="302" t="str">
        <f ca="1">IF(AND('Mapa final'!$J$52="Muy Baja",'Mapa final'!$N$52="Moderado"),CONCATENATE("R",'Mapa final'!$A$52),"")</f>
        <v/>
      </c>
      <c r="Y42" s="302"/>
      <c r="Z42" s="302" t="str">
        <f ca="1">IF(AND('Mapa final'!$J$58="Muy Baja",'Mapa final'!$N$58="Moderado"),CONCATENATE("R",'Mapa final'!$A$58),"")</f>
        <v/>
      </c>
      <c r="AA42" s="303"/>
      <c r="AB42" s="319" t="str">
        <f ca="1">IF(AND('Mapa final'!$J$46="Muy Baja",'Mapa final'!$N$46="Mayor"),CONCATENATE("R",'Mapa final'!$A$46),"")</f>
        <v/>
      </c>
      <c r="AC42" s="320"/>
      <c r="AD42" s="320" t="str">
        <f ca="1">IF(AND('Mapa final'!$J$52="Muy Baja",'Mapa final'!$N$52="Mayor"),CONCATENATE("R",'Mapa final'!$A$52),"")</f>
        <v/>
      </c>
      <c r="AE42" s="320"/>
      <c r="AF42" s="320" t="str">
        <f ca="1">IF(AND('Mapa final'!$J$58="Muy Baja",'Mapa final'!$N$58="Mayor"),CONCATENATE("R",'Mapa final'!$A$58),"")</f>
        <v/>
      </c>
      <c r="AG42" s="321"/>
      <c r="AH42" s="310" t="str">
        <f ca="1">IF(AND('Mapa final'!$J$46="Muy Baja",'Mapa final'!$N$46="Catastrófico"),CONCATENATE("R",'Mapa final'!$A$46),"")</f>
        <v/>
      </c>
      <c r="AI42" s="311"/>
      <c r="AJ42" s="311" t="str">
        <f ca="1">IF(AND('Mapa final'!$J$52="Muy Baja",'Mapa final'!$N$52="Catastrófico"),CONCATENATE("R",'Mapa final'!$A$52),"")</f>
        <v/>
      </c>
      <c r="AK42" s="311"/>
      <c r="AL42" s="311" t="str">
        <f ca="1">IF(AND('Mapa final'!$J$58="Muy Baja",'Mapa final'!$N$58="Catastrófico"),CONCATENATE("R",'Mapa final'!$A$58),"")</f>
        <v/>
      </c>
      <c r="AM42" s="312"/>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339"/>
      <c r="C43" s="339"/>
      <c r="D43" s="340"/>
      <c r="E43" s="332"/>
      <c r="F43" s="333"/>
      <c r="G43" s="333"/>
      <c r="H43" s="333"/>
      <c r="I43" s="334"/>
      <c r="J43" s="292"/>
      <c r="K43" s="293"/>
      <c r="L43" s="293"/>
      <c r="M43" s="293"/>
      <c r="N43" s="293"/>
      <c r="O43" s="294"/>
      <c r="P43" s="292"/>
      <c r="Q43" s="293"/>
      <c r="R43" s="293"/>
      <c r="S43" s="293"/>
      <c r="T43" s="293"/>
      <c r="U43" s="294"/>
      <c r="V43" s="301"/>
      <c r="W43" s="302"/>
      <c r="X43" s="302"/>
      <c r="Y43" s="302"/>
      <c r="Z43" s="302"/>
      <c r="AA43" s="303"/>
      <c r="AB43" s="319"/>
      <c r="AC43" s="320"/>
      <c r="AD43" s="320"/>
      <c r="AE43" s="320"/>
      <c r="AF43" s="320"/>
      <c r="AG43" s="321"/>
      <c r="AH43" s="310"/>
      <c r="AI43" s="311"/>
      <c r="AJ43" s="311"/>
      <c r="AK43" s="311"/>
      <c r="AL43" s="311"/>
      <c r="AM43" s="312"/>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339"/>
      <c r="C44" s="339"/>
      <c r="D44" s="340"/>
      <c r="E44" s="332"/>
      <c r="F44" s="333"/>
      <c r="G44" s="333"/>
      <c r="H44" s="333"/>
      <c r="I44" s="334"/>
      <c r="J44" s="292" t="str">
        <f ca="1">IF(AND('Mapa final'!$J$64="Muy Baja",'Mapa final'!$N$64="Leve"),CONCATENATE("R",'Mapa final'!$A$64),"")</f>
        <v/>
      </c>
      <c r="K44" s="293"/>
      <c r="L44" s="293" t="str">
        <f>IF(AND('Mapa final'!$J$70="Muy Baja",'Mapa final'!$N$70="Leve"),CONCATENATE("R",'Mapa final'!$A$70),"")</f>
        <v/>
      </c>
      <c r="M44" s="293"/>
      <c r="N44" s="293" t="str">
        <f>IF(AND('Mapa final'!$J$76="Muy Baja",'Mapa final'!$N$76="Leve"),CONCATENATE("R",'Mapa final'!$A$76),"")</f>
        <v/>
      </c>
      <c r="O44" s="294"/>
      <c r="P44" s="292" t="str">
        <f ca="1">IF(AND('Mapa final'!$J$64="Muy Baja",'Mapa final'!$N$64="Menor"),CONCATENATE("R",'Mapa final'!$A$64),"")</f>
        <v/>
      </c>
      <c r="Q44" s="293"/>
      <c r="R44" s="293" t="str">
        <f>IF(AND('Mapa final'!$J$70="Muy Baja",'Mapa final'!$N$70="Menor"),CONCATENATE("R",'Mapa final'!$A$70),"")</f>
        <v/>
      </c>
      <c r="S44" s="293"/>
      <c r="T44" s="293" t="str">
        <f>IF(AND('Mapa final'!$J$76="Muy Baja",'Mapa final'!$N$76="Menor"),CONCATENATE("R",'Mapa final'!$A$76),"")</f>
        <v/>
      </c>
      <c r="U44" s="294"/>
      <c r="V44" s="301" t="str">
        <f ca="1">IF(AND('Mapa final'!$J$64="Muy Baja",'Mapa final'!$N$64="Moderado"),CONCATENATE("R",'Mapa final'!$A$64),"")</f>
        <v/>
      </c>
      <c r="W44" s="302"/>
      <c r="X44" s="302" t="str">
        <f>IF(AND('Mapa final'!$J$70="Muy Baja",'Mapa final'!$N$70="Moderado"),CONCATENATE("R",'Mapa final'!$A$70),"")</f>
        <v/>
      </c>
      <c r="Y44" s="302"/>
      <c r="Z44" s="302" t="str">
        <f>IF(AND('Mapa final'!$J$76="Muy Baja",'Mapa final'!$N$76="Moderado"),CONCATENATE("R",'Mapa final'!$A$76),"")</f>
        <v/>
      </c>
      <c r="AA44" s="303"/>
      <c r="AB44" s="319" t="str">
        <f ca="1">IF(AND('Mapa final'!$J$64="Muy Baja",'Mapa final'!$N$64="Mayor"),CONCATENATE("R",'Mapa final'!$A$64),"")</f>
        <v/>
      </c>
      <c r="AC44" s="320"/>
      <c r="AD44" s="320" t="str">
        <f>IF(AND('Mapa final'!$J$70="Muy Baja",'Mapa final'!$N$70="Mayor"),CONCATENATE("R",'Mapa final'!$A$70),"")</f>
        <v/>
      </c>
      <c r="AE44" s="320"/>
      <c r="AF44" s="320" t="str">
        <f>IF(AND('Mapa final'!$J$76="Muy Baja",'Mapa final'!$N$76="Mayor"),CONCATENATE("R",'Mapa final'!$A$76),"")</f>
        <v/>
      </c>
      <c r="AG44" s="321"/>
      <c r="AH44" s="310" t="str">
        <f ca="1">IF(AND('Mapa final'!$J$64="Muy Baja",'Mapa final'!$N$64="Catastrófico"),CONCATENATE("R",'Mapa final'!$A$64),"")</f>
        <v/>
      </c>
      <c r="AI44" s="311"/>
      <c r="AJ44" s="311" t="str">
        <f>IF(AND('Mapa final'!$J$70="Muy Baja",'Mapa final'!$N$70="Catastrófico"),CONCATENATE("R",'Mapa final'!$A$70),"")</f>
        <v/>
      </c>
      <c r="AK44" s="311"/>
      <c r="AL44" s="311" t="str">
        <f>IF(AND('Mapa final'!$J$76="Muy Baja",'Mapa final'!$N$76="Catastrófico"),CONCATENATE("R",'Mapa final'!$A$76),"")</f>
        <v/>
      </c>
      <c r="AM44" s="312"/>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339"/>
      <c r="C45" s="339"/>
      <c r="D45" s="340"/>
      <c r="E45" s="335"/>
      <c r="F45" s="336"/>
      <c r="G45" s="336"/>
      <c r="H45" s="336"/>
      <c r="I45" s="337"/>
      <c r="J45" s="295"/>
      <c r="K45" s="296"/>
      <c r="L45" s="296"/>
      <c r="M45" s="296"/>
      <c r="N45" s="296"/>
      <c r="O45" s="297"/>
      <c r="P45" s="295"/>
      <c r="Q45" s="296"/>
      <c r="R45" s="296"/>
      <c r="S45" s="296"/>
      <c r="T45" s="296"/>
      <c r="U45" s="297"/>
      <c r="V45" s="304"/>
      <c r="W45" s="305"/>
      <c r="X45" s="305"/>
      <c r="Y45" s="305"/>
      <c r="Z45" s="305"/>
      <c r="AA45" s="306"/>
      <c r="AB45" s="322"/>
      <c r="AC45" s="323"/>
      <c r="AD45" s="323"/>
      <c r="AE45" s="323"/>
      <c r="AF45" s="323"/>
      <c r="AG45" s="324"/>
      <c r="AH45" s="313"/>
      <c r="AI45" s="314"/>
      <c r="AJ45" s="314"/>
      <c r="AK45" s="314"/>
      <c r="AL45" s="314"/>
      <c r="AM45" s="315"/>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329" t="s">
        <v>107</v>
      </c>
      <c r="K46" s="330"/>
      <c r="L46" s="330"/>
      <c r="M46" s="330"/>
      <c r="N46" s="330"/>
      <c r="O46" s="331"/>
      <c r="P46" s="329" t="s">
        <v>106</v>
      </c>
      <c r="Q46" s="330"/>
      <c r="R46" s="330"/>
      <c r="S46" s="330"/>
      <c r="T46" s="330"/>
      <c r="U46" s="331"/>
      <c r="V46" s="329" t="s">
        <v>105</v>
      </c>
      <c r="W46" s="330"/>
      <c r="X46" s="330"/>
      <c r="Y46" s="330"/>
      <c r="Z46" s="330"/>
      <c r="AA46" s="331"/>
      <c r="AB46" s="329" t="s">
        <v>104</v>
      </c>
      <c r="AC46" s="338"/>
      <c r="AD46" s="330"/>
      <c r="AE46" s="330"/>
      <c r="AF46" s="330"/>
      <c r="AG46" s="331"/>
      <c r="AH46" s="329" t="s">
        <v>103</v>
      </c>
      <c r="AI46" s="330"/>
      <c r="AJ46" s="330"/>
      <c r="AK46" s="330"/>
      <c r="AL46" s="330"/>
      <c r="AM46" s="331"/>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332"/>
      <c r="K47" s="333"/>
      <c r="L47" s="333"/>
      <c r="M47" s="333"/>
      <c r="N47" s="333"/>
      <c r="O47" s="334"/>
      <c r="P47" s="332"/>
      <c r="Q47" s="333"/>
      <c r="R47" s="333"/>
      <c r="S47" s="333"/>
      <c r="T47" s="333"/>
      <c r="U47" s="334"/>
      <c r="V47" s="332"/>
      <c r="W47" s="333"/>
      <c r="X47" s="333"/>
      <c r="Y47" s="333"/>
      <c r="Z47" s="333"/>
      <c r="AA47" s="334"/>
      <c r="AB47" s="332"/>
      <c r="AC47" s="333"/>
      <c r="AD47" s="333"/>
      <c r="AE47" s="333"/>
      <c r="AF47" s="333"/>
      <c r="AG47" s="334"/>
      <c r="AH47" s="332"/>
      <c r="AI47" s="333"/>
      <c r="AJ47" s="333"/>
      <c r="AK47" s="333"/>
      <c r="AL47" s="333"/>
      <c r="AM47" s="334"/>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332"/>
      <c r="K48" s="333"/>
      <c r="L48" s="333"/>
      <c r="M48" s="333"/>
      <c r="N48" s="333"/>
      <c r="O48" s="334"/>
      <c r="P48" s="332"/>
      <c r="Q48" s="333"/>
      <c r="R48" s="333"/>
      <c r="S48" s="333"/>
      <c r="T48" s="333"/>
      <c r="U48" s="334"/>
      <c r="V48" s="332"/>
      <c r="W48" s="333"/>
      <c r="X48" s="333"/>
      <c r="Y48" s="333"/>
      <c r="Z48" s="333"/>
      <c r="AA48" s="334"/>
      <c r="AB48" s="332"/>
      <c r="AC48" s="333"/>
      <c r="AD48" s="333"/>
      <c r="AE48" s="333"/>
      <c r="AF48" s="333"/>
      <c r="AG48" s="334"/>
      <c r="AH48" s="332"/>
      <c r="AI48" s="333"/>
      <c r="AJ48" s="333"/>
      <c r="AK48" s="333"/>
      <c r="AL48" s="333"/>
      <c r="AM48" s="334"/>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332"/>
      <c r="K49" s="333"/>
      <c r="L49" s="333"/>
      <c r="M49" s="333"/>
      <c r="N49" s="333"/>
      <c r="O49" s="334"/>
      <c r="P49" s="332"/>
      <c r="Q49" s="333"/>
      <c r="R49" s="333"/>
      <c r="S49" s="333"/>
      <c r="T49" s="333"/>
      <c r="U49" s="334"/>
      <c r="V49" s="332"/>
      <c r="W49" s="333"/>
      <c r="X49" s="333"/>
      <c r="Y49" s="333"/>
      <c r="Z49" s="333"/>
      <c r="AA49" s="334"/>
      <c r="AB49" s="332"/>
      <c r="AC49" s="333"/>
      <c r="AD49" s="333"/>
      <c r="AE49" s="333"/>
      <c r="AF49" s="333"/>
      <c r="AG49" s="334"/>
      <c r="AH49" s="332"/>
      <c r="AI49" s="333"/>
      <c r="AJ49" s="333"/>
      <c r="AK49" s="333"/>
      <c r="AL49" s="333"/>
      <c r="AM49" s="334"/>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332"/>
      <c r="K50" s="333"/>
      <c r="L50" s="333"/>
      <c r="M50" s="333"/>
      <c r="N50" s="333"/>
      <c r="O50" s="334"/>
      <c r="P50" s="332"/>
      <c r="Q50" s="333"/>
      <c r="R50" s="333"/>
      <c r="S50" s="333"/>
      <c r="T50" s="333"/>
      <c r="U50" s="334"/>
      <c r="V50" s="332"/>
      <c r="W50" s="333"/>
      <c r="X50" s="333"/>
      <c r="Y50" s="333"/>
      <c r="Z50" s="333"/>
      <c r="AA50" s="334"/>
      <c r="AB50" s="332"/>
      <c r="AC50" s="333"/>
      <c r="AD50" s="333"/>
      <c r="AE50" s="333"/>
      <c r="AF50" s="333"/>
      <c r="AG50" s="334"/>
      <c r="AH50" s="332"/>
      <c r="AI50" s="333"/>
      <c r="AJ50" s="333"/>
      <c r="AK50" s="333"/>
      <c r="AL50" s="333"/>
      <c r="AM50" s="334"/>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335"/>
      <c r="K51" s="336"/>
      <c r="L51" s="336"/>
      <c r="M51" s="336"/>
      <c r="N51" s="336"/>
      <c r="O51" s="337"/>
      <c r="P51" s="335"/>
      <c r="Q51" s="336"/>
      <c r="R51" s="336"/>
      <c r="S51" s="336"/>
      <c r="T51" s="336"/>
      <c r="U51" s="337"/>
      <c r="V51" s="335"/>
      <c r="W51" s="336"/>
      <c r="X51" s="336"/>
      <c r="Y51" s="336"/>
      <c r="Z51" s="336"/>
      <c r="AA51" s="337"/>
      <c r="AB51" s="335"/>
      <c r="AC51" s="336"/>
      <c r="AD51" s="336"/>
      <c r="AE51" s="336"/>
      <c r="AF51" s="336"/>
      <c r="AG51" s="337"/>
      <c r="AH51" s="335"/>
      <c r="AI51" s="336"/>
      <c r="AJ51" s="336"/>
      <c r="AK51" s="336"/>
      <c r="AL51" s="336"/>
      <c r="AM51" s="33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B14" zoomScale="42" zoomScaleNormal="42" workbookViewId="0">
      <selection activeCell="AP51" sqref="AP51"/>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406" t="s">
        <v>149</v>
      </c>
      <c r="C2" s="407"/>
      <c r="D2" s="407"/>
      <c r="E2" s="407"/>
      <c r="F2" s="407"/>
      <c r="G2" s="407"/>
      <c r="H2" s="407"/>
      <c r="I2" s="407"/>
      <c r="J2" s="328" t="s">
        <v>2</v>
      </c>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407"/>
      <c r="C3" s="407"/>
      <c r="D3" s="407"/>
      <c r="E3" s="407"/>
      <c r="F3" s="407"/>
      <c r="G3" s="407"/>
      <c r="H3" s="407"/>
      <c r="I3" s="407"/>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407"/>
      <c r="C4" s="407"/>
      <c r="D4" s="407"/>
      <c r="E4" s="407"/>
      <c r="F4" s="407"/>
      <c r="G4" s="407"/>
      <c r="H4" s="407"/>
      <c r="I4" s="407"/>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339" t="s">
        <v>4</v>
      </c>
      <c r="C6" s="339"/>
      <c r="D6" s="340"/>
      <c r="E6" s="377" t="s">
        <v>111</v>
      </c>
      <c r="F6" s="378"/>
      <c r="G6" s="378"/>
      <c r="H6" s="378"/>
      <c r="I6" s="379"/>
      <c r="J6" s="30" t="str">
        <f ca="1">IF(AND('Mapa final'!$AA$10="Muy Alta",'Mapa final'!$AC$10="Leve"),CONCATENATE("R1C",'Mapa final'!$Q$10),"")</f>
        <v/>
      </c>
      <c r="K6" s="31" t="str">
        <f ca="1">IF(AND('Mapa final'!$AA$11="Muy Alta",'Mapa final'!$AC$11="Leve"),CONCATENATE("R1C",'Mapa final'!$Q$11),"")</f>
        <v/>
      </c>
      <c r="L6" s="31" t="str">
        <f ca="1">IF(AND('Mapa final'!$AA$12="Muy Alta",'Mapa final'!$AC$12="Leve"),CONCATENATE("R1C",'Mapa final'!$Q$12),"")</f>
        <v/>
      </c>
      <c r="M6" s="31" t="str">
        <f ca="1">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 ca="1">IF(AND('Mapa final'!$AA$10="Muy Alta",'Mapa final'!$AC$10="Menor"),CONCATENATE("R1C",'Mapa final'!$Q$10),"")</f>
        <v/>
      </c>
      <c r="Q6" s="31" t="str">
        <f ca="1">IF(AND('Mapa final'!$AA$11="Muy Alta",'Mapa final'!$AC$11="Menor"),CONCATENATE("R1C",'Mapa final'!$Q$11),"")</f>
        <v/>
      </c>
      <c r="R6" s="31" t="str">
        <f ca="1">IF(AND('Mapa final'!$AA$12="Muy Alta",'Mapa final'!$AC$12="Menor"),CONCATENATE("R1C",'Mapa final'!$Q$12),"")</f>
        <v/>
      </c>
      <c r="S6" s="31" t="str">
        <f ca="1">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 ca="1">IF(AND('Mapa final'!$AA$11="Muy Alta",'Mapa final'!$AC$11="Moderado"),CONCATENATE("R1C",'Mapa final'!$Q$11),"")</f>
        <v/>
      </c>
      <c r="X6" s="31" t="str">
        <f ca="1">IF(AND('Mapa final'!$AA$12="Muy Alta",'Mapa final'!$AC$12="Moderado"),CONCATENATE("R1C",'Mapa final'!$Q$12),"")</f>
        <v/>
      </c>
      <c r="Y6" s="31" t="str">
        <f ca="1">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 ca="1">IF(AND('Mapa final'!$AA$11="Muy Alta",'Mapa final'!$AC$11="Mayor"),CONCATENATE("R1C",'Mapa final'!$Q$11),"")</f>
        <v/>
      </c>
      <c r="AD6" s="31" t="str">
        <f ca="1">IF(AND('Mapa final'!$AA$12="Muy Alta",'Mapa final'!$AC$12="Mayor"),CONCATENATE("R1C",'Mapa final'!$Q$12),"")</f>
        <v/>
      </c>
      <c r="AE6" s="31" t="str">
        <f ca="1">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 ca="1">IF(AND('Mapa final'!$AA$11="Muy Alta",'Mapa final'!$AC$11="Catastrófico"),CONCATENATE("R1C",'Mapa final'!$Q$11),"")</f>
        <v/>
      </c>
      <c r="AJ6" s="34" t="str">
        <f ca="1">IF(AND('Mapa final'!$AA$12="Muy Alta",'Mapa final'!$AC$12="Catastrófico"),CONCATENATE("R1C",'Mapa final'!$Q$12),"")</f>
        <v/>
      </c>
      <c r="AK6" s="34" t="str">
        <f ca="1">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7"/>
      <c r="AO6" s="397" t="s">
        <v>78</v>
      </c>
      <c r="AP6" s="398"/>
      <c r="AQ6" s="398"/>
      <c r="AR6" s="398"/>
      <c r="AS6" s="398"/>
      <c r="AT6" s="39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339"/>
      <c r="C7" s="339"/>
      <c r="D7" s="340"/>
      <c r="E7" s="380"/>
      <c r="F7" s="381"/>
      <c r="G7" s="381"/>
      <c r="H7" s="381"/>
      <c r="I7" s="382"/>
      <c r="J7" s="36" t="str">
        <f ca="1">IF(AND('Mapa final'!$AA$16="Muy Alta",'Mapa final'!$AC$16="Leve"),CONCATENATE("R2C",'Mapa final'!$Q$16),"")</f>
        <v/>
      </c>
      <c r="K7" s="37" t="str">
        <f>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 ca="1">IF(AND('Mapa final'!$AA$16="Muy Alta",'Mapa final'!$AC$16="Menor"),CONCATENATE("R2C",'Mapa final'!$Q$16),"")</f>
        <v/>
      </c>
      <c r="Q7" s="37" t="str">
        <f>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 ca="1">IF(AND('Mapa final'!$AA$16="Muy Alta",'Mapa final'!$AC$16="Moderado"),CONCATENATE("R2C",'Mapa final'!$Q$16),"")</f>
        <v/>
      </c>
      <c r="W7" s="37" t="str">
        <f>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 ca="1">IF(AND('Mapa final'!$AA$16="Muy Alta",'Mapa final'!$AC$16="Mayor"),CONCATENATE("R2C",'Mapa final'!$Q$16),"")</f>
        <v/>
      </c>
      <c r="AC7" s="37" t="str">
        <f>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 ca="1">IF(AND('Mapa final'!$AA$16="Muy Alta",'Mapa final'!$AC$16="Catastrófico"),CONCATENATE("R2C",'Mapa final'!$Q$16),"")</f>
        <v/>
      </c>
      <c r="AI7" s="40" t="str">
        <f>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7"/>
      <c r="AO7" s="400"/>
      <c r="AP7" s="401"/>
      <c r="AQ7" s="401"/>
      <c r="AR7" s="401"/>
      <c r="AS7" s="401"/>
      <c r="AT7" s="40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339"/>
      <c r="C8" s="339"/>
      <c r="D8" s="340"/>
      <c r="E8" s="380"/>
      <c r="F8" s="381"/>
      <c r="G8" s="381"/>
      <c r="H8" s="381"/>
      <c r="I8" s="382"/>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7"/>
      <c r="AO8" s="400"/>
      <c r="AP8" s="401"/>
      <c r="AQ8" s="401"/>
      <c r="AR8" s="401"/>
      <c r="AS8" s="401"/>
      <c r="AT8" s="40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339"/>
      <c r="C9" s="339"/>
      <c r="D9" s="340"/>
      <c r="E9" s="380"/>
      <c r="F9" s="381"/>
      <c r="G9" s="381"/>
      <c r="H9" s="381"/>
      <c r="I9" s="382"/>
      <c r="J9" s="36" t="str">
        <f>IF(AND('Mapa final'!$AA$28="Muy Alta",'Mapa final'!$AC$28="Leve"),CONCATENATE("R4C",'Mapa final'!$Q$28),"")</f>
        <v/>
      </c>
      <c r="K9" s="37" t="str">
        <f>IF(AND('Mapa final'!$AA$29="Muy Alta",'Mapa final'!$AC$29="Leve"),CONCATENATE("R4C",'Mapa final'!$Q$29),"")</f>
        <v/>
      </c>
      <c r="L9" s="37" t="str">
        <f>IF(AND('Mapa final'!$AA$30="Muy Alta",'Mapa final'!$AC$30="Leve"),CONCATENATE("R4C",'Mapa final'!$Q$30),"")</f>
        <v/>
      </c>
      <c r="M9" s="37" t="str">
        <f>IF(AND('Mapa final'!$AA$31="Muy Alta",'Mapa final'!$AC$31="Leve"),CONCATENATE("R4C",'Mapa final'!$Q$31),"")</f>
        <v/>
      </c>
      <c r="N9" s="37"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37" t="str">
        <f>IF(AND('Mapa final'!$AA$30="Muy Alta",'Mapa final'!$AC$30="Menor"),CONCATENATE("R4C",'Mapa final'!$Q$30),"")</f>
        <v/>
      </c>
      <c r="S9" s="37" t="str">
        <f>IF(AND('Mapa final'!$AA$31="Muy Alta",'Mapa final'!$AC$31="Menor"),CONCATENATE("R4C",'Mapa final'!$Q$31),"")</f>
        <v/>
      </c>
      <c r="T9" s="37"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37" t="str">
        <f>IF(AND('Mapa final'!$AA$30="Muy Alta",'Mapa final'!$AC$30="Moderado"),CONCATENATE("R4C",'Mapa final'!$Q$30),"")</f>
        <v/>
      </c>
      <c r="Y9" s="37" t="str">
        <f>IF(AND('Mapa final'!$AA$31="Muy Alta",'Mapa final'!$AC$31="Moderado"),CONCATENATE("R4C",'Mapa final'!$Q$31),"")</f>
        <v/>
      </c>
      <c r="Z9" s="37"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37" t="str">
        <f>IF(AND('Mapa final'!$AA$30="Muy Alta",'Mapa final'!$AC$30="Mayor"),CONCATENATE("R4C",'Mapa final'!$Q$30),"")</f>
        <v/>
      </c>
      <c r="AE9" s="37" t="str">
        <f>IF(AND('Mapa final'!$AA$31="Muy Alta",'Mapa final'!$AC$31="Mayor"),CONCATENATE("R4C",'Mapa final'!$Q$31),"")</f>
        <v/>
      </c>
      <c r="AF9" s="37"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7"/>
      <c r="AO9" s="400"/>
      <c r="AP9" s="401"/>
      <c r="AQ9" s="401"/>
      <c r="AR9" s="401"/>
      <c r="AS9" s="401"/>
      <c r="AT9" s="40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339"/>
      <c r="C10" s="339"/>
      <c r="D10" s="340"/>
      <c r="E10" s="380"/>
      <c r="F10" s="381"/>
      <c r="G10" s="381"/>
      <c r="H10" s="381"/>
      <c r="I10" s="382"/>
      <c r="J10" s="36" t="str">
        <f>IF(AND('Mapa final'!$AA$34="Muy Alta",'Mapa final'!$AC$34="Leve"),CONCATENATE("R5C",'Mapa final'!$Q$34),"")</f>
        <v/>
      </c>
      <c r="K10" s="37" t="str">
        <f>IF(AND('Mapa final'!$AA$35="Muy Alta",'Mapa final'!$AC$35="Leve"),CONCATENATE("R5C",'Mapa final'!$Q$35),"")</f>
        <v/>
      </c>
      <c r="L10" s="37" t="str">
        <f>IF(AND('Mapa final'!$AA$36="Muy Alta",'Mapa final'!$AC$36="Leve"),CONCATENATE("R5C",'Mapa final'!$Q$36),"")</f>
        <v/>
      </c>
      <c r="M10" s="37" t="str">
        <f>IF(AND('Mapa final'!$AA$37="Muy Alta",'Mapa final'!$AC$37="Leve"),CONCATENATE("R5C",'Mapa final'!$Q$37),"")</f>
        <v/>
      </c>
      <c r="N10" s="37"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37" t="str">
        <f>IF(AND('Mapa final'!$AA$36="Muy Alta",'Mapa final'!$AC$36="Menor"),CONCATENATE("R5C",'Mapa final'!$Q$36),"")</f>
        <v/>
      </c>
      <c r="S10" s="37" t="str">
        <f>IF(AND('Mapa final'!$AA$37="Muy Alta",'Mapa final'!$AC$37="Menor"),CONCATENATE("R5C",'Mapa final'!$Q$37),"")</f>
        <v/>
      </c>
      <c r="T10" s="37"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37" t="str">
        <f>IF(AND('Mapa final'!$AA$36="Muy Alta",'Mapa final'!$AC$36="Moderado"),CONCATENATE("R5C",'Mapa final'!$Q$36),"")</f>
        <v/>
      </c>
      <c r="Y10" s="37" t="str">
        <f>IF(AND('Mapa final'!$AA$37="Muy Alta",'Mapa final'!$AC$37="Moderado"),CONCATENATE("R5C",'Mapa final'!$Q$37),"")</f>
        <v/>
      </c>
      <c r="Z10" s="37"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37" t="str">
        <f>IF(AND('Mapa final'!$AA$36="Muy Alta",'Mapa final'!$AC$36="Mayor"),CONCATENATE("R5C",'Mapa final'!$Q$36),"")</f>
        <v/>
      </c>
      <c r="AE10" s="37" t="str">
        <f>IF(AND('Mapa final'!$AA$37="Muy Alta",'Mapa final'!$AC$37="Mayor"),CONCATENATE("R5C",'Mapa final'!$Q$37),"")</f>
        <v/>
      </c>
      <c r="AF10" s="37"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7"/>
      <c r="AO10" s="400"/>
      <c r="AP10" s="401"/>
      <c r="AQ10" s="401"/>
      <c r="AR10" s="401"/>
      <c r="AS10" s="401"/>
      <c r="AT10" s="40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339"/>
      <c r="C11" s="339"/>
      <c r="D11" s="340"/>
      <c r="E11" s="380"/>
      <c r="F11" s="381"/>
      <c r="G11" s="381"/>
      <c r="H11" s="381"/>
      <c r="I11" s="382"/>
      <c r="J11" s="36" t="str">
        <f>IF(AND('Mapa final'!$AA$40="Muy Alta",'Mapa final'!$AC$40="Leve"),CONCATENATE("R6C",'Mapa final'!$Q$40),"")</f>
        <v/>
      </c>
      <c r="K11" s="37" t="str">
        <f>IF(AND('Mapa final'!$AA$41="Muy Alta",'Mapa final'!$AC$41="Leve"),CONCATENATE("R6C",'Mapa final'!$Q$41),"")</f>
        <v/>
      </c>
      <c r="L11" s="37" t="str">
        <f>IF(AND('Mapa final'!$AA$42="Muy Alta",'Mapa final'!$AC$42="Leve"),CONCATENATE("R6C",'Mapa final'!$Q$42),"")</f>
        <v/>
      </c>
      <c r="M11" s="37" t="str">
        <f>IF(AND('Mapa final'!$AA$43="Muy Alta",'Mapa final'!$AC$43="Leve"),CONCATENATE("R6C",'Mapa final'!$Q$43),"")</f>
        <v/>
      </c>
      <c r="N11" s="37"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37" t="str">
        <f>IF(AND('Mapa final'!$AA$42="Muy Alta",'Mapa final'!$AC$42="Menor"),CONCATENATE("R6C",'Mapa final'!$Q$42),"")</f>
        <v/>
      </c>
      <c r="S11" s="37" t="str">
        <f>IF(AND('Mapa final'!$AA$43="Muy Alta",'Mapa final'!$AC$43="Menor"),CONCATENATE("R6C",'Mapa final'!$Q$43),"")</f>
        <v/>
      </c>
      <c r="T11" s="37"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37" t="str">
        <f>IF(AND('Mapa final'!$AA$42="Muy Alta",'Mapa final'!$AC$42="Moderado"),CONCATENATE("R6C",'Mapa final'!$Q$42),"")</f>
        <v/>
      </c>
      <c r="Y11" s="37" t="str">
        <f>IF(AND('Mapa final'!$AA$43="Muy Alta",'Mapa final'!$AC$43="Moderado"),CONCATENATE("R6C",'Mapa final'!$Q$43),"")</f>
        <v/>
      </c>
      <c r="Z11" s="37"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37" t="str">
        <f>IF(AND('Mapa final'!$AA$42="Muy Alta",'Mapa final'!$AC$42="Mayor"),CONCATENATE("R6C",'Mapa final'!$Q$42),"")</f>
        <v/>
      </c>
      <c r="AE11" s="37" t="str">
        <f>IF(AND('Mapa final'!$AA$43="Muy Alta",'Mapa final'!$AC$43="Mayor"),CONCATENATE("R6C",'Mapa final'!$Q$43),"")</f>
        <v/>
      </c>
      <c r="AF11" s="37"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7"/>
      <c r="AO11" s="400"/>
      <c r="AP11" s="401"/>
      <c r="AQ11" s="401"/>
      <c r="AR11" s="401"/>
      <c r="AS11" s="401"/>
      <c r="AT11" s="40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339"/>
      <c r="C12" s="339"/>
      <c r="D12" s="340"/>
      <c r="E12" s="380"/>
      <c r="F12" s="381"/>
      <c r="G12" s="381"/>
      <c r="H12" s="381"/>
      <c r="I12" s="382"/>
      <c r="J12" s="36" t="str">
        <f>IF(AND('Mapa final'!$AA$46="Muy Alta",'Mapa final'!$AC$46="Leve"),CONCATENATE("R7C",'Mapa final'!$Q$46),"")</f>
        <v/>
      </c>
      <c r="K12" s="37" t="str">
        <f>IF(AND('Mapa final'!$AA$47="Muy Alta",'Mapa final'!$AC$47="Leve"),CONCATENATE("R7C",'Mapa final'!$Q$47),"")</f>
        <v/>
      </c>
      <c r="L12" s="37" t="str">
        <f>IF(AND('Mapa final'!$AA$48="Muy Alta",'Mapa final'!$AC$48="Leve"),CONCATENATE("R7C",'Mapa final'!$Q$48),"")</f>
        <v/>
      </c>
      <c r="M12" s="37" t="str">
        <f>IF(AND('Mapa final'!$AA$49="Muy Alta",'Mapa final'!$AC$49="Leve"),CONCATENATE("R7C",'Mapa final'!$Q$49),"")</f>
        <v/>
      </c>
      <c r="N12" s="37"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37" t="str">
        <f>IF(AND('Mapa final'!$AA$48="Muy Alta",'Mapa final'!$AC$48="Menor"),CONCATENATE("R7C",'Mapa final'!$Q$48),"")</f>
        <v/>
      </c>
      <c r="S12" s="37" t="str">
        <f>IF(AND('Mapa final'!$AA$49="Muy Alta",'Mapa final'!$AC$49="Menor"),CONCATENATE("R7C",'Mapa final'!$Q$49),"")</f>
        <v/>
      </c>
      <c r="T12" s="37"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37" t="str">
        <f>IF(AND('Mapa final'!$AA$48="Muy Alta",'Mapa final'!$AC$48="Moderado"),CONCATENATE("R7C",'Mapa final'!$Q$48),"")</f>
        <v/>
      </c>
      <c r="Y12" s="37" t="str">
        <f>IF(AND('Mapa final'!$AA$49="Muy Alta",'Mapa final'!$AC$49="Moderado"),CONCATENATE("R7C",'Mapa final'!$Q$49),"")</f>
        <v/>
      </c>
      <c r="Z12" s="37"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37" t="str">
        <f>IF(AND('Mapa final'!$AA$48="Muy Alta",'Mapa final'!$AC$48="Mayor"),CONCATENATE("R7C",'Mapa final'!$Q$48),"")</f>
        <v/>
      </c>
      <c r="AE12" s="37" t="str">
        <f>IF(AND('Mapa final'!$AA$49="Muy Alta",'Mapa final'!$AC$49="Mayor"),CONCATENATE("R7C",'Mapa final'!$Q$49),"")</f>
        <v/>
      </c>
      <c r="AF12" s="37"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7"/>
      <c r="AO12" s="400"/>
      <c r="AP12" s="401"/>
      <c r="AQ12" s="401"/>
      <c r="AR12" s="401"/>
      <c r="AS12" s="401"/>
      <c r="AT12" s="40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339"/>
      <c r="C13" s="339"/>
      <c r="D13" s="340"/>
      <c r="E13" s="380"/>
      <c r="F13" s="381"/>
      <c r="G13" s="381"/>
      <c r="H13" s="381"/>
      <c r="I13" s="382"/>
      <c r="J13" s="36" t="str">
        <f>IF(AND('Mapa final'!$AA$52="Muy Alta",'Mapa final'!$AC$52="Leve"),CONCATENATE("R8C",'Mapa final'!$Q$52),"")</f>
        <v/>
      </c>
      <c r="K13" s="37" t="str">
        <f>IF(AND('Mapa final'!$AA$53="Muy Alta",'Mapa final'!$AC$53="Leve"),CONCATENATE("R8C",'Mapa final'!$Q$53),"")</f>
        <v/>
      </c>
      <c r="L13" s="37" t="str">
        <f>IF(AND('Mapa final'!$AA$54="Muy Alta",'Mapa final'!$AC$54="Leve"),CONCATENATE("R8C",'Mapa final'!$Q$54),"")</f>
        <v/>
      </c>
      <c r="M13" s="37" t="str">
        <f>IF(AND('Mapa final'!$AA$55="Muy Alta",'Mapa final'!$AC$55="Leve"),CONCATENATE("R8C",'Mapa final'!$Q$55),"")</f>
        <v/>
      </c>
      <c r="N13" s="37"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37" t="str">
        <f>IF(AND('Mapa final'!$AA$54="Muy Alta",'Mapa final'!$AC$54="Menor"),CONCATENATE("R8C",'Mapa final'!$Q$54),"")</f>
        <v/>
      </c>
      <c r="S13" s="37" t="str">
        <f>IF(AND('Mapa final'!$AA$55="Muy Alta",'Mapa final'!$AC$55="Menor"),CONCATENATE("R8C",'Mapa final'!$Q$55),"")</f>
        <v/>
      </c>
      <c r="T13" s="37"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37" t="str">
        <f>IF(AND('Mapa final'!$AA$54="Muy Alta",'Mapa final'!$AC$54="Moderado"),CONCATENATE("R8C",'Mapa final'!$Q$54),"")</f>
        <v/>
      </c>
      <c r="Y13" s="37" t="str">
        <f>IF(AND('Mapa final'!$AA$55="Muy Alta",'Mapa final'!$AC$55="Moderado"),CONCATENATE("R8C",'Mapa final'!$Q$55),"")</f>
        <v/>
      </c>
      <c r="Z13" s="37"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37" t="str">
        <f>IF(AND('Mapa final'!$AA$54="Muy Alta",'Mapa final'!$AC$54="Mayor"),CONCATENATE("R8C",'Mapa final'!$Q$54),"")</f>
        <v/>
      </c>
      <c r="AE13" s="37" t="str">
        <f>IF(AND('Mapa final'!$AA$55="Muy Alta",'Mapa final'!$AC$55="Mayor"),CONCATENATE("R8C",'Mapa final'!$Q$55),"")</f>
        <v/>
      </c>
      <c r="AF13" s="37"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7"/>
      <c r="AO13" s="400"/>
      <c r="AP13" s="401"/>
      <c r="AQ13" s="401"/>
      <c r="AR13" s="401"/>
      <c r="AS13" s="401"/>
      <c r="AT13" s="40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339"/>
      <c r="C14" s="339"/>
      <c r="D14" s="340"/>
      <c r="E14" s="380"/>
      <c r="F14" s="381"/>
      <c r="G14" s="381"/>
      <c r="H14" s="381"/>
      <c r="I14" s="382"/>
      <c r="J14" s="36" t="str">
        <f>IF(AND('Mapa final'!$AA$58="Muy Alta",'Mapa final'!$AC$58="Leve"),CONCATENATE("R9C",'Mapa final'!$Q$58),"")</f>
        <v/>
      </c>
      <c r="K14" s="37" t="str">
        <f>IF(AND('Mapa final'!$AA$59="Muy Alta",'Mapa final'!$AC$59="Leve"),CONCATENATE("R9C",'Mapa final'!$Q$59),"")</f>
        <v/>
      </c>
      <c r="L14" s="37" t="str">
        <f>IF(AND('Mapa final'!$AA$60="Muy Alta",'Mapa final'!$AC$60="Leve"),CONCATENATE("R9C",'Mapa final'!$Q$60),"")</f>
        <v/>
      </c>
      <c r="M14" s="37" t="str">
        <f>IF(AND('Mapa final'!$AA$61="Muy Alta",'Mapa final'!$AC$61="Leve"),CONCATENATE("R9C",'Mapa final'!$Q$61),"")</f>
        <v/>
      </c>
      <c r="N14" s="37"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37" t="str">
        <f>IF(AND('Mapa final'!$AA$60="Muy Alta",'Mapa final'!$AC$60="Menor"),CONCATENATE("R9C",'Mapa final'!$Q$60),"")</f>
        <v/>
      </c>
      <c r="S14" s="37" t="str">
        <f>IF(AND('Mapa final'!$AA$61="Muy Alta",'Mapa final'!$AC$61="Menor"),CONCATENATE("R9C",'Mapa final'!$Q$61),"")</f>
        <v/>
      </c>
      <c r="T14" s="37"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37" t="str">
        <f>IF(AND('Mapa final'!$AA$60="Muy Alta",'Mapa final'!$AC$60="Moderado"),CONCATENATE("R9C",'Mapa final'!$Q$60),"")</f>
        <v/>
      </c>
      <c r="Y14" s="37" t="str">
        <f>IF(AND('Mapa final'!$AA$61="Muy Alta",'Mapa final'!$AC$61="Moderado"),CONCATENATE("R9C",'Mapa final'!$Q$61),"")</f>
        <v/>
      </c>
      <c r="Z14" s="37"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37" t="str">
        <f>IF(AND('Mapa final'!$AA$60="Muy Alta",'Mapa final'!$AC$60="Mayor"),CONCATENATE("R9C",'Mapa final'!$Q$60),"")</f>
        <v/>
      </c>
      <c r="AE14" s="37" t="str">
        <f>IF(AND('Mapa final'!$AA$61="Muy Alta",'Mapa final'!$AC$61="Mayor"),CONCATENATE("R9C",'Mapa final'!$Q$61),"")</f>
        <v/>
      </c>
      <c r="AF14" s="37"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7"/>
      <c r="AO14" s="400"/>
      <c r="AP14" s="401"/>
      <c r="AQ14" s="401"/>
      <c r="AR14" s="401"/>
      <c r="AS14" s="401"/>
      <c r="AT14" s="40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339"/>
      <c r="C15" s="339"/>
      <c r="D15" s="340"/>
      <c r="E15" s="383"/>
      <c r="F15" s="384"/>
      <c r="G15" s="384"/>
      <c r="H15" s="384"/>
      <c r="I15" s="385"/>
      <c r="J15" s="42" t="str">
        <f>IF(AND('Mapa final'!$AA$64="Muy Alta",'Mapa final'!$AC$64="Leve"),CONCATENATE("R10C",'Mapa final'!$Q$64),"")</f>
        <v/>
      </c>
      <c r="K15" s="43" t="str">
        <f>IF(AND('Mapa final'!$AA$65="Muy Alta",'Mapa final'!$AC$65="Leve"),CONCATENATE("R10C",'Mapa final'!$Q$65),"")</f>
        <v/>
      </c>
      <c r="L15" s="43" t="str">
        <f>IF(AND('Mapa final'!$AA$66="Muy Alta",'Mapa final'!$AC$66="Leve"),CONCATENATE("R10C",'Mapa final'!$Q$66),"")</f>
        <v/>
      </c>
      <c r="M15" s="43" t="str">
        <f>IF(AND('Mapa final'!$AA$67="Muy Alta",'Mapa final'!$AC$67="Leve"),CONCATENATE("R10C",'Mapa final'!$Q$67),"")</f>
        <v/>
      </c>
      <c r="N15" s="43" t="str">
        <f>IF(AND('Mapa final'!$AA$68="Muy Alta",'Mapa final'!$AC$68="Leve"),CONCATENATE("R10C",'Mapa final'!$Q$68),"")</f>
        <v/>
      </c>
      <c r="O15" s="44"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2" t="str">
        <f>IF(AND('Mapa final'!$AA$64="Muy Alta",'Mapa final'!$AC$64="Moderado"),CONCATENATE("R10C",'Mapa final'!$Q$64),"")</f>
        <v/>
      </c>
      <c r="W15" s="43" t="str">
        <f>IF(AND('Mapa final'!$AA$65="Muy Alta",'Mapa final'!$AC$65="Moderado"),CONCATENATE("R10C",'Mapa final'!$Q$65),"")</f>
        <v/>
      </c>
      <c r="X15" s="43" t="str">
        <f>IF(AND('Mapa final'!$AA$66="Muy Alta",'Mapa final'!$AC$66="Moderado"),CONCATENATE("R10C",'Mapa final'!$Q$66),"")</f>
        <v/>
      </c>
      <c r="Y15" s="43" t="str">
        <f>IF(AND('Mapa final'!$AA$67="Muy Alta",'Mapa final'!$AC$67="Moderado"),CONCATENATE("R10C",'Mapa final'!$Q$67),"")</f>
        <v/>
      </c>
      <c r="Z15" s="43" t="str">
        <f>IF(AND('Mapa final'!$AA$68="Muy Alta",'Mapa final'!$AC$68="Moderado"),CONCATENATE("R10C",'Mapa final'!$Q$68),"")</f>
        <v/>
      </c>
      <c r="AA15" s="44"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5" t="str">
        <f>IF(AND('Mapa final'!$AA$64="Muy Alta",'Mapa final'!$AC$64="Catastrófico"),CONCATENATE("R10C",'Mapa final'!$Q$64),"")</f>
        <v/>
      </c>
      <c r="AI15" s="46" t="str">
        <f>IF(AND('Mapa final'!$AA$65="Muy Alta",'Mapa final'!$AC$65="Catastrófico"),CONCATENATE("R10C",'Mapa final'!$Q$65),"")</f>
        <v/>
      </c>
      <c r="AJ15" s="46" t="str">
        <f>IF(AND('Mapa final'!$AA$66="Muy Alta",'Mapa final'!$AC$66="Catastrófico"),CONCATENATE("R10C",'Mapa final'!$Q$66),"")</f>
        <v/>
      </c>
      <c r="AK15" s="46" t="str">
        <f>IF(AND('Mapa final'!$AA$67="Muy Alta",'Mapa final'!$AC$67="Catastrófico"),CONCATENATE("R10C",'Mapa final'!$Q$67),"")</f>
        <v/>
      </c>
      <c r="AL15" s="46" t="str">
        <f>IF(AND('Mapa final'!$AA$68="Muy Alta",'Mapa final'!$AC$68="Catastrófico"),CONCATENATE("R10C",'Mapa final'!$Q$68),"")</f>
        <v/>
      </c>
      <c r="AM15" s="47" t="str">
        <f>IF(AND('Mapa final'!$AA$69="Muy Alta",'Mapa final'!$AC$69="Catastrófico"),CONCATENATE("R10C",'Mapa final'!$Q$69),"")</f>
        <v/>
      </c>
      <c r="AN15" s="67"/>
      <c r="AO15" s="403"/>
      <c r="AP15" s="404"/>
      <c r="AQ15" s="404"/>
      <c r="AR15" s="404"/>
      <c r="AS15" s="404"/>
      <c r="AT15" s="40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339"/>
      <c r="C16" s="339"/>
      <c r="D16" s="340"/>
      <c r="E16" s="377" t="s">
        <v>110</v>
      </c>
      <c r="F16" s="378"/>
      <c r="G16" s="378"/>
      <c r="H16" s="378"/>
      <c r="I16" s="378"/>
      <c r="J16" s="48" t="str">
        <f ca="1">IF(AND('Mapa final'!$AA$10="Alta",'Mapa final'!$AC$10="Leve"),CONCATENATE("R1C",'Mapa final'!$Q$10),"")</f>
        <v/>
      </c>
      <c r="K16" s="49" t="str">
        <f ca="1">IF(AND('Mapa final'!$AA$11="Alta",'Mapa final'!$AC$11="Leve"),CONCATENATE("R1C",'Mapa final'!$Q$11),"")</f>
        <v/>
      </c>
      <c r="L16" s="49" t="str">
        <f ca="1">IF(AND('Mapa final'!$AA$12="Alta",'Mapa final'!$AC$12="Leve"),CONCATENATE("R1C",'Mapa final'!$Q$12),"")</f>
        <v/>
      </c>
      <c r="M16" s="49" t="str">
        <f ca="1">IF(AND('Mapa final'!$AA$13="Alta",'Mapa final'!$AC$13="Leve"),CONCATENATE("R1C",'Mapa final'!$Q$13),"")</f>
        <v/>
      </c>
      <c r="N16" s="49" t="str">
        <f>IF(AND('Mapa final'!$AA$14="Alta",'Mapa final'!$AC$14="Leve"),CONCATENATE("R1C",'Mapa final'!$Q$14),"")</f>
        <v/>
      </c>
      <c r="O16" s="50" t="str">
        <f>IF(AND('Mapa final'!$AA$15="Alta",'Mapa final'!$AC$15="Leve"),CONCATENATE("R1C",'Mapa final'!$Q$15),"")</f>
        <v/>
      </c>
      <c r="P16" s="48" t="str">
        <f ca="1">IF(AND('Mapa final'!$AA$10="Alta",'Mapa final'!$AC$10="Menor"),CONCATENATE("R1C",'Mapa final'!$Q$10),"")</f>
        <v/>
      </c>
      <c r="Q16" s="49" t="str">
        <f ca="1">IF(AND('Mapa final'!$AA$11="Alta",'Mapa final'!$AC$11="Menor"),CONCATENATE("R1C",'Mapa final'!$Q$11),"")</f>
        <v/>
      </c>
      <c r="R16" s="49" t="str">
        <f ca="1">IF(AND('Mapa final'!$AA$12="Alta",'Mapa final'!$AC$12="Menor"),CONCATENATE("R1C",'Mapa final'!$Q$12),"")</f>
        <v/>
      </c>
      <c r="S16" s="49" t="str">
        <f ca="1">IF(AND('Mapa final'!$AA$13="Alta",'Mapa final'!$AC$13="Menor"),CONCATENATE("R1C",'Mapa final'!$Q$13),"")</f>
        <v/>
      </c>
      <c r="T16" s="49" t="str">
        <f>IF(AND('Mapa final'!$AA$14="Alta",'Mapa final'!$AC$14="Menor"),CONCATENATE("R1C",'Mapa final'!$Q$14),"")</f>
        <v/>
      </c>
      <c r="U16" s="50" t="str">
        <f>IF(AND('Mapa final'!$AA$15="Alta",'Mapa final'!$AC$15="Menor"),CONCATENATE("R1C",'Mapa final'!$Q$15),"")</f>
        <v/>
      </c>
      <c r="V16" s="30" t="str">
        <f ca="1">IF(AND('Mapa final'!$AA$10="Alta",'Mapa final'!$AC$10="Moderado"),CONCATENATE("R1C",'Mapa final'!$Q$10),"")</f>
        <v/>
      </c>
      <c r="W16" s="31" t="str">
        <f ca="1">IF(AND('Mapa final'!$AA$11="Alta",'Mapa final'!$AC$11="Moderado"),CONCATENATE("R1C",'Mapa final'!$Q$11),"")</f>
        <v/>
      </c>
      <c r="X16" s="31" t="str">
        <f ca="1">IF(AND('Mapa final'!$AA$12="Alta",'Mapa final'!$AC$12="Moderado"),CONCATENATE("R1C",'Mapa final'!$Q$12),"")</f>
        <v/>
      </c>
      <c r="Y16" s="31" t="str">
        <f ca="1">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 ca="1">IF(AND('Mapa final'!$AA$11="Alta",'Mapa final'!$AC$11="Mayor"),CONCATENATE("R1C",'Mapa final'!$Q$11),"")</f>
        <v/>
      </c>
      <c r="AD16" s="31" t="str">
        <f ca="1">IF(AND('Mapa final'!$AA$12="Alta",'Mapa final'!$AC$12="Mayor"),CONCATENATE("R1C",'Mapa final'!$Q$12),"")</f>
        <v/>
      </c>
      <c r="AE16" s="31" t="str">
        <f ca="1">IF(AND('Mapa final'!$AA$13="Alta",'Mapa final'!$AC$13="Mayor"),CONCATENATE("R1C",'Mapa final'!$Q$13),"")</f>
        <v/>
      </c>
      <c r="AF16" s="31" t="str">
        <f>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 ca="1">IF(AND('Mapa final'!$AA$11="Alta",'Mapa final'!$AC$11="Catastrófico"),CONCATENATE("R1C",'Mapa final'!$Q$11),"")</f>
        <v/>
      </c>
      <c r="AJ16" s="34" t="str">
        <f ca="1">IF(AND('Mapa final'!$AA$12="Alta",'Mapa final'!$AC$12="Catastrófico"),CONCATENATE("R1C",'Mapa final'!$Q$12),"")</f>
        <v/>
      </c>
      <c r="AK16" s="34" t="str">
        <f ca="1">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7"/>
      <c r="AO16" s="387" t="s">
        <v>79</v>
      </c>
      <c r="AP16" s="388"/>
      <c r="AQ16" s="388"/>
      <c r="AR16" s="388"/>
      <c r="AS16" s="388"/>
      <c r="AT16" s="38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339"/>
      <c r="C17" s="339"/>
      <c r="D17" s="340"/>
      <c r="E17" s="396"/>
      <c r="F17" s="381"/>
      <c r="G17" s="381"/>
      <c r="H17" s="381"/>
      <c r="I17" s="381"/>
      <c r="J17" s="51" t="str">
        <f ca="1">IF(AND('Mapa final'!$AA$16="Alta",'Mapa final'!$AC$16="Leve"),CONCATENATE("R2C",'Mapa final'!$Q$16),"")</f>
        <v/>
      </c>
      <c r="K17" s="52" t="str">
        <f>IF(AND('Mapa final'!$AA$17="Alta",'Mapa final'!$AC$17="Leve"),CONCATENATE("R2C",'Mapa final'!$Q$17),"")</f>
        <v/>
      </c>
      <c r="L17" s="52" t="str">
        <f>IF(AND('Mapa final'!$AA$18="Alta",'Mapa final'!$AC$18="Leve"),CONCATENATE("R2C",'Mapa final'!$Q$18),"")</f>
        <v/>
      </c>
      <c r="M17" s="52" t="str">
        <f>IF(AND('Mapa final'!$AA$19="Alta",'Mapa final'!$AC$19="Leve"),CONCATENATE("R2C",'Mapa final'!$Q$19),"")</f>
        <v/>
      </c>
      <c r="N17" s="52" t="str">
        <f>IF(AND('Mapa final'!$AA$20="Alta",'Mapa final'!$AC$20="Leve"),CONCATENATE("R2C",'Mapa final'!$Q$20),"")</f>
        <v/>
      </c>
      <c r="O17" s="53" t="str">
        <f>IF(AND('Mapa final'!$AA$21="Alta",'Mapa final'!$AC$21="Leve"),CONCATENATE("R2C",'Mapa final'!$Q$21),"")</f>
        <v/>
      </c>
      <c r="P17" s="51" t="str">
        <f ca="1">IF(AND('Mapa final'!$AA$16="Alta",'Mapa final'!$AC$16="Menor"),CONCATENATE("R2C",'Mapa final'!$Q$16),"")</f>
        <v/>
      </c>
      <c r="Q17" s="52" t="str">
        <f>IF(AND('Mapa final'!$AA$17="Alta",'Mapa final'!$AC$17="Menor"),CONCATENATE("R2C",'Mapa final'!$Q$17),"")</f>
        <v/>
      </c>
      <c r="R17" s="52" t="str">
        <f>IF(AND('Mapa final'!$AA$18="Alta",'Mapa final'!$AC$18="Menor"),CONCATENATE("R2C",'Mapa final'!$Q$18),"")</f>
        <v/>
      </c>
      <c r="S17" s="52" t="str">
        <f>IF(AND('Mapa final'!$AA$19="Alta",'Mapa final'!$AC$19="Menor"),CONCATENATE("R2C",'Mapa final'!$Q$19),"")</f>
        <v/>
      </c>
      <c r="T17" s="52" t="str">
        <f>IF(AND('Mapa final'!$AA$20="Alta",'Mapa final'!$AC$20="Menor"),CONCATENATE("R2C",'Mapa final'!$Q$20),"")</f>
        <v/>
      </c>
      <c r="U17" s="53" t="str">
        <f>IF(AND('Mapa final'!$AA$21="Alta",'Mapa final'!$AC$21="Menor"),CONCATENATE("R2C",'Mapa final'!$Q$21),"")</f>
        <v/>
      </c>
      <c r="V17" s="36" t="str">
        <f ca="1">IF(AND('Mapa final'!$AA$16="Alta",'Mapa final'!$AC$16="Moderado"),CONCATENATE("R2C",'Mapa final'!$Q$16),"")</f>
        <v/>
      </c>
      <c r="W17" s="37" t="str">
        <f>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 ca="1">IF(AND('Mapa final'!$AA$16="Alta",'Mapa final'!$AC$16="Mayor"),CONCATENATE("R2C",'Mapa final'!$Q$16),"")</f>
        <v/>
      </c>
      <c r="AC17" s="37" t="str">
        <f>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 ca="1">IF(AND('Mapa final'!$AA$16="Alta",'Mapa final'!$AC$16="Catastrófico"),CONCATENATE("R2C",'Mapa final'!$Q$16),"")</f>
        <v/>
      </c>
      <c r="AI17" s="40" t="str">
        <f>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7"/>
      <c r="AO17" s="390"/>
      <c r="AP17" s="391"/>
      <c r="AQ17" s="391"/>
      <c r="AR17" s="391"/>
      <c r="AS17" s="391"/>
      <c r="AT17" s="39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339"/>
      <c r="C18" s="339"/>
      <c r="D18" s="340"/>
      <c r="E18" s="380"/>
      <c r="F18" s="381"/>
      <c r="G18" s="381"/>
      <c r="H18" s="381"/>
      <c r="I18" s="381"/>
      <c r="J18" s="51" t="str">
        <f>IF(AND('Mapa final'!$AA$22="Alta",'Mapa final'!$AC$22="Leve"),CONCATENATE("R3C",'Mapa final'!$Q$22),"")</f>
        <v/>
      </c>
      <c r="K18" s="52" t="str">
        <f>IF(AND('Mapa final'!$AA$23="Alta",'Mapa final'!$AC$23="Leve"),CONCATENATE("R3C",'Mapa final'!$Q$23),"")</f>
        <v/>
      </c>
      <c r="L18" s="52" t="str">
        <f>IF(AND('Mapa final'!$AA$24="Alta",'Mapa final'!$AC$24="Leve"),CONCATENATE("R3C",'Mapa final'!$Q$24),"")</f>
        <v/>
      </c>
      <c r="M18" s="52" t="str">
        <f>IF(AND('Mapa final'!$AA$25="Alta",'Mapa final'!$AC$25="Leve"),CONCATENATE("R3C",'Mapa final'!$Q$25),"")</f>
        <v/>
      </c>
      <c r="N18" s="52" t="str">
        <f>IF(AND('Mapa final'!$AA$26="Alta",'Mapa final'!$AC$26="Leve"),CONCATENATE("R3C",'Mapa final'!$Q$26),"")</f>
        <v/>
      </c>
      <c r="O18" s="53" t="str">
        <f>IF(AND('Mapa final'!$AA$27="Alta",'Mapa final'!$AC$27="Leve"),CONCATENATE("R3C",'Mapa final'!$Q$27),"")</f>
        <v/>
      </c>
      <c r="P18" s="51" t="str">
        <f>IF(AND('Mapa final'!$AA$22="Alta",'Mapa final'!$AC$22="Menor"),CONCATENATE("R3C",'Mapa final'!$Q$22),"")</f>
        <v/>
      </c>
      <c r="Q18" s="52" t="str">
        <f>IF(AND('Mapa final'!$AA$23="Alta",'Mapa final'!$AC$23="Menor"),CONCATENATE("R3C",'Mapa final'!$Q$23),"")</f>
        <v/>
      </c>
      <c r="R18" s="52" t="str">
        <f>IF(AND('Mapa final'!$AA$24="Alta",'Mapa final'!$AC$24="Menor"),CONCATENATE("R3C",'Mapa final'!$Q$24),"")</f>
        <v/>
      </c>
      <c r="S18" s="52" t="str">
        <f>IF(AND('Mapa final'!$AA$25="Alta",'Mapa final'!$AC$25="Menor"),CONCATENATE("R3C",'Mapa final'!$Q$25),"")</f>
        <v/>
      </c>
      <c r="T18" s="52" t="str">
        <f>IF(AND('Mapa final'!$AA$26="Alta",'Mapa final'!$AC$26="Menor"),CONCATENATE("R3C",'Mapa final'!$Q$26),"")</f>
        <v/>
      </c>
      <c r="U18" s="53"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7"/>
      <c r="AO18" s="390"/>
      <c r="AP18" s="391"/>
      <c r="AQ18" s="391"/>
      <c r="AR18" s="391"/>
      <c r="AS18" s="391"/>
      <c r="AT18" s="39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339"/>
      <c r="C19" s="339"/>
      <c r="D19" s="340"/>
      <c r="E19" s="380"/>
      <c r="F19" s="381"/>
      <c r="G19" s="381"/>
      <c r="H19" s="381"/>
      <c r="I19" s="381"/>
      <c r="J19" s="51" t="str">
        <f>IF(AND('Mapa final'!$AA$28="Alta",'Mapa final'!$AC$28="Leve"),CONCATENATE("R4C",'Mapa final'!$Q$28),"")</f>
        <v/>
      </c>
      <c r="K19" s="52" t="str">
        <f>IF(AND('Mapa final'!$AA$29="Alta",'Mapa final'!$AC$29="Leve"),CONCATENATE("R4C",'Mapa final'!$Q$29),"")</f>
        <v/>
      </c>
      <c r="L19" s="52" t="str">
        <f>IF(AND('Mapa final'!$AA$30="Alta",'Mapa final'!$AC$30="Leve"),CONCATENATE("R4C",'Mapa final'!$Q$30),"")</f>
        <v/>
      </c>
      <c r="M19" s="52" t="str">
        <f>IF(AND('Mapa final'!$AA$31="Alta",'Mapa final'!$AC$31="Leve"),CONCATENATE("R4C",'Mapa final'!$Q$31),"")</f>
        <v/>
      </c>
      <c r="N19" s="52" t="str">
        <f>IF(AND('Mapa final'!$AA$32="Alta",'Mapa final'!$AC$32="Leve"),CONCATENATE("R4C",'Mapa final'!$Q$32),"")</f>
        <v/>
      </c>
      <c r="O19" s="53" t="str">
        <f>IF(AND('Mapa final'!$AA$33="Alta",'Mapa final'!$AC$33="Leve"),CONCATENATE("R4C",'Mapa final'!$Q$33),"")</f>
        <v/>
      </c>
      <c r="P19" s="51" t="str">
        <f>IF(AND('Mapa final'!$AA$28="Alta",'Mapa final'!$AC$28="Menor"),CONCATENATE("R4C",'Mapa final'!$Q$28),"")</f>
        <v/>
      </c>
      <c r="Q19" s="52" t="str">
        <f>IF(AND('Mapa final'!$AA$29="Alta",'Mapa final'!$AC$29="Menor"),CONCATENATE("R4C",'Mapa final'!$Q$29),"")</f>
        <v/>
      </c>
      <c r="R19" s="52" t="str">
        <f>IF(AND('Mapa final'!$AA$30="Alta",'Mapa final'!$AC$30="Menor"),CONCATENATE("R4C",'Mapa final'!$Q$30),"")</f>
        <v/>
      </c>
      <c r="S19" s="52" t="str">
        <f>IF(AND('Mapa final'!$AA$31="Alta",'Mapa final'!$AC$31="Menor"),CONCATENATE("R4C",'Mapa final'!$Q$31),"")</f>
        <v/>
      </c>
      <c r="T19" s="52" t="str">
        <f>IF(AND('Mapa final'!$AA$32="Alta",'Mapa final'!$AC$32="Menor"),CONCATENATE("R4C",'Mapa final'!$Q$32),"")</f>
        <v/>
      </c>
      <c r="U19" s="53"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37" t="str">
        <f>IF(AND('Mapa final'!$AA$30="Alta",'Mapa final'!$AC$30="Moderado"),CONCATENATE("R4C",'Mapa final'!$Q$30),"")</f>
        <v/>
      </c>
      <c r="Y19" s="37" t="str">
        <f>IF(AND('Mapa final'!$AA$31="Alta",'Mapa final'!$AC$31="Moderado"),CONCATENATE("R4C",'Mapa final'!$Q$31),"")</f>
        <v/>
      </c>
      <c r="Z19" s="37"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37" t="str">
        <f>IF(AND('Mapa final'!$AA$30="Alta",'Mapa final'!$AC$30="Mayor"),CONCATENATE("R4C",'Mapa final'!$Q$30),"")</f>
        <v/>
      </c>
      <c r="AE19" s="37" t="str">
        <f>IF(AND('Mapa final'!$AA$31="Alta",'Mapa final'!$AC$31="Mayor"),CONCATENATE("R4C",'Mapa final'!$Q$31),"")</f>
        <v/>
      </c>
      <c r="AF19" s="37"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7"/>
      <c r="AO19" s="390"/>
      <c r="AP19" s="391"/>
      <c r="AQ19" s="391"/>
      <c r="AR19" s="391"/>
      <c r="AS19" s="391"/>
      <c r="AT19" s="39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339"/>
      <c r="C20" s="339"/>
      <c r="D20" s="340"/>
      <c r="E20" s="380"/>
      <c r="F20" s="381"/>
      <c r="G20" s="381"/>
      <c r="H20" s="381"/>
      <c r="I20" s="381"/>
      <c r="J20" s="51" t="str">
        <f>IF(AND('Mapa final'!$AA$34="Alta",'Mapa final'!$AC$34="Leve"),CONCATENATE("R5C",'Mapa final'!$Q$34),"")</f>
        <v/>
      </c>
      <c r="K20" s="52" t="str">
        <f>IF(AND('Mapa final'!$AA$35="Alta",'Mapa final'!$AC$35="Leve"),CONCATENATE("R5C",'Mapa final'!$Q$35),"")</f>
        <v/>
      </c>
      <c r="L20" s="52" t="str">
        <f>IF(AND('Mapa final'!$AA$36="Alta",'Mapa final'!$AC$36="Leve"),CONCATENATE("R5C",'Mapa final'!$Q$36),"")</f>
        <v/>
      </c>
      <c r="M20" s="52" t="str">
        <f>IF(AND('Mapa final'!$AA$37="Alta",'Mapa final'!$AC$37="Leve"),CONCATENATE("R5C",'Mapa final'!$Q$37),"")</f>
        <v/>
      </c>
      <c r="N20" s="52" t="str">
        <f>IF(AND('Mapa final'!$AA$38="Alta",'Mapa final'!$AC$38="Leve"),CONCATENATE("R5C",'Mapa final'!$Q$38),"")</f>
        <v/>
      </c>
      <c r="O20" s="53" t="str">
        <f>IF(AND('Mapa final'!$AA$39="Alta",'Mapa final'!$AC$39="Leve"),CONCATENATE("R5C",'Mapa final'!$Q$39),"")</f>
        <v/>
      </c>
      <c r="P20" s="51" t="str">
        <f>IF(AND('Mapa final'!$AA$34="Alta",'Mapa final'!$AC$34="Menor"),CONCATENATE("R5C",'Mapa final'!$Q$34),"")</f>
        <v/>
      </c>
      <c r="Q20" s="52" t="str">
        <f>IF(AND('Mapa final'!$AA$35="Alta",'Mapa final'!$AC$35="Menor"),CONCATENATE("R5C",'Mapa final'!$Q$35),"")</f>
        <v/>
      </c>
      <c r="R20" s="52" t="str">
        <f>IF(AND('Mapa final'!$AA$36="Alta",'Mapa final'!$AC$36="Menor"),CONCATENATE("R5C",'Mapa final'!$Q$36),"")</f>
        <v/>
      </c>
      <c r="S20" s="52" t="str">
        <f>IF(AND('Mapa final'!$AA$37="Alta",'Mapa final'!$AC$37="Menor"),CONCATENATE("R5C",'Mapa final'!$Q$37),"")</f>
        <v/>
      </c>
      <c r="T20" s="52" t="str">
        <f>IF(AND('Mapa final'!$AA$38="Alta",'Mapa final'!$AC$38="Menor"),CONCATENATE("R5C",'Mapa final'!$Q$38),"")</f>
        <v/>
      </c>
      <c r="U20" s="53"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37" t="str">
        <f>IF(AND('Mapa final'!$AA$36="Alta",'Mapa final'!$AC$36="Moderado"),CONCATENATE("R5C",'Mapa final'!$Q$36),"")</f>
        <v/>
      </c>
      <c r="Y20" s="37" t="str">
        <f>IF(AND('Mapa final'!$AA$37="Alta",'Mapa final'!$AC$37="Moderado"),CONCATENATE("R5C",'Mapa final'!$Q$37),"")</f>
        <v/>
      </c>
      <c r="Z20" s="37"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37" t="str">
        <f>IF(AND('Mapa final'!$AA$36="Alta",'Mapa final'!$AC$36="Mayor"),CONCATENATE("R5C",'Mapa final'!$Q$36),"")</f>
        <v/>
      </c>
      <c r="AE20" s="37" t="str">
        <f>IF(AND('Mapa final'!$AA$37="Alta",'Mapa final'!$AC$37="Mayor"),CONCATENATE("R5C",'Mapa final'!$Q$37),"")</f>
        <v/>
      </c>
      <c r="AF20" s="37"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7"/>
      <c r="AO20" s="390"/>
      <c r="AP20" s="391"/>
      <c r="AQ20" s="391"/>
      <c r="AR20" s="391"/>
      <c r="AS20" s="391"/>
      <c r="AT20" s="39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339"/>
      <c r="C21" s="339"/>
      <c r="D21" s="340"/>
      <c r="E21" s="380"/>
      <c r="F21" s="381"/>
      <c r="G21" s="381"/>
      <c r="H21" s="381"/>
      <c r="I21" s="381"/>
      <c r="J21" s="51" t="str">
        <f>IF(AND('Mapa final'!$AA$40="Alta",'Mapa final'!$AC$40="Leve"),CONCATENATE("R6C",'Mapa final'!$Q$40),"")</f>
        <v/>
      </c>
      <c r="K21" s="52" t="str">
        <f>IF(AND('Mapa final'!$AA$41="Alta",'Mapa final'!$AC$41="Leve"),CONCATENATE("R6C",'Mapa final'!$Q$41),"")</f>
        <v/>
      </c>
      <c r="L21" s="52" t="str">
        <f>IF(AND('Mapa final'!$AA$42="Alta",'Mapa final'!$AC$42="Leve"),CONCATENATE("R6C",'Mapa final'!$Q$42),"")</f>
        <v/>
      </c>
      <c r="M21" s="52" t="str">
        <f>IF(AND('Mapa final'!$AA$43="Alta",'Mapa final'!$AC$43="Leve"),CONCATENATE("R6C",'Mapa final'!$Q$43),"")</f>
        <v/>
      </c>
      <c r="N21" s="52" t="str">
        <f>IF(AND('Mapa final'!$AA$44="Alta",'Mapa final'!$AC$44="Leve"),CONCATENATE("R6C",'Mapa final'!$Q$44),"")</f>
        <v/>
      </c>
      <c r="O21" s="53" t="str">
        <f>IF(AND('Mapa final'!$AA$45="Alta",'Mapa final'!$AC$45="Leve"),CONCATENATE("R6C",'Mapa final'!$Q$45),"")</f>
        <v/>
      </c>
      <c r="P21" s="51" t="str">
        <f>IF(AND('Mapa final'!$AA$40="Alta",'Mapa final'!$AC$40="Menor"),CONCATENATE("R6C",'Mapa final'!$Q$40),"")</f>
        <v/>
      </c>
      <c r="Q21" s="52" t="str">
        <f>IF(AND('Mapa final'!$AA$41="Alta",'Mapa final'!$AC$41="Menor"),CONCATENATE("R6C",'Mapa final'!$Q$41),"")</f>
        <v/>
      </c>
      <c r="R21" s="52" t="str">
        <f>IF(AND('Mapa final'!$AA$42="Alta",'Mapa final'!$AC$42="Menor"),CONCATENATE("R6C",'Mapa final'!$Q$42),"")</f>
        <v/>
      </c>
      <c r="S21" s="52" t="str">
        <f>IF(AND('Mapa final'!$AA$43="Alta",'Mapa final'!$AC$43="Menor"),CONCATENATE("R6C",'Mapa final'!$Q$43),"")</f>
        <v/>
      </c>
      <c r="T21" s="52" t="str">
        <f>IF(AND('Mapa final'!$AA$44="Alta",'Mapa final'!$AC$44="Menor"),CONCATENATE("R6C",'Mapa final'!$Q$44),"")</f>
        <v/>
      </c>
      <c r="U21" s="53"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37" t="str">
        <f>IF(AND('Mapa final'!$AA$42="Alta",'Mapa final'!$AC$42="Moderado"),CONCATENATE("R6C",'Mapa final'!$Q$42),"")</f>
        <v/>
      </c>
      <c r="Y21" s="37" t="str">
        <f>IF(AND('Mapa final'!$AA$43="Alta",'Mapa final'!$AC$43="Moderado"),CONCATENATE("R6C",'Mapa final'!$Q$43),"")</f>
        <v/>
      </c>
      <c r="Z21" s="37"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37" t="str">
        <f>IF(AND('Mapa final'!$AA$42="Alta",'Mapa final'!$AC$42="Mayor"),CONCATENATE("R6C",'Mapa final'!$Q$42),"")</f>
        <v/>
      </c>
      <c r="AE21" s="37" t="str">
        <f>IF(AND('Mapa final'!$AA$43="Alta",'Mapa final'!$AC$43="Mayor"),CONCATENATE("R6C",'Mapa final'!$Q$43),"")</f>
        <v/>
      </c>
      <c r="AF21" s="37"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7"/>
      <c r="AO21" s="390"/>
      <c r="AP21" s="391"/>
      <c r="AQ21" s="391"/>
      <c r="AR21" s="391"/>
      <c r="AS21" s="391"/>
      <c r="AT21" s="39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339"/>
      <c r="C22" s="339"/>
      <c r="D22" s="340"/>
      <c r="E22" s="380"/>
      <c r="F22" s="381"/>
      <c r="G22" s="381"/>
      <c r="H22" s="381"/>
      <c r="I22" s="381"/>
      <c r="J22" s="51" t="str">
        <f>IF(AND('Mapa final'!$AA$46="Alta",'Mapa final'!$AC$46="Leve"),CONCATENATE("R7C",'Mapa final'!$Q$46),"")</f>
        <v/>
      </c>
      <c r="K22" s="52" t="str">
        <f>IF(AND('Mapa final'!$AA$47="Alta",'Mapa final'!$AC$47="Leve"),CONCATENATE("R7C",'Mapa final'!$Q$47),"")</f>
        <v/>
      </c>
      <c r="L22" s="52" t="str">
        <f>IF(AND('Mapa final'!$AA$48="Alta",'Mapa final'!$AC$48="Leve"),CONCATENATE("R7C",'Mapa final'!$Q$48),"")</f>
        <v/>
      </c>
      <c r="M22" s="52" t="str">
        <f>IF(AND('Mapa final'!$AA$49="Alta",'Mapa final'!$AC$49="Leve"),CONCATENATE("R7C",'Mapa final'!$Q$49),"")</f>
        <v/>
      </c>
      <c r="N22" s="52" t="str">
        <f>IF(AND('Mapa final'!$AA$50="Alta",'Mapa final'!$AC$50="Leve"),CONCATENATE("R7C",'Mapa final'!$Q$50),"")</f>
        <v/>
      </c>
      <c r="O22" s="53" t="str">
        <f>IF(AND('Mapa final'!$AA$51="Alta",'Mapa final'!$AC$51="Leve"),CONCATENATE("R7C",'Mapa final'!$Q$51),"")</f>
        <v/>
      </c>
      <c r="P22" s="51" t="str">
        <f>IF(AND('Mapa final'!$AA$46="Alta",'Mapa final'!$AC$46="Menor"),CONCATENATE("R7C",'Mapa final'!$Q$46),"")</f>
        <v/>
      </c>
      <c r="Q22" s="52" t="str">
        <f>IF(AND('Mapa final'!$AA$47="Alta",'Mapa final'!$AC$47="Menor"),CONCATENATE("R7C",'Mapa final'!$Q$47),"")</f>
        <v/>
      </c>
      <c r="R22" s="52" t="str">
        <f>IF(AND('Mapa final'!$AA$48="Alta",'Mapa final'!$AC$48="Menor"),CONCATENATE("R7C",'Mapa final'!$Q$48),"")</f>
        <v/>
      </c>
      <c r="S22" s="52" t="str">
        <f>IF(AND('Mapa final'!$AA$49="Alta",'Mapa final'!$AC$49="Menor"),CONCATENATE("R7C",'Mapa final'!$Q$49),"")</f>
        <v/>
      </c>
      <c r="T22" s="52" t="str">
        <f>IF(AND('Mapa final'!$AA$50="Alta",'Mapa final'!$AC$50="Menor"),CONCATENATE("R7C",'Mapa final'!$Q$50),"")</f>
        <v/>
      </c>
      <c r="U22" s="53"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37" t="str">
        <f>IF(AND('Mapa final'!$AA$48="Alta",'Mapa final'!$AC$48="Moderado"),CONCATENATE("R7C",'Mapa final'!$Q$48),"")</f>
        <v/>
      </c>
      <c r="Y22" s="37" t="str">
        <f>IF(AND('Mapa final'!$AA$49="Alta",'Mapa final'!$AC$49="Moderado"),CONCATENATE("R7C",'Mapa final'!$Q$49),"")</f>
        <v/>
      </c>
      <c r="Z22" s="37"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37" t="str">
        <f>IF(AND('Mapa final'!$AA$48="Alta",'Mapa final'!$AC$48="Mayor"),CONCATENATE("R7C",'Mapa final'!$Q$48),"")</f>
        <v/>
      </c>
      <c r="AE22" s="37" t="str">
        <f>IF(AND('Mapa final'!$AA$49="Alta",'Mapa final'!$AC$49="Mayor"),CONCATENATE("R7C",'Mapa final'!$Q$49),"")</f>
        <v/>
      </c>
      <c r="AF22" s="37"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7"/>
      <c r="AO22" s="390"/>
      <c r="AP22" s="391"/>
      <c r="AQ22" s="391"/>
      <c r="AR22" s="391"/>
      <c r="AS22" s="391"/>
      <c r="AT22" s="39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339"/>
      <c r="C23" s="339"/>
      <c r="D23" s="340"/>
      <c r="E23" s="380"/>
      <c r="F23" s="381"/>
      <c r="G23" s="381"/>
      <c r="H23" s="381"/>
      <c r="I23" s="381"/>
      <c r="J23" s="51" t="str">
        <f>IF(AND('Mapa final'!$AA$52="Alta",'Mapa final'!$AC$52="Leve"),CONCATENATE("R8C",'Mapa final'!$Q$52),"")</f>
        <v/>
      </c>
      <c r="K23" s="52" t="str">
        <f>IF(AND('Mapa final'!$AA$53="Alta",'Mapa final'!$AC$53="Leve"),CONCATENATE("R8C",'Mapa final'!$Q$53),"")</f>
        <v/>
      </c>
      <c r="L23" s="52" t="str">
        <f>IF(AND('Mapa final'!$AA$54="Alta",'Mapa final'!$AC$54="Leve"),CONCATENATE("R8C",'Mapa final'!$Q$54),"")</f>
        <v/>
      </c>
      <c r="M23" s="52" t="str">
        <f>IF(AND('Mapa final'!$AA$55="Alta",'Mapa final'!$AC$55="Leve"),CONCATENATE("R8C",'Mapa final'!$Q$55),"")</f>
        <v/>
      </c>
      <c r="N23" s="52" t="str">
        <f>IF(AND('Mapa final'!$AA$56="Alta",'Mapa final'!$AC$56="Leve"),CONCATENATE("R8C",'Mapa final'!$Q$56),"")</f>
        <v/>
      </c>
      <c r="O23" s="53" t="str">
        <f>IF(AND('Mapa final'!$AA$57="Alta",'Mapa final'!$AC$57="Leve"),CONCATENATE("R8C",'Mapa final'!$Q$57),"")</f>
        <v/>
      </c>
      <c r="P23" s="51" t="str">
        <f>IF(AND('Mapa final'!$AA$52="Alta",'Mapa final'!$AC$52="Menor"),CONCATENATE("R8C",'Mapa final'!$Q$52),"")</f>
        <v/>
      </c>
      <c r="Q23" s="52" t="str">
        <f>IF(AND('Mapa final'!$AA$53="Alta",'Mapa final'!$AC$53="Menor"),CONCATENATE("R8C",'Mapa final'!$Q$53),"")</f>
        <v/>
      </c>
      <c r="R23" s="52" t="str">
        <f>IF(AND('Mapa final'!$AA$54="Alta",'Mapa final'!$AC$54="Menor"),CONCATENATE("R8C",'Mapa final'!$Q$54),"")</f>
        <v/>
      </c>
      <c r="S23" s="52" t="str">
        <f>IF(AND('Mapa final'!$AA$55="Alta",'Mapa final'!$AC$55="Menor"),CONCATENATE("R8C",'Mapa final'!$Q$55),"")</f>
        <v/>
      </c>
      <c r="T23" s="52" t="str">
        <f>IF(AND('Mapa final'!$AA$56="Alta",'Mapa final'!$AC$56="Menor"),CONCATENATE("R8C",'Mapa final'!$Q$56),"")</f>
        <v/>
      </c>
      <c r="U23" s="53"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37" t="str">
        <f>IF(AND('Mapa final'!$AA$54="Alta",'Mapa final'!$AC$54="Moderado"),CONCATENATE("R8C",'Mapa final'!$Q$54),"")</f>
        <v/>
      </c>
      <c r="Y23" s="37" t="str">
        <f>IF(AND('Mapa final'!$AA$55="Alta",'Mapa final'!$AC$55="Moderado"),CONCATENATE("R8C",'Mapa final'!$Q$55),"")</f>
        <v/>
      </c>
      <c r="Z23" s="37"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37" t="str">
        <f>IF(AND('Mapa final'!$AA$54="Alta",'Mapa final'!$AC$54="Mayor"),CONCATENATE("R8C",'Mapa final'!$Q$54),"")</f>
        <v/>
      </c>
      <c r="AE23" s="37" t="str">
        <f>IF(AND('Mapa final'!$AA$55="Alta",'Mapa final'!$AC$55="Mayor"),CONCATENATE("R8C",'Mapa final'!$Q$55),"")</f>
        <v/>
      </c>
      <c r="AF23" s="37"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7"/>
      <c r="AO23" s="390"/>
      <c r="AP23" s="391"/>
      <c r="AQ23" s="391"/>
      <c r="AR23" s="391"/>
      <c r="AS23" s="391"/>
      <c r="AT23" s="39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339"/>
      <c r="C24" s="339"/>
      <c r="D24" s="340"/>
      <c r="E24" s="380"/>
      <c r="F24" s="381"/>
      <c r="G24" s="381"/>
      <c r="H24" s="381"/>
      <c r="I24" s="381"/>
      <c r="J24" s="51" t="str">
        <f>IF(AND('Mapa final'!$AA$58="Alta",'Mapa final'!$AC$58="Leve"),CONCATENATE("R9C",'Mapa final'!$Q$58),"")</f>
        <v/>
      </c>
      <c r="K24" s="52" t="str">
        <f>IF(AND('Mapa final'!$AA$59="Alta",'Mapa final'!$AC$59="Leve"),CONCATENATE("R9C",'Mapa final'!$Q$59),"")</f>
        <v/>
      </c>
      <c r="L24" s="52" t="str">
        <f>IF(AND('Mapa final'!$AA$60="Alta",'Mapa final'!$AC$60="Leve"),CONCATENATE("R9C",'Mapa final'!$Q$60),"")</f>
        <v/>
      </c>
      <c r="M24" s="52" t="str">
        <f>IF(AND('Mapa final'!$AA$61="Alta",'Mapa final'!$AC$61="Leve"),CONCATENATE("R9C",'Mapa final'!$Q$61),"")</f>
        <v/>
      </c>
      <c r="N24" s="52" t="str">
        <f>IF(AND('Mapa final'!$AA$62="Alta",'Mapa final'!$AC$62="Leve"),CONCATENATE("R9C",'Mapa final'!$Q$62),"")</f>
        <v/>
      </c>
      <c r="O24" s="53" t="str">
        <f>IF(AND('Mapa final'!$AA$63="Alta",'Mapa final'!$AC$63="Leve"),CONCATENATE("R9C",'Mapa final'!$Q$63),"")</f>
        <v/>
      </c>
      <c r="P24" s="51" t="str">
        <f>IF(AND('Mapa final'!$AA$58="Alta",'Mapa final'!$AC$58="Menor"),CONCATENATE("R9C",'Mapa final'!$Q$58),"")</f>
        <v/>
      </c>
      <c r="Q24" s="52" t="str">
        <f>IF(AND('Mapa final'!$AA$59="Alta",'Mapa final'!$AC$59="Menor"),CONCATENATE("R9C",'Mapa final'!$Q$59),"")</f>
        <v/>
      </c>
      <c r="R24" s="52" t="str">
        <f>IF(AND('Mapa final'!$AA$60="Alta",'Mapa final'!$AC$60="Menor"),CONCATENATE("R9C",'Mapa final'!$Q$60),"")</f>
        <v/>
      </c>
      <c r="S24" s="52" t="str">
        <f>IF(AND('Mapa final'!$AA$61="Alta",'Mapa final'!$AC$61="Menor"),CONCATENATE("R9C",'Mapa final'!$Q$61),"")</f>
        <v/>
      </c>
      <c r="T24" s="52" t="str">
        <f>IF(AND('Mapa final'!$AA$62="Alta",'Mapa final'!$AC$62="Menor"),CONCATENATE("R9C",'Mapa final'!$Q$62),"")</f>
        <v/>
      </c>
      <c r="U24" s="53"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37" t="str">
        <f>IF(AND('Mapa final'!$AA$60="Alta",'Mapa final'!$AC$60="Moderado"),CONCATENATE("R9C",'Mapa final'!$Q$60),"")</f>
        <v/>
      </c>
      <c r="Y24" s="37" t="str">
        <f>IF(AND('Mapa final'!$AA$61="Alta",'Mapa final'!$AC$61="Moderado"),CONCATENATE("R9C",'Mapa final'!$Q$61),"")</f>
        <v/>
      </c>
      <c r="Z24" s="37"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37" t="str">
        <f>IF(AND('Mapa final'!$AA$60="Alta",'Mapa final'!$AC$60="Mayor"),CONCATENATE("R9C",'Mapa final'!$Q$60),"")</f>
        <v/>
      </c>
      <c r="AE24" s="37" t="str">
        <f>IF(AND('Mapa final'!$AA$61="Alta",'Mapa final'!$AC$61="Mayor"),CONCATENATE("R9C",'Mapa final'!$Q$61),"")</f>
        <v/>
      </c>
      <c r="AF24" s="37"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7"/>
      <c r="AO24" s="390"/>
      <c r="AP24" s="391"/>
      <c r="AQ24" s="391"/>
      <c r="AR24" s="391"/>
      <c r="AS24" s="391"/>
      <c r="AT24" s="39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339"/>
      <c r="C25" s="339"/>
      <c r="D25" s="340"/>
      <c r="E25" s="383"/>
      <c r="F25" s="384"/>
      <c r="G25" s="384"/>
      <c r="H25" s="384"/>
      <c r="I25" s="384"/>
      <c r="J25" s="54" t="str">
        <f>IF(AND('Mapa final'!$AA$64="Alta",'Mapa final'!$AC$64="Leve"),CONCATENATE("R10C",'Mapa final'!$Q$64),"")</f>
        <v/>
      </c>
      <c r="K25" s="55" t="str">
        <f>IF(AND('Mapa final'!$AA$65="Alta",'Mapa final'!$AC$65="Leve"),CONCATENATE("R10C",'Mapa final'!$Q$65),"")</f>
        <v/>
      </c>
      <c r="L25" s="55" t="str">
        <f>IF(AND('Mapa final'!$AA$66="Alta",'Mapa final'!$AC$66="Leve"),CONCATENATE("R10C",'Mapa final'!$Q$66),"")</f>
        <v/>
      </c>
      <c r="M25" s="55" t="str">
        <f>IF(AND('Mapa final'!$AA$67="Alta",'Mapa final'!$AC$67="Leve"),CONCATENATE("R10C",'Mapa final'!$Q$67),"")</f>
        <v/>
      </c>
      <c r="N25" s="55" t="str">
        <f>IF(AND('Mapa final'!$AA$68="Alta",'Mapa final'!$AC$68="Leve"),CONCATENATE("R10C",'Mapa final'!$Q$68),"")</f>
        <v/>
      </c>
      <c r="O25" s="56" t="str">
        <f>IF(AND('Mapa final'!$AA$69="Alta",'Mapa final'!$AC$69="Leve"),CONCATENATE("R10C",'Mapa final'!$Q$69),"")</f>
        <v/>
      </c>
      <c r="P25" s="54" t="str">
        <f>IF(AND('Mapa final'!$AA$64="Alta",'Mapa final'!$AC$64="Menor"),CONCATENATE("R10C",'Mapa final'!$Q$64),"")</f>
        <v/>
      </c>
      <c r="Q25" s="55" t="str">
        <f>IF(AND('Mapa final'!$AA$65="Alta",'Mapa final'!$AC$65="Menor"),CONCATENATE("R10C",'Mapa final'!$Q$65),"")</f>
        <v/>
      </c>
      <c r="R25" s="55" t="str">
        <f>IF(AND('Mapa final'!$AA$66="Alta",'Mapa final'!$AC$66="Menor"),CONCATENATE("R10C",'Mapa final'!$Q$66),"")</f>
        <v/>
      </c>
      <c r="S25" s="55" t="str">
        <f>IF(AND('Mapa final'!$AA$67="Alta",'Mapa final'!$AC$67="Menor"),CONCATENATE("R10C",'Mapa final'!$Q$67),"")</f>
        <v/>
      </c>
      <c r="T25" s="55" t="str">
        <f>IF(AND('Mapa final'!$AA$68="Alta",'Mapa final'!$AC$68="Menor"),CONCATENATE("R10C",'Mapa final'!$Q$68),"")</f>
        <v/>
      </c>
      <c r="U25" s="56" t="str">
        <f>IF(AND('Mapa final'!$AA$69="Alta",'Mapa final'!$AC$69="Menor"),CONCATENATE("R10C",'Mapa final'!$Q$69),"")</f>
        <v/>
      </c>
      <c r="V25" s="42" t="str">
        <f>IF(AND('Mapa final'!$AA$64="Alta",'Mapa final'!$AC$64="Moderado"),CONCATENATE("R10C",'Mapa final'!$Q$64),"")</f>
        <v/>
      </c>
      <c r="W25" s="43" t="str">
        <f>IF(AND('Mapa final'!$AA$65="Alta",'Mapa final'!$AC$65="Moderado"),CONCATENATE("R10C",'Mapa final'!$Q$65),"")</f>
        <v/>
      </c>
      <c r="X25" s="43" t="str">
        <f>IF(AND('Mapa final'!$AA$66="Alta",'Mapa final'!$AC$66="Moderado"),CONCATENATE("R10C",'Mapa final'!$Q$66),"")</f>
        <v/>
      </c>
      <c r="Y25" s="43" t="str">
        <f>IF(AND('Mapa final'!$AA$67="Alta",'Mapa final'!$AC$67="Moderado"),CONCATENATE("R10C",'Mapa final'!$Q$67),"")</f>
        <v/>
      </c>
      <c r="Z25" s="43" t="str">
        <f>IF(AND('Mapa final'!$AA$68="Alta",'Mapa final'!$AC$68="Moderado"),CONCATENATE("R10C",'Mapa final'!$Q$68),"")</f>
        <v/>
      </c>
      <c r="AA25" s="44" t="str">
        <f>IF(AND('Mapa final'!$AA$69="Alta",'Mapa final'!$AC$69="Moderado"),CONCATENATE("R10C",'Mapa final'!$Q$69),"")</f>
        <v/>
      </c>
      <c r="AB25" s="42" t="str">
        <f>IF(AND('Mapa final'!$AA$64="Alta",'Mapa final'!$AC$64="Mayor"),CONCATENATE("R10C",'Mapa final'!$Q$64),"")</f>
        <v/>
      </c>
      <c r="AC25" s="43" t="str">
        <f>IF(AND('Mapa final'!$AA$65="Alta",'Mapa final'!$AC$65="Mayor"),CONCATENATE("R10C",'Mapa final'!$Q$65),"")</f>
        <v/>
      </c>
      <c r="AD25" s="43" t="str">
        <f>IF(AND('Mapa final'!$AA$66="Alta",'Mapa final'!$AC$66="Mayor"),CONCATENATE("R10C",'Mapa final'!$Q$66),"")</f>
        <v/>
      </c>
      <c r="AE25" s="43" t="str">
        <f>IF(AND('Mapa final'!$AA$67="Alta",'Mapa final'!$AC$67="Mayor"),CONCATENATE("R10C",'Mapa final'!$Q$67),"")</f>
        <v/>
      </c>
      <c r="AF25" s="43" t="str">
        <f>IF(AND('Mapa final'!$AA$68="Alta",'Mapa final'!$AC$68="Mayor"),CONCATENATE("R10C",'Mapa final'!$Q$68),"")</f>
        <v/>
      </c>
      <c r="AG25" s="44" t="str">
        <f>IF(AND('Mapa final'!$AA$69="Alta",'Mapa final'!$AC$69="Mayor"),CONCATENATE("R10C",'Mapa final'!$Q$69),"")</f>
        <v/>
      </c>
      <c r="AH25" s="45" t="str">
        <f>IF(AND('Mapa final'!$AA$64="Alta",'Mapa final'!$AC$64="Catastrófico"),CONCATENATE("R10C",'Mapa final'!$Q$64),"")</f>
        <v/>
      </c>
      <c r="AI25" s="46" t="str">
        <f>IF(AND('Mapa final'!$AA$65="Alta",'Mapa final'!$AC$65="Catastrófico"),CONCATENATE("R10C",'Mapa final'!$Q$65),"")</f>
        <v/>
      </c>
      <c r="AJ25" s="46" t="str">
        <f>IF(AND('Mapa final'!$AA$66="Alta",'Mapa final'!$AC$66="Catastrófico"),CONCATENATE("R10C",'Mapa final'!$Q$66),"")</f>
        <v/>
      </c>
      <c r="AK25" s="46" t="str">
        <f>IF(AND('Mapa final'!$AA$67="Alta",'Mapa final'!$AC$67="Catastrófico"),CONCATENATE("R10C",'Mapa final'!$Q$67),"")</f>
        <v/>
      </c>
      <c r="AL25" s="46" t="str">
        <f>IF(AND('Mapa final'!$AA$68="Alta",'Mapa final'!$AC$68="Catastrófico"),CONCATENATE("R10C",'Mapa final'!$Q$68),"")</f>
        <v/>
      </c>
      <c r="AM25" s="47" t="str">
        <f>IF(AND('Mapa final'!$AA$69="Alta",'Mapa final'!$AC$69="Catastrófico"),CONCATENATE("R10C",'Mapa final'!$Q$69),"")</f>
        <v/>
      </c>
      <c r="AN25" s="67"/>
      <c r="AO25" s="393"/>
      <c r="AP25" s="394"/>
      <c r="AQ25" s="394"/>
      <c r="AR25" s="394"/>
      <c r="AS25" s="394"/>
      <c r="AT25" s="39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339"/>
      <c r="C26" s="339"/>
      <c r="D26" s="340"/>
      <c r="E26" s="377" t="s">
        <v>112</v>
      </c>
      <c r="F26" s="378"/>
      <c r="G26" s="378"/>
      <c r="H26" s="378"/>
      <c r="I26" s="379"/>
      <c r="J26" s="48" t="str">
        <f ca="1">IF(AND('Mapa final'!$AA$10="Media",'Mapa final'!$AC$10="Leve"),CONCATENATE("R1C",'Mapa final'!$Q$10),"")</f>
        <v/>
      </c>
      <c r="K26" s="49" t="str">
        <f ca="1">IF(AND('Mapa final'!$AA$11="Media",'Mapa final'!$AC$11="Leve"),CONCATENATE("R1C",'Mapa final'!$Q$11),"")</f>
        <v/>
      </c>
      <c r="L26" s="49" t="str">
        <f ca="1">IF(AND('Mapa final'!$AA$12="Media",'Mapa final'!$AC$12="Leve"),CONCATENATE("R1C",'Mapa final'!$Q$12),"")</f>
        <v/>
      </c>
      <c r="M26" s="49" t="str">
        <f ca="1">IF(AND('Mapa final'!$AA$13="Media",'Mapa final'!$AC$13="Leve"),CONCATENATE("R1C",'Mapa final'!$Q$13),"")</f>
        <v/>
      </c>
      <c r="N26" s="49" t="str">
        <f>IF(AND('Mapa final'!$AA$14="Media",'Mapa final'!$AC$14="Leve"),CONCATENATE("R1C",'Mapa final'!$Q$14),"")</f>
        <v/>
      </c>
      <c r="O26" s="50" t="str">
        <f>IF(AND('Mapa final'!$AA$15="Media",'Mapa final'!$AC$15="Leve"),CONCATENATE("R1C",'Mapa final'!$Q$15),"")</f>
        <v/>
      </c>
      <c r="P26" s="48" t="str">
        <f ca="1">IF(AND('Mapa final'!$AA$10="Media",'Mapa final'!$AC$10="Menor"),CONCATENATE("R1C",'Mapa final'!$Q$10),"")</f>
        <v/>
      </c>
      <c r="Q26" s="49" t="str">
        <f ca="1">IF(AND('Mapa final'!$AA$11="Media",'Mapa final'!$AC$11="Menor"),CONCATENATE("R1C",'Mapa final'!$Q$11),"")</f>
        <v/>
      </c>
      <c r="R26" s="49" t="str">
        <f ca="1">IF(AND('Mapa final'!$AA$12="Media",'Mapa final'!$AC$12="Menor"),CONCATENATE("R1C",'Mapa final'!$Q$12),"")</f>
        <v/>
      </c>
      <c r="S26" s="49" t="str">
        <f ca="1">IF(AND('Mapa final'!$AA$13="Media",'Mapa final'!$AC$13="Menor"),CONCATENATE("R1C",'Mapa final'!$Q$13),"")</f>
        <v/>
      </c>
      <c r="T26" s="49" t="str">
        <f>IF(AND('Mapa final'!$AA$14="Media",'Mapa final'!$AC$14="Menor"),CONCATENATE("R1C",'Mapa final'!$Q$14),"")</f>
        <v/>
      </c>
      <c r="U26" s="50" t="str">
        <f>IF(AND('Mapa final'!$AA$15="Media",'Mapa final'!$AC$15="Menor"),CONCATENATE("R1C",'Mapa final'!$Q$15),"")</f>
        <v/>
      </c>
      <c r="V26" s="48" t="str">
        <f ca="1">IF(AND('Mapa final'!$AA$10="Media",'Mapa final'!$AC$10="Moderado"),CONCATENATE("R1C",'Mapa final'!$Q$10),"")</f>
        <v/>
      </c>
      <c r="W26" s="49" t="str">
        <f ca="1">IF(AND('Mapa final'!$AA$11="Media",'Mapa final'!$AC$11="Moderado"),CONCATENATE("R1C",'Mapa final'!$Q$11),"")</f>
        <v/>
      </c>
      <c r="X26" s="49" t="str">
        <f ca="1">IF(AND('Mapa final'!$AA$12="Media",'Mapa final'!$AC$12="Moderado"),CONCATENATE("R1C",'Mapa final'!$Q$12),"")</f>
        <v/>
      </c>
      <c r="Y26" s="49" t="str">
        <f ca="1">IF(AND('Mapa final'!$AA$13="Media",'Mapa final'!$AC$13="Moderado"),CONCATENATE("R1C",'Mapa final'!$Q$13),"")</f>
        <v/>
      </c>
      <c r="Z26" s="49" t="str">
        <f>IF(AND('Mapa final'!$AA$14="Media",'Mapa final'!$AC$14="Moderado"),CONCATENATE("R1C",'Mapa final'!$Q$14),"")</f>
        <v/>
      </c>
      <c r="AA26" s="50" t="str">
        <f>IF(AND('Mapa final'!$AA$15="Media",'Mapa final'!$AC$15="Moderado"),CONCATENATE("R1C",'Mapa final'!$Q$15),"")</f>
        <v/>
      </c>
      <c r="AB26" s="30" t="str">
        <f ca="1">IF(AND('Mapa final'!$AA$10="Media",'Mapa final'!$AC$10="Mayor"),CONCATENATE("R1C",'Mapa final'!$Q$10),"")</f>
        <v/>
      </c>
      <c r="AC26" s="31" t="str">
        <f ca="1">IF(AND('Mapa final'!$AA$11="Media",'Mapa final'!$AC$11="Mayor"),CONCATENATE("R1C",'Mapa final'!$Q$11),"")</f>
        <v/>
      </c>
      <c r="AD26" s="31" t="str">
        <f ca="1">IF(AND('Mapa final'!$AA$12="Media",'Mapa final'!$AC$12="Mayor"),CONCATENATE("R1C",'Mapa final'!$Q$12),"")</f>
        <v/>
      </c>
      <c r="AE26" s="31" t="str">
        <f ca="1">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 ca="1">IF(AND('Mapa final'!$AA$10="Media",'Mapa final'!$AC$10="Catastrófico"),CONCATENATE("R1C",'Mapa final'!$Q$10),"")</f>
        <v/>
      </c>
      <c r="AI26" s="34" t="str">
        <f ca="1">IF(AND('Mapa final'!$AA$11="Media",'Mapa final'!$AC$11="Catastrófico"),CONCATENATE("R1C",'Mapa final'!$Q$11),"")</f>
        <v/>
      </c>
      <c r="AJ26" s="34" t="str">
        <f ca="1">IF(AND('Mapa final'!$AA$12="Media",'Mapa final'!$AC$12="Catastrófico"),CONCATENATE("R1C",'Mapa final'!$Q$12),"")</f>
        <v/>
      </c>
      <c r="AK26" s="34" t="str">
        <f ca="1">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7"/>
      <c r="AO26" s="417" t="s">
        <v>80</v>
      </c>
      <c r="AP26" s="418"/>
      <c r="AQ26" s="418"/>
      <c r="AR26" s="418"/>
      <c r="AS26" s="418"/>
      <c r="AT26" s="419"/>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339"/>
      <c r="C27" s="339"/>
      <c r="D27" s="340"/>
      <c r="E27" s="396"/>
      <c r="F27" s="381"/>
      <c r="G27" s="381"/>
      <c r="H27" s="381"/>
      <c r="I27" s="382"/>
      <c r="J27" s="51" t="str">
        <f ca="1">IF(AND('Mapa final'!$AA$16="Media",'Mapa final'!$AC$16="Leve"),CONCATENATE("R2C",'Mapa final'!$Q$16),"")</f>
        <v/>
      </c>
      <c r="K27" s="52" t="str">
        <f>IF(AND('Mapa final'!$AA$17="Media",'Mapa final'!$AC$17="Leve"),CONCATENATE("R2C",'Mapa final'!$Q$17),"")</f>
        <v/>
      </c>
      <c r="L27" s="52" t="str">
        <f>IF(AND('Mapa final'!$AA$18="Media",'Mapa final'!$AC$18="Leve"),CONCATENATE("R2C",'Mapa final'!$Q$18),"")</f>
        <v/>
      </c>
      <c r="M27" s="52" t="str">
        <f>IF(AND('Mapa final'!$AA$19="Media",'Mapa final'!$AC$19="Leve"),CONCATENATE("R2C",'Mapa final'!$Q$19),"")</f>
        <v/>
      </c>
      <c r="N27" s="52" t="str">
        <f>IF(AND('Mapa final'!$AA$20="Media",'Mapa final'!$AC$20="Leve"),CONCATENATE("R2C",'Mapa final'!$Q$20),"")</f>
        <v/>
      </c>
      <c r="O27" s="53" t="str">
        <f>IF(AND('Mapa final'!$AA$21="Media",'Mapa final'!$AC$21="Leve"),CONCATENATE("R2C",'Mapa final'!$Q$21),"")</f>
        <v/>
      </c>
      <c r="P27" s="51" t="str">
        <f ca="1">IF(AND('Mapa final'!$AA$16="Media",'Mapa final'!$AC$16="Menor"),CONCATENATE("R2C",'Mapa final'!$Q$16),"")</f>
        <v/>
      </c>
      <c r="Q27" s="52" t="str">
        <f>IF(AND('Mapa final'!$AA$17="Media",'Mapa final'!$AC$17="Menor"),CONCATENATE("R2C",'Mapa final'!$Q$17),"")</f>
        <v/>
      </c>
      <c r="R27" s="52" t="str">
        <f>IF(AND('Mapa final'!$AA$18="Media",'Mapa final'!$AC$18="Menor"),CONCATENATE("R2C",'Mapa final'!$Q$18),"")</f>
        <v/>
      </c>
      <c r="S27" s="52" t="str">
        <f>IF(AND('Mapa final'!$AA$19="Media",'Mapa final'!$AC$19="Menor"),CONCATENATE("R2C",'Mapa final'!$Q$19),"")</f>
        <v/>
      </c>
      <c r="T27" s="52" t="str">
        <f>IF(AND('Mapa final'!$AA$20="Media",'Mapa final'!$AC$20="Menor"),CONCATENATE("R2C",'Mapa final'!$Q$20),"")</f>
        <v/>
      </c>
      <c r="U27" s="53" t="str">
        <f>IF(AND('Mapa final'!$AA$21="Media",'Mapa final'!$AC$21="Menor"),CONCATENATE("R2C",'Mapa final'!$Q$21),"")</f>
        <v/>
      </c>
      <c r="V27" s="51" t="str">
        <f ca="1">IF(AND('Mapa final'!$AA$16="Media",'Mapa final'!$AC$16="Moderado"),CONCATENATE("R2C",'Mapa final'!$Q$16),"")</f>
        <v/>
      </c>
      <c r="W27" s="52" t="str">
        <f>IF(AND('Mapa final'!$AA$17="Media",'Mapa final'!$AC$17="Moderado"),CONCATENATE("R2C",'Mapa final'!$Q$17),"")</f>
        <v/>
      </c>
      <c r="X27" s="52" t="str">
        <f>IF(AND('Mapa final'!$AA$18="Media",'Mapa final'!$AC$18="Moderado"),CONCATENATE("R2C",'Mapa final'!$Q$18),"")</f>
        <v/>
      </c>
      <c r="Y27" s="52" t="str">
        <f>IF(AND('Mapa final'!$AA$19="Media",'Mapa final'!$AC$19="Moderado"),CONCATENATE("R2C",'Mapa final'!$Q$19),"")</f>
        <v/>
      </c>
      <c r="Z27" s="52" t="str">
        <f>IF(AND('Mapa final'!$AA$20="Media",'Mapa final'!$AC$20="Moderado"),CONCATENATE("R2C",'Mapa final'!$Q$20),"")</f>
        <v/>
      </c>
      <c r="AA27" s="53" t="str">
        <f>IF(AND('Mapa final'!$AA$21="Media",'Mapa final'!$AC$21="Moderado"),CONCATENATE("R2C",'Mapa final'!$Q$21),"")</f>
        <v/>
      </c>
      <c r="AB27" s="36" t="str">
        <f ca="1">IF(AND('Mapa final'!$AA$16="Media",'Mapa final'!$AC$16="Mayor"),CONCATENATE("R2C",'Mapa final'!$Q$16),"")</f>
        <v/>
      </c>
      <c r="AC27" s="37" t="str">
        <f>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 ca="1">IF(AND('Mapa final'!$AA$16="Media",'Mapa final'!$AC$16="Catastrófico"),CONCATENATE("R2C",'Mapa final'!$Q$16),"")</f>
        <v/>
      </c>
      <c r="AI27" s="40" t="str">
        <f>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7"/>
      <c r="AO27" s="420"/>
      <c r="AP27" s="421"/>
      <c r="AQ27" s="421"/>
      <c r="AR27" s="421"/>
      <c r="AS27" s="421"/>
      <c r="AT27" s="42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339"/>
      <c r="C28" s="339"/>
      <c r="D28" s="340"/>
      <c r="E28" s="380"/>
      <c r="F28" s="381"/>
      <c r="G28" s="381"/>
      <c r="H28" s="381"/>
      <c r="I28" s="382"/>
      <c r="J28" s="51" t="str">
        <f>IF(AND('Mapa final'!$AA$22="Media",'Mapa final'!$AC$22="Leve"),CONCATENATE("R3C",'Mapa final'!$Q$22),"")</f>
        <v/>
      </c>
      <c r="K28" s="52" t="str">
        <f>IF(AND('Mapa final'!$AA$23="Media",'Mapa final'!$AC$23="Leve"),CONCATENATE("R3C",'Mapa final'!$Q$23),"")</f>
        <v/>
      </c>
      <c r="L28" s="52" t="str">
        <f>IF(AND('Mapa final'!$AA$24="Media",'Mapa final'!$AC$24="Leve"),CONCATENATE("R3C",'Mapa final'!$Q$24),"")</f>
        <v/>
      </c>
      <c r="M28" s="52" t="str">
        <f>IF(AND('Mapa final'!$AA$25="Media",'Mapa final'!$AC$25="Leve"),CONCATENATE("R3C",'Mapa final'!$Q$25),"")</f>
        <v/>
      </c>
      <c r="N28" s="52" t="str">
        <f>IF(AND('Mapa final'!$AA$26="Media",'Mapa final'!$AC$26="Leve"),CONCATENATE("R3C",'Mapa final'!$Q$26),"")</f>
        <v/>
      </c>
      <c r="O28" s="53" t="str">
        <f>IF(AND('Mapa final'!$AA$27="Media",'Mapa final'!$AC$27="Leve"),CONCATENATE("R3C",'Mapa final'!$Q$27),"")</f>
        <v/>
      </c>
      <c r="P28" s="51" t="str">
        <f>IF(AND('Mapa final'!$AA$22="Media",'Mapa final'!$AC$22="Menor"),CONCATENATE("R3C",'Mapa final'!$Q$22),"")</f>
        <v/>
      </c>
      <c r="Q28" s="52" t="str">
        <f>IF(AND('Mapa final'!$AA$23="Media",'Mapa final'!$AC$23="Menor"),CONCATENATE("R3C",'Mapa final'!$Q$23),"")</f>
        <v/>
      </c>
      <c r="R28" s="52" t="str">
        <f>IF(AND('Mapa final'!$AA$24="Media",'Mapa final'!$AC$24="Menor"),CONCATENATE("R3C",'Mapa final'!$Q$24),"")</f>
        <v/>
      </c>
      <c r="S28" s="52" t="str">
        <f>IF(AND('Mapa final'!$AA$25="Media",'Mapa final'!$AC$25="Menor"),CONCATENATE("R3C",'Mapa final'!$Q$25),"")</f>
        <v/>
      </c>
      <c r="T28" s="52" t="str">
        <f>IF(AND('Mapa final'!$AA$26="Media",'Mapa final'!$AC$26="Menor"),CONCATENATE("R3C",'Mapa final'!$Q$26),"")</f>
        <v/>
      </c>
      <c r="U28" s="53" t="str">
        <f>IF(AND('Mapa final'!$AA$27="Media",'Mapa final'!$AC$27="Menor"),CONCATENATE("R3C",'Mapa final'!$Q$27),"")</f>
        <v/>
      </c>
      <c r="V28" s="51" t="str">
        <f>IF(AND('Mapa final'!$AA$22="Media",'Mapa final'!$AC$22="Moderado"),CONCATENATE("R3C",'Mapa final'!$Q$22),"")</f>
        <v/>
      </c>
      <c r="W28" s="52" t="str">
        <f>IF(AND('Mapa final'!$AA$23="Media",'Mapa final'!$AC$23="Moderado"),CONCATENATE("R3C",'Mapa final'!$Q$23),"")</f>
        <v/>
      </c>
      <c r="X28" s="52" t="str">
        <f>IF(AND('Mapa final'!$AA$24="Media",'Mapa final'!$AC$24="Moderado"),CONCATENATE("R3C",'Mapa final'!$Q$24),"")</f>
        <v/>
      </c>
      <c r="Y28" s="52" t="str">
        <f>IF(AND('Mapa final'!$AA$25="Media",'Mapa final'!$AC$25="Moderado"),CONCATENATE("R3C",'Mapa final'!$Q$25),"")</f>
        <v/>
      </c>
      <c r="Z28" s="52" t="str">
        <f>IF(AND('Mapa final'!$AA$26="Media",'Mapa final'!$AC$26="Moderado"),CONCATENATE("R3C",'Mapa final'!$Q$26),"")</f>
        <v/>
      </c>
      <c r="AA28" s="53"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7"/>
      <c r="AO28" s="420"/>
      <c r="AP28" s="421"/>
      <c r="AQ28" s="421"/>
      <c r="AR28" s="421"/>
      <c r="AS28" s="421"/>
      <c r="AT28" s="42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339"/>
      <c r="C29" s="339"/>
      <c r="D29" s="340"/>
      <c r="E29" s="380"/>
      <c r="F29" s="381"/>
      <c r="G29" s="381"/>
      <c r="H29" s="381"/>
      <c r="I29" s="382"/>
      <c r="J29" s="51" t="str">
        <f>IF(AND('Mapa final'!$AA$28="Media",'Mapa final'!$AC$28="Leve"),CONCATENATE("R4C",'Mapa final'!$Q$28),"")</f>
        <v/>
      </c>
      <c r="K29" s="52" t="str">
        <f>IF(AND('Mapa final'!$AA$29="Media",'Mapa final'!$AC$29="Leve"),CONCATENATE("R4C",'Mapa final'!$Q$29),"")</f>
        <v/>
      </c>
      <c r="L29" s="52" t="str">
        <f>IF(AND('Mapa final'!$AA$30="Media",'Mapa final'!$AC$30="Leve"),CONCATENATE("R4C",'Mapa final'!$Q$30),"")</f>
        <v/>
      </c>
      <c r="M29" s="52" t="str">
        <f>IF(AND('Mapa final'!$AA$31="Media",'Mapa final'!$AC$31="Leve"),CONCATENATE("R4C",'Mapa final'!$Q$31),"")</f>
        <v/>
      </c>
      <c r="N29" s="52" t="str">
        <f>IF(AND('Mapa final'!$AA$32="Media",'Mapa final'!$AC$32="Leve"),CONCATENATE("R4C",'Mapa final'!$Q$32),"")</f>
        <v/>
      </c>
      <c r="O29" s="53" t="str">
        <f>IF(AND('Mapa final'!$AA$33="Media",'Mapa final'!$AC$33="Leve"),CONCATENATE("R4C",'Mapa final'!$Q$33),"")</f>
        <v/>
      </c>
      <c r="P29" s="51" t="str">
        <f>IF(AND('Mapa final'!$AA$28="Media",'Mapa final'!$AC$28="Menor"),CONCATENATE("R4C",'Mapa final'!$Q$28),"")</f>
        <v/>
      </c>
      <c r="Q29" s="52" t="str">
        <f>IF(AND('Mapa final'!$AA$29="Media",'Mapa final'!$AC$29="Menor"),CONCATENATE("R4C",'Mapa final'!$Q$29),"")</f>
        <v/>
      </c>
      <c r="R29" s="52" t="str">
        <f>IF(AND('Mapa final'!$AA$30="Media",'Mapa final'!$AC$30="Menor"),CONCATENATE("R4C",'Mapa final'!$Q$30),"")</f>
        <v/>
      </c>
      <c r="S29" s="52" t="str">
        <f>IF(AND('Mapa final'!$AA$31="Media",'Mapa final'!$AC$31="Menor"),CONCATENATE("R4C",'Mapa final'!$Q$31),"")</f>
        <v/>
      </c>
      <c r="T29" s="52" t="str">
        <f>IF(AND('Mapa final'!$AA$32="Media",'Mapa final'!$AC$32="Menor"),CONCATENATE("R4C",'Mapa final'!$Q$32),"")</f>
        <v/>
      </c>
      <c r="U29" s="53" t="str">
        <f>IF(AND('Mapa final'!$AA$33="Media",'Mapa final'!$AC$33="Menor"),CONCATENATE("R4C",'Mapa final'!$Q$33),"")</f>
        <v/>
      </c>
      <c r="V29" s="51" t="str">
        <f>IF(AND('Mapa final'!$AA$28="Media",'Mapa final'!$AC$28="Moderado"),CONCATENATE("R4C",'Mapa final'!$Q$28),"")</f>
        <v/>
      </c>
      <c r="W29" s="52" t="str">
        <f>IF(AND('Mapa final'!$AA$29="Media",'Mapa final'!$AC$29="Moderado"),CONCATENATE("R4C",'Mapa final'!$Q$29),"")</f>
        <v/>
      </c>
      <c r="X29" s="52" t="str">
        <f>IF(AND('Mapa final'!$AA$30="Media",'Mapa final'!$AC$30="Moderado"),CONCATENATE("R4C",'Mapa final'!$Q$30),"")</f>
        <v/>
      </c>
      <c r="Y29" s="52" t="str">
        <f>IF(AND('Mapa final'!$AA$31="Media",'Mapa final'!$AC$31="Moderado"),CONCATENATE("R4C",'Mapa final'!$Q$31),"")</f>
        <v/>
      </c>
      <c r="Z29" s="52" t="str">
        <f>IF(AND('Mapa final'!$AA$32="Media",'Mapa final'!$AC$32="Moderado"),CONCATENATE("R4C",'Mapa final'!$Q$32),"")</f>
        <v/>
      </c>
      <c r="AA29" s="53"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37" t="str">
        <f>IF(AND('Mapa final'!$AA$30="Media",'Mapa final'!$AC$30="Mayor"),CONCATENATE("R4C",'Mapa final'!$Q$30),"")</f>
        <v/>
      </c>
      <c r="AE29" s="37" t="str">
        <f>IF(AND('Mapa final'!$AA$31="Media",'Mapa final'!$AC$31="Mayor"),CONCATENATE("R4C",'Mapa final'!$Q$31),"")</f>
        <v/>
      </c>
      <c r="AF29" s="37"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7"/>
      <c r="AO29" s="420"/>
      <c r="AP29" s="421"/>
      <c r="AQ29" s="421"/>
      <c r="AR29" s="421"/>
      <c r="AS29" s="421"/>
      <c r="AT29" s="422"/>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339"/>
      <c r="C30" s="339"/>
      <c r="D30" s="340"/>
      <c r="E30" s="380"/>
      <c r="F30" s="381"/>
      <c r="G30" s="381"/>
      <c r="H30" s="381"/>
      <c r="I30" s="382"/>
      <c r="J30" s="51" t="str">
        <f>IF(AND('Mapa final'!$AA$34="Media",'Mapa final'!$AC$34="Leve"),CONCATENATE("R5C",'Mapa final'!$Q$34),"")</f>
        <v/>
      </c>
      <c r="K30" s="52" t="str">
        <f>IF(AND('Mapa final'!$AA$35="Media",'Mapa final'!$AC$35="Leve"),CONCATENATE("R5C",'Mapa final'!$Q$35),"")</f>
        <v/>
      </c>
      <c r="L30" s="52" t="str">
        <f>IF(AND('Mapa final'!$AA$36="Media",'Mapa final'!$AC$36="Leve"),CONCATENATE("R5C",'Mapa final'!$Q$36),"")</f>
        <v/>
      </c>
      <c r="M30" s="52" t="str">
        <f>IF(AND('Mapa final'!$AA$37="Media",'Mapa final'!$AC$37="Leve"),CONCATENATE("R5C",'Mapa final'!$Q$37),"")</f>
        <v/>
      </c>
      <c r="N30" s="52" t="str">
        <f>IF(AND('Mapa final'!$AA$38="Media",'Mapa final'!$AC$38="Leve"),CONCATENATE("R5C",'Mapa final'!$Q$38),"")</f>
        <v/>
      </c>
      <c r="O30" s="53" t="str">
        <f>IF(AND('Mapa final'!$AA$39="Media",'Mapa final'!$AC$39="Leve"),CONCATENATE("R5C",'Mapa final'!$Q$39),"")</f>
        <v/>
      </c>
      <c r="P30" s="51" t="str">
        <f>IF(AND('Mapa final'!$AA$34="Media",'Mapa final'!$AC$34="Menor"),CONCATENATE("R5C",'Mapa final'!$Q$34),"")</f>
        <v/>
      </c>
      <c r="Q30" s="52" t="str">
        <f>IF(AND('Mapa final'!$AA$35="Media",'Mapa final'!$AC$35="Menor"),CONCATENATE("R5C",'Mapa final'!$Q$35),"")</f>
        <v/>
      </c>
      <c r="R30" s="52" t="str">
        <f>IF(AND('Mapa final'!$AA$36="Media",'Mapa final'!$AC$36="Menor"),CONCATENATE("R5C",'Mapa final'!$Q$36),"")</f>
        <v/>
      </c>
      <c r="S30" s="52" t="str">
        <f>IF(AND('Mapa final'!$AA$37="Media",'Mapa final'!$AC$37="Menor"),CONCATENATE("R5C",'Mapa final'!$Q$37),"")</f>
        <v/>
      </c>
      <c r="T30" s="52" t="str">
        <f>IF(AND('Mapa final'!$AA$38="Media",'Mapa final'!$AC$38="Menor"),CONCATENATE("R5C",'Mapa final'!$Q$38),"")</f>
        <v/>
      </c>
      <c r="U30" s="53" t="str">
        <f>IF(AND('Mapa final'!$AA$39="Media",'Mapa final'!$AC$39="Menor"),CONCATENATE("R5C",'Mapa final'!$Q$39),"")</f>
        <v/>
      </c>
      <c r="V30" s="51" t="str">
        <f>IF(AND('Mapa final'!$AA$34="Media",'Mapa final'!$AC$34="Moderado"),CONCATENATE("R5C",'Mapa final'!$Q$34),"")</f>
        <v/>
      </c>
      <c r="W30" s="52" t="str">
        <f>IF(AND('Mapa final'!$AA$35="Media",'Mapa final'!$AC$35="Moderado"),CONCATENATE("R5C",'Mapa final'!$Q$35),"")</f>
        <v/>
      </c>
      <c r="X30" s="52" t="str">
        <f>IF(AND('Mapa final'!$AA$36="Media",'Mapa final'!$AC$36="Moderado"),CONCATENATE("R5C",'Mapa final'!$Q$36),"")</f>
        <v/>
      </c>
      <c r="Y30" s="52" t="str">
        <f>IF(AND('Mapa final'!$AA$37="Media",'Mapa final'!$AC$37="Moderado"),CONCATENATE("R5C",'Mapa final'!$Q$37),"")</f>
        <v/>
      </c>
      <c r="Z30" s="52" t="str">
        <f>IF(AND('Mapa final'!$AA$38="Media",'Mapa final'!$AC$38="Moderado"),CONCATENATE("R5C",'Mapa final'!$Q$38),"")</f>
        <v/>
      </c>
      <c r="AA30" s="53"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37" t="str">
        <f>IF(AND('Mapa final'!$AA$36="Media",'Mapa final'!$AC$36="Mayor"),CONCATENATE("R5C",'Mapa final'!$Q$36),"")</f>
        <v/>
      </c>
      <c r="AE30" s="37" t="str">
        <f>IF(AND('Mapa final'!$AA$37="Media",'Mapa final'!$AC$37="Mayor"),CONCATENATE("R5C",'Mapa final'!$Q$37),"")</f>
        <v/>
      </c>
      <c r="AF30" s="37"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7"/>
      <c r="AO30" s="420"/>
      <c r="AP30" s="421"/>
      <c r="AQ30" s="421"/>
      <c r="AR30" s="421"/>
      <c r="AS30" s="421"/>
      <c r="AT30" s="422"/>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339"/>
      <c r="C31" s="339"/>
      <c r="D31" s="340"/>
      <c r="E31" s="380"/>
      <c r="F31" s="381"/>
      <c r="G31" s="381"/>
      <c r="H31" s="381"/>
      <c r="I31" s="382"/>
      <c r="J31" s="51" t="str">
        <f>IF(AND('Mapa final'!$AA$40="Media",'Mapa final'!$AC$40="Leve"),CONCATENATE("R6C",'Mapa final'!$Q$40),"")</f>
        <v/>
      </c>
      <c r="K31" s="52" t="str">
        <f>IF(AND('Mapa final'!$AA$41="Media",'Mapa final'!$AC$41="Leve"),CONCATENATE("R6C",'Mapa final'!$Q$41),"")</f>
        <v/>
      </c>
      <c r="L31" s="52" t="str">
        <f>IF(AND('Mapa final'!$AA$42="Media",'Mapa final'!$AC$42="Leve"),CONCATENATE("R6C",'Mapa final'!$Q$42),"")</f>
        <v/>
      </c>
      <c r="M31" s="52" t="str">
        <f>IF(AND('Mapa final'!$AA$43="Media",'Mapa final'!$AC$43="Leve"),CONCATENATE("R6C",'Mapa final'!$Q$43),"")</f>
        <v/>
      </c>
      <c r="N31" s="52" t="str">
        <f>IF(AND('Mapa final'!$AA$44="Media",'Mapa final'!$AC$44="Leve"),CONCATENATE("R6C",'Mapa final'!$Q$44),"")</f>
        <v/>
      </c>
      <c r="O31" s="53" t="str">
        <f>IF(AND('Mapa final'!$AA$45="Media",'Mapa final'!$AC$45="Leve"),CONCATENATE("R6C",'Mapa final'!$Q$45),"")</f>
        <v/>
      </c>
      <c r="P31" s="51" t="str">
        <f>IF(AND('Mapa final'!$AA$40="Media",'Mapa final'!$AC$40="Menor"),CONCATENATE("R6C",'Mapa final'!$Q$40),"")</f>
        <v/>
      </c>
      <c r="Q31" s="52" t="str">
        <f>IF(AND('Mapa final'!$AA$41="Media",'Mapa final'!$AC$41="Menor"),CONCATENATE("R6C",'Mapa final'!$Q$41),"")</f>
        <v/>
      </c>
      <c r="R31" s="52" t="str">
        <f>IF(AND('Mapa final'!$AA$42="Media",'Mapa final'!$AC$42="Menor"),CONCATENATE("R6C",'Mapa final'!$Q$42),"")</f>
        <v/>
      </c>
      <c r="S31" s="52" t="str">
        <f>IF(AND('Mapa final'!$AA$43="Media",'Mapa final'!$AC$43="Menor"),CONCATENATE("R6C",'Mapa final'!$Q$43),"")</f>
        <v/>
      </c>
      <c r="T31" s="52" t="str">
        <f>IF(AND('Mapa final'!$AA$44="Media",'Mapa final'!$AC$44="Menor"),CONCATENATE("R6C",'Mapa final'!$Q$44),"")</f>
        <v/>
      </c>
      <c r="U31" s="53" t="str">
        <f>IF(AND('Mapa final'!$AA$45="Media",'Mapa final'!$AC$45="Menor"),CONCATENATE("R6C",'Mapa final'!$Q$45),"")</f>
        <v/>
      </c>
      <c r="V31" s="51" t="str">
        <f>IF(AND('Mapa final'!$AA$40="Media",'Mapa final'!$AC$40="Moderado"),CONCATENATE("R6C",'Mapa final'!$Q$40),"")</f>
        <v/>
      </c>
      <c r="W31" s="52" t="str">
        <f>IF(AND('Mapa final'!$AA$41="Media",'Mapa final'!$AC$41="Moderado"),CONCATENATE("R6C",'Mapa final'!$Q$41),"")</f>
        <v/>
      </c>
      <c r="X31" s="52" t="str">
        <f>IF(AND('Mapa final'!$AA$42="Media",'Mapa final'!$AC$42="Moderado"),CONCATENATE("R6C",'Mapa final'!$Q$42),"")</f>
        <v/>
      </c>
      <c r="Y31" s="52" t="str">
        <f>IF(AND('Mapa final'!$AA$43="Media",'Mapa final'!$AC$43="Moderado"),CONCATENATE("R6C",'Mapa final'!$Q$43),"")</f>
        <v/>
      </c>
      <c r="Z31" s="52" t="str">
        <f>IF(AND('Mapa final'!$AA$44="Media",'Mapa final'!$AC$44="Moderado"),CONCATENATE("R6C",'Mapa final'!$Q$44),"")</f>
        <v/>
      </c>
      <c r="AA31" s="53"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37" t="str">
        <f>IF(AND('Mapa final'!$AA$42="Media",'Mapa final'!$AC$42="Mayor"),CONCATENATE("R6C",'Mapa final'!$Q$42),"")</f>
        <v/>
      </c>
      <c r="AE31" s="37" t="str">
        <f>IF(AND('Mapa final'!$AA$43="Media",'Mapa final'!$AC$43="Mayor"),CONCATENATE("R6C",'Mapa final'!$Q$43),"")</f>
        <v/>
      </c>
      <c r="AF31" s="37"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7"/>
      <c r="AO31" s="420"/>
      <c r="AP31" s="421"/>
      <c r="AQ31" s="421"/>
      <c r="AR31" s="421"/>
      <c r="AS31" s="421"/>
      <c r="AT31" s="422"/>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339"/>
      <c r="C32" s="339"/>
      <c r="D32" s="340"/>
      <c r="E32" s="380"/>
      <c r="F32" s="381"/>
      <c r="G32" s="381"/>
      <c r="H32" s="381"/>
      <c r="I32" s="382"/>
      <c r="J32" s="51" t="str">
        <f>IF(AND('Mapa final'!$AA$46="Media",'Mapa final'!$AC$46="Leve"),CONCATENATE("R7C",'Mapa final'!$Q$46),"")</f>
        <v/>
      </c>
      <c r="K32" s="52" t="str">
        <f>IF(AND('Mapa final'!$AA$47="Media",'Mapa final'!$AC$47="Leve"),CONCATENATE("R7C",'Mapa final'!$Q$47),"")</f>
        <v/>
      </c>
      <c r="L32" s="52" t="str">
        <f>IF(AND('Mapa final'!$AA$48="Media",'Mapa final'!$AC$48="Leve"),CONCATENATE("R7C",'Mapa final'!$Q$48),"")</f>
        <v/>
      </c>
      <c r="M32" s="52" t="str">
        <f>IF(AND('Mapa final'!$AA$49="Media",'Mapa final'!$AC$49="Leve"),CONCATENATE("R7C",'Mapa final'!$Q$49),"")</f>
        <v/>
      </c>
      <c r="N32" s="52" t="str">
        <f>IF(AND('Mapa final'!$AA$50="Media",'Mapa final'!$AC$50="Leve"),CONCATENATE("R7C",'Mapa final'!$Q$50),"")</f>
        <v/>
      </c>
      <c r="O32" s="53" t="str">
        <f>IF(AND('Mapa final'!$AA$51="Media",'Mapa final'!$AC$51="Leve"),CONCATENATE("R7C",'Mapa final'!$Q$51),"")</f>
        <v/>
      </c>
      <c r="P32" s="51" t="str">
        <f>IF(AND('Mapa final'!$AA$46="Media",'Mapa final'!$AC$46="Menor"),CONCATENATE("R7C",'Mapa final'!$Q$46),"")</f>
        <v/>
      </c>
      <c r="Q32" s="52" t="str">
        <f>IF(AND('Mapa final'!$AA$47="Media",'Mapa final'!$AC$47="Menor"),CONCATENATE("R7C",'Mapa final'!$Q$47),"")</f>
        <v/>
      </c>
      <c r="R32" s="52" t="str">
        <f>IF(AND('Mapa final'!$AA$48="Media",'Mapa final'!$AC$48="Menor"),CONCATENATE("R7C",'Mapa final'!$Q$48),"")</f>
        <v/>
      </c>
      <c r="S32" s="52" t="str">
        <f>IF(AND('Mapa final'!$AA$49="Media",'Mapa final'!$AC$49="Menor"),CONCATENATE("R7C",'Mapa final'!$Q$49),"")</f>
        <v/>
      </c>
      <c r="T32" s="52" t="str">
        <f>IF(AND('Mapa final'!$AA$50="Media",'Mapa final'!$AC$50="Menor"),CONCATENATE("R7C",'Mapa final'!$Q$50),"")</f>
        <v/>
      </c>
      <c r="U32" s="53" t="str">
        <f>IF(AND('Mapa final'!$AA$51="Media",'Mapa final'!$AC$51="Menor"),CONCATENATE("R7C",'Mapa final'!$Q$51),"")</f>
        <v/>
      </c>
      <c r="V32" s="51" t="str">
        <f>IF(AND('Mapa final'!$AA$46="Media",'Mapa final'!$AC$46="Moderado"),CONCATENATE("R7C",'Mapa final'!$Q$46),"")</f>
        <v/>
      </c>
      <c r="W32" s="52" t="str">
        <f>IF(AND('Mapa final'!$AA$47="Media",'Mapa final'!$AC$47="Moderado"),CONCATENATE("R7C",'Mapa final'!$Q$47),"")</f>
        <v/>
      </c>
      <c r="X32" s="52" t="str">
        <f>IF(AND('Mapa final'!$AA$48="Media",'Mapa final'!$AC$48="Moderado"),CONCATENATE("R7C",'Mapa final'!$Q$48),"")</f>
        <v/>
      </c>
      <c r="Y32" s="52" t="str">
        <f>IF(AND('Mapa final'!$AA$49="Media",'Mapa final'!$AC$49="Moderado"),CONCATENATE("R7C",'Mapa final'!$Q$49),"")</f>
        <v/>
      </c>
      <c r="Z32" s="52" t="str">
        <f>IF(AND('Mapa final'!$AA$50="Media",'Mapa final'!$AC$50="Moderado"),CONCATENATE("R7C",'Mapa final'!$Q$50),"")</f>
        <v/>
      </c>
      <c r="AA32" s="53"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37" t="str">
        <f>IF(AND('Mapa final'!$AA$48="Media",'Mapa final'!$AC$48="Mayor"),CONCATENATE("R7C",'Mapa final'!$Q$48),"")</f>
        <v/>
      </c>
      <c r="AE32" s="37" t="str">
        <f>IF(AND('Mapa final'!$AA$49="Media",'Mapa final'!$AC$49="Mayor"),CONCATENATE("R7C",'Mapa final'!$Q$49),"")</f>
        <v/>
      </c>
      <c r="AF32" s="37"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7"/>
      <c r="AO32" s="420"/>
      <c r="AP32" s="421"/>
      <c r="AQ32" s="421"/>
      <c r="AR32" s="421"/>
      <c r="AS32" s="421"/>
      <c r="AT32" s="422"/>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339"/>
      <c r="C33" s="339"/>
      <c r="D33" s="340"/>
      <c r="E33" s="380"/>
      <c r="F33" s="381"/>
      <c r="G33" s="381"/>
      <c r="H33" s="381"/>
      <c r="I33" s="382"/>
      <c r="J33" s="51" t="str">
        <f>IF(AND('Mapa final'!$AA$52="Media",'Mapa final'!$AC$52="Leve"),CONCATENATE("R8C",'Mapa final'!$Q$52),"")</f>
        <v/>
      </c>
      <c r="K33" s="52" t="str">
        <f>IF(AND('Mapa final'!$AA$53="Media",'Mapa final'!$AC$53="Leve"),CONCATENATE("R8C",'Mapa final'!$Q$53),"")</f>
        <v/>
      </c>
      <c r="L33" s="52" t="str">
        <f>IF(AND('Mapa final'!$AA$54="Media",'Mapa final'!$AC$54="Leve"),CONCATENATE("R8C",'Mapa final'!$Q$54),"")</f>
        <v/>
      </c>
      <c r="M33" s="52" t="str">
        <f>IF(AND('Mapa final'!$AA$55="Media",'Mapa final'!$AC$55="Leve"),CONCATENATE("R8C",'Mapa final'!$Q$55),"")</f>
        <v/>
      </c>
      <c r="N33" s="52" t="str">
        <f>IF(AND('Mapa final'!$AA$56="Media",'Mapa final'!$AC$56="Leve"),CONCATENATE("R8C",'Mapa final'!$Q$56),"")</f>
        <v/>
      </c>
      <c r="O33" s="53" t="str">
        <f>IF(AND('Mapa final'!$AA$57="Media",'Mapa final'!$AC$57="Leve"),CONCATENATE("R8C",'Mapa final'!$Q$57),"")</f>
        <v/>
      </c>
      <c r="P33" s="51" t="str">
        <f>IF(AND('Mapa final'!$AA$52="Media",'Mapa final'!$AC$52="Menor"),CONCATENATE("R8C",'Mapa final'!$Q$52),"")</f>
        <v/>
      </c>
      <c r="Q33" s="52" t="str">
        <f>IF(AND('Mapa final'!$AA$53="Media",'Mapa final'!$AC$53="Menor"),CONCATENATE("R8C",'Mapa final'!$Q$53),"")</f>
        <v/>
      </c>
      <c r="R33" s="52" t="str">
        <f>IF(AND('Mapa final'!$AA$54="Media",'Mapa final'!$AC$54="Menor"),CONCATENATE("R8C",'Mapa final'!$Q$54),"")</f>
        <v/>
      </c>
      <c r="S33" s="52" t="str">
        <f>IF(AND('Mapa final'!$AA$55="Media",'Mapa final'!$AC$55="Menor"),CONCATENATE("R8C",'Mapa final'!$Q$55),"")</f>
        <v/>
      </c>
      <c r="T33" s="52" t="str">
        <f>IF(AND('Mapa final'!$AA$56="Media",'Mapa final'!$AC$56="Menor"),CONCATENATE("R8C",'Mapa final'!$Q$56),"")</f>
        <v/>
      </c>
      <c r="U33" s="53" t="str">
        <f>IF(AND('Mapa final'!$AA$57="Media",'Mapa final'!$AC$57="Menor"),CONCATENATE("R8C",'Mapa final'!$Q$57),"")</f>
        <v/>
      </c>
      <c r="V33" s="51" t="str">
        <f>IF(AND('Mapa final'!$AA$52="Media",'Mapa final'!$AC$52="Moderado"),CONCATENATE("R8C",'Mapa final'!$Q$52),"")</f>
        <v/>
      </c>
      <c r="W33" s="52" t="str">
        <f>IF(AND('Mapa final'!$AA$53="Media",'Mapa final'!$AC$53="Moderado"),CONCATENATE("R8C",'Mapa final'!$Q$53),"")</f>
        <v/>
      </c>
      <c r="X33" s="52" t="str">
        <f>IF(AND('Mapa final'!$AA$54="Media",'Mapa final'!$AC$54="Moderado"),CONCATENATE("R8C",'Mapa final'!$Q$54),"")</f>
        <v/>
      </c>
      <c r="Y33" s="52" t="str">
        <f>IF(AND('Mapa final'!$AA$55="Media",'Mapa final'!$AC$55="Moderado"),CONCATENATE("R8C",'Mapa final'!$Q$55),"")</f>
        <v/>
      </c>
      <c r="Z33" s="52" t="str">
        <f>IF(AND('Mapa final'!$AA$56="Media",'Mapa final'!$AC$56="Moderado"),CONCATENATE("R8C",'Mapa final'!$Q$56),"")</f>
        <v/>
      </c>
      <c r="AA33" s="53"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37" t="str">
        <f>IF(AND('Mapa final'!$AA$54="Media",'Mapa final'!$AC$54="Mayor"),CONCATENATE("R8C",'Mapa final'!$Q$54),"")</f>
        <v/>
      </c>
      <c r="AE33" s="37" t="str">
        <f>IF(AND('Mapa final'!$AA$55="Media",'Mapa final'!$AC$55="Mayor"),CONCATENATE("R8C",'Mapa final'!$Q$55),"")</f>
        <v/>
      </c>
      <c r="AF33" s="37"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7"/>
      <c r="AO33" s="420"/>
      <c r="AP33" s="421"/>
      <c r="AQ33" s="421"/>
      <c r="AR33" s="421"/>
      <c r="AS33" s="421"/>
      <c r="AT33" s="422"/>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339"/>
      <c r="C34" s="339"/>
      <c r="D34" s="340"/>
      <c r="E34" s="380"/>
      <c r="F34" s="381"/>
      <c r="G34" s="381"/>
      <c r="H34" s="381"/>
      <c r="I34" s="382"/>
      <c r="J34" s="51" t="str">
        <f>IF(AND('Mapa final'!$AA$58="Media",'Mapa final'!$AC$58="Leve"),CONCATENATE("R9C",'Mapa final'!$Q$58),"")</f>
        <v/>
      </c>
      <c r="K34" s="52" t="str">
        <f>IF(AND('Mapa final'!$AA$59="Media",'Mapa final'!$AC$59="Leve"),CONCATENATE("R9C",'Mapa final'!$Q$59),"")</f>
        <v/>
      </c>
      <c r="L34" s="52" t="str">
        <f>IF(AND('Mapa final'!$AA$60="Media",'Mapa final'!$AC$60="Leve"),CONCATENATE("R9C",'Mapa final'!$Q$60),"")</f>
        <v/>
      </c>
      <c r="M34" s="52" t="str">
        <f>IF(AND('Mapa final'!$AA$61="Media",'Mapa final'!$AC$61="Leve"),CONCATENATE("R9C",'Mapa final'!$Q$61),"")</f>
        <v/>
      </c>
      <c r="N34" s="52" t="str">
        <f>IF(AND('Mapa final'!$AA$62="Media",'Mapa final'!$AC$62="Leve"),CONCATENATE("R9C",'Mapa final'!$Q$62),"")</f>
        <v/>
      </c>
      <c r="O34" s="53" t="str">
        <f>IF(AND('Mapa final'!$AA$63="Media",'Mapa final'!$AC$63="Leve"),CONCATENATE("R9C",'Mapa final'!$Q$63),"")</f>
        <v/>
      </c>
      <c r="P34" s="51" t="str">
        <f>IF(AND('Mapa final'!$AA$58="Media",'Mapa final'!$AC$58="Menor"),CONCATENATE("R9C",'Mapa final'!$Q$58),"")</f>
        <v/>
      </c>
      <c r="Q34" s="52" t="str">
        <f>IF(AND('Mapa final'!$AA$59="Media",'Mapa final'!$AC$59="Menor"),CONCATENATE("R9C",'Mapa final'!$Q$59),"")</f>
        <v/>
      </c>
      <c r="R34" s="52" t="str">
        <f>IF(AND('Mapa final'!$AA$60="Media",'Mapa final'!$AC$60="Menor"),CONCATENATE("R9C",'Mapa final'!$Q$60),"")</f>
        <v/>
      </c>
      <c r="S34" s="52" t="str">
        <f>IF(AND('Mapa final'!$AA$61="Media",'Mapa final'!$AC$61="Menor"),CONCATENATE("R9C",'Mapa final'!$Q$61),"")</f>
        <v/>
      </c>
      <c r="T34" s="52" t="str">
        <f>IF(AND('Mapa final'!$AA$62="Media",'Mapa final'!$AC$62="Menor"),CONCATENATE("R9C",'Mapa final'!$Q$62),"")</f>
        <v/>
      </c>
      <c r="U34" s="53" t="str">
        <f>IF(AND('Mapa final'!$AA$63="Media",'Mapa final'!$AC$63="Menor"),CONCATENATE("R9C",'Mapa final'!$Q$63),"")</f>
        <v/>
      </c>
      <c r="V34" s="51" t="str">
        <f>IF(AND('Mapa final'!$AA$58="Media",'Mapa final'!$AC$58="Moderado"),CONCATENATE("R9C",'Mapa final'!$Q$58),"")</f>
        <v/>
      </c>
      <c r="W34" s="52" t="str">
        <f>IF(AND('Mapa final'!$AA$59="Media",'Mapa final'!$AC$59="Moderado"),CONCATENATE("R9C",'Mapa final'!$Q$59),"")</f>
        <v/>
      </c>
      <c r="X34" s="52" t="str">
        <f>IF(AND('Mapa final'!$AA$60="Media",'Mapa final'!$AC$60="Moderado"),CONCATENATE("R9C",'Mapa final'!$Q$60),"")</f>
        <v/>
      </c>
      <c r="Y34" s="52" t="str">
        <f>IF(AND('Mapa final'!$AA$61="Media",'Mapa final'!$AC$61="Moderado"),CONCATENATE("R9C",'Mapa final'!$Q$61),"")</f>
        <v/>
      </c>
      <c r="Z34" s="52" t="str">
        <f>IF(AND('Mapa final'!$AA$62="Media",'Mapa final'!$AC$62="Moderado"),CONCATENATE("R9C",'Mapa final'!$Q$62),"")</f>
        <v/>
      </c>
      <c r="AA34" s="53"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37" t="str">
        <f>IF(AND('Mapa final'!$AA$60="Media",'Mapa final'!$AC$60="Mayor"),CONCATENATE("R9C",'Mapa final'!$Q$60),"")</f>
        <v/>
      </c>
      <c r="AE34" s="37" t="str">
        <f>IF(AND('Mapa final'!$AA$61="Media",'Mapa final'!$AC$61="Mayor"),CONCATENATE("R9C",'Mapa final'!$Q$61),"")</f>
        <v/>
      </c>
      <c r="AF34" s="37"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7"/>
      <c r="AO34" s="420"/>
      <c r="AP34" s="421"/>
      <c r="AQ34" s="421"/>
      <c r="AR34" s="421"/>
      <c r="AS34" s="421"/>
      <c r="AT34" s="422"/>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339"/>
      <c r="C35" s="339"/>
      <c r="D35" s="340"/>
      <c r="E35" s="383"/>
      <c r="F35" s="384"/>
      <c r="G35" s="384"/>
      <c r="H35" s="384"/>
      <c r="I35" s="385"/>
      <c r="J35" s="51" t="str">
        <f>IF(AND('Mapa final'!$AA$64="Media",'Mapa final'!$AC$64="Leve"),CONCATENATE("R10C",'Mapa final'!$Q$64),"")</f>
        <v/>
      </c>
      <c r="K35" s="52" t="str">
        <f>IF(AND('Mapa final'!$AA$65="Media",'Mapa final'!$AC$65="Leve"),CONCATENATE("R10C",'Mapa final'!$Q$65),"")</f>
        <v/>
      </c>
      <c r="L35" s="52" t="str">
        <f>IF(AND('Mapa final'!$AA$66="Media",'Mapa final'!$AC$66="Leve"),CONCATENATE("R10C",'Mapa final'!$Q$66),"")</f>
        <v/>
      </c>
      <c r="M35" s="52" t="str">
        <f>IF(AND('Mapa final'!$AA$67="Media",'Mapa final'!$AC$67="Leve"),CONCATENATE("R10C",'Mapa final'!$Q$67),"")</f>
        <v/>
      </c>
      <c r="N35" s="52" t="str">
        <f>IF(AND('Mapa final'!$AA$68="Media",'Mapa final'!$AC$68="Leve"),CONCATENATE("R10C",'Mapa final'!$Q$68),"")</f>
        <v/>
      </c>
      <c r="O35" s="53" t="str">
        <f>IF(AND('Mapa final'!$AA$69="Media",'Mapa final'!$AC$69="Leve"),CONCATENATE("R10C",'Mapa final'!$Q$69),"")</f>
        <v/>
      </c>
      <c r="P35" s="51" t="str">
        <f>IF(AND('Mapa final'!$AA$64="Media",'Mapa final'!$AC$64="Menor"),CONCATENATE("R10C",'Mapa final'!$Q$64),"")</f>
        <v/>
      </c>
      <c r="Q35" s="52" t="str">
        <f>IF(AND('Mapa final'!$AA$65="Media",'Mapa final'!$AC$65="Menor"),CONCATENATE("R10C",'Mapa final'!$Q$65),"")</f>
        <v/>
      </c>
      <c r="R35" s="52" t="str">
        <f>IF(AND('Mapa final'!$AA$66="Media",'Mapa final'!$AC$66="Menor"),CONCATENATE("R10C",'Mapa final'!$Q$66),"")</f>
        <v/>
      </c>
      <c r="S35" s="52" t="str">
        <f>IF(AND('Mapa final'!$AA$67="Media",'Mapa final'!$AC$67="Menor"),CONCATENATE("R10C",'Mapa final'!$Q$67),"")</f>
        <v/>
      </c>
      <c r="T35" s="52" t="str">
        <f>IF(AND('Mapa final'!$AA$68="Media",'Mapa final'!$AC$68="Menor"),CONCATENATE("R10C",'Mapa final'!$Q$68),"")</f>
        <v/>
      </c>
      <c r="U35" s="53" t="str">
        <f>IF(AND('Mapa final'!$AA$69="Media",'Mapa final'!$AC$69="Menor"),CONCATENATE("R10C",'Mapa final'!$Q$69),"")</f>
        <v/>
      </c>
      <c r="V35" s="51" t="str">
        <f>IF(AND('Mapa final'!$AA$64="Media",'Mapa final'!$AC$64="Moderado"),CONCATENATE("R10C",'Mapa final'!$Q$64),"")</f>
        <v/>
      </c>
      <c r="W35" s="52" t="str">
        <f>IF(AND('Mapa final'!$AA$65="Media",'Mapa final'!$AC$65="Moderado"),CONCATENATE("R10C",'Mapa final'!$Q$65),"")</f>
        <v/>
      </c>
      <c r="X35" s="52" t="str">
        <f>IF(AND('Mapa final'!$AA$66="Media",'Mapa final'!$AC$66="Moderado"),CONCATENATE("R10C",'Mapa final'!$Q$66),"")</f>
        <v/>
      </c>
      <c r="Y35" s="52" t="str">
        <f>IF(AND('Mapa final'!$AA$67="Media",'Mapa final'!$AC$67="Moderado"),CONCATENATE("R10C",'Mapa final'!$Q$67),"")</f>
        <v/>
      </c>
      <c r="Z35" s="52" t="str">
        <f>IF(AND('Mapa final'!$AA$68="Media",'Mapa final'!$AC$68="Moderado"),CONCATENATE("R10C",'Mapa final'!$Q$68),"")</f>
        <v/>
      </c>
      <c r="AA35" s="53" t="str">
        <f>IF(AND('Mapa final'!$AA$69="Media",'Mapa final'!$AC$69="Moderado"),CONCATENATE("R10C",'Mapa final'!$Q$69),"")</f>
        <v/>
      </c>
      <c r="AB35" s="42" t="str">
        <f>IF(AND('Mapa final'!$AA$64="Media",'Mapa final'!$AC$64="Mayor"),CONCATENATE("R10C",'Mapa final'!$Q$64),"")</f>
        <v/>
      </c>
      <c r="AC35" s="43" t="str">
        <f>IF(AND('Mapa final'!$AA$65="Media",'Mapa final'!$AC$65="Mayor"),CONCATENATE("R10C",'Mapa final'!$Q$65),"")</f>
        <v/>
      </c>
      <c r="AD35" s="43" t="str">
        <f>IF(AND('Mapa final'!$AA$66="Media",'Mapa final'!$AC$66="Mayor"),CONCATENATE("R10C",'Mapa final'!$Q$66),"")</f>
        <v/>
      </c>
      <c r="AE35" s="43" t="str">
        <f>IF(AND('Mapa final'!$AA$67="Media",'Mapa final'!$AC$67="Mayor"),CONCATENATE("R10C",'Mapa final'!$Q$67),"")</f>
        <v/>
      </c>
      <c r="AF35" s="43" t="str">
        <f>IF(AND('Mapa final'!$AA$68="Media",'Mapa final'!$AC$68="Mayor"),CONCATENATE("R10C",'Mapa final'!$Q$68),"")</f>
        <v/>
      </c>
      <c r="AG35" s="44" t="str">
        <f>IF(AND('Mapa final'!$AA$69="Media",'Mapa final'!$AC$69="Mayor"),CONCATENATE("R10C",'Mapa final'!$Q$69),"")</f>
        <v/>
      </c>
      <c r="AH35" s="45" t="str">
        <f>IF(AND('Mapa final'!$AA$64="Media",'Mapa final'!$AC$64="Catastrófico"),CONCATENATE("R10C",'Mapa final'!$Q$64),"")</f>
        <v/>
      </c>
      <c r="AI35" s="46" t="str">
        <f>IF(AND('Mapa final'!$AA$65="Media",'Mapa final'!$AC$65="Catastrófico"),CONCATENATE("R10C",'Mapa final'!$Q$65),"")</f>
        <v/>
      </c>
      <c r="AJ35" s="46" t="str">
        <f>IF(AND('Mapa final'!$AA$66="Media",'Mapa final'!$AC$66="Catastrófico"),CONCATENATE("R10C",'Mapa final'!$Q$66),"")</f>
        <v/>
      </c>
      <c r="AK35" s="46" t="str">
        <f>IF(AND('Mapa final'!$AA$67="Media",'Mapa final'!$AC$67="Catastrófico"),CONCATENATE("R10C",'Mapa final'!$Q$67),"")</f>
        <v/>
      </c>
      <c r="AL35" s="46" t="str">
        <f>IF(AND('Mapa final'!$AA$68="Media",'Mapa final'!$AC$68="Catastrófico"),CONCATENATE("R10C",'Mapa final'!$Q$68),"")</f>
        <v/>
      </c>
      <c r="AM35" s="47" t="str">
        <f>IF(AND('Mapa final'!$AA$69="Media",'Mapa final'!$AC$69="Catastrófico"),CONCATENATE("R10C",'Mapa final'!$Q$69),"")</f>
        <v/>
      </c>
      <c r="AN35" s="67"/>
      <c r="AO35" s="423"/>
      <c r="AP35" s="424"/>
      <c r="AQ35" s="424"/>
      <c r="AR35" s="424"/>
      <c r="AS35" s="424"/>
      <c r="AT35" s="425"/>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339"/>
      <c r="C36" s="339"/>
      <c r="D36" s="340"/>
      <c r="E36" s="377" t="s">
        <v>109</v>
      </c>
      <c r="F36" s="378"/>
      <c r="G36" s="378"/>
      <c r="H36" s="378"/>
      <c r="I36" s="378"/>
      <c r="J36" s="57" t="str">
        <f ca="1">IF(AND('Mapa final'!$AA$10="Baja",'Mapa final'!$AC$10="Leve"),CONCATENATE("R1C",'Mapa final'!$Q$10),"")</f>
        <v/>
      </c>
      <c r="K36" s="58" t="str">
        <f ca="1">IF(AND('Mapa final'!$AA$11="Baja",'Mapa final'!$AC$11="Leve"),CONCATENATE("R1C",'Mapa final'!$Q$11),"")</f>
        <v/>
      </c>
      <c r="L36" s="58" t="str">
        <f ca="1">IF(AND('Mapa final'!$AA$12="Baja",'Mapa final'!$AC$12="Leve"),CONCATENATE("R1C",'Mapa final'!$Q$12),"")</f>
        <v/>
      </c>
      <c r="M36" s="58" t="str">
        <f ca="1">IF(AND('Mapa final'!$AA$13="Baja",'Mapa final'!$AC$13="Leve"),CONCATENATE("R1C",'Mapa final'!$Q$13),"")</f>
        <v/>
      </c>
      <c r="N36" s="58" t="str">
        <f>IF(AND('Mapa final'!$AA$14="Baja",'Mapa final'!$AC$14="Leve"),CONCATENATE("R1C",'Mapa final'!$Q$14),"")</f>
        <v/>
      </c>
      <c r="O36" s="59" t="str">
        <f>IF(AND('Mapa final'!$AA$15="Baja",'Mapa final'!$AC$15="Leve"),CONCATENATE("R1C",'Mapa final'!$Q$15),"")</f>
        <v/>
      </c>
      <c r="P36" s="48" t="str">
        <f ca="1">IF(AND('Mapa final'!$AA$10="Baja",'Mapa final'!$AC$10="Menor"),CONCATENATE("R1C",'Mapa final'!$Q$10),"")</f>
        <v/>
      </c>
      <c r="Q36" s="49" t="str">
        <f ca="1">IF(AND('Mapa final'!$AA$11="Baja",'Mapa final'!$AC$11="Menor"),CONCATENATE("R1C",'Mapa final'!$Q$11),"")</f>
        <v/>
      </c>
      <c r="R36" s="49" t="str">
        <f ca="1">IF(AND('Mapa final'!$AA$12="Baja",'Mapa final'!$AC$12="Menor"),CONCATENATE("R1C",'Mapa final'!$Q$12),"")</f>
        <v/>
      </c>
      <c r="S36" s="49" t="str">
        <f ca="1">IF(AND('Mapa final'!$AA$13="Baja",'Mapa final'!$AC$13="Menor"),CONCATENATE("R1C",'Mapa final'!$Q$13),"")</f>
        <v/>
      </c>
      <c r="T36" s="49" t="str">
        <f>IF(AND('Mapa final'!$AA$14="Baja",'Mapa final'!$AC$14="Menor"),CONCATENATE("R1C",'Mapa final'!$Q$14),"")</f>
        <v/>
      </c>
      <c r="U36" s="50" t="str">
        <f>IF(AND('Mapa final'!$AA$15="Baja",'Mapa final'!$AC$15="Menor"),CONCATENATE("R1C",'Mapa final'!$Q$15),"")</f>
        <v/>
      </c>
      <c r="V36" s="48" t="str">
        <f ca="1">IF(AND('Mapa final'!$AA$10="Baja",'Mapa final'!$AC$10="Moderado"),CONCATENATE("R1C",'Mapa final'!$Q$10),"")</f>
        <v>R1C1</v>
      </c>
      <c r="W36" s="49" t="str">
        <f ca="1">IF(AND('Mapa final'!$AA$11="Baja",'Mapa final'!$AC$11="Moderado"),CONCATENATE("R1C",'Mapa final'!$Q$11),"")</f>
        <v/>
      </c>
      <c r="X36" s="49" t="str">
        <f ca="1">IF(AND('Mapa final'!$AA$12="Baja",'Mapa final'!$AC$12="Moderado"),CONCATENATE("R1C",'Mapa final'!$Q$12),"")</f>
        <v/>
      </c>
      <c r="Y36" s="49" t="str">
        <f ca="1">IF(AND('Mapa final'!$AA$13="Baja",'Mapa final'!$AC$13="Moderado"),CONCATENATE("R1C",'Mapa final'!$Q$13),"")</f>
        <v/>
      </c>
      <c r="Z36" s="49" t="str">
        <f>IF(AND('Mapa final'!$AA$14="Baja",'Mapa final'!$AC$14="Moderado"),CONCATENATE("R1C",'Mapa final'!$Q$14),"")</f>
        <v/>
      </c>
      <c r="AA36" s="50" t="str">
        <f>IF(AND('Mapa final'!$AA$15="Baja",'Mapa final'!$AC$15="Moderado"),CONCATENATE("R1C",'Mapa final'!$Q$15),"")</f>
        <v/>
      </c>
      <c r="AB36" s="30" t="str">
        <f ca="1">IF(AND('Mapa final'!$AA$10="Baja",'Mapa final'!$AC$10="Mayor"),CONCATENATE("R1C",'Mapa final'!$Q$10),"")</f>
        <v/>
      </c>
      <c r="AC36" s="31" t="str">
        <f ca="1">IF(AND('Mapa final'!$AA$11="Baja",'Mapa final'!$AC$11="Mayor"),CONCATENATE("R1C",'Mapa final'!$Q$11),"")</f>
        <v/>
      </c>
      <c r="AD36" s="31" t="str">
        <f ca="1">IF(AND('Mapa final'!$AA$12="Baja",'Mapa final'!$AC$12="Mayor"),CONCATENATE("R1C",'Mapa final'!$Q$12),"")</f>
        <v/>
      </c>
      <c r="AE36" s="31" t="str">
        <f ca="1">IF(AND('Mapa final'!$AA$13="Baja",'Mapa final'!$AC$13="Mayor"),CONCATENATE("R1C",'Mapa final'!$Q$13),"")</f>
        <v/>
      </c>
      <c r="AF36" s="31" t="str">
        <f>IF(AND('Mapa final'!$AA$14="Baja",'Mapa final'!$AC$14="Mayor"),CONCATENATE("R1C",'Mapa final'!$Q$14),"")</f>
        <v/>
      </c>
      <c r="AG36" s="32" t="str">
        <f>IF(AND('Mapa final'!$AA$15="Baja",'Mapa final'!$AC$15="Mayor"),CONCATENATE("R1C",'Mapa final'!$Q$15),"")</f>
        <v/>
      </c>
      <c r="AH36" s="33" t="str">
        <f ca="1">IF(AND('Mapa final'!$AA$10="Baja",'Mapa final'!$AC$10="Catastrófico"),CONCATENATE("R1C",'Mapa final'!$Q$10),"")</f>
        <v/>
      </c>
      <c r="AI36" s="34" t="str">
        <f ca="1">IF(AND('Mapa final'!$AA$11="Baja",'Mapa final'!$AC$11="Catastrófico"),CONCATENATE("R1C",'Mapa final'!$Q$11),"")</f>
        <v/>
      </c>
      <c r="AJ36" s="34" t="str">
        <f ca="1">IF(AND('Mapa final'!$AA$12="Baja",'Mapa final'!$AC$12="Catastrófico"),CONCATENATE("R1C",'Mapa final'!$Q$12),"")</f>
        <v/>
      </c>
      <c r="AK36" s="34" t="str">
        <f ca="1">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7"/>
      <c r="AO36" s="408" t="s">
        <v>81</v>
      </c>
      <c r="AP36" s="409"/>
      <c r="AQ36" s="409"/>
      <c r="AR36" s="409"/>
      <c r="AS36" s="409"/>
      <c r="AT36" s="410"/>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339"/>
      <c r="C37" s="339"/>
      <c r="D37" s="340"/>
      <c r="E37" s="396"/>
      <c r="F37" s="381"/>
      <c r="G37" s="381"/>
      <c r="H37" s="381"/>
      <c r="I37" s="381"/>
      <c r="J37" s="60" t="str">
        <f ca="1">IF(AND('Mapa final'!$AA$16="Baja",'Mapa final'!$AC$16="Leve"),CONCATENATE("R2C",'Mapa final'!$Q$16),"")</f>
        <v/>
      </c>
      <c r="K37" s="61" t="str">
        <f>IF(AND('Mapa final'!$AA$17="Baja",'Mapa final'!$AC$17="Leve"),CONCATENATE("R2C",'Mapa final'!$Q$17),"")</f>
        <v/>
      </c>
      <c r="L37" s="61" t="str">
        <f>IF(AND('Mapa final'!$AA$18="Baja",'Mapa final'!$AC$18="Leve"),CONCATENATE("R2C",'Mapa final'!$Q$18),"")</f>
        <v/>
      </c>
      <c r="M37" s="61" t="str">
        <f>IF(AND('Mapa final'!$AA$19="Baja",'Mapa final'!$AC$19="Leve"),CONCATENATE("R2C",'Mapa final'!$Q$19),"")</f>
        <v/>
      </c>
      <c r="N37" s="61" t="str">
        <f>IF(AND('Mapa final'!$AA$20="Baja",'Mapa final'!$AC$20="Leve"),CONCATENATE("R2C",'Mapa final'!$Q$20),"")</f>
        <v/>
      </c>
      <c r="O37" s="62" t="str">
        <f>IF(AND('Mapa final'!$AA$21="Baja",'Mapa final'!$AC$21="Leve"),CONCATENATE("R2C",'Mapa final'!$Q$21),"")</f>
        <v/>
      </c>
      <c r="P37" s="51" t="str">
        <f ca="1">IF(AND('Mapa final'!$AA$16="Baja",'Mapa final'!$AC$16="Menor"),CONCATENATE("R2C",'Mapa final'!$Q$16),"")</f>
        <v/>
      </c>
      <c r="Q37" s="52" t="str">
        <f>IF(AND('Mapa final'!$AA$17="Baja",'Mapa final'!$AC$17="Menor"),CONCATENATE("R2C",'Mapa final'!$Q$17),"")</f>
        <v/>
      </c>
      <c r="R37" s="52" t="str">
        <f>IF(AND('Mapa final'!$AA$18="Baja",'Mapa final'!$AC$18="Menor"),CONCATENATE("R2C",'Mapa final'!$Q$18),"")</f>
        <v/>
      </c>
      <c r="S37" s="52" t="str">
        <f>IF(AND('Mapa final'!$AA$19="Baja",'Mapa final'!$AC$19="Menor"),CONCATENATE("R2C",'Mapa final'!$Q$19),"")</f>
        <v/>
      </c>
      <c r="T37" s="52" t="str">
        <f>IF(AND('Mapa final'!$AA$20="Baja",'Mapa final'!$AC$20="Menor"),CONCATENATE("R2C",'Mapa final'!$Q$20),"")</f>
        <v/>
      </c>
      <c r="U37" s="53" t="str">
        <f>IF(AND('Mapa final'!$AA$21="Baja",'Mapa final'!$AC$21="Menor"),CONCATENATE("R2C",'Mapa final'!$Q$21),"")</f>
        <v/>
      </c>
      <c r="V37" s="51" t="str">
        <f ca="1">IF(AND('Mapa final'!$AA$16="Baja",'Mapa final'!$AC$16="Moderado"),CONCATENATE("R2C",'Mapa final'!$Q$16),"")</f>
        <v>R2C1</v>
      </c>
      <c r="W37" s="52" t="str">
        <f>IF(AND('Mapa final'!$AA$17="Baja",'Mapa final'!$AC$17="Moderado"),CONCATENATE("R2C",'Mapa final'!$Q$17),"")</f>
        <v/>
      </c>
      <c r="X37" s="52" t="str">
        <f>IF(AND('Mapa final'!$AA$18="Baja",'Mapa final'!$AC$18="Moderado"),CONCATENATE("R2C",'Mapa final'!$Q$18),"")</f>
        <v/>
      </c>
      <c r="Y37" s="52" t="str">
        <f>IF(AND('Mapa final'!$AA$19="Baja",'Mapa final'!$AC$19="Moderado"),CONCATENATE("R2C",'Mapa final'!$Q$19),"")</f>
        <v/>
      </c>
      <c r="Z37" s="52" t="str">
        <f>IF(AND('Mapa final'!$AA$20="Baja",'Mapa final'!$AC$20="Moderado"),CONCATENATE("R2C",'Mapa final'!$Q$20),"")</f>
        <v/>
      </c>
      <c r="AA37" s="53" t="str">
        <f>IF(AND('Mapa final'!$AA$21="Baja",'Mapa final'!$AC$21="Moderado"),CONCATENATE("R2C",'Mapa final'!$Q$21),"")</f>
        <v/>
      </c>
      <c r="AB37" s="36" t="str">
        <f ca="1">IF(AND('Mapa final'!$AA$16="Baja",'Mapa final'!$AC$16="Mayor"),CONCATENATE("R2C",'Mapa final'!$Q$16),"")</f>
        <v/>
      </c>
      <c r="AC37" s="37" t="str">
        <f>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 ca="1">IF(AND('Mapa final'!$AA$16="Baja",'Mapa final'!$AC$16="Catastrófico"),CONCATENATE("R2C",'Mapa final'!$Q$16),"")</f>
        <v/>
      </c>
      <c r="AI37" s="40" t="str">
        <f>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7"/>
      <c r="AO37" s="411"/>
      <c r="AP37" s="412"/>
      <c r="AQ37" s="412"/>
      <c r="AR37" s="412"/>
      <c r="AS37" s="412"/>
      <c r="AT37" s="413"/>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339"/>
      <c r="C38" s="339"/>
      <c r="D38" s="340"/>
      <c r="E38" s="380"/>
      <c r="F38" s="381"/>
      <c r="G38" s="381"/>
      <c r="H38" s="381"/>
      <c r="I38" s="381"/>
      <c r="J38" s="60" t="str">
        <f>IF(AND('Mapa final'!$AA$22="Baja",'Mapa final'!$AC$22="Leve"),CONCATENATE("R3C",'Mapa final'!$Q$22),"")</f>
        <v/>
      </c>
      <c r="K38" s="61" t="str">
        <f>IF(AND('Mapa final'!$AA$23="Baja",'Mapa final'!$AC$23="Leve"),CONCATENATE("R3C",'Mapa final'!$Q$23),"")</f>
        <v/>
      </c>
      <c r="L38" s="61" t="str">
        <f>IF(AND('Mapa final'!$AA$24="Baja",'Mapa final'!$AC$24="Leve"),CONCATENATE("R3C",'Mapa final'!$Q$24),"")</f>
        <v/>
      </c>
      <c r="M38" s="61" t="str">
        <f>IF(AND('Mapa final'!$AA$25="Baja",'Mapa final'!$AC$25="Leve"),CONCATENATE("R3C",'Mapa final'!$Q$25),"")</f>
        <v/>
      </c>
      <c r="N38" s="61" t="str">
        <f>IF(AND('Mapa final'!$AA$26="Baja",'Mapa final'!$AC$26="Leve"),CONCATENATE("R3C",'Mapa final'!$Q$26),"")</f>
        <v/>
      </c>
      <c r="O38" s="62" t="str">
        <f>IF(AND('Mapa final'!$AA$27="Baja",'Mapa final'!$AC$27="Leve"),CONCATENATE("R3C",'Mapa final'!$Q$27),"")</f>
        <v/>
      </c>
      <c r="P38" s="51" t="str">
        <f>IF(AND('Mapa final'!$AA$22="Baja",'Mapa final'!$AC$22="Menor"),CONCATENATE("R3C",'Mapa final'!$Q$22),"")</f>
        <v/>
      </c>
      <c r="Q38" s="52" t="str">
        <f>IF(AND('Mapa final'!$AA$23="Baja",'Mapa final'!$AC$23="Menor"),CONCATENATE("R3C",'Mapa final'!$Q$23),"")</f>
        <v/>
      </c>
      <c r="R38" s="52" t="str">
        <f>IF(AND('Mapa final'!$AA$24="Baja",'Mapa final'!$AC$24="Menor"),CONCATENATE("R3C",'Mapa final'!$Q$24),"")</f>
        <v/>
      </c>
      <c r="S38" s="52" t="str">
        <f>IF(AND('Mapa final'!$AA$25="Baja",'Mapa final'!$AC$25="Menor"),CONCATENATE("R3C",'Mapa final'!$Q$25),"")</f>
        <v/>
      </c>
      <c r="T38" s="52" t="str">
        <f>IF(AND('Mapa final'!$AA$26="Baja",'Mapa final'!$AC$26="Menor"),CONCATENATE("R3C",'Mapa final'!$Q$26),"")</f>
        <v/>
      </c>
      <c r="U38" s="53" t="str">
        <f>IF(AND('Mapa final'!$AA$27="Baja",'Mapa final'!$AC$27="Menor"),CONCATENATE("R3C",'Mapa final'!$Q$27),"")</f>
        <v/>
      </c>
      <c r="V38" s="51" t="str">
        <f>IF(AND('Mapa final'!$AA$22="Baja",'Mapa final'!$AC$22="Moderado"),CONCATENATE("R3C",'Mapa final'!$Q$22),"")</f>
        <v/>
      </c>
      <c r="W38" s="52" t="str">
        <f>IF(AND('Mapa final'!$AA$23="Baja",'Mapa final'!$AC$23="Moderado"),CONCATENATE("R3C",'Mapa final'!$Q$23),"")</f>
        <v/>
      </c>
      <c r="X38" s="52" t="str">
        <f>IF(AND('Mapa final'!$AA$24="Baja",'Mapa final'!$AC$24="Moderado"),CONCATENATE("R3C",'Mapa final'!$Q$24),"")</f>
        <v/>
      </c>
      <c r="Y38" s="52" t="str">
        <f>IF(AND('Mapa final'!$AA$25="Baja",'Mapa final'!$AC$25="Moderado"),CONCATENATE("R3C",'Mapa final'!$Q$25),"")</f>
        <v/>
      </c>
      <c r="Z38" s="52" t="str">
        <f>IF(AND('Mapa final'!$AA$26="Baja",'Mapa final'!$AC$26="Moderado"),CONCATENATE("R3C",'Mapa final'!$Q$26),"")</f>
        <v/>
      </c>
      <c r="AA38" s="53"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7"/>
      <c r="AO38" s="411"/>
      <c r="AP38" s="412"/>
      <c r="AQ38" s="412"/>
      <c r="AR38" s="412"/>
      <c r="AS38" s="412"/>
      <c r="AT38" s="413"/>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339"/>
      <c r="C39" s="339"/>
      <c r="D39" s="340"/>
      <c r="E39" s="380"/>
      <c r="F39" s="381"/>
      <c r="G39" s="381"/>
      <c r="H39" s="381"/>
      <c r="I39" s="381"/>
      <c r="J39" s="60" t="str">
        <f>IF(AND('Mapa final'!$AA$28="Baja",'Mapa final'!$AC$28="Leve"),CONCATENATE("R4C",'Mapa final'!$Q$28),"")</f>
        <v/>
      </c>
      <c r="K39" s="61" t="str">
        <f>IF(AND('Mapa final'!$AA$29="Baja",'Mapa final'!$AC$29="Leve"),CONCATENATE("R4C",'Mapa final'!$Q$29),"")</f>
        <v/>
      </c>
      <c r="L39" s="61" t="str">
        <f>IF(AND('Mapa final'!$AA$30="Baja",'Mapa final'!$AC$30="Leve"),CONCATENATE("R4C",'Mapa final'!$Q$30),"")</f>
        <v/>
      </c>
      <c r="M39" s="61" t="str">
        <f>IF(AND('Mapa final'!$AA$31="Baja",'Mapa final'!$AC$31="Leve"),CONCATENATE("R4C",'Mapa final'!$Q$31),"")</f>
        <v/>
      </c>
      <c r="N39" s="61" t="str">
        <f>IF(AND('Mapa final'!$AA$32="Baja",'Mapa final'!$AC$32="Leve"),CONCATENATE("R4C",'Mapa final'!$Q$32),"")</f>
        <v/>
      </c>
      <c r="O39" s="62" t="str">
        <f>IF(AND('Mapa final'!$AA$33="Baja",'Mapa final'!$AC$33="Leve"),CONCATENATE("R4C",'Mapa final'!$Q$33),"")</f>
        <v/>
      </c>
      <c r="P39" s="51" t="str">
        <f>IF(AND('Mapa final'!$AA$28="Baja",'Mapa final'!$AC$28="Menor"),CONCATENATE("R4C",'Mapa final'!$Q$28),"")</f>
        <v/>
      </c>
      <c r="Q39" s="52" t="str">
        <f>IF(AND('Mapa final'!$AA$29="Baja",'Mapa final'!$AC$29="Menor"),CONCATENATE("R4C",'Mapa final'!$Q$29),"")</f>
        <v/>
      </c>
      <c r="R39" s="52" t="str">
        <f>IF(AND('Mapa final'!$AA$30="Baja",'Mapa final'!$AC$30="Menor"),CONCATENATE("R4C",'Mapa final'!$Q$30),"")</f>
        <v/>
      </c>
      <c r="S39" s="52" t="str">
        <f>IF(AND('Mapa final'!$AA$31="Baja",'Mapa final'!$AC$31="Menor"),CONCATENATE("R4C",'Mapa final'!$Q$31),"")</f>
        <v/>
      </c>
      <c r="T39" s="52" t="str">
        <f>IF(AND('Mapa final'!$AA$32="Baja",'Mapa final'!$AC$32="Menor"),CONCATENATE("R4C",'Mapa final'!$Q$32),"")</f>
        <v/>
      </c>
      <c r="U39" s="53" t="str">
        <f>IF(AND('Mapa final'!$AA$33="Baja",'Mapa final'!$AC$33="Menor"),CONCATENATE("R4C",'Mapa final'!$Q$33),"")</f>
        <v/>
      </c>
      <c r="V39" s="51" t="str">
        <f>IF(AND('Mapa final'!$AA$28="Baja",'Mapa final'!$AC$28="Moderado"),CONCATENATE("R4C",'Mapa final'!$Q$28),"")</f>
        <v/>
      </c>
      <c r="W39" s="52" t="str">
        <f>IF(AND('Mapa final'!$AA$29="Baja",'Mapa final'!$AC$29="Moderado"),CONCATENATE("R4C",'Mapa final'!$Q$29),"")</f>
        <v/>
      </c>
      <c r="X39" s="52" t="str">
        <f>IF(AND('Mapa final'!$AA$30="Baja",'Mapa final'!$AC$30="Moderado"),CONCATENATE("R4C",'Mapa final'!$Q$30),"")</f>
        <v/>
      </c>
      <c r="Y39" s="52" t="str">
        <f>IF(AND('Mapa final'!$AA$31="Baja",'Mapa final'!$AC$31="Moderado"),CONCATENATE("R4C",'Mapa final'!$Q$31),"")</f>
        <v/>
      </c>
      <c r="Z39" s="52" t="str">
        <f>IF(AND('Mapa final'!$AA$32="Baja",'Mapa final'!$AC$32="Moderado"),CONCATENATE("R4C",'Mapa final'!$Q$32),"")</f>
        <v/>
      </c>
      <c r="AA39" s="53"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7"/>
      <c r="AO39" s="411"/>
      <c r="AP39" s="412"/>
      <c r="AQ39" s="412"/>
      <c r="AR39" s="412"/>
      <c r="AS39" s="412"/>
      <c r="AT39" s="413"/>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339"/>
      <c r="C40" s="339"/>
      <c r="D40" s="340"/>
      <c r="E40" s="380"/>
      <c r="F40" s="381"/>
      <c r="G40" s="381"/>
      <c r="H40" s="381"/>
      <c r="I40" s="381"/>
      <c r="J40" s="60" t="str">
        <f>IF(AND('Mapa final'!$AA$34="Baja",'Mapa final'!$AC$34="Leve"),CONCATENATE("R5C",'Mapa final'!$Q$34),"")</f>
        <v/>
      </c>
      <c r="K40" s="61" t="str">
        <f>IF(AND('Mapa final'!$AA$35="Baja",'Mapa final'!$AC$35="Leve"),CONCATENATE("R5C",'Mapa final'!$Q$35),"")</f>
        <v/>
      </c>
      <c r="L40" s="61" t="str">
        <f>IF(AND('Mapa final'!$AA$36="Baja",'Mapa final'!$AC$36="Leve"),CONCATENATE("R5C",'Mapa final'!$Q$36),"")</f>
        <v/>
      </c>
      <c r="M40" s="61" t="str">
        <f>IF(AND('Mapa final'!$AA$37="Baja",'Mapa final'!$AC$37="Leve"),CONCATENATE("R5C",'Mapa final'!$Q$37),"")</f>
        <v/>
      </c>
      <c r="N40" s="61" t="str">
        <f>IF(AND('Mapa final'!$AA$38="Baja",'Mapa final'!$AC$38="Leve"),CONCATENATE("R5C",'Mapa final'!$Q$38),"")</f>
        <v/>
      </c>
      <c r="O40" s="62" t="str">
        <f>IF(AND('Mapa final'!$AA$39="Baja",'Mapa final'!$AC$39="Leve"),CONCATENATE("R5C",'Mapa final'!$Q$39),"")</f>
        <v/>
      </c>
      <c r="P40" s="51" t="str">
        <f>IF(AND('Mapa final'!$AA$34="Baja",'Mapa final'!$AC$34="Menor"),CONCATENATE("R5C",'Mapa final'!$Q$34),"")</f>
        <v/>
      </c>
      <c r="Q40" s="52" t="str">
        <f>IF(AND('Mapa final'!$AA$35="Baja",'Mapa final'!$AC$35="Menor"),CONCATENATE("R5C",'Mapa final'!$Q$35),"")</f>
        <v/>
      </c>
      <c r="R40" s="52" t="str">
        <f>IF(AND('Mapa final'!$AA$36="Baja",'Mapa final'!$AC$36="Menor"),CONCATENATE("R5C",'Mapa final'!$Q$36),"")</f>
        <v/>
      </c>
      <c r="S40" s="52" t="str">
        <f>IF(AND('Mapa final'!$AA$37="Baja",'Mapa final'!$AC$37="Menor"),CONCATENATE("R5C",'Mapa final'!$Q$37),"")</f>
        <v/>
      </c>
      <c r="T40" s="52" t="str">
        <f>IF(AND('Mapa final'!$AA$38="Baja",'Mapa final'!$AC$38="Menor"),CONCATENATE("R5C",'Mapa final'!$Q$38),"")</f>
        <v/>
      </c>
      <c r="U40" s="53" t="str">
        <f>IF(AND('Mapa final'!$AA$39="Baja",'Mapa final'!$AC$39="Menor"),CONCATENATE("R5C",'Mapa final'!$Q$39),"")</f>
        <v/>
      </c>
      <c r="V40" s="51" t="str">
        <f>IF(AND('Mapa final'!$AA$34="Baja",'Mapa final'!$AC$34="Moderado"),CONCATENATE("R5C",'Mapa final'!$Q$34),"")</f>
        <v/>
      </c>
      <c r="W40" s="52" t="str">
        <f>IF(AND('Mapa final'!$AA$35="Baja",'Mapa final'!$AC$35="Moderado"),CONCATENATE("R5C",'Mapa final'!$Q$35),"")</f>
        <v/>
      </c>
      <c r="X40" s="52" t="str">
        <f>IF(AND('Mapa final'!$AA$36="Baja",'Mapa final'!$AC$36="Moderado"),CONCATENATE("R5C",'Mapa final'!$Q$36),"")</f>
        <v/>
      </c>
      <c r="Y40" s="52" t="str">
        <f>IF(AND('Mapa final'!$AA$37="Baja",'Mapa final'!$AC$37="Moderado"),CONCATENATE("R5C",'Mapa final'!$Q$37),"")</f>
        <v/>
      </c>
      <c r="Z40" s="52" t="str">
        <f>IF(AND('Mapa final'!$AA$38="Baja",'Mapa final'!$AC$38="Moderado"),CONCATENATE("R5C",'Mapa final'!$Q$38),"")</f>
        <v/>
      </c>
      <c r="AA40" s="53"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37" t="str">
        <f>IF(AND('Mapa final'!$AA$36="Baja",'Mapa final'!$AC$36="Mayor"),CONCATENATE("R5C",'Mapa final'!$Q$36),"")</f>
        <v/>
      </c>
      <c r="AE40" s="37" t="str">
        <f>IF(AND('Mapa final'!$AA$37="Baja",'Mapa final'!$AC$37="Mayor"),CONCATENATE("R5C",'Mapa final'!$Q$37),"")</f>
        <v/>
      </c>
      <c r="AF40" s="37"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7"/>
      <c r="AO40" s="411"/>
      <c r="AP40" s="412"/>
      <c r="AQ40" s="412"/>
      <c r="AR40" s="412"/>
      <c r="AS40" s="412"/>
      <c r="AT40" s="413"/>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339"/>
      <c r="C41" s="339"/>
      <c r="D41" s="340"/>
      <c r="E41" s="380"/>
      <c r="F41" s="381"/>
      <c r="G41" s="381"/>
      <c r="H41" s="381"/>
      <c r="I41" s="381"/>
      <c r="J41" s="60" t="str">
        <f>IF(AND('Mapa final'!$AA$40="Baja",'Mapa final'!$AC$40="Leve"),CONCATENATE("R6C",'Mapa final'!$Q$40),"")</f>
        <v/>
      </c>
      <c r="K41" s="61" t="str">
        <f>IF(AND('Mapa final'!$AA$41="Baja",'Mapa final'!$AC$41="Leve"),CONCATENATE("R6C",'Mapa final'!$Q$41),"")</f>
        <v/>
      </c>
      <c r="L41" s="61" t="str">
        <f>IF(AND('Mapa final'!$AA$42="Baja",'Mapa final'!$AC$42="Leve"),CONCATENATE("R6C",'Mapa final'!$Q$42),"")</f>
        <v/>
      </c>
      <c r="M41" s="61" t="str">
        <f>IF(AND('Mapa final'!$AA$43="Baja",'Mapa final'!$AC$43="Leve"),CONCATENATE("R6C",'Mapa final'!$Q$43),"")</f>
        <v/>
      </c>
      <c r="N41" s="61" t="str">
        <f>IF(AND('Mapa final'!$AA$44="Baja",'Mapa final'!$AC$44="Leve"),CONCATENATE("R6C",'Mapa final'!$Q$44),"")</f>
        <v/>
      </c>
      <c r="O41" s="62" t="str">
        <f>IF(AND('Mapa final'!$AA$45="Baja",'Mapa final'!$AC$45="Leve"),CONCATENATE("R6C",'Mapa final'!$Q$45),"")</f>
        <v/>
      </c>
      <c r="P41" s="51" t="str">
        <f>IF(AND('Mapa final'!$AA$40="Baja",'Mapa final'!$AC$40="Menor"),CONCATENATE("R6C",'Mapa final'!$Q$40),"")</f>
        <v/>
      </c>
      <c r="Q41" s="52" t="str">
        <f>IF(AND('Mapa final'!$AA$41="Baja",'Mapa final'!$AC$41="Menor"),CONCATENATE("R6C",'Mapa final'!$Q$41),"")</f>
        <v/>
      </c>
      <c r="R41" s="52" t="str">
        <f>IF(AND('Mapa final'!$AA$42="Baja",'Mapa final'!$AC$42="Menor"),CONCATENATE("R6C",'Mapa final'!$Q$42),"")</f>
        <v/>
      </c>
      <c r="S41" s="52" t="str">
        <f>IF(AND('Mapa final'!$AA$43="Baja",'Mapa final'!$AC$43="Menor"),CONCATENATE("R6C",'Mapa final'!$Q$43),"")</f>
        <v/>
      </c>
      <c r="T41" s="52" t="str">
        <f>IF(AND('Mapa final'!$AA$44="Baja",'Mapa final'!$AC$44="Menor"),CONCATENATE("R6C",'Mapa final'!$Q$44),"")</f>
        <v/>
      </c>
      <c r="U41" s="53" t="str">
        <f>IF(AND('Mapa final'!$AA$45="Baja",'Mapa final'!$AC$45="Menor"),CONCATENATE("R6C",'Mapa final'!$Q$45),"")</f>
        <v/>
      </c>
      <c r="V41" s="51" t="str">
        <f>IF(AND('Mapa final'!$AA$40="Baja",'Mapa final'!$AC$40="Moderado"),CONCATENATE("R6C",'Mapa final'!$Q$40),"")</f>
        <v/>
      </c>
      <c r="W41" s="52" t="str">
        <f>IF(AND('Mapa final'!$AA$41="Baja",'Mapa final'!$AC$41="Moderado"),CONCATENATE("R6C",'Mapa final'!$Q$41),"")</f>
        <v/>
      </c>
      <c r="X41" s="52" t="str">
        <f>IF(AND('Mapa final'!$AA$42="Baja",'Mapa final'!$AC$42="Moderado"),CONCATENATE("R6C",'Mapa final'!$Q$42),"")</f>
        <v/>
      </c>
      <c r="Y41" s="52" t="str">
        <f>IF(AND('Mapa final'!$AA$43="Baja",'Mapa final'!$AC$43="Moderado"),CONCATENATE("R6C",'Mapa final'!$Q$43),"")</f>
        <v/>
      </c>
      <c r="Z41" s="52" t="str">
        <f>IF(AND('Mapa final'!$AA$44="Baja",'Mapa final'!$AC$44="Moderado"),CONCATENATE("R6C",'Mapa final'!$Q$44),"")</f>
        <v/>
      </c>
      <c r="AA41" s="53"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37" t="str">
        <f>IF(AND('Mapa final'!$AA$42="Baja",'Mapa final'!$AC$42="Mayor"),CONCATENATE("R6C",'Mapa final'!$Q$42),"")</f>
        <v/>
      </c>
      <c r="AE41" s="37" t="str">
        <f>IF(AND('Mapa final'!$AA$43="Baja",'Mapa final'!$AC$43="Mayor"),CONCATENATE("R6C",'Mapa final'!$Q$43),"")</f>
        <v/>
      </c>
      <c r="AF41" s="37"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7"/>
      <c r="AO41" s="411"/>
      <c r="AP41" s="412"/>
      <c r="AQ41" s="412"/>
      <c r="AR41" s="412"/>
      <c r="AS41" s="412"/>
      <c r="AT41" s="413"/>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339"/>
      <c r="C42" s="339"/>
      <c r="D42" s="340"/>
      <c r="E42" s="380"/>
      <c r="F42" s="381"/>
      <c r="G42" s="381"/>
      <c r="H42" s="381"/>
      <c r="I42" s="381"/>
      <c r="J42" s="60" t="str">
        <f>IF(AND('Mapa final'!$AA$46="Baja",'Mapa final'!$AC$46="Leve"),CONCATENATE("R7C",'Mapa final'!$Q$46),"")</f>
        <v/>
      </c>
      <c r="K42" s="61" t="str">
        <f>IF(AND('Mapa final'!$AA$47="Baja",'Mapa final'!$AC$47="Leve"),CONCATENATE("R7C",'Mapa final'!$Q$47),"")</f>
        <v/>
      </c>
      <c r="L42" s="61" t="str">
        <f>IF(AND('Mapa final'!$AA$48="Baja",'Mapa final'!$AC$48="Leve"),CONCATENATE("R7C",'Mapa final'!$Q$48),"")</f>
        <v/>
      </c>
      <c r="M42" s="61" t="str">
        <f>IF(AND('Mapa final'!$AA$49="Baja",'Mapa final'!$AC$49="Leve"),CONCATENATE("R7C",'Mapa final'!$Q$49),"")</f>
        <v/>
      </c>
      <c r="N42" s="61" t="str">
        <f>IF(AND('Mapa final'!$AA$50="Baja",'Mapa final'!$AC$50="Leve"),CONCATENATE("R7C",'Mapa final'!$Q$50),"")</f>
        <v/>
      </c>
      <c r="O42" s="62" t="str">
        <f>IF(AND('Mapa final'!$AA$51="Baja",'Mapa final'!$AC$51="Leve"),CONCATENATE("R7C",'Mapa final'!$Q$51),"")</f>
        <v/>
      </c>
      <c r="P42" s="51" t="str">
        <f>IF(AND('Mapa final'!$AA$46="Baja",'Mapa final'!$AC$46="Menor"),CONCATENATE("R7C",'Mapa final'!$Q$46),"")</f>
        <v/>
      </c>
      <c r="Q42" s="52" t="str">
        <f>IF(AND('Mapa final'!$AA$47="Baja",'Mapa final'!$AC$47="Menor"),CONCATENATE("R7C",'Mapa final'!$Q$47),"")</f>
        <v/>
      </c>
      <c r="R42" s="52" t="str">
        <f>IF(AND('Mapa final'!$AA$48="Baja",'Mapa final'!$AC$48="Menor"),CONCATENATE("R7C",'Mapa final'!$Q$48),"")</f>
        <v/>
      </c>
      <c r="S42" s="52" t="str">
        <f>IF(AND('Mapa final'!$AA$49="Baja",'Mapa final'!$AC$49="Menor"),CONCATENATE("R7C",'Mapa final'!$Q$49),"")</f>
        <v/>
      </c>
      <c r="T42" s="52" t="str">
        <f>IF(AND('Mapa final'!$AA$50="Baja",'Mapa final'!$AC$50="Menor"),CONCATENATE("R7C",'Mapa final'!$Q$50),"")</f>
        <v/>
      </c>
      <c r="U42" s="53" t="str">
        <f>IF(AND('Mapa final'!$AA$51="Baja",'Mapa final'!$AC$51="Menor"),CONCATENATE("R7C",'Mapa final'!$Q$51),"")</f>
        <v/>
      </c>
      <c r="V42" s="51" t="str">
        <f>IF(AND('Mapa final'!$AA$46="Baja",'Mapa final'!$AC$46="Moderado"),CONCATENATE("R7C",'Mapa final'!$Q$46),"")</f>
        <v/>
      </c>
      <c r="W42" s="52" t="str">
        <f>IF(AND('Mapa final'!$AA$47="Baja",'Mapa final'!$AC$47="Moderado"),CONCATENATE("R7C",'Mapa final'!$Q$47),"")</f>
        <v/>
      </c>
      <c r="X42" s="52" t="str">
        <f>IF(AND('Mapa final'!$AA$48="Baja",'Mapa final'!$AC$48="Moderado"),CONCATENATE("R7C",'Mapa final'!$Q$48),"")</f>
        <v/>
      </c>
      <c r="Y42" s="52" t="str">
        <f>IF(AND('Mapa final'!$AA$49="Baja",'Mapa final'!$AC$49="Moderado"),CONCATENATE("R7C",'Mapa final'!$Q$49),"")</f>
        <v/>
      </c>
      <c r="Z42" s="52" t="str">
        <f>IF(AND('Mapa final'!$AA$50="Baja",'Mapa final'!$AC$50="Moderado"),CONCATENATE("R7C",'Mapa final'!$Q$50),"")</f>
        <v/>
      </c>
      <c r="AA42" s="53"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37" t="str">
        <f>IF(AND('Mapa final'!$AA$48="Baja",'Mapa final'!$AC$48="Mayor"),CONCATENATE("R7C",'Mapa final'!$Q$48),"")</f>
        <v/>
      </c>
      <c r="AE42" s="37" t="str">
        <f>IF(AND('Mapa final'!$AA$49="Baja",'Mapa final'!$AC$49="Mayor"),CONCATENATE("R7C",'Mapa final'!$Q$49),"")</f>
        <v/>
      </c>
      <c r="AF42" s="37"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7"/>
      <c r="AO42" s="411"/>
      <c r="AP42" s="412"/>
      <c r="AQ42" s="412"/>
      <c r="AR42" s="412"/>
      <c r="AS42" s="412"/>
      <c r="AT42" s="413"/>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339"/>
      <c r="C43" s="339"/>
      <c r="D43" s="340"/>
      <c r="E43" s="380"/>
      <c r="F43" s="381"/>
      <c r="G43" s="381"/>
      <c r="H43" s="381"/>
      <c r="I43" s="381"/>
      <c r="J43" s="60" t="str">
        <f>IF(AND('Mapa final'!$AA$52="Baja",'Mapa final'!$AC$52="Leve"),CONCATENATE("R8C",'Mapa final'!$Q$52),"")</f>
        <v/>
      </c>
      <c r="K43" s="61" t="str">
        <f>IF(AND('Mapa final'!$AA$53="Baja",'Mapa final'!$AC$53="Leve"),CONCATENATE("R8C",'Mapa final'!$Q$53),"")</f>
        <v/>
      </c>
      <c r="L43" s="61" t="str">
        <f>IF(AND('Mapa final'!$AA$54="Baja",'Mapa final'!$AC$54="Leve"),CONCATENATE("R8C",'Mapa final'!$Q$54),"")</f>
        <v/>
      </c>
      <c r="M43" s="61" t="str">
        <f>IF(AND('Mapa final'!$AA$55="Baja",'Mapa final'!$AC$55="Leve"),CONCATENATE("R8C",'Mapa final'!$Q$55),"")</f>
        <v/>
      </c>
      <c r="N43" s="61" t="str">
        <f>IF(AND('Mapa final'!$AA$56="Baja",'Mapa final'!$AC$56="Leve"),CONCATENATE("R8C",'Mapa final'!$Q$56),"")</f>
        <v/>
      </c>
      <c r="O43" s="62" t="str">
        <f>IF(AND('Mapa final'!$AA$57="Baja",'Mapa final'!$AC$57="Leve"),CONCATENATE("R8C",'Mapa final'!$Q$57),"")</f>
        <v/>
      </c>
      <c r="P43" s="51" t="str">
        <f>IF(AND('Mapa final'!$AA$52="Baja",'Mapa final'!$AC$52="Menor"),CONCATENATE("R8C",'Mapa final'!$Q$52),"")</f>
        <v/>
      </c>
      <c r="Q43" s="52" t="str">
        <f>IF(AND('Mapa final'!$AA$53="Baja",'Mapa final'!$AC$53="Menor"),CONCATENATE("R8C",'Mapa final'!$Q$53),"")</f>
        <v/>
      </c>
      <c r="R43" s="52" t="str">
        <f>IF(AND('Mapa final'!$AA$54="Baja",'Mapa final'!$AC$54="Menor"),CONCATENATE("R8C",'Mapa final'!$Q$54),"")</f>
        <v/>
      </c>
      <c r="S43" s="52" t="str">
        <f>IF(AND('Mapa final'!$AA$55="Baja",'Mapa final'!$AC$55="Menor"),CONCATENATE("R8C",'Mapa final'!$Q$55),"")</f>
        <v/>
      </c>
      <c r="T43" s="52" t="str">
        <f>IF(AND('Mapa final'!$AA$56="Baja",'Mapa final'!$AC$56="Menor"),CONCATENATE("R8C",'Mapa final'!$Q$56),"")</f>
        <v/>
      </c>
      <c r="U43" s="53" t="str">
        <f>IF(AND('Mapa final'!$AA$57="Baja",'Mapa final'!$AC$57="Menor"),CONCATENATE("R8C",'Mapa final'!$Q$57),"")</f>
        <v/>
      </c>
      <c r="V43" s="51" t="str">
        <f>IF(AND('Mapa final'!$AA$52="Baja",'Mapa final'!$AC$52="Moderado"),CONCATENATE("R8C",'Mapa final'!$Q$52),"")</f>
        <v/>
      </c>
      <c r="W43" s="52" t="str">
        <f>IF(AND('Mapa final'!$AA$53="Baja",'Mapa final'!$AC$53="Moderado"),CONCATENATE("R8C",'Mapa final'!$Q$53),"")</f>
        <v/>
      </c>
      <c r="X43" s="52" t="str">
        <f>IF(AND('Mapa final'!$AA$54="Baja",'Mapa final'!$AC$54="Moderado"),CONCATENATE("R8C",'Mapa final'!$Q$54),"")</f>
        <v/>
      </c>
      <c r="Y43" s="52" t="str">
        <f>IF(AND('Mapa final'!$AA$55="Baja",'Mapa final'!$AC$55="Moderado"),CONCATENATE("R8C",'Mapa final'!$Q$55),"")</f>
        <v/>
      </c>
      <c r="Z43" s="52" t="str">
        <f>IF(AND('Mapa final'!$AA$56="Baja",'Mapa final'!$AC$56="Moderado"),CONCATENATE("R8C",'Mapa final'!$Q$56),"")</f>
        <v/>
      </c>
      <c r="AA43" s="53"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37" t="str">
        <f>IF(AND('Mapa final'!$AA$54="Baja",'Mapa final'!$AC$54="Mayor"),CONCATENATE("R8C",'Mapa final'!$Q$54),"")</f>
        <v/>
      </c>
      <c r="AE43" s="37" t="str">
        <f>IF(AND('Mapa final'!$AA$55="Baja",'Mapa final'!$AC$55="Mayor"),CONCATENATE("R8C",'Mapa final'!$Q$55),"")</f>
        <v/>
      </c>
      <c r="AF43" s="37"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7"/>
      <c r="AO43" s="411"/>
      <c r="AP43" s="412"/>
      <c r="AQ43" s="412"/>
      <c r="AR43" s="412"/>
      <c r="AS43" s="412"/>
      <c r="AT43" s="413"/>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339"/>
      <c r="C44" s="339"/>
      <c r="D44" s="340"/>
      <c r="E44" s="380"/>
      <c r="F44" s="381"/>
      <c r="G44" s="381"/>
      <c r="H44" s="381"/>
      <c r="I44" s="381"/>
      <c r="J44" s="60" t="str">
        <f>IF(AND('Mapa final'!$AA$58="Baja",'Mapa final'!$AC$58="Leve"),CONCATENATE("R9C",'Mapa final'!$Q$58),"")</f>
        <v/>
      </c>
      <c r="K44" s="61" t="str">
        <f>IF(AND('Mapa final'!$AA$59="Baja",'Mapa final'!$AC$59="Leve"),CONCATENATE("R9C",'Mapa final'!$Q$59),"")</f>
        <v/>
      </c>
      <c r="L44" s="61" t="str">
        <f>IF(AND('Mapa final'!$AA$60="Baja",'Mapa final'!$AC$60="Leve"),CONCATENATE("R9C",'Mapa final'!$Q$60),"")</f>
        <v/>
      </c>
      <c r="M44" s="61" t="str">
        <f>IF(AND('Mapa final'!$AA$61="Baja",'Mapa final'!$AC$61="Leve"),CONCATENATE("R9C",'Mapa final'!$Q$61),"")</f>
        <v/>
      </c>
      <c r="N44" s="61" t="str">
        <f>IF(AND('Mapa final'!$AA$62="Baja",'Mapa final'!$AC$62="Leve"),CONCATENATE("R9C",'Mapa final'!$Q$62),"")</f>
        <v/>
      </c>
      <c r="O44" s="62" t="str">
        <f>IF(AND('Mapa final'!$AA$63="Baja",'Mapa final'!$AC$63="Leve"),CONCATENATE("R9C",'Mapa final'!$Q$63),"")</f>
        <v/>
      </c>
      <c r="P44" s="51" t="str">
        <f>IF(AND('Mapa final'!$AA$58="Baja",'Mapa final'!$AC$58="Menor"),CONCATENATE("R9C",'Mapa final'!$Q$58),"")</f>
        <v/>
      </c>
      <c r="Q44" s="52" t="str">
        <f>IF(AND('Mapa final'!$AA$59="Baja",'Mapa final'!$AC$59="Menor"),CONCATENATE("R9C",'Mapa final'!$Q$59),"")</f>
        <v/>
      </c>
      <c r="R44" s="52" t="str">
        <f>IF(AND('Mapa final'!$AA$60="Baja",'Mapa final'!$AC$60="Menor"),CONCATENATE("R9C",'Mapa final'!$Q$60),"")</f>
        <v/>
      </c>
      <c r="S44" s="52" t="str">
        <f>IF(AND('Mapa final'!$AA$61="Baja",'Mapa final'!$AC$61="Menor"),CONCATENATE("R9C",'Mapa final'!$Q$61),"")</f>
        <v/>
      </c>
      <c r="T44" s="52" t="str">
        <f>IF(AND('Mapa final'!$AA$62="Baja",'Mapa final'!$AC$62="Menor"),CONCATENATE("R9C",'Mapa final'!$Q$62),"")</f>
        <v/>
      </c>
      <c r="U44" s="53" t="str">
        <f>IF(AND('Mapa final'!$AA$63="Baja",'Mapa final'!$AC$63="Menor"),CONCATENATE("R9C",'Mapa final'!$Q$63),"")</f>
        <v/>
      </c>
      <c r="V44" s="51" t="str">
        <f>IF(AND('Mapa final'!$AA$58="Baja",'Mapa final'!$AC$58="Moderado"),CONCATENATE("R9C",'Mapa final'!$Q$58),"")</f>
        <v/>
      </c>
      <c r="W44" s="52" t="str">
        <f>IF(AND('Mapa final'!$AA$59="Baja",'Mapa final'!$AC$59="Moderado"),CONCATENATE("R9C",'Mapa final'!$Q$59),"")</f>
        <v/>
      </c>
      <c r="X44" s="52" t="str">
        <f>IF(AND('Mapa final'!$AA$60="Baja",'Mapa final'!$AC$60="Moderado"),CONCATENATE("R9C",'Mapa final'!$Q$60),"")</f>
        <v/>
      </c>
      <c r="Y44" s="52" t="str">
        <f>IF(AND('Mapa final'!$AA$61="Baja",'Mapa final'!$AC$61="Moderado"),CONCATENATE("R9C",'Mapa final'!$Q$61),"")</f>
        <v/>
      </c>
      <c r="Z44" s="52" t="str">
        <f>IF(AND('Mapa final'!$AA$62="Baja",'Mapa final'!$AC$62="Moderado"),CONCATENATE("R9C",'Mapa final'!$Q$62),"")</f>
        <v/>
      </c>
      <c r="AA44" s="53"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37" t="str">
        <f>IF(AND('Mapa final'!$AA$60="Baja",'Mapa final'!$AC$60="Mayor"),CONCATENATE("R9C",'Mapa final'!$Q$60),"")</f>
        <v/>
      </c>
      <c r="AE44" s="37" t="str">
        <f>IF(AND('Mapa final'!$AA$61="Baja",'Mapa final'!$AC$61="Mayor"),CONCATENATE("R9C",'Mapa final'!$Q$61),"")</f>
        <v/>
      </c>
      <c r="AF44" s="37"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7"/>
      <c r="AO44" s="411"/>
      <c r="AP44" s="412"/>
      <c r="AQ44" s="412"/>
      <c r="AR44" s="412"/>
      <c r="AS44" s="412"/>
      <c r="AT44" s="413"/>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339"/>
      <c r="C45" s="339"/>
      <c r="D45" s="340"/>
      <c r="E45" s="383"/>
      <c r="F45" s="384"/>
      <c r="G45" s="384"/>
      <c r="H45" s="384"/>
      <c r="I45" s="384"/>
      <c r="J45" s="63" t="str">
        <f>IF(AND('Mapa final'!$AA$64="Baja",'Mapa final'!$AC$64="Leve"),CONCATENATE("R10C",'Mapa final'!$Q$64),"")</f>
        <v/>
      </c>
      <c r="K45" s="64" t="str">
        <f>IF(AND('Mapa final'!$AA$65="Baja",'Mapa final'!$AC$65="Leve"),CONCATENATE("R10C",'Mapa final'!$Q$65),"")</f>
        <v/>
      </c>
      <c r="L45" s="64" t="str">
        <f>IF(AND('Mapa final'!$AA$66="Baja",'Mapa final'!$AC$66="Leve"),CONCATENATE("R10C",'Mapa final'!$Q$66),"")</f>
        <v/>
      </c>
      <c r="M45" s="64" t="str">
        <f>IF(AND('Mapa final'!$AA$67="Baja",'Mapa final'!$AC$67="Leve"),CONCATENATE("R10C",'Mapa final'!$Q$67),"")</f>
        <v/>
      </c>
      <c r="N45" s="64" t="str">
        <f>IF(AND('Mapa final'!$AA$68="Baja",'Mapa final'!$AC$68="Leve"),CONCATENATE("R10C",'Mapa final'!$Q$68),"")</f>
        <v/>
      </c>
      <c r="O45" s="65" t="str">
        <f>IF(AND('Mapa final'!$AA$69="Baja",'Mapa final'!$AC$69="Leve"),CONCATENATE("R10C",'Mapa final'!$Q$69),"")</f>
        <v/>
      </c>
      <c r="P45" s="51" t="str">
        <f>IF(AND('Mapa final'!$AA$64="Baja",'Mapa final'!$AC$64="Menor"),CONCATENATE("R10C",'Mapa final'!$Q$64),"")</f>
        <v/>
      </c>
      <c r="Q45" s="52" t="str">
        <f>IF(AND('Mapa final'!$AA$65="Baja",'Mapa final'!$AC$65="Menor"),CONCATENATE("R10C",'Mapa final'!$Q$65),"")</f>
        <v/>
      </c>
      <c r="R45" s="52" t="str">
        <f>IF(AND('Mapa final'!$AA$66="Baja",'Mapa final'!$AC$66="Menor"),CONCATENATE("R10C",'Mapa final'!$Q$66),"")</f>
        <v/>
      </c>
      <c r="S45" s="52" t="str">
        <f>IF(AND('Mapa final'!$AA$67="Baja",'Mapa final'!$AC$67="Menor"),CONCATENATE("R10C",'Mapa final'!$Q$67),"")</f>
        <v/>
      </c>
      <c r="T45" s="52" t="str">
        <f>IF(AND('Mapa final'!$AA$68="Baja",'Mapa final'!$AC$68="Menor"),CONCATENATE("R10C",'Mapa final'!$Q$68),"")</f>
        <v/>
      </c>
      <c r="U45" s="53" t="str">
        <f>IF(AND('Mapa final'!$AA$69="Baja",'Mapa final'!$AC$69="Menor"),CONCATENATE("R10C",'Mapa final'!$Q$69),"")</f>
        <v/>
      </c>
      <c r="V45" s="54" t="str">
        <f>IF(AND('Mapa final'!$AA$64="Baja",'Mapa final'!$AC$64="Moderado"),CONCATENATE("R10C",'Mapa final'!$Q$64),"")</f>
        <v/>
      </c>
      <c r="W45" s="55" t="str">
        <f>IF(AND('Mapa final'!$AA$65="Baja",'Mapa final'!$AC$65="Moderado"),CONCATENATE("R10C",'Mapa final'!$Q$65),"")</f>
        <v/>
      </c>
      <c r="X45" s="55" t="str">
        <f>IF(AND('Mapa final'!$AA$66="Baja",'Mapa final'!$AC$66="Moderado"),CONCATENATE("R10C",'Mapa final'!$Q$66),"")</f>
        <v/>
      </c>
      <c r="Y45" s="55" t="str">
        <f>IF(AND('Mapa final'!$AA$67="Baja",'Mapa final'!$AC$67="Moderado"),CONCATENATE("R10C",'Mapa final'!$Q$67),"")</f>
        <v/>
      </c>
      <c r="Z45" s="55" t="str">
        <f>IF(AND('Mapa final'!$AA$68="Baja",'Mapa final'!$AC$68="Moderado"),CONCATENATE("R10C",'Mapa final'!$Q$68),"")</f>
        <v/>
      </c>
      <c r="AA45" s="56" t="str">
        <f>IF(AND('Mapa final'!$AA$69="Baja",'Mapa final'!$AC$69="Moderado"),CONCATENATE("R10C",'Mapa final'!$Q$69),"")</f>
        <v/>
      </c>
      <c r="AB45" s="42" t="str">
        <f>IF(AND('Mapa final'!$AA$64="Baja",'Mapa final'!$AC$64="Mayor"),CONCATENATE("R10C",'Mapa final'!$Q$64),"")</f>
        <v/>
      </c>
      <c r="AC45" s="43" t="str">
        <f>IF(AND('Mapa final'!$AA$65="Baja",'Mapa final'!$AC$65="Mayor"),CONCATENATE("R10C",'Mapa final'!$Q$65),"")</f>
        <v/>
      </c>
      <c r="AD45" s="43" t="str">
        <f>IF(AND('Mapa final'!$AA$66="Baja",'Mapa final'!$AC$66="Mayor"),CONCATENATE("R10C",'Mapa final'!$Q$66),"")</f>
        <v/>
      </c>
      <c r="AE45" s="43" t="str">
        <f>IF(AND('Mapa final'!$AA$67="Baja",'Mapa final'!$AC$67="Mayor"),CONCATENATE("R10C",'Mapa final'!$Q$67),"")</f>
        <v/>
      </c>
      <c r="AF45" s="43" t="str">
        <f>IF(AND('Mapa final'!$AA$68="Baja",'Mapa final'!$AC$68="Mayor"),CONCATENATE("R10C",'Mapa final'!$Q$68),"")</f>
        <v/>
      </c>
      <c r="AG45" s="44" t="str">
        <f>IF(AND('Mapa final'!$AA$69="Baja",'Mapa final'!$AC$69="Mayor"),CONCATENATE("R10C",'Mapa final'!$Q$69),"")</f>
        <v/>
      </c>
      <c r="AH45" s="45" t="str">
        <f>IF(AND('Mapa final'!$AA$64="Baja",'Mapa final'!$AC$64="Catastrófico"),CONCATENATE("R10C",'Mapa final'!$Q$64),"")</f>
        <v/>
      </c>
      <c r="AI45" s="46" t="str">
        <f>IF(AND('Mapa final'!$AA$65="Baja",'Mapa final'!$AC$65="Catastrófico"),CONCATENATE("R10C",'Mapa final'!$Q$65),"")</f>
        <v/>
      </c>
      <c r="AJ45" s="46" t="str">
        <f>IF(AND('Mapa final'!$AA$66="Baja",'Mapa final'!$AC$66="Catastrófico"),CONCATENATE("R10C",'Mapa final'!$Q$66),"")</f>
        <v/>
      </c>
      <c r="AK45" s="46" t="str">
        <f>IF(AND('Mapa final'!$AA$67="Baja",'Mapa final'!$AC$67="Catastrófico"),CONCATENATE("R10C",'Mapa final'!$Q$67),"")</f>
        <v/>
      </c>
      <c r="AL45" s="46" t="str">
        <f>IF(AND('Mapa final'!$AA$68="Baja",'Mapa final'!$AC$68="Catastrófico"),CONCATENATE("R10C",'Mapa final'!$Q$68),"")</f>
        <v/>
      </c>
      <c r="AM45" s="47" t="str">
        <f>IF(AND('Mapa final'!$AA$69="Baja",'Mapa final'!$AC$69="Catastrófico"),CONCATENATE("R10C",'Mapa final'!$Q$69),"")</f>
        <v/>
      </c>
      <c r="AN45" s="67"/>
      <c r="AO45" s="414"/>
      <c r="AP45" s="415"/>
      <c r="AQ45" s="415"/>
      <c r="AR45" s="415"/>
      <c r="AS45" s="415"/>
      <c r="AT45" s="416"/>
    </row>
    <row r="46" spans="1:80" ht="46.5" customHeight="1" x14ac:dyDescent="0.35">
      <c r="A46" s="67"/>
      <c r="B46" s="339"/>
      <c r="C46" s="339"/>
      <c r="D46" s="340"/>
      <c r="E46" s="377" t="s">
        <v>108</v>
      </c>
      <c r="F46" s="378"/>
      <c r="G46" s="378"/>
      <c r="H46" s="378"/>
      <c r="I46" s="379"/>
      <c r="J46" s="57" t="str">
        <f ca="1">IF(AND('Mapa final'!$AA$10="Muy Baja",'Mapa final'!$AC$10="Leve"),CONCATENATE("R1C",'Mapa final'!$Q$10),"")</f>
        <v/>
      </c>
      <c r="K46" s="58" t="str">
        <f ca="1">IF(AND('Mapa final'!$AA$11="Muy Baja",'Mapa final'!$AC$11="Leve"),CONCATENATE("R1C",'Mapa final'!$Q$11),"")</f>
        <v/>
      </c>
      <c r="L46" s="58" t="str">
        <f ca="1">IF(AND('Mapa final'!$AA$12="Muy Baja",'Mapa final'!$AC$12="Leve"),CONCATENATE("R1C",'Mapa final'!$Q$12),"")</f>
        <v/>
      </c>
      <c r="M46" s="58" t="str">
        <f ca="1">IF(AND('Mapa final'!$AA$13="Muy Baja",'Mapa final'!$AC$13="Leve"),CONCATENATE("R1C",'Mapa final'!$Q$13),"")</f>
        <v/>
      </c>
      <c r="N46" s="58" t="str">
        <f>IF(AND('Mapa final'!$AA$14="Muy Baja",'Mapa final'!$AC$14="Leve"),CONCATENATE("R1C",'Mapa final'!$Q$14),"")</f>
        <v/>
      </c>
      <c r="O46" s="59" t="str">
        <f>IF(AND('Mapa final'!$AA$15="Muy Baja",'Mapa final'!$AC$15="Leve"),CONCATENATE("R1C",'Mapa final'!$Q$15),"")</f>
        <v/>
      </c>
      <c r="P46" s="57" t="str">
        <f ca="1">IF(AND('Mapa final'!$AA$10="Muy Baja",'Mapa final'!$AC$10="Menor"),CONCATENATE("R1C",'Mapa final'!$Q$10),"")</f>
        <v/>
      </c>
      <c r="Q46" s="58" t="str">
        <f ca="1">IF(AND('Mapa final'!$AA$11="Muy Baja",'Mapa final'!$AC$11="Menor"),CONCATENATE("R1C",'Mapa final'!$Q$11),"")</f>
        <v/>
      </c>
      <c r="R46" s="58" t="str">
        <f ca="1">IF(AND('Mapa final'!$AA$12="Muy Baja",'Mapa final'!$AC$12="Menor"),CONCATENATE("R1C",'Mapa final'!$Q$12),"")</f>
        <v/>
      </c>
      <c r="S46" s="58" t="str">
        <f ca="1">IF(AND('Mapa final'!$AA$13="Muy Baja",'Mapa final'!$AC$13="Menor"),CONCATENATE("R1C",'Mapa final'!$Q$13),"")</f>
        <v/>
      </c>
      <c r="T46" s="58" t="str">
        <f>IF(AND('Mapa final'!$AA$14="Muy Baja",'Mapa final'!$AC$14="Menor"),CONCATENATE("R1C",'Mapa final'!$Q$14),"")</f>
        <v/>
      </c>
      <c r="U46" s="59" t="str">
        <f>IF(AND('Mapa final'!$AA$15="Muy Baja",'Mapa final'!$AC$15="Menor"),CONCATENATE("R1C",'Mapa final'!$Q$15),"")</f>
        <v/>
      </c>
      <c r="V46" s="48" t="str">
        <f ca="1">IF(AND('Mapa final'!$AA$10="Muy Baja",'Mapa final'!$AC$10="Moderado"),CONCATENATE("R1C",'Mapa final'!$Q$10),"")</f>
        <v/>
      </c>
      <c r="W46" s="66" t="str">
        <f ca="1">IF(AND('Mapa final'!$AA$11="Muy Baja",'Mapa final'!$AC$11="Moderado"),CONCATENATE("R1C",'Mapa final'!$Q$11),"")</f>
        <v>R1C2</v>
      </c>
      <c r="X46" s="49" t="str">
        <f ca="1">IF(AND('Mapa final'!$AA$12="Muy Baja",'Mapa final'!$AC$12="Moderado"),CONCATENATE("R1C",'Mapa final'!$Q$12),"")</f>
        <v>R1C3</v>
      </c>
      <c r="Y46" s="49" t="str">
        <f ca="1">IF(AND('Mapa final'!$AA$13="Muy Baja",'Mapa final'!$AC$13="Moderado"),CONCATENATE("R1C",'Mapa final'!$Q$13),"")</f>
        <v>R1C4</v>
      </c>
      <c r="Z46" s="49" t="str">
        <f>IF(AND('Mapa final'!$AA$14="Muy Baja",'Mapa final'!$AC$14="Moderado"),CONCATENATE("R1C",'Mapa final'!$Q$14),"")</f>
        <v/>
      </c>
      <c r="AA46" s="50" t="str">
        <f>IF(AND('Mapa final'!$AA$15="Muy Baja",'Mapa final'!$AC$15="Moderado"),CONCATENATE("R1C",'Mapa final'!$Q$15),"")</f>
        <v/>
      </c>
      <c r="AB46" s="30" t="str">
        <f ca="1">IF(AND('Mapa final'!$AA$10="Muy Baja",'Mapa final'!$AC$10="Mayor"),CONCATENATE("R1C",'Mapa final'!$Q$10),"")</f>
        <v/>
      </c>
      <c r="AC46" s="31" t="str">
        <f ca="1">IF(AND('Mapa final'!$AA$11="Muy Baja",'Mapa final'!$AC$11="Mayor"),CONCATENATE("R1C",'Mapa final'!$Q$11),"")</f>
        <v/>
      </c>
      <c r="AD46" s="31" t="str">
        <f ca="1">IF(AND('Mapa final'!$AA$12="Muy Baja",'Mapa final'!$AC$12="Mayor"),CONCATENATE("R1C",'Mapa final'!$Q$12),"")</f>
        <v/>
      </c>
      <c r="AE46" s="31" t="str">
        <f ca="1">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 ca="1">IF(AND('Mapa final'!$AA$11="Muy Baja",'Mapa final'!$AC$11="Catastrófico"),CONCATENATE("R1C",'Mapa final'!$Q$11),"")</f>
        <v/>
      </c>
      <c r="AJ46" s="34" t="str">
        <f ca="1">IF(AND('Mapa final'!$AA$12="Muy Baja",'Mapa final'!$AC$12="Catastrófico"),CONCATENATE("R1C",'Mapa final'!$Q$12),"")</f>
        <v/>
      </c>
      <c r="AK46" s="34" t="str">
        <f ca="1">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339"/>
      <c r="C47" s="339"/>
      <c r="D47" s="340"/>
      <c r="E47" s="396"/>
      <c r="F47" s="381"/>
      <c r="G47" s="381"/>
      <c r="H47" s="381"/>
      <c r="I47" s="382"/>
      <c r="J47" s="60" t="str">
        <f ca="1">IF(AND('Mapa final'!$AA$16="Muy Baja",'Mapa final'!$AC$16="Leve"),CONCATENATE("R2C",'Mapa final'!$Q$16),"")</f>
        <v/>
      </c>
      <c r="K47" s="61" t="str">
        <f>IF(AND('Mapa final'!$AA$17="Muy Baja",'Mapa final'!$AC$17="Leve"),CONCATENATE("R2C",'Mapa final'!$Q$17),"")</f>
        <v/>
      </c>
      <c r="L47" s="61" t="str">
        <f>IF(AND('Mapa final'!$AA$18="Muy Baja",'Mapa final'!$AC$18="Leve"),CONCATENATE("R2C",'Mapa final'!$Q$18),"")</f>
        <v/>
      </c>
      <c r="M47" s="61" t="str">
        <f>IF(AND('Mapa final'!$AA$19="Muy Baja",'Mapa final'!$AC$19="Leve"),CONCATENATE("R2C",'Mapa final'!$Q$19),"")</f>
        <v/>
      </c>
      <c r="N47" s="61" t="str">
        <f>IF(AND('Mapa final'!$AA$20="Muy Baja",'Mapa final'!$AC$20="Leve"),CONCATENATE("R2C",'Mapa final'!$Q$20),"")</f>
        <v/>
      </c>
      <c r="O47" s="62" t="str">
        <f>IF(AND('Mapa final'!$AA$21="Muy Baja",'Mapa final'!$AC$21="Leve"),CONCATENATE("R2C",'Mapa final'!$Q$21),"")</f>
        <v/>
      </c>
      <c r="P47" s="60" t="str">
        <f ca="1">IF(AND('Mapa final'!$AA$16="Muy Baja",'Mapa final'!$AC$16="Menor"),CONCATENATE("R2C",'Mapa final'!$Q$16),"")</f>
        <v/>
      </c>
      <c r="Q47" s="61" t="str">
        <f>IF(AND('Mapa final'!$AA$17="Muy Baja",'Mapa final'!$AC$17="Menor"),CONCATENATE("R2C",'Mapa final'!$Q$17),"")</f>
        <v/>
      </c>
      <c r="R47" s="61" t="str">
        <f>IF(AND('Mapa final'!$AA$18="Muy Baja",'Mapa final'!$AC$18="Menor"),CONCATENATE("R2C",'Mapa final'!$Q$18),"")</f>
        <v/>
      </c>
      <c r="S47" s="61" t="str">
        <f>IF(AND('Mapa final'!$AA$19="Muy Baja",'Mapa final'!$AC$19="Menor"),CONCATENATE("R2C",'Mapa final'!$Q$19),"")</f>
        <v/>
      </c>
      <c r="T47" s="61" t="str">
        <f>IF(AND('Mapa final'!$AA$20="Muy Baja",'Mapa final'!$AC$20="Menor"),CONCATENATE("R2C",'Mapa final'!$Q$20),"")</f>
        <v/>
      </c>
      <c r="U47" s="62" t="str">
        <f>IF(AND('Mapa final'!$AA$21="Muy Baja",'Mapa final'!$AC$21="Menor"),CONCATENATE("R2C",'Mapa final'!$Q$21),"")</f>
        <v/>
      </c>
      <c r="V47" s="51" t="str">
        <f ca="1">IF(AND('Mapa final'!$AA$16="Muy Baja",'Mapa final'!$AC$16="Moderado"),CONCATENATE("R2C",'Mapa final'!$Q$16),"")</f>
        <v/>
      </c>
      <c r="W47" s="52" t="str">
        <f>IF(AND('Mapa final'!$AA$17="Muy Baja",'Mapa final'!$AC$17="Moderado"),CONCATENATE("R2C",'Mapa final'!$Q$17),"")</f>
        <v/>
      </c>
      <c r="X47" s="52" t="str">
        <f>IF(AND('Mapa final'!$AA$18="Muy Baja",'Mapa final'!$AC$18="Moderado"),CONCATENATE("R2C",'Mapa final'!$Q$18),"")</f>
        <v/>
      </c>
      <c r="Y47" s="52" t="str">
        <f>IF(AND('Mapa final'!$AA$19="Muy Baja",'Mapa final'!$AC$19="Moderado"),CONCATENATE("R2C",'Mapa final'!$Q$19),"")</f>
        <v/>
      </c>
      <c r="Z47" s="52" t="str">
        <f>IF(AND('Mapa final'!$AA$20="Muy Baja",'Mapa final'!$AC$20="Moderado"),CONCATENATE("R2C",'Mapa final'!$Q$20),"")</f>
        <v/>
      </c>
      <c r="AA47" s="53" t="str">
        <f>IF(AND('Mapa final'!$AA$21="Muy Baja",'Mapa final'!$AC$21="Moderado"),CONCATENATE("R2C",'Mapa final'!$Q$21),"")</f>
        <v/>
      </c>
      <c r="AB47" s="36" t="str">
        <f ca="1">IF(AND('Mapa final'!$AA$16="Muy Baja",'Mapa final'!$AC$16="Mayor"),CONCATENATE("R2C",'Mapa final'!$Q$16),"")</f>
        <v/>
      </c>
      <c r="AC47" s="37" t="str">
        <f>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 ca="1">IF(AND('Mapa final'!$AA$16="Muy Baja",'Mapa final'!$AC$16="Catastrófico"),CONCATENATE("R2C",'Mapa final'!$Q$16),"")</f>
        <v/>
      </c>
      <c r="AI47" s="40" t="str">
        <f>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339"/>
      <c r="C48" s="339"/>
      <c r="D48" s="340"/>
      <c r="E48" s="396"/>
      <c r="F48" s="381"/>
      <c r="G48" s="381"/>
      <c r="H48" s="381"/>
      <c r="I48" s="382"/>
      <c r="J48" s="60" t="str">
        <f>IF(AND('Mapa final'!$AA$22="Muy Baja",'Mapa final'!$AC$22="Leve"),CONCATENATE("R3C",'Mapa final'!$Q$22),"")</f>
        <v/>
      </c>
      <c r="K48" s="61" t="str">
        <f>IF(AND('Mapa final'!$AA$23="Muy Baja",'Mapa final'!$AC$23="Leve"),CONCATENATE("R3C",'Mapa final'!$Q$23),"")</f>
        <v/>
      </c>
      <c r="L48" s="61" t="str">
        <f>IF(AND('Mapa final'!$AA$24="Muy Baja",'Mapa final'!$AC$24="Leve"),CONCATENATE("R3C",'Mapa final'!$Q$24),"")</f>
        <v/>
      </c>
      <c r="M48" s="61" t="str">
        <f>IF(AND('Mapa final'!$AA$25="Muy Baja",'Mapa final'!$AC$25="Leve"),CONCATENATE("R3C",'Mapa final'!$Q$25),"")</f>
        <v/>
      </c>
      <c r="N48" s="61" t="str">
        <f>IF(AND('Mapa final'!$AA$26="Muy Baja",'Mapa final'!$AC$26="Leve"),CONCATENATE("R3C",'Mapa final'!$Q$26),"")</f>
        <v/>
      </c>
      <c r="O48" s="62" t="str">
        <f>IF(AND('Mapa final'!$AA$27="Muy Baja",'Mapa final'!$AC$27="Leve"),CONCATENATE("R3C",'Mapa final'!$Q$27),"")</f>
        <v/>
      </c>
      <c r="P48" s="60" t="str">
        <f>IF(AND('Mapa final'!$AA$22="Muy Baja",'Mapa final'!$AC$22="Menor"),CONCATENATE("R3C",'Mapa final'!$Q$22),"")</f>
        <v/>
      </c>
      <c r="Q48" s="61" t="str">
        <f>IF(AND('Mapa final'!$AA$23="Muy Baja",'Mapa final'!$AC$23="Menor"),CONCATENATE("R3C",'Mapa final'!$Q$23),"")</f>
        <v/>
      </c>
      <c r="R48" s="61" t="str">
        <f>IF(AND('Mapa final'!$AA$24="Muy Baja",'Mapa final'!$AC$24="Menor"),CONCATENATE("R3C",'Mapa final'!$Q$24),"")</f>
        <v/>
      </c>
      <c r="S48" s="61" t="str">
        <f>IF(AND('Mapa final'!$AA$25="Muy Baja",'Mapa final'!$AC$25="Menor"),CONCATENATE("R3C",'Mapa final'!$Q$25),"")</f>
        <v/>
      </c>
      <c r="T48" s="61" t="str">
        <f>IF(AND('Mapa final'!$AA$26="Muy Baja",'Mapa final'!$AC$26="Menor"),CONCATENATE("R3C",'Mapa final'!$Q$26),"")</f>
        <v/>
      </c>
      <c r="U48" s="62" t="str">
        <f>IF(AND('Mapa final'!$AA$27="Muy Baja",'Mapa final'!$AC$27="Menor"),CONCATENATE("R3C",'Mapa final'!$Q$27),"")</f>
        <v/>
      </c>
      <c r="V48" s="51" t="str">
        <f>IF(AND('Mapa final'!$AA$22="Muy Baja",'Mapa final'!$AC$22="Moderado"),CONCATENATE("R3C",'Mapa final'!$Q$22),"")</f>
        <v/>
      </c>
      <c r="W48" s="52" t="str">
        <f>IF(AND('Mapa final'!$AA$23="Muy Baja",'Mapa final'!$AC$23="Moderado"),CONCATENATE("R3C",'Mapa final'!$Q$23),"")</f>
        <v/>
      </c>
      <c r="X48" s="52" t="str">
        <f>IF(AND('Mapa final'!$AA$24="Muy Baja",'Mapa final'!$AC$24="Moderado"),CONCATENATE("R3C",'Mapa final'!$Q$24),"")</f>
        <v/>
      </c>
      <c r="Y48" s="52" t="str">
        <f>IF(AND('Mapa final'!$AA$25="Muy Baja",'Mapa final'!$AC$25="Moderado"),CONCATENATE("R3C",'Mapa final'!$Q$25),"")</f>
        <v/>
      </c>
      <c r="Z48" s="52" t="str">
        <f>IF(AND('Mapa final'!$AA$26="Muy Baja",'Mapa final'!$AC$26="Moderado"),CONCATENATE("R3C",'Mapa final'!$Q$26),"")</f>
        <v/>
      </c>
      <c r="AA48" s="53"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339"/>
      <c r="C49" s="339"/>
      <c r="D49" s="340"/>
      <c r="E49" s="380"/>
      <c r="F49" s="381"/>
      <c r="G49" s="381"/>
      <c r="H49" s="381"/>
      <c r="I49" s="382"/>
      <c r="J49" s="60" t="str">
        <f>IF(AND('Mapa final'!$AA$28="Muy Baja",'Mapa final'!$AC$28="Leve"),CONCATENATE("R4C",'Mapa final'!$Q$28),"")</f>
        <v/>
      </c>
      <c r="K49" s="61" t="str">
        <f>IF(AND('Mapa final'!$AA$29="Muy Baja",'Mapa final'!$AC$29="Leve"),CONCATENATE("R4C",'Mapa final'!$Q$29),"")</f>
        <v/>
      </c>
      <c r="L49" s="61" t="str">
        <f>IF(AND('Mapa final'!$AA$30="Muy Baja",'Mapa final'!$AC$30="Leve"),CONCATENATE("R4C",'Mapa final'!$Q$30),"")</f>
        <v/>
      </c>
      <c r="M49" s="61" t="str">
        <f>IF(AND('Mapa final'!$AA$31="Muy Baja",'Mapa final'!$AC$31="Leve"),CONCATENATE("R4C",'Mapa final'!$Q$31),"")</f>
        <v/>
      </c>
      <c r="N49" s="61" t="str">
        <f>IF(AND('Mapa final'!$AA$32="Muy Baja",'Mapa final'!$AC$32="Leve"),CONCATENATE("R4C",'Mapa final'!$Q$32),"")</f>
        <v/>
      </c>
      <c r="O49" s="62" t="str">
        <f>IF(AND('Mapa final'!$AA$33="Muy Baja",'Mapa final'!$AC$33="Leve"),CONCATENATE("R4C",'Mapa final'!$Q$33),"")</f>
        <v/>
      </c>
      <c r="P49" s="60" t="str">
        <f>IF(AND('Mapa final'!$AA$28="Muy Baja",'Mapa final'!$AC$28="Menor"),CONCATENATE("R4C",'Mapa final'!$Q$28),"")</f>
        <v/>
      </c>
      <c r="Q49" s="61" t="str">
        <f>IF(AND('Mapa final'!$AA$29="Muy Baja",'Mapa final'!$AC$29="Menor"),CONCATENATE("R4C",'Mapa final'!$Q$29),"")</f>
        <v/>
      </c>
      <c r="R49" s="61" t="str">
        <f>IF(AND('Mapa final'!$AA$30="Muy Baja",'Mapa final'!$AC$30="Menor"),CONCATENATE("R4C",'Mapa final'!$Q$30),"")</f>
        <v/>
      </c>
      <c r="S49" s="61" t="str">
        <f>IF(AND('Mapa final'!$AA$31="Muy Baja",'Mapa final'!$AC$31="Menor"),CONCATENATE("R4C",'Mapa final'!$Q$31),"")</f>
        <v/>
      </c>
      <c r="T49" s="61" t="str">
        <f>IF(AND('Mapa final'!$AA$32="Muy Baja",'Mapa final'!$AC$32="Menor"),CONCATENATE("R4C",'Mapa final'!$Q$32),"")</f>
        <v/>
      </c>
      <c r="U49" s="62" t="str">
        <f>IF(AND('Mapa final'!$AA$33="Muy Baja",'Mapa final'!$AC$33="Menor"),CONCATENATE("R4C",'Mapa final'!$Q$33),"")</f>
        <v/>
      </c>
      <c r="V49" s="51" t="str">
        <f>IF(AND('Mapa final'!$AA$28="Muy Baja",'Mapa final'!$AC$28="Moderado"),CONCATENATE("R4C",'Mapa final'!$Q$28),"")</f>
        <v/>
      </c>
      <c r="W49" s="52" t="str">
        <f>IF(AND('Mapa final'!$AA$29="Muy Baja",'Mapa final'!$AC$29="Moderado"),CONCATENATE("R4C",'Mapa final'!$Q$29),"")</f>
        <v/>
      </c>
      <c r="X49" s="52" t="str">
        <f>IF(AND('Mapa final'!$AA$30="Muy Baja",'Mapa final'!$AC$30="Moderado"),CONCATENATE("R4C",'Mapa final'!$Q$30),"")</f>
        <v/>
      </c>
      <c r="Y49" s="52" t="str">
        <f>IF(AND('Mapa final'!$AA$31="Muy Baja",'Mapa final'!$AC$31="Moderado"),CONCATENATE("R4C",'Mapa final'!$Q$31),"")</f>
        <v/>
      </c>
      <c r="Z49" s="52" t="str">
        <f>IF(AND('Mapa final'!$AA$32="Muy Baja",'Mapa final'!$AC$32="Moderado"),CONCATENATE("R4C",'Mapa final'!$Q$32),"")</f>
        <v/>
      </c>
      <c r="AA49" s="53"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339"/>
      <c r="C50" s="339"/>
      <c r="D50" s="340"/>
      <c r="E50" s="380"/>
      <c r="F50" s="381"/>
      <c r="G50" s="381"/>
      <c r="H50" s="381"/>
      <c r="I50" s="382"/>
      <c r="J50" s="60" t="str">
        <f>IF(AND('Mapa final'!$AA$34="Muy Baja",'Mapa final'!$AC$34="Leve"),CONCATENATE("R5C",'Mapa final'!$Q$34),"")</f>
        <v/>
      </c>
      <c r="K50" s="61" t="str">
        <f>IF(AND('Mapa final'!$AA$35="Muy Baja",'Mapa final'!$AC$35="Leve"),CONCATENATE("R5C",'Mapa final'!$Q$35),"")</f>
        <v/>
      </c>
      <c r="L50" s="61" t="str">
        <f>IF(AND('Mapa final'!$AA$36="Muy Baja",'Mapa final'!$AC$36="Leve"),CONCATENATE("R5C",'Mapa final'!$Q$36),"")</f>
        <v/>
      </c>
      <c r="M50" s="61" t="str">
        <f>IF(AND('Mapa final'!$AA$37="Muy Baja",'Mapa final'!$AC$37="Leve"),CONCATENATE("R5C",'Mapa final'!$Q$37),"")</f>
        <v/>
      </c>
      <c r="N50" s="61" t="str">
        <f>IF(AND('Mapa final'!$AA$38="Muy Baja",'Mapa final'!$AC$38="Leve"),CONCATENATE("R5C",'Mapa final'!$Q$38),"")</f>
        <v/>
      </c>
      <c r="O50" s="62" t="str">
        <f>IF(AND('Mapa final'!$AA$39="Muy Baja",'Mapa final'!$AC$39="Leve"),CONCATENATE("R5C",'Mapa final'!$Q$39),"")</f>
        <v/>
      </c>
      <c r="P50" s="60" t="str">
        <f>IF(AND('Mapa final'!$AA$34="Muy Baja",'Mapa final'!$AC$34="Menor"),CONCATENATE("R5C",'Mapa final'!$Q$34),"")</f>
        <v/>
      </c>
      <c r="Q50" s="61" t="str">
        <f>IF(AND('Mapa final'!$AA$35="Muy Baja",'Mapa final'!$AC$35="Menor"),CONCATENATE("R5C",'Mapa final'!$Q$35),"")</f>
        <v/>
      </c>
      <c r="R50" s="61" t="str">
        <f>IF(AND('Mapa final'!$AA$36="Muy Baja",'Mapa final'!$AC$36="Menor"),CONCATENATE("R5C",'Mapa final'!$Q$36),"")</f>
        <v/>
      </c>
      <c r="S50" s="61" t="str">
        <f>IF(AND('Mapa final'!$AA$37="Muy Baja",'Mapa final'!$AC$37="Menor"),CONCATENATE("R5C",'Mapa final'!$Q$37),"")</f>
        <v/>
      </c>
      <c r="T50" s="61" t="str">
        <f>IF(AND('Mapa final'!$AA$38="Muy Baja",'Mapa final'!$AC$38="Menor"),CONCATENATE("R5C",'Mapa final'!$Q$38),"")</f>
        <v/>
      </c>
      <c r="U50" s="62" t="str">
        <f>IF(AND('Mapa final'!$AA$39="Muy Baja",'Mapa final'!$AC$39="Menor"),CONCATENATE("R5C",'Mapa final'!$Q$39),"")</f>
        <v/>
      </c>
      <c r="V50" s="51" t="str">
        <f>IF(AND('Mapa final'!$AA$34="Muy Baja",'Mapa final'!$AC$34="Moderado"),CONCATENATE("R5C",'Mapa final'!$Q$34),"")</f>
        <v/>
      </c>
      <c r="W50" s="52" t="str">
        <f>IF(AND('Mapa final'!$AA$35="Muy Baja",'Mapa final'!$AC$35="Moderado"),CONCATENATE("R5C",'Mapa final'!$Q$35),"")</f>
        <v/>
      </c>
      <c r="X50" s="52" t="str">
        <f>IF(AND('Mapa final'!$AA$36="Muy Baja",'Mapa final'!$AC$36="Moderado"),CONCATENATE("R5C",'Mapa final'!$Q$36),"")</f>
        <v/>
      </c>
      <c r="Y50" s="52" t="str">
        <f>IF(AND('Mapa final'!$AA$37="Muy Baja",'Mapa final'!$AC$37="Moderado"),CONCATENATE("R5C",'Mapa final'!$Q$37),"")</f>
        <v/>
      </c>
      <c r="Z50" s="52" t="str">
        <f>IF(AND('Mapa final'!$AA$38="Muy Baja",'Mapa final'!$AC$38="Moderado"),CONCATENATE("R5C",'Mapa final'!$Q$38),"")</f>
        <v/>
      </c>
      <c r="AA50" s="53"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37" t="str">
        <f>IF(AND('Mapa final'!$AA$36="Muy Baja",'Mapa final'!$AC$36="Mayor"),CONCATENATE("R5C",'Mapa final'!$Q$36),"")</f>
        <v/>
      </c>
      <c r="AE50" s="37" t="str">
        <f>IF(AND('Mapa final'!$AA$37="Muy Baja",'Mapa final'!$AC$37="Mayor"),CONCATENATE("R5C",'Mapa final'!$Q$37),"")</f>
        <v/>
      </c>
      <c r="AF50" s="37"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339"/>
      <c r="C51" s="339"/>
      <c r="D51" s="340"/>
      <c r="E51" s="380"/>
      <c r="F51" s="381"/>
      <c r="G51" s="381"/>
      <c r="H51" s="381"/>
      <c r="I51" s="382"/>
      <c r="J51" s="60" t="str">
        <f>IF(AND('Mapa final'!$AA$40="Muy Baja",'Mapa final'!$AC$40="Leve"),CONCATENATE("R6C",'Mapa final'!$Q$40),"")</f>
        <v/>
      </c>
      <c r="K51" s="61" t="str">
        <f>IF(AND('Mapa final'!$AA$41="Muy Baja",'Mapa final'!$AC$41="Leve"),CONCATENATE("R6C",'Mapa final'!$Q$41),"")</f>
        <v/>
      </c>
      <c r="L51" s="61" t="str">
        <f>IF(AND('Mapa final'!$AA$42="Muy Baja",'Mapa final'!$AC$42="Leve"),CONCATENATE("R6C",'Mapa final'!$Q$42),"")</f>
        <v/>
      </c>
      <c r="M51" s="61" t="str">
        <f>IF(AND('Mapa final'!$AA$43="Muy Baja",'Mapa final'!$AC$43="Leve"),CONCATENATE("R6C",'Mapa final'!$Q$43),"")</f>
        <v/>
      </c>
      <c r="N51" s="61" t="str">
        <f>IF(AND('Mapa final'!$AA$44="Muy Baja",'Mapa final'!$AC$44="Leve"),CONCATENATE("R6C",'Mapa final'!$Q$44),"")</f>
        <v/>
      </c>
      <c r="O51" s="62" t="str">
        <f>IF(AND('Mapa final'!$AA$45="Muy Baja",'Mapa final'!$AC$45="Leve"),CONCATENATE("R6C",'Mapa final'!$Q$45),"")</f>
        <v/>
      </c>
      <c r="P51" s="60" t="str">
        <f>IF(AND('Mapa final'!$AA$40="Muy Baja",'Mapa final'!$AC$40="Menor"),CONCATENATE("R6C",'Mapa final'!$Q$40),"")</f>
        <v/>
      </c>
      <c r="Q51" s="61" t="str">
        <f>IF(AND('Mapa final'!$AA$41="Muy Baja",'Mapa final'!$AC$41="Menor"),CONCATENATE("R6C",'Mapa final'!$Q$41),"")</f>
        <v/>
      </c>
      <c r="R51" s="61" t="str">
        <f>IF(AND('Mapa final'!$AA$42="Muy Baja",'Mapa final'!$AC$42="Menor"),CONCATENATE("R6C",'Mapa final'!$Q$42),"")</f>
        <v/>
      </c>
      <c r="S51" s="61" t="str">
        <f>IF(AND('Mapa final'!$AA$43="Muy Baja",'Mapa final'!$AC$43="Menor"),CONCATENATE("R6C",'Mapa final'!$Q$43),"")</f>
        <v/>
      </c>
      <c r="T51" s="61" t="str">
        <f>IF(AND('Mapa final'!$AA$44="Muy Baja",'Mapa final'!$AC$44="Menor"),CONCATENATE("R6C",'Mapa final'!$Q$44),"")</f>
        <v/>
      </c>
      <c r="U51" s="62" t="str">
        <f>IF(AND('Mapa final'!$AA$45="Muy Baja",'Mapa final'!$AC$45="Menor"),CONCATENATE("R6C",'Mapa final'!$Q$45),"")</f>
        <v/>
      </c>
      <c r="V51" s="51" t="str">
        <f>IF(AND('Mapa final'!$AA$40="Muy Baja",'Mapa final'!$AC$40="Moderado"),CONCATENATE("R6C",'Mapa final'!$Q$40),"")</f>
        <v/>
      </c>
      <c r="W51" s="52" t="str">
        <f>IF(AND('Mapa final'!$AA$41="Muy Baja",'Mapa final'!$AC$41="Moderado"),CONCATENATE("R6C",'Mapa final'!$Q$41),"")</f>
        <v/>
      </c>
      <c r="X51" s="52" t="str">
        <f>IF(AND('Mapa final'!$AA$42="Muy Baja",'Mapa final'!$AC$42="Moderado"),CONCATENATE("R6C",'Mapa final'!$Q$42),"")</f>
        <v/>
      </c>
      <c r="Y51" s="52" t="str">
        <f>IF(AND('Mapa final'!$AA$43="Muy Baja",'Mapa final'!$AC$43="Moderado"),CONCATENATE("R6C",'Mapa final'!$Q$43),"")</f>
        <v/>
      </c>
      <c r="Z51" s="52" t="str">
        <f>IF(AND('Mapa final'!$AA$44="Muy Baja",'Mapa final'!$AC$44="Moderado"),CONCATENATE("R6C",'Mapa final'!$Q$44),"")</f>
        <v/>
      </c>
      <c r="AA51" s="53"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37" t="str">
        <f>IF(AND('Mapa final'!$AA$42="Muy Baja",'Mapa final'!$AC$42="Mayor"),CONCATENATE("R6C",'Mapa final'!$Q$42),"")</f>
        <v/>
      </c>
      <c r="AE51" s="37" t="str">
        <f>IF(AND('Mapa final'!$AA$43="Muy Baja",'Mapa final'!$AC$43="Mayor"),CONCATENATE("R6C",'Mapa final'!$Q$43),"")</f>
        <v/>
      </c>
      <c r="AF51" s="37"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339"/>
      <c r="C52" s="339"/>
      <c r="D52" s="340"/>
      <c r="E52" s="380"/>
      <c r="F52" s="381"/>
      <c r="G52" s="381"/>
      <c r="H52" s="381"/>
      <c r="I52" s="382"/>
      <c r="J52" s="60" t="str">
        <f>IF(AND('Mapa final'!$AA$46="Muy Baja",'Mapa final'!$AC$46="Leve"),CONCATENATE("R7C",'Mapa final'!$Q$46),"")</f>
        <v/>
      </c>
      <c r="K52" s="61" t="str">
        <f>IF(AND('Mapa final'!$AA$47="Muy Baja",'Mapa final'!$AC$47="Leve"),CONCATENATE("R7C",'Mapa final'!$Q$47),"")</f>
        <v/>
      </c>
      <c r="L52" s="61" t="str">
        <f>IF(AND('Mapa final'!$AA$48="Muy Baja",'Mapa final'!$AC$48="Leve"),CONCATENATE("R7C",'Mapa final'!$Q$48),"")</f>
        <v/>
      </c>
      <c r="M52" s="61" t="str">
        <f>IF(AND('Mapa final'!$AA$49="Muy Baja",'Mapa final'!$AC$49="Leve"),CONCATENATE("R7C",'Mapa final'!$Q$49),"")</f>
        <v/>
      </c>
      <c r="N52" s="61" t="str">
        <f>IF(AND('Mapa final'!$AA$50="Muy Baja",'Mapa final'!$AC$50="Leve"),CONCATENATE("R7C",'Mapa final'!$Q$50),"")</f>
        <v/>
      </c>
      <c r="O52" s="62" t="str">
        <f>IF(AND('Mapa final'!$AA$51="Muy Baja",'Mapa final'!$AC$51="Leve"),CONCATENATE("R7C",'Mapa final'!$Q$51),"")</f>
        <v/>
      </c>
      <c r="P52" s="60" t="str">
        <f>IF(AND('Mapa final'!$AA$46="Muy Baja",'Mapa final'!$AC$46="Menor"),CONCATENATE("R7C",'Mapa final'!$Q$46),"")</f>
        <v/>
      </c>
      <c r="Q52" s="61" t="str">
        <f>IF(AND('Mapa final'!$AA$47="Muy Baja",'Mapa final'!$AC$47="Menor"),CONCATENATE("R7C",'Mapa final'!$Q$47),"")</f>
        <v/>
      </c>
      <c r="R52" s="61" t="str">
        <f>IF(AND('Mapa final'!$AA$48="Muy Baja",'Mapa final'!$AC$48="Menor"),CONCATENATE("R7C",'Mapa final'!$Q$48),"")</f>
        <v/>
      </c>
      <c r="S52" s="61" t="str">
        <f>IF(AND('Mapa final'!$AA$49="Muy Baja",'Mapa final'!$AC$49="Menor"),CONCATENATE("R7C",'Mapa final'!$Q$49),"")</f>
        <v/>
      </c>
      <c r="T52" s="61" t="str">
        <f>IF(AND('Mapa final'!$AA$50="Muy Baja",'Mapa final'!$AC$50="Menor"),CONCATENATE("R7C",'Mapa final'!$Q$50),"")</f>
        <v/>
      </c>
      <c r="U52" s="62" t="str">
        <f>IF(AND('Mapa final'!$AA$51="Muy Baja",'Mapa final'!$AC$51="Menor"),CONCATENATE("R7C",'Mapa final'!$Q$51),"")</f>
        <v/>
      </c>
      <c r="V52" s="51" t="str">
        <f>IF(AND('Mapa final'!$AA$46="Muy Baja",'Mapa final'!$AC$46="Moderado"),CONCATENATE("R7C",'Mapa final'!$Q$46),"")</f>
        <v/>
      </c>
      <c r="W52" s="52" t="str">
        <f>IF(AND('Mapa final'!$AA$47="Muy Baja",'Mapa final'!$AC$47="Moderado"),CONCATENATE("R7C",'Mapa final'!$Q$47),"")</f>
        <v/>
      </c>
      <c r="X52" s="52" t="str">
        <f>IF(AND('Mapa final'!$AA$48="Muy Baja",'Mapa final'!$AC$48="Moderado"),CONCATENATE("R7C",'Mapa final'!$Q$48),"")</f>
        <v/>
      </c>
      <c r="Y52" s="52" t="str">
        <f>IF(AND('Mapa final'!$AA$49="Muy Baja",'Mapa final'!$AC$49="Moderado"),CONCATENATE("R7C",'Mapa final'!$Q$49),"")</f>
        <v/>
      </c>
      <c r="Z52" s="52" t="str">
        <f>IF(AND('Mapa final'!$AA$50="Muy Baja",'Mapa final'!$AC$50="Moderado"),CONCATENATE("R7C",'Mapa final'!$Q$50),"")</f>
        <v/>
      </c>
      <c r="AA52" s="53"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37" t="str">
        <f>IF(AND('Mapa final'!$AA$48="Muy Baja",'Mapa final'!$AC$48="Mayor"),CONCATENATE("R7C",'Mapa final'!$Q$48),"")</f>
        <v/>
      </c>
      <c r="AE52" s="37" t="str">
        <f>IF(AND('Mapa final'!$AA$49="Muy Baja",'Mapa final'!$AC$49="Mayor"),CONCATENATE("R7C",'Mapa final'!$Q$49),"")</f>
        <v/>
      </c>
      <c r="AF52" s="37"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339"/>
      <c r="C53" s="339"/>
      <c r="D53" s="340"/>
      <c r="E53" s="380"/>
      <c r="F53" s="381"/>
      <c r="G53" s="381"/>
      <c r="H53" s="381"/>
      <c r="I53" s="382"/>
      <c r="J53" s="60" t="str">
        <f>IF(AND('Mapa final'!$AA$52="Muy Baja",'Mapa final'!$AC$52="Leve"),CONCATENATE("R8C",'Mapa final'!$Q$52),"")</f>
        <v/>
      </c>
      <c r="K53" s="61" t="str">
        <f>IF(AND('Mapa final'!$AA$53="Muy Baja",'Mapa final'!$AC$53="Leve"),CONCATENATE("R8C",'Mapa final'!$Q$53),"")</f>
        <v/>
      </c>
      <c r="L53" s="61" t="str">
        <f>IF(AND('Mapa final'!$AA$54="Muy Baja",'Mapa final'!$AC$54="Leve"),CONCATENATE("R8C",'Mapa final'!$Q$54),"")</f>
        <v/>
      </c>
      <c r="M53" s="61" t="str">
        <f>IF(AND('Mapa final'!$AA$55="Muy Baja",'Mapa final'!$AC$55="Leve"),CONCATENATE("R8C",'Mapa final'!$Q$55),"")</f>
        <v/>
      </c>
      <c r="N53" s="61" t="str">
        <f>IF(AND('Mapa final'!$AA$56="Muy Baja",'Mapa final'!$AC$56="Leve"),CONCATENATE("R8C",'Mapa final'!$Q$56),"")</f>
        <v/>
      </c>
      <c r="O53" s="62" t="str">
        <f>IF(AND('Mapa final'!$AA$57="Muy Baja",'Mapa final'!$AC$57="Leve"),CONCATENATE("R8C",'Mapa final'!$Q$57),"")</f>
        <v/>
      </c>
      <c r="P53" s="60" t="str">
        <f>IF(AND('Mapa final'!$AA$52="Muy Baja",'Mapa final'!$AC$52="Menor"),CONCATENATE("R8C",'Mapa final'!$Q$52),"")</f>
        <v/>
      </c>
      <c r="Q53" s="61" t="str">
        <f>IF(AND('Mapa final'!$AA$53="Muy Baja",'Mapa final'!$AC$53="Menor"),CONCATENATE("R8C",'Mapa final'!$Q$53),"")</f>
        <v/>
      </c>
      <c r="R53" s="61" t="str">
        <f>IF(AND('Mapa final'!$AA$54="Muy Baja",'Mapa final'!$AC$54="Menor"),CONCATENATE("R8C",'Mapa final'!$Q$54),"")</f>
        <v/>
      </c>
      <c r="S53" s="61" t="str">
        <f>IF(AND('Mapa final'!$AA$55="Muy Baja",'Mapa final'!$AC$55="Menor"),CONCATENATE("R8C",'Mapa final'!$Q$55),"")</f>
        <v/>
      </c>
      <c r="T53" s="61" t="str">
        <f>IF(AND('Mapa final'!$AA$56="Muy Baja",'Mapa final'!$AC$56="Menor"),CONCATENATE("R8C",'Mapa final'!$Q$56),"")</f>
        <v/>
      </c>
      <c r="U53" s="62" t="str">
        <f>IF(AND('Mapa final'!$AA$57="Muy Baja",'Mapa final'!$AC$57="Menor"),CONCATENATE("R8C",'Mapa final'!$Q$57),"")</f>
        <v/>
      </c>
      <c r="V53" s="51" t="str">
        <f>IF(AND('Mapa final'!$AA$52="Muy Baja",'Mapa final'!$AC$52="Moderado"),CONCATENATE("R8C",'Mapa final'!$Q$52),"")</f>
        <v/>
      </c>
      <c r="W53" s="52" t="str">
        <f>IF(AND('Mapa final'!$AA$53="Muy Baja",'Mapa final'!$AC$53="Moderado"),CONCATENATE("R8C",'Mapa final'!$Q$53),"")</f>
        <v/>
      </c>
      <c r="X53" s="52" t="str">
        <f>IF(AND('Mapa final'!$AA$54="Muy Baja",'Mapa final'!$AC$54="Moderado"),CONCATENATE("R8C",'Mapa final'!$Q$54),"")</f>
        <v/>
      </c>
      <c r="Y53" s="52" t="str">
        <f>IF(AND('Mapa final'!$AA$55="Muy Baja",'Mapa final'!$AC$55="Moderado"),CONCATENATE("R8C",'Mapa final'!$Q$55),"")</f>
        <v/>
      </c>
      <c r="Z53" s="52" t="str">
        <f>IF(AND('Mapa final'!$AA$56="Muy Baja",'Mapa final'!$AC$56="Moderado"),CONCATENATE("R8C",'Mapa final'!$Q$56),"")</f>
        <v/>
      </c>
      <c r="AA53" s="53"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37" t="str">
        <f>IF(AND('Mapa final'!$AA$54="Muy Baja",'Mapa final'!$AC$54="Mayor"),CONCATENATE("R8C",'Mapa final'!$Q$54),"")</f>
        <v/>
      </c>
      <c r="AE53" s="37" t="str">
        <f>IF(AND('Mapa final'!$AA$55="Muy Baja",'Mapa final'!$AC$55="Mayor"),CONCATENATE("R8C",'Mapa final'!$Q$55),"")</f>
        <v/>
      </c>
      <c r="AF53" s="37"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339"/>
      <c r="C54" s="339"/>
      <c r="D54" s="340"/>
      <c r="E54" s="380"/>
      <c r="F54" s="381"/>
      <c r="G54" s="381"/>
      <c r="H54" s="381"/>
      <c r="I54" s="382"/>
      <c r="J54" s="60" t="str">
        <f>IF(AND('Mapa final'!$AA$58="Muy Baja",'Mapa final'!$AC$58="Leve"),CONCATENATE("R9C",'Mapa final'!$Q$58),"")</f>
        <v/>
      </c>
      <c r="K54" s="61" t="str">
        <f>IF(AND('Mapa final'!$AA$59="Muy Baja",'Mapa final'!$AC$59="Leve"),CONCATENATE("R9C",'Mapa final'!$Q$59),"")</f>
        <v/>
      </c>
      <c r="L54" s="61" t="str">
        <f>IF(AND('Mapa final'!$AA$60="Muy Baja",'Mapa final'!$AC$60="Leve"),CONCATENATE("R9C",'Mapa final'!$Q$60),"")</f>
        <v/>
      </c>
      <c r="M54" s="61" t="str">
        <f>IF(AND('Mapa final'!$AA$61="Muy Baja",'Mapa final'!$AC$61="Leve"),CONCATENATE("R9C",'Mapa final'!$Q$61),"")</f>
        <v/>
      </c>
      <c r="N54" s="61" t="str">
        <f>IF(AND('Mapa final'!$AA$62="Muy Baja",'Mapa final'!$AC$62="Leve"),CONCATENATE("R9C",'Mapa final'!$Q$62),"")</f>
        <v/>
      </c>
      <c r="O54" s="62" t="str">
        <f>IF(AND('Mapa final'!$AA$63="Muy Baja",'Mapa final'!$AC$63="Leve"),CONCATENATE("R9C",'Mapa final'!$Q$63),"")</f>
        <v/>
      </c>
      <c r="P54" s="60" t="str">
        <f>IF(AND('Mapa final'!$AA$58="Muy Baja",'Mapa final'!$AC$58="Menor"),CONCATENATE("R9C",'Mapa final'!$Q$58),"")</f>
        <v/>
      </c>
      <c r="Q54" s="61" t="str">
        <f>IF(AND('Mapa final'!$AA$59="Muy Baja",'Mapa final'!$AC$59="Menor"),CONCATENATE("R9C",'Mapa final'!$Q$59),"")</f>
        <v/>
      </c>
      <c r="R54" s="61" t="str">
        <f>IF(AND('Mapa final'!$AA$60="Muy Baja",'Mapa final'!$AC$60="Menor"),CONCATENATE("R9C",'Mapa final'!$Q$60),"")</f>
        <v/>
      </c>
      <c r="S54" s="61" t="str">
        <f>IF(AND('Mapa final'!$AA$61="Muy Baja",'Mapa final'!$AC$61="Menor"),CONCATENATE("R9C",'Mapa final'!$Q$61),"")</f>
        <v/>
      </c>
      <c r="T54" s="61" t="str">
        <f>IF(AND('Mapa final'!$AA$62="Muy Baja",'Mapa final'!$AC$62="Menor"),CONCATENATE("R9C",'Mapa final'!$Q$62),"")</f>
        <v/>
      </c>
      <c r="U54" s="62" t="str">
        <f>IF(AND('Mapa final'!$AA$63="Muy Baja",'Mapa final'!$AC$63="Menor"),CONCATENATE("R9C",'Mapa final'!$Q$63),"")</f>
        <v/>
      </c>
      <c r="V54" s="51" t="str">
        <f>IF(AND('Mapa final'!$AA$58="Muy Baja",'Mapa final'!$AC$58="Moderado"),CONCATENATE("R9C",'Mapa final'!$Q$58),"")</f>
        <v/>
      </c>
      <c r="W54" s="52" t="str">
        <f>IF(AND('Mapa final'!$AA$59="Muy Baja",'Mapa final'!$AC$59="Moderado"),CONCATENATE("R9C",'Mapa final'!$Q$59),"")</f>
        <v/>
      </c>
      <c r="X54" s="52" t="str">
        <f>IF(AND('Mapa final'!$AA$60="Muy Baja",'Mapa final'!$AC$60="Moderado"),CONCATENATE("R9C",'Mapa final'!$Q$60),"")</f>
        <v/>
      </c>
      <c r="Y54" s="52" t="str">
        <f>IF(AND('Mapa final'!$AA$61="Muy Baja",'Mapa final'!$AC$61="Moderado"),CONCATENATE("R9C",'Mapa final'!$Q$61),"")</f>
        <v/>
      </c>
      <c r="Z54" s="52" t="str">
        <f>IF(AND('Mapa final'!$AA$62="Muy Baja",'Mapa final'!$AC$62="Moderado"),CONCATENATE("R9C",'Mapa final'!$Q$62),"")</f>
        <v/>
      </c>
      <c r="AA54" s="53"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37" t="str">
        <f>IF(AND('Mapa final'!$AA$60="Muy Baja",'Mapa final'!$AC$60="Mayor"),CONCATENATE("R9C",'Mapa final'!$Q$60),"")</f>
        <v/>
      </c>
      <c r="AE54" s="37" t="str">
        <f>IF(AND('Mapa final'!$AA$61="Muy Baja",'Mapa final'!$AC$61="Mayor"),CONCATENATE("R9C",'Mapa final'!$Q$61),"")</f>
        <v/>
      </c>
      <c r="AF54" s="37"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339"/>
      <c r="C55" s="339"/>
      <c r="D55" s="340"/>
      <c r="E55" s="383"/>
      <c r="F55" s="384"/>
      <c r="G55" s="384"/>
      <c r="H55" s="384"/>
      <c r="I55" s="385"/>
      <c r="J55" s="63" t="str">
        <f>IF(AND('Mapa final'!$AA$64="Muy Baja",'Mapa final'!$AC$64="Leve"),CONCATENATE("R10C",'Mapa final'!$Q$64),"")</f>
        <v/>
      </c>
      <c r="K55" s="64" t="str">
        <f>IF(AND('Mapa final'!$AA$65="Muy Baja",'Mapa final'!$AC$65="Leve"),CONCATENATE("R10C",'Mapa final'!$Q$65),"")</f>
        <v/>
      </c>
      <c r="L55" s="64" t="str">
        <f>IF(AND('Mapa final'!$AA$66="Muy Baja",'Mapa final'!$AC$66="Leve"),CONCATENATE("R10C",'Mapa final'!$Q$66),"")</f>
        <v/>
      </c>
      <c r="M55" s="64" t="str">
        <f>IF(AND('Mapa final'!$AA$67="Muy Baja",'Mapa final'!$AC$67="Leve"),CONCATENATE("R10C",'Mapa final'!$Q$67),"")</f>
        <v/>
      </c>
      <c r="N55" s="64" t="str">
        <f>IF(AND('Mapa final'!$AA$68="Muy Baja",'Mapa final'!$AC$68="Leve"),CONCATENATE("R10C",'Mapa final'!$Q$68),"")</f>
        <v/>
      </c>
      <c r="O55" s="65" t="str">
        <f>IF(AND('Mapa final'!$AA$69="Muy Baja",'Mapa final'!$AC$69="Leve"),CONCATENATE("R10C",'Mapa final'!$Q$69),"")</f>
        <v/>
      </c>
      <c r="P55" s="63" t="str">
        <f>IF(AND('Mapa final'!$AA$64="Muy Baja",'Mapa final'!$AC$64="Menor"),CONCATENATE("R10C",'Mapa final'!$Q$64),"")</f>
        <v/>
      </c>
      <c r="Q55" s="64" t="str">
        <f>IF(AND('Mapa final'!$AA$65="Muy Baja",'Mapa final'!$AC$65="Menor"),CONCATENATE("R10C",'Mapa final'!$Q$65),"")</f>
        <v/>
      </c>
      <c r="R55" s="64" t="str">
        <f>IF(AND('Mapa final'!$AA$66="Muy Baja",'Mapa final'!$AC$66="Menor"),CONCATENATE("R10C",'Mapa final'!$Q$66),"")</f>
        <v/>
      </c>
      <c r="S55" s="64" t="str">
        <f>IF(AND('Mapa final'!$AA$67="Muy Baja",'Mapa final'!$AC$67="Menor"),CONCATENATE("R10C",'Mapa final'!$Q$67),"")</f>
        <v/>
      </c>
      <c r="T55" s="64" t="str">
        <f>IF(AND('Mapa final'!$AA$68="Muy Baja",'Mapa final'!$AC$68="Menor"),CONCATENATE("R10C",'Mapa final'!$Q$68),"")</f>
        <v/>
      </c>
      <c r="U55" s="65" t="str">
        <f>IF(AND('Mapa final'!$AA$69="Muy Baja",'Mapa final'!$AC$69="Menor"),CONCATENATE("R10C",'Mapa final'!$Q$69),"")</f>
        <v/>
      </c>
      <c r="V55" s="54" t="str">
        <f>IF(AND('Mapa final'!$AA$64="Muy Baja",'Mapa final'!$AC$64="Moderado"),CONCATENATE("R10C",'Mapa final'!$Q$64),"")</f>
        <v/>
      </c>
      <c r="W55" s="55" t="str">
        <f>IF(AND('Mapa final'!$AA$65="Muy Baja",'Mapa final'!$AC$65="Moderado"),CONCATENATE("R10C",'Mapa final'!$Q$65),"")</f>
        <v/>
      </c>
      <c r="X55" s="55" t="str">
        <f>IF(AND('Mapa final'!$AA$66="Muy Baja",'Mapa final'!$AC$66="Moderado"),CONCATENATE("R10C",'Mapa final'!$Q$66),"")</f>
        <v/>
      </c>
      <c r="Y55" s="55" t="str">
        <f>IF(AND('Mapa final'!$AA$67="Muy Baja",'Mapa final'!$AC$67="Moderado"),CONCATENATE("R10C",'Mapa final'!$Q$67),"")</f>
        <v/>
      </c>
      <c r="Z55" s="55" t="str">
        <f>IF(AND('Mapa final'!$AA$68="Muy Baja",'Mapa final'!$AC$68="Moderado"),CONCATENATE("R10C",'Mapa final'!$Q$68),"")</f>
        <v/>
      </c>
      <c r="AA55" s="56" t="str">
        <f>IF(AND('Mapa final'!$AA$69="Muy Baja",'Mapa final'!$AC$69="Moderado"),CONCATENATE("R10C",'Mapa final'!$Q$69),"")</f>
        <v/>
      </c>
      <c r="AB55" s="42" t="str">
        <f>IF(AND('Mapa final'!$AA$64="Muy Baja",'Mapa final'!$AC$64="Mayor"),CONCATENATE("R10C",'Mapa final'!$Q$64),"")</f>
        <v/>
      </c>
      <c r="AC55" s="43" t="str">
        <f>IF(AND('Mapa final'!$AA$65="Muy Baja",'Mapa final'!$AC$65="Mayor"),CONCATENATE("R10C",'Mapa final'!$Q$65),"")</f>
        <v/>
      </c>
      <c r="AD55" s="43" t="str">
        <f>IF(AND('Mapa final'!$AA$66="Muy Baja",'Mapa final'!$AC$66="Mayor"),CONCATENATE("R10C",'Mapa final'!$Q$66),"")</f>
        <v/>
      </c>
      <c r="AE55" s="43" t="str">
        <f>IF(AND('Mapa final'!$AA$67="Muy Baja",'Mapa final'!$AC$67="Mayor"),CONCATENATE("R10C",'Mapa final'!$Q$67),"")</f>
        <v/>
      </c>
      <c r="AF55" s="43" t="str">
        <f>IF(AND('Mapa final'!$AA$68="Muy Baja",'Mapa final'!$AC$68="Mayor"),CONCATENATE("R10C",'Mapa final'!$Q$68),"")</f>
        <v/>
      </c>
      <c r="AG55" s="44" t="str">
        <f>IF(AND('Mapa final'!$AA$69="Muy Baja",'Mapa final'!$AC$69="Mayor"),CONCATENATE("R10C",'Mapa final'!$Q$69),"")</f>
        <v/>
      </c>
      <c r="AH55" s="45" t="str">
        <f>IF(AND('Mapa final'!$AA$64="Muy Baja",'Mapa final'!$AC$64="Catastrófico"),CONCATENATE("R10C",'Mapa final'!$Q$64),"")</f>
        <v/>
      </c>
      <c r="AI55" s="46" t="str">
        <f>IF(AND('Mapa final'!$AA$65="Muy Baja",'Mapa final'!$AC$65="Catastrófico"),CONCATENATE("R10C",'Mapa final'!$Q$65),"")</f>
        <v/>
      </c>
      <c r="AJ55" s="46" t="str">
        <f>IF(AND('Mapa final'!$AA$66="Muy Baja",'Mapa final'!$AC$66="Catastrófico"),CONCATENATE("R10C",'Mapa final'!$Q$66),"")</f>
        <v/>
      </c>
      <c r="AK55" s="46" t="str">
        <f>IF(AND('Mapa final'!$AA$67="Muy Baja",'Mapa final'!$AC$67="Catastrófico"),CONCATENATE("R10C",'Mapa final'!$Q$67),"")</f>
        <v/>
      </c>
      <c r="AL55" s="46" t="str">
        <f>IF(AND('Mapa final'!$AA$68="Muy Baja",'Mapa final'!$AC$68="Catastrófico"),CONCATENATE("R10C",'Mapa final'!$Q$68),"")</f>
        <v/>
      </c>
      <c r="AM55" s="47" t="str">
        <f>IF(AND('Mapa final'!$AA$69="Muy Baja",'Mapa final'!$AC$69="Catastrófico"),CONCATENATE("R10C",'Mapa final'!$Q$69),"")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377" t="s">
        <v>107</v>
      </c>
      <c r="K56" s="378"/>
      <c r="L56" s="378"/>
      <c r="M56" s="378"/>
      <c r="N56" s="378"/>
      <c r="O56" s="379"/>
      <c r="P56" s="377" t="s">
        <v>106</v>
      </c>
      <c r="Q56" s="378"/>
      <c r="R56" s="378"/>
      <c r="S56" s="378"/>
      <c r="T56" s="378"/>
      <c r="U56" s="379"/>
      <c r="V56" s="377" t="s">
        <v>105</v>
      </c>
      <c r="W56" s="378"/>
      <c r="X56" s="378"/>
      <c r="Y56" s="378"/>
      <c r="Z56" s="378"/>
      <c r="AA56" s="379"/>
      <c r="AB56" s="377" t="s">
        <v>104</v>
      </c>
      <c r="AC56" s="386"/>
      <c r="AD56" s="378"/>
      <c r="AE56" s="378"/>
      <c r="AF56" s="378"/>
      <c r="AG56" s="379"/>
      <c r="AH56" s="377" t="s">
        <v>103</v>
      </c>
      <c r="AI56" s="378"/>
      <c r="AJ56" s="378"/>
      <c r="AK56" s="378"/>
      <c r="AL56" s="378"/>
      <c r="AM56" s="379"/>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380"/>
      <c r="K57" s="381"/>
      <c r="L57" s="381"/>
      <c r="M57" s="381"/>
      <c r="N57" s="381"/>
      <c r="O57" s="382"/>
      <c r="P57" s="380"/>
      <c r="Q57" s="381"/>
      <c r="R57" s="381"/>
      <c r="S57" s="381"/>
      <c r="T57" s="381"/>
      <c r="U57" s="382"/>
      <c r="V57" s="380"/>
      <c r="W57" s="381"/>
      <c r="X57" s="381"/>
      <c r="Y57" s="381"/>
      <c r="Z57" s="381"/>
      <c r="AA57" s="382"/>
      <c r="AB57" s="380"/>
      <c r="AC57" s="381"/>
      <c r="AD57" s="381"/>
      <c r="AE57" s="381"/>
      <c r="AF57" s="381"/>
      <c r="AG57" s="382"/>
      <c r="AH57" s="380"/>
      <c r="AI57" s="381"/>
      <c r="AJ57" s="381"/>
      <c r="AK57" s="381"/>
      <c r="AL57" s="381"/>
      <c r="AM57" s="382"/>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380"/>
      <c r="K58" s="381"/>
      <c r="L58" s="381"/>
      <c r="M58" s="381"/>
      <c r="N58" s="381"/>
      <c r="O58" s="382"/>
      <c r="P58" s="380"/>
      <c r="Q58" s="381"/>
      <c r="R58" s="381"/>
      <c r="S58" s="381"/>
      <c r="T58" s="381"/>
      <c r="U58" s="382"/>
      <c r="V58" s="380"/>
      <c r="W58" s="381"/>
      <c r="X58" s="381"/>
      <c r="Y58" s="381"/>
      <c r="Z58" s="381"/>
      <c r="AA58" s="382"/>
      <c r="AB58" s="380"/>
      <c r="AC58" s="381"/>
      <c r="AD58" s="381"/>
      <c r="AE58" s="381"/>
      <c r="AF58" s="381"/>
      <c r="AG58" s="382"/>
      <c r="AH58" s="380"/>
      <c r="AI58" s="381"/>
      <c r="AJ58" s="381"/>
      <c r="AK58" s="381"/>
      <c r="AL58" s="381"/>
      <c r="AM58" s="382"/>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380"/>
      <c r="K59" s="381"/>
      <c r="L59" s="381"/>
      <c r="M59" s="381"/>
      <c r="N59" s="381"/>
      <c r="O59" s="382"/>
      <c r="P59" s="380"/>
      <c r="Q59" s="381"/>
      <c r="R59" s="381"/>
      <c r="S59" s="381"/>
      <c r="T59" s="381"/>
      <c r="U59" s="382"/>
      <c r="V59" s="380"/>
      <c r="W59" s="381"/>
      <c r="X59" s="381"/>
      <c r="Y59" s="381"/>
      <c r="Z59" s="381"/>
      <c r="AA59" s="382"/>
      <c r="AB59" s="380"/>
      <c r="AC59" s="381"/>
      <c r="AD59" s="381"/>
      <c r="AE59" s="381"/>
      <c r="AF59" s="381"/>
      <c r="AG59" s="382"/>
      <c r="AH59" s="380"/>
      <c r="AI59" s="381"/>
      <c r="AJ59" s="381"/>
      <c r="AK59" s="381"/>
      <c r="AL59" s="381"/>
      <c r="AM59" s="382"/>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380"/>
      <c r="K60" s="381"/>
      <c r="L60" s="381"/>
      <c r="M60" s="381"/>
      <c r="N60" s="381"/>
      <c r="O60" s="382"/>
      <c r="P60" s="380"/>
      <c r="Q60" s="381"/>
      <c r="R60" s="381"/>
      <c r="S60" s="381"/>
      <c r="T60" s="381"/>
      <c r="U60" s="382"/>
      <c r="V60" s="380"/>
      <c r="W60" s="381"/>
      <c r="X60" s="381"/>
      <c r="Y60" s="381"/>
      <c r="Z60" s="381"/>
      <c r="AA60" s="382"/>
      <c r="AB60" s="380"/>
      <c r="AC60" s="381"/>
      <c r="AD60" s="381"/>
      <c r="AE60" s="381"/>
      <c r="AF60" s="381"/>
      <c r="AG60" s="382"/>
      <c r="AH60" s="380"/>
      <c r="AI60" s="381"/>
      <c r="AJ60" s="381"/>
      <c r="AK60" s="381"/>
      <c r="AL60" s="381"/>
      <c r="AM60" s="382"/>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383"/>
      <c r="K61" s="384"/>
      <c r="L61" s="384"/>
      <c r="M61" s="384"/>
      <c r="N61" s="384"/>
      <c r="O61" s="385"/>
      <c r="P61" s="383"/>
      <c r="Q61" s="384"/>
      <c r="R61" s="384"/>
      <c r="S61" s="384"/>
      <c r="T61" s="384"/>
      <c r="U61" s="385"/>
      <c r="V61" s="383"/>
      <c r="W61" s="384"/>
      <c r="X61" s="384"/>
      <c r="Y61" s="384"/>
      <c r="Z61" s="384"/>
      <c r="AA61" s="385"/>
      <c r="AB61" s="383"/>
      <c r="AC61" s="384"/>
      <c r="AD61" s="384"/>
      <c r="AE61" s="384"/>
      <c r="AF61" s="384"/>
      <c r="AG61" s="385"/>
      <c r="AH61" s="383"/>
      <c r="AI61" s="384"/>
      <c r="AJ61" s="384"/>
      <c r="AK61" s="384"/>
      <c r="AL61" s="384"/>
      <c r="AM61" s="385"/>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426" t="s">
        <v>55</v>
      </c>
      <c r="C1" s="426"/>
      <c r="D1" s="426"/>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427" t="s">
        <v>62</v>
      </c>
      <c r="C1" s="427"/>
      <c r="D1" s="427"/>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28" t="s">
        <v>56</v>
      </c>
      <c r="D3" s="128" t="s">
        <v>57</v>
      </c>
      <c r="E3" s="89"/>
      <c r="F3" s="89"/>
      <c r="G3" s="89"/>
      <c r="H3" s="89"/>
      <c r="I3" s="89"/>
      <c r="J3" s="89"/>
      <c r="K3" s="89"/>
      <c r="L3" s="89"/>
      <c r="M3" s="89"/>
      <c r="N3" s="89"/>
      <c r="O3" s="89"/>
      <c r="P3" s="89"/>
      <c r="Q3" s="89"/>
      <c r="R3" s="89"/>
      <c r="S3" s="89"/>
      <c r="T3" s="89"/>
      <c r="U3" s="89"/>
    </row>
    <row r="4" spans="1:21" ht="33.75" x14ac:dyDescent="0.25">
      <c r="A4" s="89" t="s">
        <v>82</v>
      </c>
      <c r="B4" s="129" t="s">
        <v>96</v>
      </c>
      <c r="C4" s="130" t="s">
        <v>205</v>
      </c>
      <c r="D4" s="131" t="s">
        <v>92</v>
      </c>
      <c r="E4" s="89"/>
      <c r="F4" s="89"/>
      <c r="G4" s="89"/>
      <c r="H4" s="89"/>
      <c r="I4" s="89"/>
      <c r="J4" s="89"/>
      <c r="K4" s="89"/>
      <c r="L4" s="89"/>
      <c r="M4" s="89"/>
      <c r="N4" s="89"/>
      <c r="O4" s="89"/>
      <c r="P4" s="89"/>
      <c r="Q4" s="89"/>
      <c r="R4" s="89"/>
      <c r="S4" s="89"/>
      <c r="T4" s="89"/>
      <c r="U4" s="89"/>
    </row>
    <row r="5" spans="1:21" ht="67.5" x14ac:dyDescent="0.25">
      <c r="A5" s="89" t="s">
        <v>83</v>
      </c>
      <c r="B5" s="132" t="s">
        <v>58</v>
      </c>
      <c r="C5" s="133" t="s">
        <v>206</v>
      </c>
      <c r="D5" s="134" t="s">
        <v>93</v>
      </c>
      <c r="E5" s="89"/>
      <c r="F5" s="89"/>
      <c r="G5" s="89"/>
      <c r="H5" s="89"/>
      <c r="I5" s="89"/>
      <c r="J5" s="89"/>
      <c r="K5" s="89"/>
      <c r="L5" s="89"/>
      <c r="M5" s="89"/>
      <c r="N5" s="89"/>
      <c r="O5" s="89"/>
      <c r="P5" s="89"/>
      <c r="Q5" s="89"/>
      <c r="R5" s="89"/>
      <c r="S5" s="89"/>
      <c r="T5" s="89"/>
      <c r="U5" s="89"/>
    </row>
    <row r="6" spans="1:21" ht="67.5" x14ac:dyDescent="0.25">
      <c r="A6" s="89" t="s">
        <v>80</v>
      </c>
      <c r="B6" s="135" t="s">
        <v>59</v>
      </c>
      <c r="C6" s="133" t="s">
        <v>210</v>
      </c>
      <c r="D6" s="134" t="s">
        <v>95</v>
      </c>
      <c r="E6" s="89"/>
      <c r="F6" s="89"/>
      <c r="G6" s="89"/>
      <c r="H6" s="89"/>
      <c r="I6" s="89"/>
      <c r="J6" s="89"/>
      <c r="K6" s="89"/>
      <c r="L6" s="89"/>
      <c r="M6" s="89"/>
      <c r="N6" s="89"/>
      <c r="O6" s="89"/>
      <c r="P6" s="89"/>
      <c r="Q6" s="89"/>
      <c r="R6" s="89"/>
      <c r="S6" s="89"/>
      <c r="T6" s="89"/>
      <c r="U6" s="89"/>
    </row>
    <row r="7" spans="1:21" ht="101.25" x14ac:dyDescent="0.25">
      <c r="A7" s="89" t="s">
        <v>7</v>
      </c>
      <c r="B7" s="136" t="s">
        <v>60</v>
      </c>
      <c r="C7" s="133" t="s">
        <v>211</v>
      </c>
      <c r="D7" s="134" t="s">
        <v>94</v>
      </c>
      <c r="E7" s="89"/>
      <c r="F7" s="89"/>
      <c r="G7" s="89"/>
      <c r="H7" s="89"/>
      <c r="I7" s="89"/>
      <c r="J7" s="89"/>
      <c r="K7" s="89"/>
      <c r="L7" s="89"/>
      <c r="M7" s="89"/>
      <c r="N7" s="89"/>
      <c r="O7" s="89"/>
      <c r="P7" s="89"/>
      <c r="Q7" s="89"/>
      <c r="R7" s="89"/>
      <c r="S7" s="89"/>
      <c r="T7" s="89"/>
      <c r="U7" s="89"/>
    </row>
    <row r="8" spans="1:21" ht="67.5" x14ac:dyDescent="0.25">
      <c r="A8" s="89" t="s">
        <v>84</v>
      </c>
      <c r="B8" s="137" t="s">
        <v>61</v>
      </c>
      <c r="C8" s="133" t="s">
        <v>207</v>
      </c>
      <c r="D8" s="134" t="s">
        <v>113</v>
      </c>
      <c r="E8" s="89"/>
      <c r="F8" s="89"/>
      <c r="G8" s="89"/>
      <c r="H8" s="89"/>
      <c r="I8" s="89"/>
      <c r="J8" s="89"/>
      <c r="K8" s="89"/>
      <c r="L8" s="89"/>
      <c r="M8" s="89"/>
      <c r="N8" s="89"/>
      <c r="O8" s="89"/>
      <c r="P8" s="89"/>
      <c r="Q8" s="89"/>
      <c r="R8" s="89"/>
      <c r="S8" s="89"/>
      <c r="T8" s="89"/>
      <c r="U8" s="89"/>
    </row>
    <row r="9" spans="1:21" s="23" customFormat="1" ht="20.25" x14ac:dyDescent="0.25">
      <c r="A9" s="87"/>
      <c r="B9" s="87"/>
      <c r="C9" s="143"/>
      <c r="D9" s="143"/>
      <c r="E9" s="87"/>
      <c r="F9" s="87"/>
      <c r="G9" s="87"/>
      <c r="H9" s="87"/>
      <c r="I9" s="87"/>
      <c r="J9" s="87"/>
      <c r="K9" s="87"/>
      <c r="L9" s="87"/>
      <c r="M9" s="87"/>
      <c r="N9" s="87"/>
      <c r="O9" s="87"/>
      <c r="P9" s="87"/>
      <c r="Q9" s="87"/>
      <c r="R9" s="87"/>
      <c r="S9" s="87"/>
      <c r="T9" s="87"/>
      <c r="U9" s="87"/>
    </row>
    <row r="10" spans="1:21" s="23" customFormat="1" ht="16.5" x14ac:dyDescent="0.25">
      <c r="A10" s="87"/>
      <c r="B10" s="144"/>
      <c r="C10" s="144"/>
      <c r="D10" s="144"/>
      <c r="E10" s="87"/>
      <c r="F10" s="87"/>
      <c r="G10" s="87"/>
      <c r="H10" s="87"/>
      <c r="I10" s="87"/>
      <c r="J10" s="87"/>
      <c r="K10" s="87"/>
      <c r="L10" s="87"/>
      <c r="M10" s="87"/>
      <c r="N10" s="87"/>
      <c r="O10" s="87"/>
      <c r="P10" s="87"/>
      <c r="Q10" s="87"/>
      <c r="R10" s="87"/>
      <c r="S10" s="87"/>
      <c r="T10" s="87"/>
      <c r="U10" s="87"/>
    </row>
    <row r="11" spans="1:21" s="23" customFormat="1" x14ac:dyDescent="0.25">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25">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3"/>
      <c r="D22" s="143"/>
      <c r="E22" s="87"/>
      <c r="F22" s="87"/>
      <c r="G22" s="87"/>
      <c r="H22" s="87"/>
      <c r="I22" s="87"/>
      <c r="J22" s="87"/>
      <c r="K22" s="87"/>
      <c r="L22" s="87"/>
      <c r="M22" s="87"/>
      <c r="N22" s="87"/>
      <c r="O22" s="87"/>
    </row>
    <row r="23" spans="1:15" s="23" customFormat="1" ht="20.25" x14ac:dyDescent="0.25">
      <c r="A23" s="87"/>
      <c r="B23" s="87"/>
      <c r="C23" s="143"/>
      <c r="D23" s="143"/>
      <c r="E23" s="87"/>
      <c r="F23" s="87"/>
      <c r="G23" s="87"/>
      <c r="H23" s="87"/>
      <c r="I23" s="87"/>
      <c r="J23" s="87"/>
      <c r="K23" s="87"/>
      <c r="L23" s="87"/>
      <c r="M23" s="87"/>
      <c r="N23" s="87"/>
      <c r="O23" s="87"/>
    </row>
    <row r="24" spans="1:15" s="23" customFormat="1" ht="20.25" x14ac:dyDescent="0.25">
      <c r="A24" s="87"/>
      <c r="B24" s="87"/>
      <c r="C24" s="143"/>
      <c r="D24" s="143"/>
      <c r="E24" s="87"/>
      <c r="F24" s="87"/>
      <c r="G24" s="87"/>
      <c r="H24" s="87"/>
      <c r="I24" s="87"/>
      <c r="J24" s="87"/>
      <c r="K24" s="87"/>
      <c r="L24" s="87"/>
      <c r="M24" s="87"/>
      <c r="N24" s="87"/>
      <c r="O24" s="87"/>
    </row>
    <row r="25" spans="1:15" s="23" customFormat="1" ht="20.25" x14ac:dyDescent="0.25">
      <c r="A25" s="87"/>
      <c r="B25" s="87"/>
      <c r="C25" s="143"/>
      <c r="D25" s="143"/>
      <c r="E25" s="87"/>
      <c r="F25" s="87"/>
      <c r="G25" s="87"/>
      <c r="H25" s="87"/>
      <c r="I25" s="87"/>
      <c r="J25" s="87"/>
      <c r="K25" s="87"/>
      <c r="L25" s="87"/>
      <c r="M25" s="87"/>
      <c r="N25" s="87"/>
      <c r="O25" s="87"/>
    </row>
    <row r="26" spans="1:15" s="23" customFormat="1" ht="20.25" x14ac:dyDescent="0.25">
      <c r="A26" s="87"/>
      <c r="B26" s="87"/>
      <c r="C26" s="143"/>
      <c r="D26" s="143"/>
      <c r="E26" s="87"/>
      <c r="F26" s="87"/>
      <c r="G26" s="87"/>
      <c r="H26" s="87"/>
      <c r="I26" s="87"/>
      <c r="J26" s="87"/>
      <c r="K26" s="87"/>
      <c r="L26" s="87"/>
      <c r="M26" s="87"/>
      <c r="N26" s="87"/>
      <c r="O26" s="87"/>
    </row>
    <row r="27" spans="1:15" s="23" customFormat="1" ht="20.25" x14ac:dyDescent="0.25">
      <c r="A27" s="87"/>
      <c r="B27" s="87"/>
      <c r="C27" s="143"/>
      <c r="D27" s="143"/>
      <c r="E27" s="87"/>
      <c r="F27" s="87"/>
      <c r="G27" s="87"/>
      <c r="H27" s="87"/>
      <c r="I27" s="87"/>
      <c r="J27" s="87"/>
      <c r="K27" s="87"/>
      <c r="L27" s="87"/>
      <c r="M27" s="87"/>
      <c r="N27" s="87"/>
      <c r="O27" s="87"/>
    </row>
    <row r="28" spans="1:15" s="23" customFormat="1" ht="20.25" x14ac:dyDescent="0.25">
      <c r="A28" s="87"/>
      <c r="B28" s="87"/>
      <c r="C28" s="143"/>
      <c r="D28" s="143"/>
      <c r="E28" s="87"/>
      <c r="F28" s="87"/>
      <c r="G28" s="87"/>
      <c r="H28" s="87"/>
      <c r="I28" s="87"/>
      <c r="J28" s="87"/>
      <c r="K28" s="87"/>
      <c r="L28" s="87"/>
      <c r="M28" s="87"/>
      <c r="N28" s="87"/>
      <c r="O28" s="87"/>
    </row>
    <row r="29" spans="1:15" s="23" customFormat="1" ht="20.25" x14ac:dyDescent="0.25">
      <c r="A29" s="87"/>
      <c r="B29" s="87"/>
      <c r="C29" s="143"/>
      <c r="D29" s="143"/>
      <c r="E29" s="87"/>
      <c r="F29" s="87"/>
      <c r="G29" s="87"/>
      <c r="H29" s="87"/>
      <c r="I29" s="87"/>
      <c r="J29" s="87"/>
      <c r="K29" s="87"/>
      <c r="L29" s="87"/>
      <c r="M29" s="87"/>
      <c r="N29" s="87"/>
      <c r="O29" s="87"/>
    </row>
    <row r="30" spans="1:15" s="23" customFormat="1" ht="20.25" x14ac:dyDescent="0.25">
      <c r="A30" s="87"/>
      <c r="B30" s="87"/>
      <c r="C30" s="143"/>
      <c r="D30" s="143"/>
      <c r="E30" s="87"/>
      <c r="F30" s="87"/>
      <c r="G30" s="87"/>
      <c r="H30" s="87"/>
      <c r="I30" s="87"/>
      <c r="J30" s="87"/>
      <c r="K30" s="87"/>
      <c r="L30" s="87"/>
      <c r="M30" s="87"/>
      <c r="N30" s="87"/>
      <c r="O30" s="87"/>
    </row>
    <row r="31" spans="1:15" s="23" customFormat="1" ht="20.25" x14ac:dyDescent="0.25">
      <c r="A31" s="87"/>
      <c r="B31" s="87"/>
      <c r="C31" s="143"/>
      <c r="D31" s="143"/>
      <c r="E31" s="87"/>
      <c r="F31" s="87"/>
      <c r="G31" s="87"/>
      <c r="H31" s="87"/>
      <c r="I31" s="87"/>
      <c r="J31" s="87"/>
      <c r="K31" s="87"/>
      <c r="L31" s="87"/>
      <c r="M31" s="87"/>
      <c r="N31" s="87"/>
      <c r="O31" s="87"/>
    </row>
    <row r="32" spans="1:15" s="23" customFormat="1" ht="20.25" x14ac:dyDescent="0.25">
      <c r="A32" s="87"/>
      <c r="B32" s="87"/>
      <c r="C32" s="143"/>
      <c r="D32" s="143"/>
      <c r="E32" s="87"/>
      <c r="F32" s="87"/>
      <c r="G32" s="87"/>
      <c r="H32" s="87"/>
      <c r="I32" s="87"/>
      <c r="J32" s="87"/>
      <c r="K32" s="87"/>
      <c r="L32" s="87"/>
      <c r="M32" s="87"/>
      <c r="N32" s="87"/>
      <c r="O32" s="87"/>
    </row>
    <row r="33" spans="1:15" s="23" customFormat="1" ht="20.25" x14ac:dyDescent="0.25">
      <c r="A33" s="87"/>
      <c r="B33" s="87"/>
      <c r="C33" s="143"/>
      <c r="D33" s="143"/>
      <c r="E33" s="87"/>
      <c r="F33" s="87"/>
      <c r="G33" s="87"/>
      <c r="H33" s="87"/>
      <c r="I33" s="87"/>
      <c r="J33" s="87"/>
      <c r="K33" s="87"/>
      <c r="L33" s="87"/>
      <c r="M33" s="87"/>
      <c r="N33" s="87"/>
      <c r="O33" s="87"/>
    </row>
    <row r="34" spans="1:15" s="23" customFormat="1" ht="20.25" x14ac:dyDescent="0.25">
      <c r="A34" s="87"/>
      <c r="B34" s="87"/>
      <c r="C34" s="143"/>
      <c r="D34" s="143"/>
      <c r="E34" s="87"/>
      <c r="F34" s="87"/>
      <c r="G34" s="87"/>
      <c r="H34" s="87"/>
      <c r="I34" s="87"/>
      <c r="J34" s="87"/>
      <c r="K34" s="87"/>
      <c r="L34" s="87"/>
      <c r="M34" s="87"/>
      <c r="N34" s="87"/>
      <c r="O34" s="87"/>
    </row>
    <row r="35" spans="1:15" s="23" customFormat="1" ht="20.25" x14ac:dyDescent="0.25">
      <c r="A35" s="87"/>
      <c r="B35" s="87"/>
      <c r="C35" s="143"/>
      <c r="D35" s="143"/>
      <c r="E35" s="87"/>
      <c r="F35" s="87"/>
      <c r="G35" s="87"/>
      <c r="H35" s="87"/>
      <c r="I35" s="87"/>
      <c r="J35" s="87"/>
      <c r="K35" s="87"/>
      <c r="L35" s="87"/>
      <c r="M35" s="87"/>
      <c r="N35" s="87"/>
      <c r="O35" s="87"/>
    </row>
    <row r="36" spans="1:15" s="23" customFormat="1" ht="20.25" x14ac:dyDescent="0.25">
      <c r="A36" s="87"/>
      <c r="B36" s="87"/>
      <c r="C36" s="143"/>
      <c r="D36" s="143"/>
      <c r="E36" s="87"/>
      <c r="F36" s="87"/>
      <c r="G36" s="87"/>
      <c r="H36" s="87"/>
      <c r="I36" s="87"/>
      <c r="J36" s="87"/>
      <c r="K36" s="87"/>
      <c r="L36" s="87"/>
      <c r="M36" s="87"/>
      <c r="N36" s="87"/>
      <c r="O36" s="87"/>
    </row>
    <row r="37" spans="1:15" s="23" customFormat="1" ht="20.25" x14ac:dyDescent="0.25">
      <c r="A37" s="87"/>
      <c r="B37" s="87"/>
      <c r="C37" s="143"/>
      <c r="D37" s="143"/>
      <c r="E37" s="87"/>
      <c r="F37" s="87"/>
      <c r="G37" s="87"/>
      <c r="H37" s="87"/>
      <c r="I37" s="87"/>
      <c r="J37" s="87"/>
      <c r="K37" s="87"/>
      <c r="L37" s="87"/>
      <c r="M37" s="87"/>
      <c r="N37" s="87"/>
      <c r="O37" s="87"/>
    </row>
    <row r="38" spans="1:15" s="23" customFormat="1" ht="20.25" x14ac:dyDescent="0.25">
      <c r="A38" s="87"/>
      <c r="B38" s="87"/>
      <c r="C38" s="143"/>
      <c r="D38" s="143"/>
      <c r="E38" s="87"/>
      <c r="F38" s="87"/>
      <c r="G38" s="87"/>
      <c r="H38" s="87"/>
      <c r="I38" s="87"/>
      <c r="J38" s="87"/>
      <c r="K38" s="87"/>
      <c r="L38" s="87"/>
      <c r="M38" s="87"/>
      <c r="N38" s="87"/>
      <c r="O38" s="87"/>
    </row>
    <row r="39" spans="1:15" s="23" customFormat="1" ht="20.25" x14ac:dyDescent="0.25">
      <c r="A39" s="87"/>
      <c r="B39" s="87"/>
      <c r="C39" s="143"/>
      <c r="D39" s="143"/>
      <c r="E39" s="87"/>
      <c r="F39" s="87"/>
      <c r="G39" s="87"/>
      <c r="H39" s="87"/>
      <c r="I39" s="87"/>
      <c r="J39" s="87"/>
      <c r="K39" s="87"/>
      <c r="L39" s="87"/>
      <c r="M39" s="87"/>
      <c r="N39" s="87"/>
      <c r="O39" s="87"/>
    </row>
    <row r="40" spans="1:15" s="23" customFormat="1" ht="20.25" x14ac:dyDescent="0.25">
      <c r="A40" s="87"/>
      <c r="B40" s="87"/>
      <c r="C40" s="143"/>
      <c r="D40" s="143"/>
      <c r="E40" s="87"/>
      <c r="F40" s="87"/>
      <c r="G40" s="87"/>
      <c r="H40" s="87"/>
      <c r="I40" s="87"/>
      <c r="J40" s="87"/>
      <c r="K40" s="87"/>
      <c r="L40" s="87"/>
      <c r="M40" s="87"/>
      <c r="N40" s="87"/>
      <c r="O40" s="87"/>
    </row>
    <row r="41" spans="1:15" s="23" customFormat="1" ht="20.25" x14ac:dyDescent="0.25">
      <c r="A41" s="87"/>
      <c r="B41" s="87"/>
      <c r="C41" s="143"/>
      <c r="D41" s="143"/>
      <c r="E41" s="87"/>
      <c r="F41" s="87"/>
      <c r="G41" s="87"/>
      <c r="H41" s="87"/>
      <c r="I41" s="87"/>
      <c r="J41" s="87"/>
      <c r="K41" s="87"/>
      <c r="L41" s="87"/>
      <c r="M41" s="87"/>
      <c r="N41" s="87"/>
      <c r="O41" s="87"/>
    </row>
    <row r="42" spans="1:15" s="23" customFormat="1" ht="20.25" x14ac:dyDescent="0.25">
      <c r="A42" s="87"/>
      <c r="B42" s="87"/>
      <c r="C42" s="143"/>
      <c r="D42" s="143"/>
      <c r="E42" s="87"/>
      <c r="F42" s="87"/>
      <c r="G42" s="87"/>
      <c r="H42" s="87"/>
      <c r="I42" s="87"/>
      <c r="J42" s="87"/>
      <c r="K42" s="87"/>
      <c r="L42" s="87"/>
      <c r="M42" s="87"/>
      <c r="N42" s="87"/>
      <c r="O42" s="87"/>
    </row>
    <row r="43" spans="1:15" s="23" customFormat="1" ht="20.25" x14ac:dyDescent="0.25">
      <c r="A43" s="87"/>
      <c r="B43" s="87"/>
      <c r="C43" s="143"/>
      <c r="D43" s="143"/>
      <c r="E43" s="87"/>
      <c r="F43" s="87"/>
      <c r="G43" s="87"/>
      <c r="H43" s="87"/>
      <c r="I43" s="87"/>
      <c r="J43" s="87"/>
      <c r="K43" s="87"/>
      <c r="L43" s="87"/>
      <c r="M43" s="87"/>
      <c r="N43" s="87"/>
      <c r="O43" s="87"/>
    </row>
    <row r="44" spans="1:15" s="23" customFormat="1" ht="20.25" x14ac:dyDescent="0.25">
      <c r="A44" s="87"/>
      <c r="B44" s="87"/>
      <c r="C44" s="143"/>
      <c r="D44" s="143"/>
      <c r="E44" s="87"/>
      <c r="F44" s="87"/>
      <c r="G44" s="87"/>
      <c r="H44" s="87"/>
      <c r="I44" s="87"/>
      <c r="J44" s="87"/>
      <c r="K44" s="87"/>
      <c r="L44" s="87"/>
      <c r="M44" s="87"/>
      <c r="N44" s="87"/>
      <c r="O44" s="87"/>
    </row>
    <row r="45" spans="1:15" s="23" customFormat="1" ht="20.25" x14ac:dyDescent="0.25">
      <c r="A45" s="87"/>
      <c r="B45" s="87"/>
      <c r="C45" s="143"/>
      <c r="D45" s="143"/>
      <c r="E45" s="87"/>
      <c r="F45" s="87"/>
      <c r="G45" s="87"/>
      <c r="H45" s="87"/>
      <c r="I45" s="87"/>
      <c r="J45" s="87"/>
      <c r="K45" s="87"/>
      <c r="L45" s="87"/>
      <c r="M45" s="87"/>
      <c r="N45" s="87"/>
      <c r="O45" s="87"/>
    </row>
    <row r="46" spans="1:15" s="23" customFormat="1" ht="20.25" x14ac:dyDescent="0.25">
      <c r="A46" s="87"/>
      <c r="B46" s="87"/>
      <c r="C46" s="143"/>
      <c r="D46" s="143"/>
      <c r="E46" s="87"/>
      <c r="F46" s="87"/>
      <c r="G46" s="87"/>
      <c r="H46" s="87"/>
      <c r="I46" s="87"/>
      <c r="J46" s="87"/>
      <c r="K46" s="87"/>
      <c r="L46" s="87"/>
      <c r="M46" s="87"/>
      <c r="N46" s="87"/>
      <c r="O46" s="87"/>
    </row>
    <row r="47" spans="1:15" s="23" customFormat="1" ht="20.25" x14ac:dyDescent="0.25">
      <c r="A47" s="87"/>
      <c r="B47" s="87"/>
      <c r="C47" s="143"/>
      <c r="D47" s="143"/>
      <c r="E47" s="87"/>
      <c r="F47" s="87"/>
      <c r="G47" s="87"/>
      <c r="H47" s="87"/>
      <c r="I47" s="87"/>
      <c r="J47" s="87"/>
      <c r="K47" s="87"/>
      <c r="L47" s="87"/>
      <c r="M47" s="87"/>
      <c r="N47" s="87"/>
      <c r="O47" s="87"/>
    </row>
    <row r="48" spans="1:15" s="23" customFormat="1" ht="20.25" x14ac:dyDescent="0.25">
      <c r="A48" s="87"/>
      <c r="B48" s="87"/>
      <c r="C48" s="143"/>
      <c r="D48" s="143"/>
      <c r="E48" s="87"/>
      <c r="F48" s="87"/>
      <c r="G48" s="87"/>
      <c r="H48" s="87"/>
      <c r="I48" s="87"/>
      <c r="J48" s="87"/>
      <c r="K48" s="87"/>
      <c r="L48" s="87"/>
      <c r="M48" s="87"/>
      <c r="N48" s="87"/>
      <c r="O48" s="87"/>
    </row>
    <row r="49" spans="1:15" s="23" customFormat="1" ht="20.25" x14ac:dyDescent="0.25">
      <c r="A49" s="87"/>
      <c r="B49" s="87"/>
      <c r="C49" s="143"/>
      <c r="D49" s="143"/>
      <c r="E49" s="87"/>
      <c r="F49" s="87"/>
      <c r="G49" s="87"/>
      <c r="H49" s="87"/>
      <c r="I49" s="87"/>
      <c r="J49" s="87"/>
      <c r="K49" s="87"/>
      <c r="L49" s="87"/>
      <c r="M49" s="87"/>
      <c r="N49" s="87"/>
      <c r="O49" s="87"/>
    </row>
    <row r="50" spans="1:15" s="23" customFormat="1" ht="20.25" x14ac:dyDescent="0.25">
      <c r="A50" s="87"/>
      <c r="B50" s="87"/>
      <c r="C50" s="143"/>
      <c r="D50" s="143"/>
      <c r="E50" s="87"/>
      <c r="F50" s="87"/>
      <c r="G50" s="87"/>
      <c r="H50" s="87"/>
      <c r="I50" s="87"/>
      <c r="J50" s="87"/>
      <c r="K50" s="87"/>
      <c r="L50" s="87"/>
      <c r="M50" s="87"/>
      <c r="N50" s="87"/>
      <c r="O50" s="87"/>
    </row>
    <row r="51" spans="1:15" s="23" customFormat="1" ht="20.25" x14ac:dyDescent="0.25">
      <c r="A51" s="87"/>
      <c r="B51" s="87"/>
      <c r="C51" s="143"/>
      <c r="D51" s="143"/>
      <c r="E51" s="87"/>
      <c r="F51" s="87"/>
      <c r="G51" s="87"/>
      <c r="H51" s="87"/>
      <c r="I51" s="87"/>
      <c r="J51" s="87"/>
      <c r="K51" s="87"/>
      <c r="L51" s="87"/>
      <c r="M51" s="87"/>
      <c r="N51" s="87"/>
      <c r="O51" s="87"/>
    </row>
    <row r="52" spans="1:15" s="23" customFormat="1" ht="20.25" x14ac:dyDescent="0.25">
      <c r="A52" s="87"/>
      <c r="C52" s="145"/>
      <c r="D52" s="145"/>
    </row>
    <row r="53" spans="1:15" s="23" customFormat="1" ht="20.25" x14ac:dyDescent="0.25">
      <c r="A53" s="87"/>
      <c r="C53" s="145"/>
      <c r="D53" s="145"/>
    </row>
    <row r="54" spans="1:15" s="23" customFormat="1" ht="20.25" x14ac:dyDescent="0.25">
      <c r="A54" s="87"/>
      <c r="C54" s="145"/>
      <c r="D54" s="145"/>
    </row>
    <row r="55" spans="1:15" s="23" customFormat="1" ht="20.25" x14ac:dyDescent="0.25">
      <c r="A55" s="87"/>
      <c r="C55" s="145"/>
      <c r="D55" s="145"/>
    </row>
    <row r="56" spans="1:15" s="23" customFormat="1" ht="20.25" x14ac:dyDescent="0.25">
      <c r="A56" s="87"/>
      <c r="C56" s="145"/>
      <c r="D56" s="145"/>
    </row>
    <row r="57" spans="1:15" s="23" customFormat="1" ht="20.25" x14ac:dyDescent="0.25">
      <c r="A57" s="87"/>
      <c r="C57" s="145"/>
      <c r="D57" s="145"/>
    </row>
    <row r="58" spans="1:15" s="23" customFormat="1" ht="20.25" x14ac:dyDescent="0.25">
      <c r="A58" s="87"/>
      <c r="C58" s="145"/>
      <c r="D58" s="145"/>
    </row>
    <row r="59" spans="1:15" s="23" customFormat="1" ht="20.25" x14ac:dyDescent="0.25">
      <c r="A59" s="87"/>
      <c r="C59" s="145"/>
      <c r="D59" s="145"/>
    </row>
    <row r="60" spans="1:15" s="23" customFormat="1" ht="20.25" x14ac:dyDescent="0.25">
      <c r="A60" s="87"/>
      <c r="C60" s="145"/>
      <c r="D60" s="145"/>
    </row>
    <row r="61" spans="1:15" s="23" customFormat="1" ht="20.25" x14ac:dyDescent="0.25">
      <c r="A61" s="87"/>
      <c r="C61" s="145"/>
      <c r="D61" s="145"/>
    </row>
    <row r="62" spans="1:15" s="23" customFormat="1" ht="20.25" x14ac:dyDescent="0.25">
      <c r="A62" s="87"/>
      <c r="C62" s="145"/>
      <c r="D62" s="145"/>
    </row>
    <row r="63" spans="1:15" s="23" customFormat="1" ht="20.25" x14ac:dyDescent="0.25">
      <c r="A63" s="87"/>
      <c r="C63" s="145"/>
      <c r="D63" s="145"/>
    </row>
    <row r="64" spans="1:15" s="23" customFormat="1" ht="20.25" x14ac:dyDescent="0.25">
      <c r="A64" s="87"/>
      <c r="C64" s="145"/>
      <c r="D64" s="145"/>
    </row>
    <row r="65" spans="1:4" s="23" customFormat="1" ht="20.25" x14ac:dyDescent="0.25">
      <c r="A65" s="87"/>
      <c r="C65" s="145"/>
      <c r="D65" s="145"/>
    </row>
    <row r="66" spans="1:4" s="23" customFormat="1" ht="20.25" x14ac:dyDescent="0.25">
      <c r="A66" s="87"/>
      <c r="C66" s="145"/>
      <c r="D66" s="145"/>
    </row>
    <row r="67" spans="1:4" s="23" customFormat="1" ht="20.25" x14ac:dyDescent="0.25">
      <c r="A67" s="87"/>
      <c r="C67" s="145"/>
      <c r="D67" s="145"/>
    </row>
    <row r="68" spans="1:4" s="23" customFormat="1" ht="20.25" x14ac:dyDescent="0.25">
      <c r="A68" s="87"/>
      <c r="C68" s="145"/>
      <c r="D68" s="145"/>
    </row>
    <row r="69" spans="1:4" s="23" customFormat="1" ht="20.25" x14ac:dyDescent="0.25">
      <c r="A69" s="87"/>
      <c r="C69" s="145"/>
      <c r="D69" s="145"/>
    </row>
    <row r="70" spans="1:4" s="23" customFormat="1" ht="20.25" x14ac:dyDescent="0.25">
      <c r="A70" s="87"/>
      <c r="C70" s="145"/>
      <c r="D70" s="145"/>
    </row>
    <row r="71" spans="1:4" s="23" customFormat="1" ht="20.25" x14ac:dyDescent="0.25">
      <c r="A71" s="87"/>
      <c r="C71" s="145"/>
      <c r="D71" s="145"/>
    </row>
    <row r="72" spans="1:4" s="23" customFormat="1" ht="20.25" x14ac:dyDescent="0.25">
      <c r="A72" s="87"/>
      <c r="C72" s="145"/>
      <c r="D72" s="145"/>
    </row>
    <row r="73" spans="1:4" s="23" customFormat="1" ht="20.25" x14ac:dyDescent="0.25">
      <c r="A73" s="87"/>
      <c r="C73" s="145"/>
      <c r="D73" s="145"/>
    </row>
    <row r="74" spans="1:4" s="23" customFormat="1" ht="20.25" x14ac:dyDescent="0.25">
      <c r="A74" s="87"/>
      <c r="C74" s="145"/>
      <c r="D74" s="145"/>
    </row>
    <row r="75" spans="1:4" s="23" customFormat="1" ht="20.25" x14ac:dyDescent="0.25">
      <c r="A75" s="87"/>
      <c r="C75" s="145"/>
      <c r="D75" s="145"/>
    </row>
    <row r="76" spans="1:4" s="23" customFormat="1" ht="20.25" x14ac:dyDescent="0.25">
      <c r="A76" s="87"/>
      <c r="C76" s="145"/>
      <c r="D76" s="145"/>
    </row>
    <row r="77" spans="1:4" s="23" customFormat="1" ht="20.25" x14ac:dyDescent="0.25">
      <c r="A77" s="87"/>
      <c r="C77" s="145"/>
      <c r="D77" s="145"/>
    </row>
    <row r="78" spans="1:4" s="23" customFormat="1" ht="20.25" x14ac:dyDescent="0.25">
      <c r="A78" s="87"/>
      <c r="C78" s="145"/>
      <c r="D78" s="145"/>
    </row>
    <row r="79" spans="1:4" s="23" customFormat="1" ht="20.25" x14ac:dyDescent="0.25">
      <c r="A79" s="87"/>
      <c r="C79" s="145"/>
      <c r="D79" s="145"/>
    </row>
    <row r="80" spans="1:4" s="23" customFormat="1" ht="20.25" x14ac:dyDescent="0.25">
      <c r="A80" s="87"/>
      <c r="C80" s="145"/>
      <c r="D80" s="145"/>
    </row>
    <row r="81" spans="1:4" s="23" customFormat="1" ht="20.25" x14ac:dyDescent="0.25">
      <c r="A81" s="87"/>
      <c r="C81" s="145"/>
      <c r="D81" s="145"/>
    </row>
    <row r="82" spans="1:4" s="23" customFormat="1" ht="20.25" x14ac:dyDescent="0.25">
      <c r="A82" s="87"/>
      <c r="C82" s="145"/>
      <c r="D82" s="145"/>
    </row>
    <row r="83" spans="1:4" s="23" customFormat="1" ht="20.25" x14ac:dyDescent="0.25">
      <c r="A83" s="87"/>
      <c r="C83" s="145"/>
      <c r="D83" s="145"/>
    </row>
    <row r="84" spans="1:4" s="23" customFormat="1" ht="20.25" x14ac:dyDescent="0.25">
      <c r="A84" s="87"/>
      <c r="C84" s="145"/>
      <c r="D84" s="145"/>
    </row>
    <row r="85" spans="1:4" s="23" customFormat="1" ht="20.25" x14ac:dyDescent="0.25">
      <c r="A85" s="87"/>
      <c r="C85" s="145"/>
      <c r="D85" s="145"/>
    </row>
    <row r="86" spans="1:4" s="23" customFormat="1" ht="20.25" x14ac:dyDescent="0.25">
      <c r="A86" s="87"/>
      <c r="C86" s="145"/>
      <c r="D86" s="145"/>
    </row>
    <row r="87" spans="1:4" s="23" customFormat="1" ht="20.25" x14ac:dyDescent="0.25">
      <c r="A87" s="87"/>
      <c r="C87" s="145"/>
      <c r="D87" s="145"/>
    </row>
    <row r="88" spans="1:4" s="23" customFormat="1" ht="20.25" x14ac:dyDescent="0.25">
      <c r="A88" s="87"/>
      <c r="C88" s="145"/>
      <c r="D88" s="145"/>
    </row>
    <row r="89" spans="1:4" s="23" customFormat="1" ht="20.25" x14ac:dyDescent="0.25">
      <c r="A89" s="87"/>
      <c r="C89" s="145"/>
      <c r="D89" s="145"/>
    </row>
    <row r="90" spans="1:4" s="23" customFormat="1" ht="20.25" x14ac:dyDescent="0.25">
      <c r="A90" s="87"/>
      <c r="C90" s="145"/>
      <c r="D90" s="145"/>
    </row>
    <row r="91" spans="1:4" s="23" customFormat="1" ht="20.25" x14ac:dyDescent="0.25">
      <c r="A91" s="87"/>
      <c r="C91" s="145"/>
      <c r="D91" s="145"/>
    </row>
    <row r="92" spans="1:4" s="23" customFormat="1" ht="20.25" x14ac:dyDescent="0.25">
      <c r="A92" s="87"/>
      <c r="C92" s="145"/>
      <c r="D92" s="145"/>
    </row>
    <row r="93" spans="1:4" s="23" customFormat="1" ht="20.25" x14ac:dyDescent="0.25">
      <c r="A93" s="87"/>
      <c r="C93" s="145"/>
      <c r="D93" s="145"/>
    </row>
    <row r="94" spans="1:4" s="23" customFormat="1" ht="20.25" x14ac:dyDescent="0.25">
      <c r="A94" s="87"/>
      <c r="C94" s="145"/>
      <c r="D94" s="145"/>
    </row>
    <row r="95" spans="1:4" s="23" customFormat="1" ht="20.25" x14ac:dyDescent="0.25">
      <c r="A95" s="87"/>
      <c r="C95" s="145"/>
      <c r="D95" s="145"/>
    </row>
    <row r="96" spans="1:4" s="23" customFormat="1" ht="20.25" x14ac:dyDescent="0.25">
      <c r="A96" s="87"/>
      <c r="C96" s="145"/>
      <c r="D96" s="145"/>
    </row>
    <row r="97" spans="1:4" s="23" customFormat="1" ht="20.25" x14ac:dyDescent="0.25">
      <c r="A97" s="87"/>
      <c r="C97" s="145"/>
      <c r="D97" s="145"/>
    </row>
    <row r="98" spans="1:4" s="23" customFormat="1" ht="20.25" x14ac:dyDescent="0.25">
      <c r="A98" s="87"/>
      <c r="C98" s="145"/>
      <c r="D98" s="145"/>
    </row>
    <row r="99" spans="1:4" s="23" customFormat="1" ht="20.25" x14ac:dyDescent="0.25">
      <c r="A99" s="87"/>
      <c r="C99" s="145"/>
      <c r="D99" s="145"/>
    </row>
    <row r="100" spans="1:4" s="23" customFormat="1" ht="20.25" x14ac:dyDescent="0.25">
      <c r="A100" s="87"/>
      <c r="C100" s="145"/>
      <c r="D100" s="145"/>
    </row>
    <row r="101" spans="1:4" s="23" customFormat="1" ht="20.25" x14ac:dyDescent="0.25">
      <c r="A101" s="87"/>
      <c r="C101" s="145"/>
      <c r="D101" s="145"/>
    </row>
    <row r="102" spans="1:4" s="23" customFormat="1" ht="20.25" x14ac:dyDescent="0.25">
      <c r="A102" s="87"/>
      <c r="C102" s="145"/>
      <c r="D102" s="145"/>
    </row>
    <row r="103" spans="1:4" s="23" customFormat="1" ht="20.25" x14ac:dyDescent="0.25">
      <c r="A103" s="87"/>
      <c r="C103" s="145"/>
      <c r="D103" s="145"/>
    </row>
    <row r="104" spans="1:4" s="23" customFormat="1" ht="20.25" x14ac:dyDescent="0.25">
      <c r="A104" s="87"/>
      <c r="C104" s="145"/>
      <c r="D104" s="145"/>
    </row>
    <row r="105" spans="1:4" s="23" customFormat="1" ht="20.25" x14ac:dyDescent="0.25">
      <c r="A105" s="87"/>
      <c r="C105" s="145"/>
      <c r="D105" s="145"/>
    </row>
    <row r="106" spans="1:4" s="23" customFormat="1" ht="20.25" x14ac:dyDescent="0.25">
      <c r="A106" s="87"/>
      <c r="C106" s="145"/>
      <c r="D106" s="145"/>
    </row>
    <row r="107" spans="1:4" s="23" customFormat="1" ht="20.25" x14ac:dyDescent="0.25">
      <c r="A107" s="87"/>
      <c r="C107" s="145"/>
      <c r="D107" s="145"/>
    </row>
    <row r="108" spans="1:4" s="23" customFormat="1" ht="20.25" x14ac:dyDescent="0.25">
      <c r="A108" s="87"/>
      <c r="C108" s="145"/>
      <c r="D108" s="145"/>
    </row>
    <row r="109" spans="1:4" s="23" customFormat="1" ht="20.25" x14ac:dyDescent="0.25">
      <c r="A109" s="87"/>
      <c r="C109" s="145"/>
      <c r="D109" s="145"/>
    </row>
    <row r="110" spans="1:4" s="23" customFormat="1" ht="20.25" x14ac:dyDescent="0.25">
      <c r="A110" s="87"/>
      <c r="C110" s="145"/>
      <c r="D110" s="145"/>
    </row>
    <row r="111" spans="1:4" s="23" customFormat="1" ht="20.25" x14ac:dyDescent="0.25">
      <c r="A111" s="87"/>
      <c r="C111" s="145"/>
      <c r="D111" s="145"/>
    </row>
    <row r="112" spans="1:4" s="23" customFormat="1" ht="20.25" x14ac:dyDescent="0.25">
      <c r="A112" s="87"/>
      <c r="C112" s="145"/>
      <c r="D112" s="145"/>
    </row>
    <row r="113" spans="1:4" s="23" customFormat="1" ht="20.25" x14ac:dyDescent="0.25">
      <c r="A113" s="87"/>
      <c r="C113" s="145"/>
      <c r="D113" s="145"/>
    </row>
    <row r="114" spans="1:4" s="23" customFormat="1" ht="20.25" x14ac:dyDescent="0.25">
      <c r="A114" s="87"/>
      <c r="C114" s="145"/>
      <c r="D114" s="145"/>
    </row>
    <row r="115" spans="1:4" s="23" customFormat="1" ht="20.25" x14ac:dyDescent="0.25">
      <c r="A115" s="87"/>
      <c r="C115" s="145"/>
      <c r="D115" s="145"/>
    </row>
    <row r="116" spans="1:4" s="23" customFormat="1" ht="20.25" x14ac:dyDescent="0.25">
      <c r="A116" s="87"/>
      <c r="C116" s="145"/>
      <c r="D116" s="145"/>
    </row>
    <row r="117" spans="1:4" s="23" customFormat="1" ht="20.25" x14ac:dyDescent="0.25">
      <c r="A117" s="87"/>
      <c r="C117" s="145"/>
      <c r="D117" s="145"/>
    </row>
    <row r="118" spans="1:4" s="23" customFormat="1" ht="20.25" x14ac:dyDescent="0.25">
      <c r="A118" s="87"/>
      <c r="C118" s="145"/>
      <c r="D118" s="145"/>
    </row>
    <row r="119" spans="1:4" s="23" customFormat="1" ht="20.25" x14ac:dyDescent="0.25">
      <c r="A119" s="87"/>
      <c r="C119" s="145"/>
      <c r="D119" s="145"/>
    </row>
    <row r="120" spans="1:4" s="23" customFormat="1" ht="20.25" x14ac:dyDescent="0.25">
      <c r="A120" s="87"/>
      <c r="C120" s="145"/>
      <c r="D120" s="145"/>
    </row>
    <row r="121" spans="1:4" s="23" customFormat="1" ht="20.25" x14ac:dyDescent="0.25">
      <c r="A121" s="87"/>
      <c r="C121" s="145"/>
      <c r="D121" s="145"/>
    </row>
    <row r="122" spans="1:4" s="23" customFormat="1" ht="20.25" x14ac:dyDescent="0.25">
      <c r="A122" s="87"/>
      <c r="C122" s="145"/>
      <c r="D122" s="145"/>
    </row>
    <row r="123" spans="1:4" s="23" customFormat="1" ht="20.25" x14ac:dyDescent="0.25">
      <c r="A123" s="87"/>
      <c r="C123" s="145"/>
      <c r="D123" s="145"/>
    </row>
    <row r="124" spans="1:4" s="23" customFormat="1" ht="20.25" x14ac:dyDescent="0.25">
      <c r="A124" s="87"/>
      <c r="C124" s="145"/>
      <c r="D124" s="145"/>
    </row>
    <row r="125" spans="1:4" s="23" customFormat="1" ht="20.25" x14ac:dyDescent="0.25">
      <c r="A125" s="87"/>
      <c r="C125" s="145"/>
      <c r="D125" s="145"/>
    </row>
    <row r="126" spans="1:4" s="23" customFormat="1" ht="20.25" x14ac:dyDescent="0.25">
      <c r="A126" s="87"/>
      <c r="C126" s="145"/>
      <c r="D126" s="145"/>
    </row>
    <row r="127" spans="1:4" s="23" customFormat="1" ht="20.25" x14ac:dyDescent="0.25">
      <c r="A127" s="87"/>
      <c r="C127" s="145"/>
      <c r="D127" s="145"/>
    </row>
    <row r="128" spans="1:4" s="23" customFormat="1" ht="20.25" x14ac:dyDescent="0.25">
      <c r="A128" s="87"/>
      <c r="C128" s="145"/>
      <c r="D128" s="145"/>
    </row>
    <row r="129" spans="1:4" s="23" customFormat="1" ht="20.25" x14ac:dyDescent="0.25">
      <c r="A129" s="87"/>
      <c r="C129" s="145"/>
      <c r="D129" s="145"/>
    </row>
    <row r="130" spans="1:4" s="23" customFormat="1" ht="20.25" x14ac:dyDescent="0.25">
      <c r="A130" s="87"/>
      <c r="C130" s="145"/>
      <c r="D130" s="145"/>
    </row>
    <row r="131" spans="1:4" s="23" customFormat="1" ht="20.25" x14ac:dyDescent="0.25">
      <c r="A131" s="87"/>
      <c r="C131" s="145"/>
      <c r="D131" s="145"/>
    </row>
    <row r="132" spans="1:4" s="23" customFormat="1" ht="20.25" x14ac:dyDescent="0.25">
      <c r="A132" s="87"/>
      <c r="C132" s="145"/>
      <c r="D132" s="145"/>
    </row>
    <row r="133" spans="1:4" s="23" customFormat="1" ht="20.25" x14ac:dyDescent="0.25">
      <c r="A133" s="87"/>
      <c r="C133" s="145"/>
      <c r="D133" s="145"/>
    </row>
    <row r="134" spans="1:4" s="23" customFormat="1" ht="20.25" x14ac:dyDescent="0.25">
      <c r="A134" s="87"/>
      <c r="C134" s="145"/>
      <c r="D134" s="145"/>
    </row>
    <row r="135" spans="1:4" s="23" customFormat="1" ht="20.25" x14ac:dyDescent="0.25">
      <c r="A135" s="87"/>
      <c r="C135" s="145"/>
      <c r="D135" s="145"/>
    </row>
    <row r="136" spans="1:4" s="23" customFormat="1" ht="20.25" x14ac:dyDescent="0.25">
      <c r="A136" s="87"/>
      <c r="C136" s="145"/>
      <c r="D136" s="145"/>
    </row>
    <row r="137" spans="1:4" s="23" customFormat="1" ht="20.25" x14ac:dyDescent="0.25">
      <c r="A137" s="87"/>
      <c r="C137" s="145"/>
      <c r="D137" s="145"/>
    </row>
    <row r="138" spans="1:4" s="23" customFormat="1" ht="20.25" x14ac:dyDescent="0.25">
      <c r="A138" s="87"/>
      <c r="C138" s="145"/>
      <c r="D138" s="145"/>
    </row>
    <row r="139" spans="1:4" s="23" customFormat="1" ht="20.25" x14ac:dyDescent="0.25">
      <c r="A139" s="87"/>
      <c r="C139" s="145"/>
      <c r="D139" s="145"/>
    </row>
    <row r="140" spans="1:4" s="23" customFormat="1" ht="20.25" x14ac:dyDescent="0.25">
      <c r="A140" s="87"/>
      <c r="C140" s="145"/>
      <c r="D140" s="145"/>
    </row>
    <row r="141" spans="1:4" s="23" customFormat="1" ht="20.25" x14ac:dyDescent="0.25">
      <c r="A141" s="87"/>
      <c r="C141" s="145"/>
      <c r="D141" s="145"/>
    </row>
    <row r="142" spans="1:4" s="23" customFormat="1" ht="20.25" x14ac:dyDescent="0.25">
      <c r="A142" s="87"/>
      <c r="C142" s="145"/>
      <c r="D142" s="145"/>
    </row>
    <row r="143" spans="1:4" s="23" customFormat="1" ht="20.25" x14ac:dyDescent="0.25">
      <c r="A143" s="87"/>
      <c r="C143" s="145"/>
      <c r="D143" s="145"/>
    </row>
    <row r="144" spans="1:4" s="23" customFormat="1" ht="20.25" x14ac:dyDescent="0.25">
      <c r="A144" s="87"/>
      <c r="C144" s="145"/>
      <c r="D144" s="145"/>
    </row>
    <row r="145" spans="1:4" s="23" customFormat="1" ht="20.25" x14ac:dyDescent="0.25">
      <c r="A145" s="87"/>
      <c r="C145" s="145"/>
      <c r="D145" s="145"/>
    </row>
    <row r="146" spans="1:4" s="23" customFormat="1" ht="20.25" x14ac:dyDescent="0.25">
      <c r="A146" s="87"/>
      <c r="C146" s="145"/>
      <c r="D146" s="145"/>
    </row>
    <row r="147" spans="1:4" s="23" customFormat="1" ht="20.25" x14ac:dyDescent="0.25">
      <c r="A147" s="87"/>
      <c r="C147" s="145"/>
      <c r="D147" s="145"/>
    </row>
    <row r="148" spans="1:4" s="23" customFormat="1" ht="20.25" x14ac:dyDescent="0.25">
      <c r="A148" s="87"/>
      <c r="C148" s="145"/>
      <c r="D148" s="145"/>
    </row>
    <row r="149" spans="1:4" s="23" customFormat="1" ht="20.25" x14ac:dyDescent="0.25">
      <c r="A149" s="87"/>
      <c r="C149" s="145"/>
      <c r="D149" s="145"/>
    </row>
    <row r="150" spans="1:4" s="23" customFormat="1" ht="20.25" x14ac:dyDescent="0.25">
      <c r="A150" s="87"/>
      <c r="C150" s="145"/>
      <c r="D150" s="145"/>
    </row>
    <row r="151" spans="1:4" s="23" customFormat="1" ht="20.25" x14ac:dyDescent="0.25">
      <c r="A151" s="87"/>
      <c r="C151" s="145"/>
      <c r="D151" s="145"/>
    </row>
    <row r="152" spans="1:4" s="23" customFormat="1" ht="20.25" x14ac:dyDescent="0.25">
      <c r="A152" s="87"/>
      <c r="C152" s="145"/>
      <c r="D152" s="145"/>
    </row>
    <row r="153" spans="1:4" s="23" customFormat="1" ht="20.25" x14ac:dyDescent="0.25">
      <c r="A153" s="87"/>
      <c r="C153" s="145"/>
      <c r="D153" s="145"/>
    </row>
    <row r="154" spans="1:4" s="23" customFormat="1" ht="20.25" x14ac:dyDescent="0.25">
      <c r="A154" s="87"/>
      <c r="C154" s="145"/>
      <c r="D154" s="145"/>
    </row>
    <row r="155" spans="1:4" s="23" customFormat="1" ht="20.25" x14ac:dyDescent="0.25">
      <c r="A155" s="87"/>
      <c r="C155" s="145"/>
      <c r="D155" s="145"/>
    </row>
    <row r="156" spans="1:4" s="23" customFormat="1" ht="20.25" x14ac:dyDescent="0.25">
      <c r="A156" s="87"/>
      <c r="C156" s="145"/>
      <c r="D156" s="145"/>
    </row>
    <row r="157" spans="1:4" s="23" customFormat="1" ht="20.25" x14ac:dyDescent="0.25">
      <c r="A157" s="87"/>
      <c r="C157" s="145"/>
      <c r="D157" s="145"/>
    </row>
    <row r="158" spans="1:4" s="23" customFormat="1" ht="20.25" x14ac:dyDescent="0.25">
      <c r="A158" s="87"/>
      <c r="C158" s="145"/>
      <c r="D158" s="145"/>
    </row>
    <row r="159" spans="1:4" s="23" customFormat="1" ht="20.25" x14ac:dyDescent="0.25">
      <c r="A159" s="87"/>
      <c r="C159" s="145"/>
      <c r="D159" s="145"/>
    </row>
    <row r="160" spans="1:4" s="23" customFormat="1" ht="20.25" x14ac:dyDescent="0.25">
      <c r="A160" s="87"/>
      <c r="C160" s="145"/>
      <c r="D160" s="145"/>
    </row>
    <row r="161" spans="1:4" s="23" customFormat="1" ht="20.25" x14ac:dyDescent="0.25">
      <c r="A161" s="87"/>
      <c r="C161" s="145"/>
      <c r="D161" s="145"/>
    </row>
    <row r="162" spans="1:4" s="23" customFormat="1" ht="20.25" x14ac:dyDescent="0.25">
      <c r="A162" s="87"/>
      <c r="C162" s="145"/>
      <c r="D162" s="145"/>
    </row>
    <row r="163" spans="1:4" s="23" customFormat="1" ht="20.25" x14ac:dyDescent="0.25">
      <c r="A163" s="87"/>
      <c r="C163" s="145"/>
      <c r="D163" s="145"/>
    </row>
    <row r="164" spans="1:4" s="23" customFormat="1" ht="20.25" x14ac:dyDescent="0.25">
      <c r="A164" s="87"/>
      <c r="C164" s="145"/>
      <c r="D164" s="145"/>
    </row>
    <row r="165" spans="1:4" s="23" customFormat="1" ht="20.25" x14ac:dyDescent="0.25">
      <c r="A165" s="87"/>
      <c r="C165" s="145"/>
      <c r="D165" s="145"/>
    </row>
    <row r="166" spans="1:4" s="23" customFormat="1" ht="20.25" x14ac:dyDescent="0.25">
      <c r="A166" s="87"/>
      <c r="C166" s="145"/>
      <c r="D166" s="145"/>
    </row>
    <row r="167" spans="1:4" s="23" customFormat="1" ht="20.25" x14ac:dyDescent="0.25">
      <c r="A167" s="87"/>
      <c r="C167" s="145"/>
      <c r="D167" s="145"/>
    </row>
    <row r="168" spans="1:4" s="23" customFormat="1" ht="20.25" x14ac:dyDescent="0.25">
      <c r="A168" s="87"/>
      <c r="C168" s="145"/>
      <c r="D168" s="145"/>
    </row>
    <row r="169" spans="1:4" s="23" customFormat="1" ht="20.25" x14ac:dyDescent="0.25">
      <c r="A169" s="87"/>
      <c r="C169" s="145"/>
      <c r="D169" s="145"/>
    </row>
    <row r="170" spans="1:4" s="23" customFormat="1" ht="20.25" x14ac:dyDescent="0.25">
      <c r="A170" s="87"/>
      <c r="C170" s="145"/>
      <c r="D170" s="145"/>
    </row>
    <row r="171" spans="1:4" s="23" customFormat="1" ht="20.25" x14ac:dyDescent="0.25">
      <c r="A171" s="87"/>
      <c r="C171" s="145"/>
      <c r="D171" s="145"/>
    </row>
    <row r="172" spans="1:4" s="23" customFormat="1" ht="20.25" x14ac:dyDescent="0.25">
      <c r="A172" s="87"/>
      <c r="C172" s="145"/>
      <c r="D172" s="145"/>
    </row>
    <row r="173" spans="1:4" s="23" customFormat="1" ht="20.25" x14ac:dyDescent="0.25">
      <c r="A173" s="87"/>
      <c r="C173" s="145"/>
      <c r="D173" s="145"/>
    </row>
    <row r="174" spans="1:4" s="23" customFormat="1" ht="20.25" x14ac:dyDescent="0.25">
      <c r="A174" s="87"/>
      <c r="C174" s="145"/>
      <c r="D174" s="145"/>
    </row>
    <row r="175" spans="1:4" s="23" customFormat="1" ht="20.25" x14ac:dyDescent="0.25">
      <c r="A175" s="87"/>
      <c r="C175" s="145"/>
      <c r="D175" s="145"/>
    </row>
    <row r="176" spans="1:4" s="23" customFormat="1" ht="20.25" x14ac:dyDescent="0.25">
      <c r="A176" s="87"/>
      <c r="C176" s="145"/>
      <c r="D176" s="145"/>
    </row>
    <row r="177" spans="1:4" s="23" customFormat="1" ht="20.25" x14ac:dyDescent="0.25">
      <c r="A177" s="87"/>
      <c r="C177" s="145"/>
      <c r="D177" s="145"/>
    </row>
    <row r="178" spans="1:4" s="23" customFormat="1" ht="20.25" x14ac:dyDescent="0.25">
      <c r="A178" s="87"/>
      <c r="C178" s="145"/>
      <c r="D178" s="145"/>
    </row>
    <row r="179" spans="1:4" s="23" customFormat="1" ht="20.25" x14ac:dyDescent="0.25">
      <c r="A179" s="87"/>
      <c r="C179" s="145"/>
      <c r="D179" s="145"/>
    </row>
    <row r="180" spans="1:4" s="23" customFormat="1" ht="20.25" x14ac:dyDescent="0.25">
      <c r="A180" s="87"/>
      <c r="C180" s="145"/>
      <c r="D180" s="145"/>
    </row>
    <row r="181" spans="1:4" s="23" customFormat="1" ht="20.25" x14ac:dyDescent="0.25">
      <c r="A181" s="87"/>
      <c r="C181" s="145"/>
      <c r="D181" s="145"/>
    </row>
    <row r="182" spans="1:4" s="23" customFormat="1" ht="20.25" x14ac:dyDescent="0.25">
      <c r="A182" s="87"/>
      <c r="C182" s="145"/>
      <c r="D182" s="145"/>
    </row>
    <row r="183" spans="1:4" s="23" customFormat="1" ht="20.25" x14ac:dyDescent="0.25">
      <c r="A183" s="87"/>
      <c r="C183" s="145"/>
      <c r="D183" s="145"/>
    </row>
    <row r="184" spans="1:4" s="23" customFormat="1" ht="20.25" x14ac:dyDescent="0.25">
      <c r="A184" s="87"/>
      <c r="C184" s="145"/>
      <c r="D184" s="145"/>
    </row>
    <row r="185" spans="1:4" s="23" customFormat="1" ht="20.25" x14ac:dyDescent="0.25">
      <c r="A185" s="87"/>
      <c r="C185" s="145"/>
      <c r="D185" s="145"/>
    </row>
    <row r="186" spans="1:4" s="23" customFormat="1" ht="20.25" x14ac:dyDescent="0.25">
      <c r="A186" s="87"/>
      <c r="C186" s="145"/>
      <c r="D186" s="145"/>
    </row>
    <row r="187" spans="1:4" s="23" customFormat="1" ht="20.25" x14ac:dyDescent="0.25">
      <c r="A187" s="87"/>
      <c r="C187" s="145"/>
      <c r="D187" s="145"/>
    </row>
    <row r="188" spans="1:4" s="23" customFormat="1" ht="20.25" x14ac:dyDescent="0.25">
      <c r="A188" s="87"/>
      <c r="C188" s="145"/>
      <c r="D188" s="145"/>
    </row>
    <row r="189" spans="1:4" s="23" customFormat="1" ht="20.25" x14ac:dyDescent="0.25">
      <c r="A189" s="87"/>
      <c r="C189" s="145"/>
      <c r="D189" s="145"/>
    </row>
    <row r="190" spans="1:4" s="23" customFormat="1" ht="20.25" x14ac:dyDescent="0.25">
      <c r="A190" s="87"/>
      <c r="C190" s="145"/>
      <c r="D190" s="145"/>
    </row>
    <row r="191" spans="1:4" s="23" customFormat="1" ht="20.25" x14ac:dyDescent="0.25">
      <c r="A191" s="87"/>
      <c r="C191" s="145"/>
      <c r="D191" s="145"/>
    </row>
    <row r="192" spans="1:4" s="23" customFormat="1" ht="20.25" x14ac:dyDescent="0.25">
      <c r="A192" s="87"/>
      <c r="C192" s="145"/>
      <c r="D192" s="145"/>
    </row>
    <row r="193" spans="1:4" s="23" customFormat="1" ht="20.25" x14ac:dyDescent="0.25">
      <c r="A193" s="87"/>
      <c r="C193" s="145"/>
      <c r="D193" s="145"/>
    </row>
    <row r="194" spans="1:4" s="23" customFormat="1" ht="20.25" x14ac:dyDescent="0.25">
      <c r="A194" s="87"/>
      <c r="C194" s="145"/>
      <c r="D194" s="145"/>
    </row>
    <row r="195" spans="1:4" s="23" customFormat="1" ht="20.25" x14ac:dyDescent="0.25">
      <c r="A195" s="87"/>
      <c r="C195" s="145"/>
      <c r="D195" s="145"/>
    </row>
    <row r="196" spans="1:4" s="23" customFormat="1" ht="20.25" x14ac:dyDescent="0.25">
      <c r="A196" s="87"/>
      <c r="C196" s="145"/>
      <c r="D196" s="145"/>
    </row>
    <row r="197" spans="1:4" s="23" customFormat="1" ht="20.25" x14ac:dyDescent="0.25">
      <c r="A197" s="87"/>
      <c r="C197" s="145"/>
      <c r="D197" s="145"/>
    </row>
    <row r="198" spans="1:4" s="23" customFormat="1" ht="20.25" x14ac:dyDescent="0.25">
      <c r="A198" s="87"/>
      <c r="C198" s="145"/>
      <c r="D198" s="145"/>
    </row>
    <row r="199" spans="1:4" s="23" customFormat="1" ht="20.25" x14ac:dyDescent="0.25">
      <c r="A199" s="87"/>
      <c r="C199" s="145"/>
      <c r="D199" s="145"/>
    </row>
    <row r="200" spans="1:4" s="23" customFormat="1" ht="20.25" x14ac:dyDescent="0.25">
      <c r="A200" s="87"/>
      <c r="C200" s="145"/>
      <c r="D200" s="145"/>
    </row>
    <row r="201" spans="1:4" s="23" customFormat="1" ht="20.25" x14ac:dyDescent="0.25">
      <c r="A201" s="87"/>
      <c r="C201" s="145"/>
      <c r="D201" s="145"/>
    </row>
    <row r="202" spans="1:4" s="23" customFormat="1" ht="20.25" x14ac:dyDescent="0.25">
      <c r="A202" s="87"/>
      <c r="C202" s="145"/>
      <c r="D202" s="145"/>
    </row>
    <row r="203" spans="1:4" s="23" customFormat="1" ht="20.25" x14ac:dyDescent="0.25">
      <c r="A203" s="87"/>
      <c r="C203" s="145"/>
      <c r="D203" s="145"/>
    </row>
    <row r="204" spans="1:4" s="23" customFormat="1" ht="20.25" x14ac:dyDescent="0.25">
      <c r="A204" s="87"/>
      <c r="C204" s="145"/>
      <c r="D204" s="145"/>
    </row>
    <row r="205" spans="1:4" s="23" customFormat="1" ht="20.25" x14ac:dyDescent="0.25">
      <c r="A205" s="87"/>
      <c r="C205" s="145"/>
      <c r="D205" s="145"/>
    </row>
    <row r="206" spans="1:4" s="23" customFormat="1" ht="20.25" x14ac:dyDescent="0.25">
      <c r="A206" s="87"/>
      <c r="C206" s="145"/>
      <c r="D206" s="145"/>
    </row>
    <row r="207" spans="1:4" s="23" customFormat="1" ht="20.25" x14ac:dyDescent="0.25">
      <c r="A207" s="87"/>
      <c r="C207" s="145"/>
      <c r="D207" s="145"/>
    </row>
    <row r="208" spans="1:4" s="23" customFormat="1" x14ac:dyDescent="0.25">
      <c r="A208" s="87"/>
    </row>
    <row r="209" spans="1:8" s="23" customFormat="1" ht="20.25" x14ac:dyDescent="0.25">
      <c r="A209" s="87"/>
      <c r="B209" s="146" t="s">
        <v>87</v>
      </c>
      <c r="C209" s="146" t="s">
        <v>140</v>
      </c>
      <c r="D209" s="147" t="s">
        <v>87</v>
      </c>
      <c r="E209" s="147" t="s">
        <v>140</v>
      </c>
    </row>
    <row r="210" spans="1:8" s="23" customFormat="1" ht="42" x14ac:dyDescent="0.35">
      <c r="A210" s="87"/>
      <c r="B210" s="148" t="s">
        <v>89</v>
      </c>
      <c r="C210" s="148"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35">
      <c r="A211" s="87"/>
      <c r="B211" s="148" t="s">
        <v>89</v>
      </c>
      <c r="C211" s="148" t="s">
        <v>206</v>
      </c>
      <c r="E211" s="23" t="s">
        <v>205</v>
      </c>
      <c r="F211" s="23" t="str">
        <f t="shared" ref="F211:F221" si="0">IF(NOT(ISBLANK(D211)),D211,IF(NOT(ISBLANK(E211)),"     "&amp;E211,FALSE))</f>
        <v xml:space="preserve">     Afectación menor a 200 SMLMV</v>
      </c>
    </row>
    <row r="212" spans="1:8" s="23" customFormat="1" ht="42" x14ac:dyDescent="0.35">
      <c r="A212" s="87"/>
      <c r="B212" s="148" t="s">
        <v>89</v>
      </c>
      <c r="C212" s="148" t="s">
        <v>210</v>
      </c>
      <c r="E212" s="23" t="s">
        <v>206</v>
      </c>
      <c r="F212" s="23" t="str">
        <f t="shared" si="0"/>
        <v xml:space="preserve">     Entre 200 y 1000 SMLMV</v>
      </c>
    </row>
    <row r="213" spans="1:8" s="23" customFormat="1" ht="42" x14ac:dyDescent="0.35">
      <c r="A213" s="87"/>
      <c r="B213" s="148" t="s">
        <v>89</v>
      </c>
      <c r="C213" s="148" t="s">
        <v>211</v>
      </c>
      <c r="E213" s="23" t="s">
        <v>210</v>
      </c>
      <c r="F213" s="23" t="str">
        <f t="shared" si="0"/>
        <v xml:space="preserve">     Entre 1000 y 5000 SMLMV </v>
      </c>
    </row>
    <row r="214" spans="1:8" s="23" customFormat="1" ht="42" x14ac:dyDescent="0.35">
      <c r="A214" s="87"/>
      <c r="B214" s="148" t="s">
        <v>89</v>
      </c>
      <c r="C214" s="148" t="s">
        <v>207</v>
      </c>
      <c r="E214" s="23" t="s">
        <v>211</v>
      </c>
      <c r="F214" s="23" t="str">
        <f t="shared" si="0"/>
        <v xml:space="preserve">     Entre 5000 y 10000 SMLMV</v>
      </c>
    </row>
    <row r="215" spans="1:8" s="23" customFormat="1" ht="42" x14ac:dyDescent="0.35">
      <c r="A215" s="87"/>
      <c r="B215" s="148" t="s">
        <v>57</v>
      </c>
      <c r="C215" s="148" t="s">
        <v>92</v>
      </c>
      <c r="E215" s="23" t="s">
        <v>207</v>
      </c>
      <c r="F215" s="23" t="str">
        <f t="shared" si="0"/>
        <v xml:space="preserve">     Mayor a 10000 SMLMV</v>
      </c>
    </row>
    <row r="216" spans="1:8" s="23" customFormat="1" ht="63" x14ac:dyDescent="0.35">
      <c r="A216" s="87"/>
      <c r="B216" s="148" t="s">
        <v>57</v>
      </c>
      <c r="C216" s="148" t="s">
        <v>93</v>
      </c>
      <c r="D216" s="23" t="s">
        <v>57</v>
      </c>
      <c r="F216" s="23" t="str">
        <f t="shared" si="0"/>
        <v>Pérdida Reputacional</v>
      </c>
    </row>
    <row r="217" spans="1:8" s="23" customFormat="1" ht="42" x14ac:dyDescent="0.35">
      <c r="A217" s="87"/>
      <c r="B217" s="148" t="s">
        <v>57</v>
      </c>
      <c r="C217" s="148" t="s">
        <v>95</v>
      </c>
      <c r="E217" s="23" t="s">
        <v>92</v>
      </c>
      <c r="F217" s="23" t="str">
        <f>IF(NOT(ISBLANK(D217)),D217,IF(NOT(ISBLANK(E217)),"     "&amp;E217,FALSE))</f>
        <v xml:space="preserve">     El riesgo afecta la imagen de alguna área de la organización</v>
      </c>
    </row>
    <row r="218" spans="1:8" s="23" customFormat="1" ht="63" x14ac:dyDescent="0.35">
      <c r="A218" s="87"/>
      <c r="B218" s="148" t="s">
        <v>57</v>
      </c>
      <c r="C218" s="148"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48" t="s">
        <v>57</v>
      </c>
      <c r="C219" s="148" t="s">
        <v>113</v>
      </c>
      <c r="E219" s="23" t="s">
        <v>95</v>
      </c>
      <c r="F219" s="23" t="str">
        <f t="shared" si="0"/>
        <v xml:space="preserve">     El riesgo afecta la imagen de la entidad con algunos usuarios de relevancia frente al logro de los objetivos</v>
      </c>
    </row>
    <row r="220" spans="1:8" s="23" customFormat="1" x14ac:dyDescent="0.25">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25">
      <c r="A222" s="87"/>
      <c r="B222" s="23" t="e">
        <f ca="1"/>
        <v>#NAME?</v>
      </c>
    </row>
    <row r="223" spans="1:8" s="23" customFormat="1" x14ac:dyDescent="0.25">
      <c r="B223" s="23" t="e">
        <f ca="1"/>
        <v>#NAME?</v>
      </c>
      <c r="F223" s="149" t="s">
        <v>141</v>
      </c>
    </row>
    <row r="224" spans="1:8" s="23" customFormat="1" x14ac:dyDescent="0.25">
      <c r="F224" s="149"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428" t="s">
        <v>77</v>
      </c>
      <c r="C1" s="429"/>
      <c r="D1" s="429"/>
      <c r="E1" s="429"/>
      <c r="F1" s="430"/>
    </row>
    <row r="2" spans="2:6" ht="16.5" thickBot="1" x14ac:dyDescent="0.3">
      <c r="B2" s="73"/>
      <c r="C2" s="73"/>
      <c r="D2" s="73"/>
      <c r="E2" s="73"/>
      <c r="F2" s="73"/>
    </row>
    <row r="3" spans="2:6" ht="16.5" thickBot="1" x14ac:dyDescent="0.25">
      <c r="B3" s="432" t="s">
        <v>63</v>
      </c>
      <c r="C3" s="433"/>
      <c r="D3" s="433"/>
      <c r="E3" s="85" t="s">
        <v>64</v>
      </c>
      <c r="F3" s="86" t="s">
        <v>65</v>
      </c>
    </row>
    <row r="4" spans="2:6" ht="31.5" x14ac:dyDescent="0.2">
      <c r="B4" s="434" t="s">
        <v>66</v>
      </c>
      <c r="C4" s="436" t="s">
        <v>13</v>
      </c>
      <c r="D4" s="74" t="s">
        <v>14</v>
      </c>
      <c r="E4" s="75" t="s">
        <v>67</v>
      </c>
      <c r="F4" s="76">
        <v>0.25</v>
      </c>
    </row>
    <row r="5" spans="2:6" ht="47.25" x14ac:dyDescent="0.2">
      <c r="B5" s="435"/>
      <c r="C5" s="437"/>
      <c r="D5" s="77" t="s">
        <v>15</v>
      </c>
      <c r="E5" s="78" t="s">
        <v>68</v>
      </c>
      <c r="F5" s="79">
        <v>0.15</v>
      </c>
    </row>
    <row r="6" spans="2:6" ht="47.25" x14ac:dyDescent="0.2">
      <c r="B6" s="435"/>
      <c r="C6" s="437"/>
      <c r="D6" s="77" t="s">
        <v>16</v>
      </c>
      <c r="E6" s="78" t="s">
        <v>69</v>
      </c>
      <c r="F6" s="79">
        <v>0.1</v>
      </c>
    </row>
    <row r="7" spans="2:6" ht="63" x14ac:dyDescent="0.2">
      <c r="B7" s="435"/>
      <c r="C7" s="437" t="s">
        <v>17</v>
      </c>
      <c r="D7" s="77" t="s">
        <v>10</v>
      </c>
      <c r="E7" s="78" t="s">
        <v>70</v>
      </c>
      <c r="F7" s="79">
        <v>0.25</v>
      </c>
    </row>
    <row r="8" spans="2:6" ht="31.5" x14ac:dyDescent="0.2">
      <c r="B8" s="435"/>
      <c r="C8" s="437"/>
      <c r="D8" s="77" t="s">
        <v>9</v>
      </c>
      <c r="E8" s="78" t="s">
        <v>71</v>
      </c>
      <c r="F8" s="79">
        <v>0.15</v>
      </c>
    </row>
    <row r="9" spans="2:6" ht="47.25" x14ac:dyDescent="0.2">
      <c r="B9" s="435" t="s">
        <v>151</v>
      </c>
      <c r="C9" s="437" t="s">
        <v>18</v>
      </c>
      <c r="D9" s="77" t="s">
        <v>19</v>
      </c>
      <c r="E9" s="78" t="s">
        <v>72</v>
      </c>
      <c r="F9" s="80" t="s">
        <v>73</v>
      </c>
    </row>
    <row r="10" spans="2:6" ht="63" x14ac:dyDescent="0.2">
      <c r="B10" s="435"/>
      <c r="C10" s="437"/>
      <c r="D10" s="77" t="s">
        <v>20</v>
      </c>
      <c r="E10" s="78" t="s">
        <v>74</v>
      </c>
      <c r="F10" s="80" t="s">
        <v>73</v>
      </c>
    </row>
    <row r="11" spans="2:6" ht="47.25" x14ac:dyDescent="0.2">
      <c r="B11" s="435"/>
      <c r="C11" s="437" t="s">
        <v>21</v>
      </c>
      <c r="D11" s="77" t="s">
        <v>22</v>
      </c>
      <c r="E11" s="78" t="s">
        <v>75</v>
      </c>
      <c r="F11" s="80" t="s">
        <v>73</v>
      </c>
    </row>
    <row r="12" spans="2:6" ht="47.25" x14ac:dyDescent="0.2">
      <c r="B12" s="435"/>
      <c r="C12" s="437"/>
      <c r="D12" s="77" t="s">
        <v>23</v>
      </c>
      <c r="E12" s="78" t="s">
        <v>76</v>
      </c>
      <c r="F12" s="80" t="s">
        <v>73</v>
      </c>
    </row>
    <row r="13" spans="2:6" ht="31.5" x14ac:dyDescent="0.2">
      <c r="B13" s="435"/>
      <c r="C13" s="437" t="s">
        <v>24</v>
      </c>
      <c r="D13" s="77" t="s">
        <v>114</v>
      </c>
      <c r="E13" s="78" t="s">
        <v>117</v>
      </c>
      <c r="F13" s="80" t="s">
        <v>73</v>
      </c>
    </row>
    <row r="14" spans="2:6" ht="32.25" thickBot="1" x14ac:dyDescent="0.25">
      <c r="B14" s="438"/>
      <c r="C14" s="439"/>
      <c r="D14" s="81" t="s">
        <v>115</v>
      </c>
      <c r="E14" s="82" t="s">
        <v>116</v>
      </c>
      <c r="F14" s="83" t="s">
        <v>73</v>
      </c>
    </row>
    <row r="15" spans="2:6" ht="49.5" customHeight="1" x14ac:dyDescent="0.2">
      <c r="B15" s="431" t="s">
        <v>148</v>
      </c>
      <c r="C15" s="431"/>
      <c r="D15" s="431"/>
      <c r="E15" s="431"/>
      <c r="F15" s="431"/>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2023-04-26T15:46:06Z</dcterms:modified>
</cp:coreProperties>
</file>