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Types.xml" ContentType="application/vnd.ms-excel.rdrichvaluetypes+xml"/>
  <Override PartName="/xl/richData/rdrichvaluestructure.xml" ContentType="application/vnd.ms-excel.rdrichvaluestructure+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Sandy Poveda Vargas\Desktop\MAPAS DE RIESGOS DE GESTIÓN POR PROCESOS\"/>
    </mc:Choice>
  </mc:AlternateContent>
  <bookViews>
    <workbookView xWindow="0" yWindow="0" windowWidth="20490" windowHeight="7650"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calcPr calcId="162913"/>
  <pivotCaches>
    <pivotCache cacheId="0" r:id="rId11"/>
  </pivotCaches>
</workbook>
</file>

<file path=xl/calcChain.xml><?xml version="1.0" encoding="utf-8"?>
<calcChain xmlns="http://schemas.openxmlformats.org/spreadsheetml/2006/main">
  <c r="V13" i="1" l="1"/>
  <c r="S12" i="1" l="1"/>
  <c r="J18" i="1" l="1"/>
  <c r="K18" i="1" s="1"/>
  <c r="J24" i="1"/>
  <c r="J30" i="1"/>
  <c r="K30" i="1" s="1"/>
  <c r="J36" i="1"/>
  <c r="K36" i="1" s="1"/>
  <c r="J42" i="1"/>
  <c r="K42" i="1" s="1"/>
  <c r="J48" i="1"/>
  <c r="K48" i="1" s="1"/>
  <c r="J54" i="1"/>
  <c r="K54" i="1" s="1"/>
  <c r="J60" i="1"/>
  <c r="K60" i="1" s="1"/>
  <c r="V29" i="1"/>
  <c r="S29" i="1"/>
  <c r="V28" i="1"/>
  <c r="S28" i="1"/>
  <c r="V27" i="1"/>
  <c r="S27" i="1"/>
  <c r="AD28" i="1" s="1"/>
  <c r="AC28" i="1" s="1"/>
  <c r="V26" i="1"/>
  <c r="S26" i="1"/>
  <c r="V25" i="1"/>
  <c r="S25" i="1"/>
  <c r="V24" i="1"/>
  <c r="S24" i="1"/>
  <c r="V23" i="1"/>
  <c r="S23" i="1"/>
  <c r="V22" i="1"/>
  <c r="S22" i="1"/>
  <c r="V21" i="1"/>
  <c r="S21" i="1"/>
  <c r="V20" i="1"/>
  <c r="S20" i="1"/>
  <c r="V19" i="1"/>
  <c r="S19" i="1"/>
  <c r="AD20" i="1" s="1"/>
  <c r="AC20" i="1" s="1"/>
  <c r="V18" i="1"/>
  <c r="S18" i="1"/>
  <c r="V17" i="1"/>
  <c r="V16" i="1"/>
  <c r="V15" i="1"/>
  <c r="V14" i="1"/>
  <c r="V12" i="1"/>
  <c r="V11" i="1"/>
  <c r="M51" i="1"/>
  <c r="M34" i="1"/>
  <c r="M23" i="1"/>
  <c r="M22" i="1"/>
  <c r="M53" i="1"/>
  <c r="M63" i="1"/>
  <c r="M33" i="1"/>
  <c r="M32" i="1"/>
  <c r="M46" i="1"/>
  <c r="M64" i="1"/>
  <c r="M21" i="1"/>
  <c r="M65" i="1"/>
  <c r="M50" i="1"/>
  <c r="M35" i="1"/>
  <c r="M62" i="1"/>
  <c r="M56" i="1"/>
  <c r="M29" i="1"/>
  <c r="M20" i="1"/>
  <c r="M45" i="1"/>
  <c r="M57" i="1"/>
  <c r="M61" i="1"/>
  <c r="M31" i="1"/>
  <c r="M55" i="1"/>
  <c r="M47" i="1"/>
  <c r="M26" i="1"/>
  <c r="M41" i="1"/>
  <c r="M27" i="1"/>
  <c r="M52" i="1"/>
  <c r="M59" i="1"/>
  <c r="M25" i="1"/>
  <c r="M58" i="1"/>
  <c r="M43" i="1"/>
  <c r="M38" i="1"/>
  <c r="M44" i="1"/>
  <c r="M49" i="1"/>
  <c r="M39" i="1"/>
  <c r="M28" i="1"/>
  <c r="M37" i="1"/>
  <c r="M40" i="1"/>
  <c r="M19" i="1"/>
  <c r="AD22" i="1" l="1"/>
  <c r="AC22" i="1" s="1"/>
  <c r="Z26" i="1"/>
  <c r="AA26" i="1" s="1"/>
  <c r="AD19" i="1"/>
  <c r="AC19" i="1" s="1"/>
  <c r="Z23" i="1"/>
  <c r="AB23" i="1" s="1"/>
  <c r="AD27" i="1"/>
  <c r="AC27" i="1" s="1"/>
  <c r="AD21" i="1"/>
  <c r="AC21" i="1" s="1"/>
  <c r="AD25" i="1"/>
  <c r="AC25" i="1" s="1"/>
  <c r="AD29" i="1"/>
  <c r="AC29" i="1" s="1"/>
  <c r="K24" i="1"/>
  <c r="Z24" i="1"/>
  <c r="Z28" i="1"/>
  <c r="AD24" i="1"/>
  <c r="AC24" i="1" s="1"/>
  <c r="AD26" i="1"/>
  <c r="AC26" i="1" s="1"/>
  <c r="Z25" i="1"/>
  <c r="Z27" i="1"/>
  <c r="Z29" i="1"/>
  <c r="Z20" i="1"/>
  <c r="Z18" i="1"/>
  <c r="Z22" i="1"/>
  <c r="AD18" i="1"/>
  <c r="AC18" i="1" s="1"/>
  <c r="Z21" i="1"/>
  <c r="Z19" i="1"/>
  <c r="AD23" i="1"/>
  <c r="AC23" i="1" s="1"/>
  <c r="AB26" i="1" l="1"/>
  <c r="AA23" i="1"/>
  <c r="AE23" i="1" s="1"/>
  <c r="AB28" i="1"/>
  <c r="AA28" i="1"/>
  <c r="AE28" i="1" s="1"/>
  <c r="AB27" i="1"/>
  <c r="AA27" i="1"/>
  <c r="AE27" i="1" s="1"/>
  <c r="AB24" i="1"/>
  <c r="AA24" i="1"/>
  <c r="AE24" i="1" s="1"/>
  <c r="AA29" i="1"/>
  <c r="AE29" i="1" s="1"/>
  <c r="AB29" i="1"/>
  <c r="AB25" i="1"/>
  <c r="AA25" i="1"/>
  <c r="AE25" i="1" s="1"/>
  <c r="AE26" i="1"/>
  <c r="AB19" i="1"/>
  <c r="AA19" i="1"/>
  <c r="AE19" i="1" s="1"/>
  <c r="AB18" i="1"/>
  <c r="AA18" i="1"/>
  <c r="AE18" i="1" s="1"/>
  <c r="AB21" i="1"/>
  <c r="AA21" i="1"/>
  <c r="AE21" i="1" s="1"/>
  <c r="AB22" i="1"/>
  <c r="AA22" i="1"/>
  <c r="AE22" i="1" s="1"/>
  <c r="AB20" i="1"/>
  <c r="AA20" i="1"/>
  <c r="AE20" i="1" s="1"/>
  <c r="S11" i="1" l="1"/>
  <c r="F217" i="13"/>
  <c r="V10" i="1" l="1"/>
  <c r="S10" i="1"/>
  <c r="J10" i="1" l="1"/>
  <c r="K10" i="1" s="1"/>
  <c r="M15" i="1"/>
  <c r="M17" i="1"/>
  <c r="M16" i="1"/>
  <c r="F221" i="13" l="1"/>
  <c r="F211" i="13"/>
  <c r="F212" i="13"/>
  <c r="F213" i="13"/>
  <c r="F214" i="13"/>
  <c r="F215" i="13"/>
  <c r="F216" i="13"/>
  <c r="F218" i="13"/>
  <c r="F219" i="13"/>
  <c r="F220" i="13"/>
  <c r="F210" i="13"/>
  <c r="M11" i="1"/>
  <c r="B221" i="13" a="1"/>
  <c r="M12" i="1"/>
  <c r="B221" i="13" l="1"/>
  <c r="S48"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V65" i="1" l="1"/>
  <c r="S65" i="1"/>
  <c r="V64" i="1"/>
  <c r="S64" i="1"/>
  <c r="V63" i="1"/>
  <c r="S63" i="1"/>
  <c r="V62" i="1"/>
  <c r="S62" i="1"/>
  <c r="V61" i="1"/>
  <c r="S61" i="1"/>
  <c r="V60" i="1"/>
  <c r="S60" i="1"/>
  <c r="V59" i="1"/>
  <c r="S59" i="1"/>
  <c r="V58" i="1"/>
  <c r="S58" i="1"/>
  <c r="V57" i="1"/>
  <c r="S57" i="1"/>
  <c r="V56" i="1"/>
  <c r="S56" i="1"/>
  <c r="V55" i="1"/>
  <c r="S55" i="1"/>
  <c r="V54" i="1"/>
  <c r="S54" i="1"/>
  <c r="V53" i="1"/>
  <c r="S53" i="1"/>
  <c r="V52" i="1"/>
  <c r="S52" i="1"/>
  <c r="V51" i="1"/>
  <c r="S51" i="1"/>
  <c r="V50" i="1"/>
  <c r="S50" i="1"/>
  <c r="V49" i="1"/>
  <c r="S49" i="1"/>
  <c r="AD49" i="1" s="1"/>
  <c r="V48" i="1"/>
  <c r="J14" i="1"/>
  <c r="S17" i="1"/>
  <c r="S16" i="1"/>
  <c r="S15" i="1"/>
  <c r="S14" i="1"/>
  <c r="AD16" i="1" l="1"/>
  <c r="AC16" i="1" s="1"/>
  <c r="Z16" i="1"/>
  <c r="AD17" i="1"/>
  <c r="AC17" i="1" s="1"/>
  <c r="Z17" i="1"/>
  <c r="AD61" i="1"/>
  <c r="AD55" i="1"/>
  <c r="K14" i="1"/>
  <c r="Z14" i="1" s="1"/>
  <c r="Z60" i="1"/>
  <c r="Z54" i="1"/>
  <c r="Z48" i="1"/>
  <c r="AA16" i="1" l="1"/>
  <c r="AE16" i="1" s="1"/>
  <c r="AB16" i="1"/>
  <c r="AB14" i="1"/>
  <c r="Z15" i="1" s="1"/>
  <c r="AA15" i="1" s="1"/>
  <c r="AA14" i="1"/>
  <c r="AB17" i="1"/>
  <c r="AA17" i="1"/>
  <c r="AE17" i="1" s="1"/>
  <c r="AA60" i="1"/>
  <c r="AB60" i="1"/>
  <c r="Z61" i="1" s="1"/>
  <c r="AA61" i="1" s="1"/>
  <c r="AA54" i="1"/>
  <c r="AB54" i="1"/>
  <c r="Z55" i="1" s="1"/>
  <c r="AB55" i="1" s="1"/>
  <c r="Z56" i="1" s="1"/>
  <c r="AA48" i="1"/>
  <c r="AB48" i="1"/>
  <c r="Z49" i="1" s="1"/>
  <c r="AB49" i="1" s="1"/>
  <c r="Z50" i="1" s="1"/>
  <c r="AB15" i="1" l="1"/>
  <c r="AA55" i="1"/>
  <c r="AA49" i="1"/>
  <c r="AB56" i="1"/>
  <c r="Z57" i="1" s="1"/>
  <c r="AA56" i="1"/>
  <c r="AB50" i="1"/>
  <c r="Z51" i="1" s="1"/>
  <c r="AA50" i="1"/>
  <c r="AB61" i="1"/>
  <c r="Z62"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57" i="1" l="1"/>
  <c r="AB57" i="1"/>
  <c r="AA51" i="1"/>
  <c r="AB51" i="1"/>
  <c r="Z52" i="1" s="1"/>
  <c r="AA62" i="1"/>
  <c r="AB62" i="1"/>
  <c r="Z63" i="1" s="1"/>
  <c r="AA52" i="1" l="1"/>
  <c r="AB52" i="1"/>
  <c r="Z53" i="1" s="1"/>
  <c r="Z58" i="1"/>
  <c r="Z59" i="1"/>
  <c r="AB63" i="1"/>
  <c r="AA63" i="1"/>
  <c r="AA59" i="1" l="1"/>
  <c r="AB59" i="1"/>
  <c r="AA58" i="1"/>
  <c r="AB58" i="1"/>
  <c r="AA53" i="1"/>
  <c r="AB53" i="1"/>
  <c r="Z64" i="1"/>
  <c r="Z65" i="1"/>
  <c r="Z10" i="1"/>
  <c r="AA10" i="1" s="1"/>
  <c r="AA65" i="1" l="1"/>
  <c r="AB65" i="1"/>
  <c r="AA64" i="1"/>
  <c r="AB64" i="1"/>
  <c r="AB10" i="1" l="1"/>
  <c r="Z11" i="1" s="1"/>
  <c r="AA11" i="1" l="1"/>
  <c r="AB11" i="1"/>
  <c r="Z12" i="1" s="1"/>
  <c r="AD60" i="1"/>
  <c r="AB12" i="1" l="1"/>
  <c r="Z13" i="1" s="1"/>
  <c r="AA12" i="1"/>
  <c r="AC60" i="1"/>
  <c r="AD62" i="1"/>
  <c r="AD54" i="1"/>
  <c r="AD48" i="1"/>
  <c r="AC48" i="1" s="1"/>
  <c r="AB13" i="1" l="1"/>
  <c r="AA13"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AE60" i="1"/>
  <c r="P25" i="19"/>
  <c r="V55" i="19"/>
  <c r="J15" i="19"/>
  <c r="AB15" i="19"/>
  <c r="J35" i="19"/>
  <c r="AB35" i="19"/>
  <c r="J55" i="19"/>
  <c r="AB25" i="19"/>
  <c r="P35" i="19"/>
  <c r="P55" i="19"/>
  <c r="AB45" i="19"/>
  <c r="P15" i="19"/>
  <c r="AE4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54" i="1"/>
  <c r="AC61"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C62" i="1"/>
  <c r="AD63" i="1"/>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C49" i="1"/>
  <c r="AD50" i="1"/>
  <c r="AC55" i="1"/>
  <c r="AD56" i="1"/>
  <c r="AC63" i="1" l="1"/>
  <c r="AD64" i="1"/>
  <c r="K35" i="19"/>
  <c r="AC25" i="19"/>
  <c r="K45" i="19"/>
  <c r="AI45" i="19"/>
  <c r="W45" i="19"/>
  <c r="Q35" i="19"/>
  <c r="K55" i="19"/>
  <c r="AC15" i="19"/>
  <c r="Q15" i="19"/>
  <c r="AC35" i="19"/>
  <c r="AI35" i="19"/>
  <c r="Q55" i="19"/>
  <c r="AI25" i="19"/>
  <c r="AE6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E55"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E62"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E54"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C50" i="1"/>
  <c r="AD51"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C56" i="1"/>
  <c r="AD57"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E49" i="1"/>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C51" i="1"/>
  <c r="AD52" i="1"/>
  <c r="AC64" i="1"/>
  <c r="AD65" i="1"/>
  <c r="AC65" i="1" s="1"/>
  <c r="AJ43" i="19"/>
  <c r="AD33" i="19"/>
  <c r="X33" i="19"/>
  <c r="X13" i="19"/>
  <c r="AD43" i="19"/>
  <c r="L43" i="19"/>
  <c r="AE50" i="1"/>
  <c r="X23" i="19"/>
  <c r="R33" i="19"/>
  <c r="R43" i="19"/>
  <c r="AD53" i="19"/>
  <c r="AJ13" i="19"/>
  <c r="R23" i="19"/>
  <c r="R13" i="19"/>
  <c r="AJ53" i="19"/>
  <c r="L33" i="19"/>
  <c r="L23" i="19"/>
  <c r="X43" i="19"/>
  <c r="X53" i="19"/>
  <c r="AD13" i="19"/>
  <c r="L53" i="19"/>
  <c r="L13" i="19"/>
  <c r="AD23" i="19"/>
  <c r="AJ33" i="19"/>
  <c r="AJ23" i="19"/>
  <c r="R53" i="19"/>
  <c r="M55" i="19"/>
  <c r="AK15" i="19"/>
  <c r="AE25" i="19"/>
  <c r="AE63"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C57" i="1"/>
  <c r="AD58" i="1"/>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E56"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57" i="1"/>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E65"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E64"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C52" i="1"/>
  <c r="AD53" i="1"/>
  <c r="AC53"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C58" i="1"/>
  <c r="AD59" i="1"/>
  <c r="AC59"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E51"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E59" i="1"/>
  <c r="AA14" i="19"/>
  <c r="O54" i="19"/>
  <c r="U44" i="19"/>
  <c r="U43" i="19"/>
  <c r="U13" i="19"/>
  <c r="AM53" i="19"/>
  <c r="AA53" i="19"/>
  <c r="AA43" i="19"/>
  <c r="O53" i="19"/>
  <c r="O23" i="19"/>
  <c r="O13" i="19"/>
  <c r="AG43" i="19"/>
  <c r="U33" i="19"/>
  <c r="U23" i="19"/>
  <c r="AM13" i="19"/>
  <c r="AM23" i="19"/>
  <c r="AG13" i="19"/>
  <c r="AA23" i="19"/>
  <c r="AG33" i="19"/>
  <c r="AA33" i="19"/>
  <c r="AM33" i="19"/>
  <c r="AA13" i="19"/>
  <c r="AE53"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E58" i="1"/>
  <c r="AF53" i="19"/>
  <c r="T43" i="19"/>
  <c r="Z53" i="19"/>
  <c r="N43" i="19"/>
  <c r="T23" i="19"/>
  <c r="AF43" i="19"/>
  <c r="Z13" i="19"/>
  <c r="Z43" i="19"/>
  <c r="AF23" i="19"/>
  <c r="AL13" i="19"/>
  <c r="Z23" i="19"/>
  <c r="AL43" i="19"/>
  <c r="AF13" i="19"/>
  <c r="AL23" i="19"/>
  <c r="N13" i="19"/>
  <c r="T33" i="19"/>
  <c r="AL53" i="19"/>
  <c r="N23" i="19"/>
  <c r="N53" i="19"/>
  <c r="AF33" i="19"/>
  <c r="N33" i="19"/>
  <c r="AE52"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M18" i="1" l="1"/>
  <c r="N18" i="1" s="1"/>
  <c r="M14" i="1"/>
  <c r="N14" i="1" s="1"/>
  <c r="M42" i="1"/>
  <c r="N42" i="1" s="1"/>
  <c r="M10" i="1"/>
  <c r="N10" i="1" s="1"/>
  <c r="M24" i="1"/>
  <c r="N24" i="1" s="1"/>
  <c r="M48" i="1"/>
  <c r="N48" i="1" s="1"/>
  <c r="M30" i="1"/>
  <c r="N30" i="1" s="1"/>
  <c r="M54" i="1"/>
  <c r="N54" i="1" s="1"/>
  <c r="M36" i="1"/>
  <c r="N36" i="1" s="1"/>
  <c r="M60" i="1"/>
  <c r="N60" i="1" s="1"/>
  <c r="O60" i="1" l="1"/>
  <c r="P60" i="1"/>
  <c r="V12" i="18"/>
  <c r="V36" i="18"/>
  <c r="V20" i="18"/>
  <c r="AH28" i="18"/>
  <c r="J28" i="18"/>
  <c r="P20" i="18"/>
  <c r="V44" i="18"/>
  <c r="AB20" i="18"/>
  <c r="AH36" i="18"/>
  <c r="J36" i="18"/>
  <c r="AB36" i="18"/>
  <c r="J12" i="18"/>
  <c r="J44" i="18"/>
  <c r="AB28" i="18"/>
  <c r="AH12" i="18"/>
  <c r="J20" i="18"/>
  <c r="P12" i="18"/>
  <c r="P28" i="18"/>
  <c r="P44" i="18"/>
  <c r="AB12" i="18"/>
  <c r="AB44" i="18"/>
  <c r="P36" i="18"/>
  <c r="V28" i="18"/>
  <c r="AH44" i="18"/>
  <c r="AH20" i="18"/>
  <c r="O54" i="1"/>
  <c r="P54" i="1"/>
  <c r="Z42" i="18"/>
  <c r="T18" i="18"/>
  <c r="N18" i="18"/>
  <c r="T26" i="18"/>
  <c r="AF34" i="18"/>
  <c r="N42" i="18"/>
  <c r="Z18" i="18"/>
  <c r="N10" i="18"/>
  <c r="AF26" i="18"/>
  <c r="Z10" i="18"/>
  <c r="AL34" i="18"/>
  <c r="N26" i="18"/>
  <c r="AL18" i="18"/>
  <c r="AL42" i="18"/>
  <c r="AF42" i="18"/>
  <c r="AF18" i="18"/>
  <c r="Z26" i="18"/>
  <c r="AF10" i="18"/>
  <c r="N34" i="18"/>
  <c r="T10" i="18"/>
  <c r="T42" i="18"/>
  <c r="Z34" i="18"/>
  <c r="T34" i="18"/>
  <c r="AL10" i="18"/>
  <c r="AL26" i="18"/>
  <c r="O30" i="1"/>
  <c r="P30" i="1"/>
  <c r="L16" i="18"/>
  <c r="AJ16" i="18"/>
  <c r="R8" i="18"/>
  <c r="R32" i="18"/>
  <c r="AD8" i="18"/>
  <c r="X40" i="18"/>
  <c r="AJ24" i="18"/>
  <c r="AJ32" i="18"/>
  <c r="L32" i="18"/>
  <c r="X8" i="18"/>
  <c r="R40" i="18"/>
  <c r="L40" i="18"/>
  <c r="X16" i="18"/>
  <c r="AJ40" i="18"/>
  <c r="R16" i="18"/>
  <c r="AD40" i="18"/>
  <c r="AD32" i="18"/>
  <c r="X32" i="18"/>
  <c r="AD24" i="18"/>
  <c r="L24" i="18"/>
  <c r="X24" i="18"/>
  <c r="AD16" i="18"/>
  <c r="AJ8" i="18"/>
  <c r="R24" i="18"/>
  <c r="L8" i="18"/>
  <c r="O48" i="1"/>
  <c r="P48" i="1"/>
  <c r="R18" i="18"/>
  <c r="AJ10" i="18"/>
  <c r="L18" i="18"/>
  <c r="AJ34" i="18"/>
  <c r="R26" i="18"/>
  <c r="AJ42" i="18"/>
  <c r="R10" i="18"/>
  <c r="AD34" i="18"/>
  <c r="R34" i="18"/>
  <c r="L34" i="18"/>
  <c r="AJ18" i="18"/>
  <c r="X42" i="18"/>
  <c r="R42" i="18"/>
  <c r="X26" i="18"/>
  <c r="AD26" i="18"/>
  <c r="AJ26" i="18"/>
  <c r="X34" i="18"/>
  <c r="L10" i="18"/>
  <c r="X10" i="18"/>
  <c r="AD18" i="18"/>
  <c r="AD10" i="18"/>
  <c r="X18" i="18"/>
  <c r="L42" i="18"/>
  <c r="L26" i="18"/>
  <c r="AD42" i="18"/>
  <c r="O24" i="1"/>
  <c r="P24" i="1"/>
  <c r="P16" i="18"/>
  <c r="P40" i="18"/>
  <c r="V32" i="18"/>
  <c r="V8" i="18"/>
  <c r="AH24" i="18"/>
  <c r="AH8" i="18"/>
  <c r="P24" i="18"/>
  <c r="J8" i="18"/>
  <c r="AB32" i="18"/>
  <c r="AB8" i="18"/>
  <c r="AB40" i="18"/>
  <c r="J24" i="18"/>
  <c r="J32" i="18"/>
  <c r="P8" i="18"/>
  <c r="AH32" i="18"/>
  <c r="AH16" i="18"/>
  <c r="V16" i="18"/>
  <c r="AH40" i="18"/>
  <c r="AB16" i="18"/>
  <c r="V40" i="18"/>
  <c r="AB24" i="18"/>
  <c r="J16" i="18"/>
  <c r="P32" i="18"/>
  <c r="V24" i="18"/>
  <c r="J40" i="18"/>
  <c r="J30" i="18"/>
  <c r="P38" i="18"/>
  <c r="AB6" i="18"/>
  <c r="J38" i="18"/>
  <c r="AH6" i="18"/>
  <c r="V6" i="18"/>
  <c r="J14" i="18"/>
  <c r="J6" i="18"/>
  <c r="P30" i="18"/>
  <c r="AH22" i="18"/>
  <c r="P6" i="18"/>
  <c r="AB38" i="18"/>
  <c r="P22" i="18"/>
  <c r="AB30" i="18"/>
  <c r="O10" i="1"/>
  <c r="AD10" i="1" s="1"/>
  <c r="AH38" i="18"/>
  <c r="AH30" i="18"/>
  <c r="J22" i="18"/>
  <c r="V38" i="18"/>
  <c r="P10" i="1"/>
  <c r="P14" i="18"/>
  <c r="V22" i="18"/>
  <c r="V14" i="18"/>
  <c r="AB22" i="18"/>
  <c r="V30" i="18"/>
  <c r="AB14" i="18"/>
  <c r="AH14" i="18"/>
  <c r="O42" i="1"/>
  <c r="P42" i="1"/>
  <c r="AB10" i="18"/>
  <c r="J18" i="18"/>
  <c r="P18" i="18"/>
  <c r="AB26" i="18"/>
  <c r="J26" i="18"/>
  <c r="AH10" i="18"/>
  <c r="AB42" i="18"/>
  <c r="V18" i="18"/>
  <c r="AB34" i="18"/>
  <c r="V10" i="18"/>
  <c r="AH26" i="18"/>
  <c r="V42" i="18"/>
  <c r="P26" i="18"/>
  <c r="AB18" i="18"/>
  <c r="J42" i="18"/>
  <c r="P34" i="18"/>
  <c r="P42" i="18"/>
  <c r="AH34" i="18"/>
  <c r="P10" i="18"/>
  <c r="V34" i="18"/>
  <c r="V26" i="18"/>
  <c r="AH42" i="18"/>
  <c r="AH18" i="18"/>
  <c r="J34" i="18"/>
  <c r="J10" i="18"/>
  <c r="L30" i="18"/>
  <c r="R38" i="18"/>
  <c r="AJ14" i="18"/>
  <c r="R14" i="18"/>
  <c r="L6" i="18"/>
  <c r="AD30" i="18"/>
  <c r="AJ38" i="18"/>
  <c r="AJ22" i="18"/>
  <c r="X30" i="18"/>
  <c r="AJ6" i="18"/>
  <c r="L38" i="18"/>
  <c r="AD14" i="18"/>
  <c r="L14" i="18"/>
  <c r="AD6" i="18"/>
  <c r="X38" i="18"/>
  <c r="L22" i="18"/>
  <c r="R6" i="18"/>
  <c r="X14" i="18"/>
  <c r="X22" i="18"/>
  <c r="X6" i="18"/>
  <c r="AJ30" i="18"/>
  <c r="R22" i="18"/>
  <c r="R30" i="18"/>
  <c r="AD38" i="18"/>
  <c r="P14" i="1"/>
  <c r="AD22" i="18"/>
  <c r="O14" i="1"/>
  <c r="AD14" i="1" s="1"/>
  <c r="O36" i="1"/>
  <c r="P36" i="1"/>
  <c r="AL32" i="18"/>
  <c r="N40" i="18"/>
  <c r="AF16" i="18"/>
  <c r="AL40" i="18"/>
  <c r="T8" i="18"/>
  <c r="T40" i="18"/>
  <c r="AF8" i="18"/>
  <c r="Z16" i="18"/>
  <c r="N8" i="18"/>
  <c r="AF32" i="18"/>
  <c r="AF40" i="18"/>
  <c r="AF24" i="18"/>
  <c r="AL8" i="18"/>
  <c r="AL24" i="18"/>
  <c r="N32" i="18"/>
  <c r="Z40" i="18"/>
  <c r="T24" i="18"/>
  <c r="Z8" i="18"/>
  <c r="Z32" i="18"/>
  <c r="N16" i="18"/>
  <c r="AL16" i="18"/>
  <c r="N24" i="18"/>
  <c r="T32" i="18"/>
  <c r="Z24" i="18"/>
  <c r="T16" i="18"/>
  <c r="O18" i="1"/>
  <c r="P18" i="1"/>
  <c r="AL6" i="18"/>
  <c r="Z30" i="18"/>
  <c r="N30" i="18"/>
  <c r="Z22" i="18"/>
  <c r="Z6" i="18"/>
  <c r="AL38" i="18"/>
  <c r="N14" i="18"/>
  <c r="T14" i="18"/>
  <c r="AL14" i="18"/>
  <c r="N22" i="18"/>
  <c r="T22" i="18"/>
  <c r="AF6" i="18"/>
  <c r="AF38" i="18"/>
  <c r="Z38" i="18"/>
  <c r="T38" i="18"/>
  <c r="N6" i="18"/>
  <c r="AL22" i="18"/>
  <c r="T6" i="18"/>
  <c r="AF22" i="18"/>
  <c r="AL30" i="18"/>
  <c r="T30" i="18"/>
  <c r="N38" i="18"/>
  <c r="AF30" i="18"/>
  <c r="Z14" i="18"/>
  <c r="AF14" i="18"/>
  <c r="AC14" i="1" l="1"/>
  <c r="AE14" i="1" s="1"/>
  <c r="AD15" i="1"/>
  <c r="AC10" i="1"/>
  <c r="AE10" i="1" s="1"/>
  <c r="AD11" i="1"/>
  <c r="AH7" i="19" l="1"/>
  <c r="AB7" i="19"/>
  <c r="J37" i="19"/>
  <c r="J17" i="19"/>
  <c r="AB37" i="19"/>
  <c r="V37" i="19"/>
  <c r="AB17" i="19"/>
  <c r="P37" i="19"/>
  <c r="V17" i="19"/>
  <c r="P47" i="19"/>
  <c r="AB47" i="19"/>
  <c r="J47" i="19"/>
  <c r="P27" i="19"/>
  <c r="V7" i="19"/>
  <c r="AB27" i="19"/>
  <c r="J27" i="19"/>
  <c r="P17" i="19"/>
  <c r="AH47" i="19"/>
  <c r="P7" i="19"/>
  <c r="V27" i="19"/>
  <c r="V47" i="19"/>
  <c r="J7" i="19"/>
  <c r="AH27" i="19"/>
  <c r="AH17" i="19"/>
  <c r="AH37" i="19"/>
  <c r="AC15" i="1"/>
  <c r="AE15" i="1" s="1"/>
  <c r="AC11" i="1"/>
  <c r="AD12" i="1"/>
  <c r="AD13" i="1" s="1"/>
  <c r="AC13" i="1" s="1"/>
  <c r="AE13" i="1" s="1"/>
  <c r="V16" i="19"/>
  <c r="J26" i="19"/>
  <c r="J6" i="19"/>
  <c r="AB46" i="19"/>
  <c r="AH16" i="19"/>
  <c r="P26" i="19"/>
  <c r="J46" i="19"/>
  <c r="AH46" i="19"/>
  <c r="AH6" i="19"/>
  <c r="J36" i="19"/>
  <c r="AH36" i="19"/>
  <c r="V6" i="19"/>
  <c r="V46" i="19"/>
  <c r="P6" i="19"/>
  <c r="V26" i="19"/>
  <c r="AH26" i="19"/>
  <c r="P16" i="19"/>
  <c r="AB6" i="19"/>
  <c r="J16" i="19"/>
  <c r="P36" i="19"/>
  <c r="AB16" i="19"/>
  <c r="AB26" i="19"/>
  <c r="AB36" i="19"/>
  <c r="P46" i="19"/>
  <c r="V36" i="19"/>
  <c r="AI6" i="19" l="1"/>
  <c r="AE11" i="1"/>
  <c r="AC12" i="1"/>
  <c r="L7" i="19"/>
  <c r="K47" i="19"/>
  <c r="AI37" i="19"/>
  <c r="W7" i="19"/>
  <c r="AI27" i="19"/>
  <c r="AC37" i="19"/>
  <c r="K7" i="19"/>
  <c r="K17" i="19"/>
  <c r="AI17" i="19"/>
  <c r="AC17" i="19"/>
  <c r="AC27" i="19"/>
  <c r="K27" i="19"/>
  <c r="Q27" i="19"/>
  <c r="AI7" i="19"/>
  <c r="Q7" i="19"/>
  <c r="AC7" i="19"/>
  <c r="AC47" i="19"/>
  <c r="W27" i="19"/>
  <c r="AI47" i="19"/>
  <c r="Q37" i="19"/>
  <c r="W26" i="19"/>
  <c r="Q17" i="19"/>
  <c r="K37" i="19"/>
  <c r="Q47" i="19"/>
  <c r="W17" i="19"/>
  <c r="W47" i="19"/>
  <c r="W37" i="19"/>
  <c r="K16" i="19"/>
  <c r="AC6" i="19"/>
  <c r="Q26" i="19"/>
  <c r="W36" i="19"/>
  <c r="Q46" i="19"/>
  <c r="K36" i="19"/>
  <c r="W6" i="19"/>
  <c r="AC16" i="19"/>
  <c r="AC26" i="19"/>
  <c r="AI36" i="19"/>
  <c r="Q6" i="19"/>
  <c r="AI26" i="19"/>
  <c r="AC46" i="19"/>
  <c r="W16" i="19"/>
  <c r="AI46" i="19"/>
  <c r="W46" i="19"/>
  <c r="AC36" i="19"/>
  <c r="K46" i="19"/>
  <c r="K26" i="19"/>
  <c r="Q36" i="19"/>
  <c r="AI16" i="19"/>
  <c r="Q16" i="19"/>
  <c r="K6" i="19"/>
  <c r="X36" i="19" l="1"/>
  <c r="AE12" i="1"/>
  <c r="AD27" i="19"/>
  <c r="R16" i="19"/>
  <c r="L46" i="19"/>
  <c r="AJ6" i="19"/>
  <c r="AD6" i="19"/>
  <c r="X26" i="19"/>
  <c r="L16" i="19"/>
  <c r="R26" i="19"/>
  <c r="AD46" i="19"/>
  <c r="AD16" i="19"/>
  <c r="R36" i="19"/>
  <c r="L26" i="19"/>
  <c r="X6" i="19"/>
  <c r="AD36" i="19"/>
  <c r="AJ16" i="19"/>
  <c r="AJ46" i="19"/>
  <c r="L36" i="19"/>
  <c r="R46" i="19"/>
  <c r="R6" i="19"/>
  <c r="L6" i="19"/>
  <c r="X16" i="19"/>
  <c r="X46" i="19"/>
  <c r="AJ26" i="19"/>
  <c r="AD26" i="19"/>
  <c r="AJ36" i="19"/>
  <c r="AE16" i="19"/>
  <c r="AK26" i="19"/>
  <c r="AK6" i="19"/>
  <c r="AK46" i="19"/>
  <c r="M6" i="19"/>
  <c r="S16" i="19"/>
  <c r="Y36" i="19"/>
  <c r="M46" i="19"/>
  <c r="Y26" i="19"/>
  <c r="AK16" i="19"/>
  <c r="Y6" i="19"/>
  <c r="S6" i="19"/>
  <c r="S36" i="19"/>
  <c r="AE46" i="19"/>
  <c r="M26" i="19"/>
  <c r="AK36" i="19"/>
  <c r="AE36" i="19"/>
  <c r="M16" i="19"/>
  <c r="Y46" i="19"/>
  <c r="M36" i="19"/>
  <c r="S46" i="19"/>
  <c r="S26" i="19"/>
  <c r="Y16" i="19"/>
  <c r="AE26" i="19"/>
  <c r="AE6" i="19"/>
  <c r="AJ37" i="19"/>
  <c r="R7" i="19"/>
  <c r="L17" i="19"/>
  <c r="X47" i="19"/>
  <c r="X7" i="19"/>
  <c r="R17" i="19"/>
  <c r="L27" i="19"/>
  <c r="AJ7" i="19"/>
  <c r="X17" i="19"/>
  <c r="X27" i="19"/>
  <c r="AJ17" i="19"/>
  <c r="R47" i="19"/>
  <c r="L37" i="19"/>
  <c r="AD37" i="19"/>
  <c r="L47" i="19"/>
  <c r="AD47" i="19"/>
  <c r="AJ27" i="19"/>
  <c r="X37" i="19"/>
  <c r="R37" i="19"/>
  <c r="AD17" i="19"/>
  <c r="AD7" i="19"/>
  <c r="AJ47" i="19"/>
  <c r="R27" i="19"/>
  <c r="S7" i="19"/>
  <c r="M47" i="19"/>
  <c r="S17" i="19"/>
  <c r="M17" i="19"/>
  <c r="AE47" i="19"/>
  <c r="AK7" i="19"/>
  <c r="AE17" i="19"/>
  <c r="Y17" i="19"/>
  <c r="AK47" i="19"/>
  <c r="M37" i="19"/>
  <c r="AK17" i="19"/>
  <c r="AK27" i="19"/>
  <c r="AE7" i="19"/>
  <c r="AK37" i="19"/>
  <c r="Y47" i="19"/>
  <c r="S27" i="19"/>
  <c r="Y7" i="19"/>
  <c r="M27" i="19"/>
  <c r="S37" i="19"/>
  <c r="Y37" i="19"/>
  <c r="S47" i="19"/>
  <c r="AE27" i="19"/>
  <c r="AE37" i="19"/>
  <c r="M7" i="19"/>
  <c r="Y2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<sst xmlns="http://schemas.openxmlformats.org/spreadsheetml/2006/main" count="542" uniqueCount="250">
  <si>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</si>
  <si>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</si>
  <si>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</si>
  <si>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</si>
  <si>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</si>
  <si>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</si>
  <si>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</si>
  <si>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</si>
  <si>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</si>
  <si>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</si>
  <si>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</si>
  <si>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</si>
  <si>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</si>
  <si>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</si>
  <si>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</si>
  <si>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</si>
  <si>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</si>
  <si>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</si>
  <si>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</si>
  <si>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</si>
  <si>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</si>
  <si>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</si>
  <si>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</si>
  <si>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</si>
  <si>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</si>
  <si>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</si>
  <si>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</si>
  <si>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</si>
  <si>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</si>
  <si>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</si>
  <si>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</si>
  <si>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</si>
  <si>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</si>
  <si>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</si>
  <si>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</si>
  <si>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</si>
  <si>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</si>
  <si>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</si>
  <si>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</si>
  <si>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</si>
  <si>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</si>
  <si>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</si>
  <si>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</si>
  <si>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</si>
  <si>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</si>
  <si>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</si>
  <si>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</si>
  <si>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</si>
  <si>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</si>
  <si>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</si>
  <si>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</si>
  <si>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</si>
  <si>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</si>
  <si>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</si>
  <si>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</si>
  <si>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</si>
  <si>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</si>
  <si>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</si>
  <si>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</si>
  <si>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</si>
  <si>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</si>
  <si>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</si>
  <si>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</si>
  <si>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</si>
  <si>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</si>
  <si>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</si>
  <si>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</si>
  <si>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</si>
  <si>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</si>
  <si>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</si>
  <si>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</si>
  <si>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</si>
  <si>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</si>
  <si>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</si>
  <si>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</si>
  <si>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</si>
  <si>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</si>
  <si>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</si>
  <si>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</si>
  <si>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</si>
  <si>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</si>
  <si>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</si>
  <si>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</si>
  <si>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</si>
  <si>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</si>
  <si>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</si>
  <si>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</si>
  <si>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</si>
  <si>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</si>
  <si>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</si>
  <si>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</si>
  <si>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</si>
  <si>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</si>
  <si>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</si>
  <si>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</si>
  <si>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</si>
  <si>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</si>
  <si>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</si>
  <si>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</si>
  <si>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</si>
  <si>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</si>
  <si>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</si>
  <si>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</si>
  <si>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</si>
  <si>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</si>
  <si>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</si>
  <si>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</si>
  <si>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</si>
  <si>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</si>
  <si>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</si>
  <si>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</si>
  <si>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</si>
  <si>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</si>
  <si>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</si>
  <si>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</si>
  <si>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</si>
  <si>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</si>
  <si>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</si>
  <si>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</si>
  <si>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</si>
  <si>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</si>
  <si>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</si>
  <si>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</si>
  <si>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</si>
  <si>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</si>
  <si>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</si>
  <si>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</si>
  <si>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</si>
  <si>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</si>
  <si>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</si>
  <si>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</si>
  <si>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</si>
  <si>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</si>
  <si>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</si>
  <si>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</si>
  <si>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</si>
  <si>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</si>
  <si>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</si>
  <si>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</si>
  <si>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</si>
  <si>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</si>
  <si>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</si>
  <si>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</si>
  <si>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</si>
  <si>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</si>
  <si>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</si>
  <si>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</si>
  <si>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</si>
  <si>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</si>
  <si>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</si>
  <si>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</si>
  <si>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</si>
  <si>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</si>
  <si>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</si>
  <si>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</si>
  <si>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</si>
  <si>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</si>
  <si>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</si>
  <si>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</si>
  <si>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</si>
  <si>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</si>
  <si>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</si>
  <si>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</si>
  <si>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</si>
  <si>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</si>
  <si>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</si>
  <si>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</si>
  <si>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</si>
  <si>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</si>
  <si>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</si>
  <si>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</si>
  <si>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</si>
  <si>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</si>
  <si>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</si>
  <si>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</si>
  <si>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</si>
  <si>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</si>
  <si>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</si>
  <si>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</si>
  <si>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</si>
  <si>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</si>
  <si>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</si>
  <si>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</si>
  <si>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</si>
  <si>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</si>
  <si>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</si>
  <si>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</si>
  <si>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</si>
  <si>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</si>
  <si>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</si>
  <si>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</si>
  <si>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</si>
  <si>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</si>
  <si>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</si>
  <si>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</si>
  <si>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</si>
  <si>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</si>
  <si>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</si>
  <si>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</si>
  <si>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</si>
  <si>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</si>
  <si>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</si>
  <si>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</si>
  <si>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</si>
  <si>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</si>
  <si>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</si>
  <si>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</si>
  <si>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</si>
  <si>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</si>
  <si>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</si>
  <si>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</si>
  <si>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</si>
  <si>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</si>
  <si>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</si>
  <si>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
  </si>
  <si>
    <t xml:space="preserve">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t>
  </si>
  <si>
    <t>Inicia con la planeación del proceso e incluye las actividades relacionadas con la gestión de la infraestructura tecnológica (software y hardware), gestión de la seguridad de la información y culmina con el seguimiento y evaluación del proceso.</t>
  </si>
  <si>
    <t>GESTION DE INFRAESTRUCTURA TECNOLÓGICA</t>
  </si>
  <si>
    <t>perdida, daño o desaprovechamiento de  recurso tecnológico</t>
  </si>
  <si>
    <t>El personal no tiene apropiadas las políticas de seguridad física y tecnológica</t>
  </si>
  <si>
    <t xml:space="preserve"> Indisponibilidad  de  recurso tecnológico para el funcionamiento de los procesos</t>
  </si>
  <si>
    <t xml:space="preserve">Cambio de voltaje de energía o perdida de la misma </t>
  </si>
  <si>
    <t>Adquisición de recurso tecnológico sin cumplimiento de la política</t>
  </si>
  <si>
    <t xml:space="preserve">Uso de recurso Tecnológico </t>
  </si>
  <si>
    <t>Los técnicos de mantenimiento  de  la Secretaria de las TIC cada vez que realizan brigadas a las diferentes unidades administrativas de la Alcaldía, verifican de manera visual  el uso correcto de la energía regulada, es decir que no se encuentren conectados electrodomésticos, multitomas, regletas o equipos que puedan inducir variaciones en la corriente, a fin de evitar una descarga de corriente que pueda causar inestabilidad y daño al recurso Tecnológico. En caso de detectar conexiones inapropiadas, desconecta los elementos que no corresponden y registra en el servicio la actuación. La evidencia de esta actuación queda registrada en el software de soporte técnico.</t>
  </si>
  <si>
    <t>F6 A3. Divulgar el uso adecuado de la energía regulada y hacer  inspecciones en las brigadas de mantenimiento.</t>
  </si>
  <si>
    <t>Secretaría de las TIC</t>
  </si>
  <si>
    <t>La Secretaria de TIC, anualmente cuando se realice la evaluación al PIC, con el propósito de garantizar la apropiación de las políticas de seguridad de la información, verifica que en el Plan Institucional de Capacitación se incluyan los proyectos de aprendizaje relacionados con las temáticas del modelo de seguridad y privacidad de la información. En caso que estas temáticas no se hayan evacuado en el primer semestre del año, notificar al Secretario Administrativo y Dirección del Talento Humano para que se gestione su ejecución, y realizar acciones de socialización. Las evidencias de estas acciones deben reposar en PISAMI Gestión Documental y en la Serie de capacitaciones a cargo de la Dirección de Talento Humano</t>
  </si>
  <si>
    <t xml:space="preserve">F6 A12 Difundir la política de adquisición de recurso tecnológico para todo el personal </t>
  </si>
  <si>
    <t>La Dirección de Contratación cada vez que se inicie un proceso precontractual que incluya adquisición de recurso tecnológico, con el propósito de garantizar el cumplimiento de la política de seguridad, verifica que cuente con el aval de la Secretaria de las TIC, en caso de omisión  solicitará a la secretaria Ejecutora el aval técnico de la Secretaria de las TIC. La Secretaria de las TIC cuando identifique procesos contractuales sin el aval de la Secretaria, socializará nuevamente la política e interpondrá la queja ante la oficina de control único disciplinario. Las evidencias de estas acciones deben reposar en PISAMI Gestión Documental.</t>
  </si>
  <si>
    <t>Secretaria de las TIC</t>
  </si>
  <si>
    <t>Desactualización de PISAMI</t>
  </si>
  <si>
    <t>Indisponibilidad de la plataforma Tecnológica</t>
  </si>
  <si>
    <t>Personal de planta insuficiente o sin las competencias necesarias para el proceso</t>
  </si>
  <si>
    <t>Nuevas Directrices por Cambio de Gobierno</t>
  </si>
  <si>
    <t>Posibilidad de pérdida económica y reputacional por indisponibiidad de la plataforma tecnológica, debido a la desactualización de PISAMI</t>
  </si>
  <si>
    <t xml:space="preserve">D4   O8 Aplicar  la política de Gestión del conocimiento para hacer transferencia de conocimiento
</t>
  </si>
  <si>
    <t>El profesional especializado del proceso de Infraestructura tecnológica cada vez que revisa los avances del desarrollo de los módulos, verifica que se encuentren documentando cada una de las fases del ciclo de vida del software, que el código se encuentre documentado, el manual técnico y manual de usuario. Esto con el propósito de asegurar la conservación de la memoria institucional, y la retroalimentación. En caso de no evidenciar los documentos, se hace el requerimiento al Desarrollador ya que es una obligación contractual. Los soportes de estas actuaciones se encuentran en el correo de Desarrollo en el drive.</t>
  </si>
  <si>
    <t>La Secretaría de las TIC cada vez que conozca de la decisión de los líderes de los procesos de cambiar o reemplazar un sistema de información  o de no continuar su operación, verifica que esta decisión esté  debidamente justificada, y soportada la causa, ya sea por obsolescencia, fallas de seguridad comprobada, vencimiento de licencia de uso, mal funcionamiento, incumplimiento normativo, entre otros. El resultado de esta actuación quedará registrado en el concepto técnico emitido por la  Secretaría de las TIC  en cumplimiento de la política de seguridad.</t>
  </si>
  <si>
    <t>F6,7 A4  Difundir y aplicar las políticas de seguridad de la información de equipos</t>
  </si>
  <si>
    <t>Posible perdida reputacional y económica por Indisponibilidad  de  recurso tecnológico para el funcionamiento de los procesos  debido a perdida, daño, contratos expirados o desaprovechamiento de  recurso tecnológico.</t>
  </si>
  <si>
    <t>del 01/03/2023 al 31/12/2023</t>
  </si>
  <si>
    <t>del 01/02/2023 al 31/12/2023</t>
  </si>
  <si>
    <t>del 01/01/2023 al 31/12/2023</t>
  </si>
  <si>
    <t>La Secretaría de las TIC cuando formule el anteproyecto del presupuesto, verifica que en el plan de compras se encuentre incluido los servicios tecnológicos necesarios para el soporte de los procesos tales como el correo, el internet, el almacenamiento en la nube, los certificados de seguridad, el firewall y demás servicios de seguridad. En caso de no encontrarse contemplado alguno de estos servicios, incluirlos en el plan de compras para que se le asignen recursos y de manera oportuna iniciar los procesos contractuales. Las evidencias son el plan de compras y los documentos de la etapa precontractual.</t>
  </si>
  <si>
    <t>Recursos Presupuestales insuficientes</t>
  </si>
  <si>
    <t>D,2,D.5,D.6 O,8 Aplicar la política de MIPG gestión presupuestal y eficiencia del gasto público,  adquisición de recurso tecnológico y de bienes y servicios que suplan las necesidades de la Entidad y su aseguramiento</t>
  </si>
  <si>
    <t>Se incluyó en el plan de compras la Renovación de licencias dispositivos FORTINET en el marco del proyecto de fortalecimiento de la infraestructura tecnológica para el uso y apropiación de las tic en la Alcaldía de Ibagué.</t>
  </si>
  <si>
    <t xml:space="preserve">F1.A5. A9 aplicar y difundir la política  gestión de cambios
</t>
  </si>
  <si>
    <t>Seguimiento 28/02/2023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</si>
</sst>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2">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dashed">
        <color theme="9" tint="-0.249977111117893"/>
      </left>
      <right/>
      <top style="dashed">
        <color theme="9" tint="-0.249977111117893"/>
      </top>
      <bottom/>
      <diagonal/>
    </border>
    <border>
      <left style="dashed">
        <color theme="9" tint="-0.249977111117893"/>
      </left>
      <right/>
      <top/>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44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2" xfId="0" applyFont="1" applyBorder="1" applyAlignment="1" applyProtection="1">
      <alignment horizontal="justify" vertical="top" wrapText="1"/>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wrapText="1"/>
      <protection locked="0"/>
    </xf>
    <xf numFmtId="0" fontId="27" fillId="0" borderId="2" xfId="0" applyFont="1" applyBorder="1" applyAlignment="1" applyProtection="1">
      <alignment horizontal="center" vertical="top"/>
      <protection locked="0"/>
    </xf>
    <xf numFmtId="14" fontId="27" fillId="0" borderId="2" xfId="0" applyNumberFormat="1" applyFont="1" applyBorder="1" applyAlignment="1" applyProtection="1">
      <alignment horizontal="center" vertical="top"/>
      <protection locked="0"/>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27" fillId="0" borderId="75" xfId="0" applyFont="1" applyBorder="1" applyAlignment="1" applyProtection="1">
      <alignment horizontal="center" vertical="top" wrapText="1"/>
      <protection locked="0"/>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27" fillId="3" borderId="75" xfId="0" applyFont="1" applyFill="1" applyBorder="1" applyAlignment="1">
      <alignment vertical="center" wrapText="1"/>
    </xf>
    <xf numFmtId="14" fontId="27" fillId="0" borderId="2" xfId="0" applyNumberFormat="1" applyFont="1" applyBorder="1" applyAlignment="1" applyProtection="1">
      <alignment horizontal="center" vertical="top" wrapText="1"/>
      <protection locked="0"/>
    </xf>
    <xf numFmtId="14" fontId="1" fillId="0" borderId="2" xfId="0" applyNumberFormat="1" applyFont="1" applyBorder="1" applyAlignment="1" applyProtection="1">
      <alignment horizontal="center" vertical="top" wrapText="1"/>
      <protection locked="0"/>
    </xf>
    <xf numFmtId="0" fontId="1" fillId="0" borderId="75"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27" fillId="0" borderId="2" xfId="0" applyFont="1" applyBorder="1" applyAlignment="1" applyProtection="1">
      <alignment horizontal="left" vertical="top" wrapText="1"/>
      <protection locked="0"/>
    </xf>
    <xf numFmtId="0" fontId="27" fillId="3" borderId="75" xfId="0" applyFont="1" applyFill="1" applyBorder="1" applyAlignment="1">
      <alignment horizontal="left" vertical="center" wrapText="1"/>
    </xf>
    <xf numFmtId="0" fontId="0" fillId="0" borderId="0" xfId="0" applyAlignment="1">
      <alignment vertical="top" wrapText="1"/>
    </xf>
    <xf numFmtId="0" fontId="1" fillId="3" borderId="0" xfId="0" applyFont="1" applyFill="1" applyAlignment="1">
      <alignment horizontal="left" vertical="top" wrapText="1"/>
    </xf>
    <xf numFmtId="0" fontId="1" fillId="0" borderId="8" xfId="0" applyFont="1" applyBorder="1" applyAlignment="1">
      <alignment horizontal="center" vertical="center"/>
    </xf>
    <xf numFmtId="0" fontId="27" fillId="0" borderId="76"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50" fillId="0" borderId="78" xfId="0"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hidden="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2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50" fillId="0" borderId="77" xfId="0" applyFont="1" applyBorder="1" applyAlignment="1" applyProtection="1">
      <alignment horizontal="center" vertical="top" wrapText="1"/>
      <protection locked="0"/>
    </xf>
    <xf numFmtId="0" fontId="50" fillId="0" borderId="78" xfId="0" applyFont="1" applyBorder="1" applyAlignment="1" applyProtection="1">
      <alignment horizontal="center" vertical="top" wrapText="1"/>
      <protection locked="0"/>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49" fillId="0" borderId="5" xfId="0" applyFont="1" applyBorder="1" applyAlignment="1" applyProtection="1">
      <alignment horizontal="center" vertical="top" wrapText="1"/>
      <protection hidden="1"/>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49" fillId="0" borderId="5" xfId="0" applyFont="1" applyBorder="1" applyAlignment="1" applyProtection="1">
      <alignment horizontal="center" vertical="top"/>
      <protection hidden="1"/>
    </xf>
    <xf numFmtId="9" fontId="27" fillId="0" borderId="5" xfId="0" applyNumberFormat="1" applyFont="1" applyBorder="1" applyAlignment="1" applyProtection="1">
      <alignment horizontal="center" vertical="top" wrapText="1"/>
      <protection hidden="1"/>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27" fillId="0" borderId="5" xfId="0" applyFont="1" applyBorder="1" applyAlignment="1" applyProtection="1">
      <alignment horizontal="center" vertical="top"/>
      <protection locked="0"/>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9" fontId="27" fillId="0" borderId="5" xfId="0" applyNumberFormat="1" applyFont="1" applyBorder="1" applyAlignment="1" applyProtection="1">
      <alignment horizontal="center" vertical="top" wrapText="1"/>
      <protection locked="0"/>
    </xf>
    <xf numFmtId="0" fontId="50" fillId="0" borderId="79" xfId="0" applyFont="1" applyBorder="1" applyAlignment="1" applyProtection="1">
      <alignment horizontal="center" vertical="top" wrapText="1"/>
      <protection locked="0"/>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 fillId="0" borderId="80" xfId="0" applyFont="1" applyBorder="1" applyAlignment="1" applyProtection="1">
      <alignment horizontal="center" vertical="top" wrapText="1"/>
      <protection locked="0"/>
    </xf>
    <xf numFmtId="0" fontId="2" fillId="0" borderId="81" xfId="0" applyFont="1" applyBorder="1" applyAlignment="1" applyProtection="1">
      <alignment horizontal="center" vertical="top" wrapText="1"/>
      <protection locked="0"/>
    </xf>
    <xf numFmtId="0" fontId="27" fillId="3" borderId="75" xfId="0" applyFont="1" applyFill="1" applyBorder="1" applyAlignment="1" applyProtection="1">
      <alignment horizontal="left" vertical="center"/>
      <protection locked="0"/>
    </xf>
    <xf numFmtId="0" fontId="27" fillId="3" borderId="75" xfId="0" applyFont="1" applyFill="1" applyBorder="1" applyAlignment="1" applyProtection="1">
      <alignment horizontal="left" vertical="center" wrapText="1"/>
      <protection locked="0"/>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24" fillId="0" borderId="0" xfId="0" applyFont="1" applyAlignment="1">
      <alignment horizontal="center" vertical="center" wrapText="1"/>
    </xf>
    <xf numFmtId="0" fontId="19" fillId="5" borderId="1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0" xfId="0" applyFont="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5" fillId="0" borderId="17" xfId="0" applyFont="1" applyBorder="1" applyAlignment="1">
      <alignment horizontal="center" vertical="center"/>
    </xf>
    <xf numFmtId="0" fontId="35" fillId="0" borderId="19" xfId="0" applyFont="1" applyBorder="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4" xfId="0" applyFont="1" applyBorder="1" applyAlignment="1">
      <alignment horizontal="center" vertical="center" wrapText="1"/>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189">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ME" refreshedDate="44504.576682754632"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15">
      <pivotArea type="all" dataOnly="0" outline="0" fieldPosition="0"/>
    </format>
    <format dxfId="14">
      <pivotArea field="0" type="button" dataOnly="0" labelOnly="1" outline="0" axis="axisRow" fieldPosition="0"/>
    </format>
    <format dxfId="13">
      <pivotArea field="1" type="button" dataOnly="0" labelOnly="1" outline="0" axis="axisRow" fieldPosition="1"/>
    </format>
    <format dxfId="12">
      <pivotArea dataOnly="0" labelOnly="1" outline="0" fieldPosition="0">
        <references count="1">
          <reference field="0" count="0"/>
        </references>
      </pivotArea>
    </format>
    <format dxfId="11">
      <pivotArea dataOnly="0" labelOnly="1" outline="0" fieldPosition="0">
        <references count="2">
          <reference field="0" count="1" selected="0">
            <x v="0"/>
          </reference>
          <reference field="1" count="5">
            <x v="0"/>
            <x v="6"/>
            <x v="7"/>
            <x v="8"/>
            <x v="9"/>
          </reference>
        </references>
      </pivotArea>
    </format>
    <format dxfId="10">
      <pivotArea dataOnly="0" labelOnly="1" outline="0" fieldPosition="0">
        <references count="2">
          <reference field="0" count="1" selected="0">
            <x v="1"/>
          </reference>
          <reference field="1" count="5">
            <x v="1"/>
            <x v="2"/>
            <x v="3"/>
            <x v="4"/>
            <x v="5"/>
          </reference>
        </references>
      </pivotArea>
    </format>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10"/>
            <x v="11"/>
            <x v="12"/>
            <x v="13"/>
            <x v="14"/>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18" workbookViewId="0">
      <selection activeCell="E22" sqref="E22:F22"/>
    </sheetView>
  </sheetViews>
  <sheetFormatPr baseColWidth="10" defaultColWidth="11.42578125" defaultRowHeight="15" x14ac:dyDescent="0.25"/>
  <cols>
    <col min="1" max="1" width="2.85546875" style="67" customWidth="1"/>
    <col min="2" max="3" width="24.7109375" style="67" customWidth="1"/>
    <col min="4" max="4" width="16" style="67" customWidth="1"/>
    <col min="5" max="5" width="24.7109375" style="67" customWidth="1"/>
    <col min="6" max="6" width="27.7109375" style="67" customWidth="1"/>
    <col min="7" max="8" width="24.7109375" style="67" customWidth="1"/>
    <col min="9" max="16384" width="11.42578125" style="67"/>
  </cols>
  <sheetData>
    <row r="1" spans="2:8" ht="15.75" thickBot="1" x14ac:dyDescent="0.3"/>
    <row r="2" spans="2:8" ht="18" x14ac:dyDescent="0.25">
      <c r="B2" s="171" t="s">
        <v>154</v>
      </c>
      <c r="C2" s="172"/>
      <c r="D2" s="172"/>
      <c r="E2" s="172"/>
      <c r="F2" s="172"/>
      <c r="G2" s="172"/>
      <c r="H2" s="173"/>
    </row>
    <row r="3" spans="2:8" x14ac:dyDescent="0.25">
      <c r="B3" s="68"/>
      <c r="C3" s="69"/>
      <c r="D3" s="69"/>
      <c r="E3" s="69"/>
      <c r="F3" s="69"/>
      <c r="G3" s="69"/>
      <c r="H3" s="70"/>
    </row>
    <row r="4" spans="2:8" ht="63" customHeight="1" x14ac:dyDescent="0.25">
      <c r="B4" s="174" t="s">
        <v>197</v>
      </c>
      <c r="C4" s="175"/>
      <c r="D4" s="175"/>
      <c r="E4" s="175"/>
      <c r="F4" s="175"/>
      <c r="G4" s="175"/>
      <c r="H4" s="176"/>
    </row>
    <row r="5" spans="2:8" ht="63" customHeight="1" x14ac:dyDescent="0.25">
      <c r="B5" s="177"/>
      <c r="C5" s="178"/>
      <c r="D5" s="178"/>
      <c r="E5" s="178"/>
      <c r="F5" s="178"/>
      <c r="G5" s="178"/>
      <c r="H5" s="179"/>
    </row>
    <row r="6" spans="2:8" ht="16.5" x14ac:dyDescent="0.25">
      <c r="B6" s="180" t="s">
        <v>152</v>
      </c>
      <c r="C6" s="181"/>
      <c r="D6" s="181"/>
      <c r="E6" s="181"/>
      <c r="F6" s="181"/>
      <c r="G6" s="181"/>
      <c r="H6" s="182"/>
    </row>
    <row r="7" spans="2:8" ht="95.25" customHeight="1" x14ac:dyDescent="0.25">
      <c r="B7" s="190" t="s">
        <v>157</v>
      </c>
      <c r="C7" s="191"/>
      <c r="D7" s="191"/>
      <c r="E7" s="191"/>
      <c r="F7" s="191"/>
      <c r="G7" s="191"/>
      <c r="H7" s="192"/>
    </row>
    <row r="8" spans="2:8" ht="16.5" x14ac:dyDescent="0.25">
      <c r="B8" s="102"/>
      <c r="C8" s="103"/>
      <c r="D8" s="103"/>
      <c r="E8" s="103"/>
      <c r="F8" s="103"/>
      <c r="G8" s="103"/>
      <c r="H8" s="104"/>
    </row>
    <row r="9" spans="2:8" ht="16.5" customHeight="1" x14ac:dyDescent="0.25">
      <c r="B9" s="183" t="s">
        <v>190</v>
      </c>
      <c r="C9" s="184"/>
      <c r="D9" s="184"/>
      <c r="E9" s="184"/>
      <c r="F9" s="184"/>
      <c r="G9" s="184"/>
      <c r="H9" s="185"/>
    </row>
    <row r="10" spans="2:8" ht="44.25" customHeight="1" x14ac:dyDescent="0.25">
      <c r="B10" s="183"/>
      <c r="C10" s="184"/>
      <c r="D10" s="184"/>
      <c r="E10" s="184"/>
      <c r="F10" s="184"/>
      <c r="G10" s="184"/>
      <c r="H10" s="185"/>
    </row>
    <row r="11" spans="2:8" ht="15.75" thickBot="1" x14ac:dyDescent="0.3">
      <c r="B11" s="91"/>
      <c r="C11" s="94"/>
      <c r="D11" s="99"/>
      <c r="E11" s="100"/>
      <c r="F11" s="100"/>
      <c r="G11" s="101"/>
      <c r="H11" s="95"/>
    </row>
    <row r="12" spans="2:8" ht="15.75" thickTop="1" x14ac:dyDescent="0.25">
      <c r="B12" s="91"/>
      <c r="C12" s="186" t="s">
        <v>153</v>
      </c>
      <c r="D12" s="187"/>
      <c r="E12" s="188" t="s">
        <v>191</v>
      </c>
      <c r="F12" s="189"/>
      <c r="G12" s="94"/>
      <c r="H12" s="95"/>
    </row>
    <row r="13" spans="2:8" ht="35.25" customHeight="1" x14ac:dyDescent="0.25">
      <c r="B13" s="91"/>
      <c r="C13" s="193" t="s">
        <v>184</v>
      </c>
      <c r="D13" s="194"/>
      <c r="E13" s="195" t="s">
        <v>189</v>
      </c>
      <c r="F13" s="196"/>
      <c r="G13" s="94"/>
      <c r="H13" s="95"/>
    </row>
    <row r="14" spans="2:8" ht="17.25" customHeight="1" x14ac:dyDescent="0.25">
      <c r="B14" s="91"/>
      <c r="C14" s="193" t="s">
        <v>185</v>
      </c>
      <c r="D14" s="194"/>
      <c r="E14" s="195" t="s">
        <v>187</v>
      </c>
      <c r="F14" s="196"/>
      <c r="G14" s="94"/>
      <c r="H14" s="95"/>
    </row>
    <row r="15" spans="2:8" ht="19.5" customHeight="1" x14ac:dyDescent="0.25">
      <c r="B15" s="91"/>
      <c r="C15" s="193" t="s">
        <v>186</v>
      </c>
      <c r="D15" s="194"/>
      <c r="E15" s="195" t="s">
        <v>188</v>
      </c>
      <c r="F15" s="196"/>
      <c r="G15" s="94"/>
      <c r="H15" s="95"/>
    </row>
    <row r="16" spans="2:8" ht="69.75" customHeight="1" x14ac:dyDescent="0.25">
      <c r="B16" s="91"/>
      <c r="C16" s="193" t="s">
        <v>155</v>
      </c>
      <c r="D16" s="194"/>
      <c r="E16" s="195" t="s">
        <v>156</v>
      </c>
      <c r="F16" s="196"/>
      <c r="G16" s="94"/>
      <c r="H16" s="95"/>
    </row>
    <row r="17" spans="2:8" ht="34.5" customHeight="1" x14ac:dyDescent="0.25">
      <c r="B17" s="91"/>
      <c r="C17" s="197" t="s">
        <v>2</v>
      </c>
      <c r="D17" s="198"/>
      <c r="E17" s="199" t="s">
        <v>198</v>
      </c>
      <c r="F17" s="200"/>
      <c r="G17" s="94"/>
      <c r="H17" s="95"/>
    </row>
    <row r="18" spans="2:8" ht="27.75" customHeight="1" x14ac:dyDescent="0.25">
      <c r="B18" s="91"/>
      <c r="C18" s="197" t="s">
        <v>3</v>
      </c>
      <c r="D18" s="198"/>
      <c r="E18" s="199" t="s">
        <v>199</v>
      </c>
      <c r="F18" s="200"/>
      <c r="G18" s="94"/>
      <c r="H18" s="95"/>
    </row>
    <row r="19" spans="2:8" ht="28.5" customHeight="1" x14ac:dyDescent="0.25">
      <c r="B19" s="91"/>
      <c r="C19" s="197" t="s">
        <v>41</v>
      </c>
      <c r="D19" s="198"/>
      <c r="E19" s="199" t="s">
        <v>200</v>
      </c>
      <c r="F19" s="200"/>
      <c r="G19" s="94"/>
      <c r="H19" s="95"/>
    </row>
    <row r="20" spans="2:8" ht="72.75" customHeight="1" x14ac:dyDescent="0.25">
      <c r="B20" s="91"/>
      <c r="C20" s="197" t="s">
        <v>1</v>
      </c>
      <c r="D20" s="198"/>
      <c r="E20" s="199" t="s">
        <v>201</v>
      </c>
      <c r="F20" s="200"/>
      <c r="G20" s="94"/>
      <c r="H20" s="95"/>
    </row>
    <row r="21" spans="2:8" ht="64.5" customHeight="1" x14ac:dyDescent="0.25">
      <c r="B21" s="91"/>
      <c r="C21" s="197" t="s">
        <v>49</v>
      </c>
      <c r="D21" s="198"/>
      <c r="E21" s="199" t="s">
        <v>159</v>
      </c>
      <c r="F21" s="200"/>
      <c r="G21" s="94"/>
      <c r="H21" s="95"/>
    </row>
    <row r="22" spans="2:8" ht="71.25" customHeight="1" x14ac:dyDescent="0.25">
      <c r="B22" s="91"/>
      <c r="C22" s="197" t="s">
        <v>158</v>
      </c>
      <c r="D22" s="198"/>
      <c r="E22" s="199" t="s">
        <v>160</v>
      </c>
      <c r="F22" s="200"/>
      <c r="G22" s="94"/>
      <c r="H22" s="95"/>
    </row>
    <row r="23" spans="2:8" ht="55.5" customHeight="1" x14ac:dyDescent="0.25">
      <c r="B23" s="91"/>
      <c r="C23" s="204" t="s">
        <v>161</v>
      </c>
      <c r="D23" s="205"/>
      <c r="E23" s="199" t="s">
        <v>162</v>
      </c>
      <c r="F23" s="200"/>
      <c r="G23" s="94"/>
      <c r="H23" s="95"/>
    </row>
    <row r="24" spans="2:8" ht="42" customHeight="1" x14ac:dyDescent="0.25">
      <c r="B24" s="91"/>
      <c r="C24" s="204" t="s">
        <v>47</v>
      </c>
      <c r="D24" s="205"/>
      <c r="E24" s="199" t="s">
        <v>163</v>
      </c>
      <c r="F24" s="200"/>
      <c r="G24" s="94"/>
      <c r="H24" s="95"/>
    </row>
    <row r="25" spans="2:8" ht="59.25" customHeight="1" x14ac:dyDescent="0.25">
      <c r="B25" s="91"/>
      <c r="C25" s="204" t="s">
        <v>151</v>
      </c>
      <c r="D25" s="205"/>
      <c r="E25" s="199" t="s">
        <v>164</v>
      </c>
      <c r="F25" s="200"/>
      <c r="G25" s="94"/>
      <c r="H25" s="95"/>
    </row>
    <row r="26" spans="2:8" ht="23.25" customHeight="1" x14ac:dyDescent="0.25">
      <c r="B26" s="91"/>
      <c r="C26" s="204" t="s">
        <v>12</v>
      </c>
      <c r="D26" s="205"/>
      <c r="E26" s="199" t="s">
        <v>165</v>
      </c>
      <c r="F26" s="200"/>
      <c r="G26" s="94"/>
      <c r="H26" s="95"/>
    </row>
    <row r="27" spans="2:8" ht="30.75" customHeight="1" x14ac:dyDescent="0.25">
      <c r="B27" s="91"/>
      <c r="C27" s="204" t="s">
        <v>169</v>
      </c>
      <c r="D27" s="205"/>
      <c r="E27" s="199" t="s">
        <v>166</v>
      </c>
      <c r="F27" s="200"/>
      <c r="G27" s="94"/>
      <c r="H27" s="95"/>
    </row>
    <row r="28" spans="2:8" ht="35.25" customHeight="1" x14ac:dyDescent="0.25">
      <c r="B28" s="91"/>
      <c r="C28" s="204" t="s">
        <v>170</v>
      </c>
      <c r="D28" s="205"/>
      <c r="E28" s="199" t="s">
        <v>167</v>
      </c>
      <c r="F28" s="200"/>
      <c r="G28" s="94"/>
      <c r="H28" s="95"/>
    </row>
    <row r="29" spans="2:8" ht="33" customHeight="1" x14ac:dyDescent="0.25">
      <c r="B29" s="91"/>
      <c r="C29" s="204" t="s">
        <v>170</v>
      </c>
      <c r="D29" s="205"/>
      <c r="E29" s="199" t="s">
        <v>167</v>
      </c>
      <c r="F29" s="200"/>
      <c r="G29" s="94"/>
      <c r="H29" s="95"/>
    </row>
    <row r="30" spans="2:8" ht="30" customHeight="1" x14ac:dyDescent="0.25">
      <c r="B30" s="91"/>
      <c r="C30" s="204" t="s">
        <v>171</v>
      </c>
      <c r="D30" s="205"/>
      <c r="E30" s="199" t="s">
        <v>168</v>
      </c>
      <c r="F30" s="200"/>
      <c r="G30" s="94"/>
      <c r="H30" s="95"/>
    </row>
    <row r="31" spans="2:8" ht="35.25" customHeight="1" x14ac:dyDescent="0.25">
      <c r="B31" s="91"/>
      <c r="C31" s="204" t="s">
        <v>172</v>
      </c>
      <c r="D31" s="205"/>
      <c r="E31" s="199" t="s">
        <v>173</v>
      </c>
      <c r="F31" s="200"/>
      <c r="G31" s="94"/>
      <c r="H31" s="95"/>
    </row>
    <row r="32" spans="2:8" ht="31.5" customHeight="1" x14ac:dyDescent="0.25">
      <c r="B32" s="91"/>
      <c r="C32" s="204" t="s">
        <v>174</v>
      </c>
      <c r="D32" s="205"/>
      <c r="E32" s="199" t="s">
        <v>175</v>
      </c>
      <c r="F32" s="200"/>
      <c r="G32" s="94"/>
      <c r="H32" s="95"/>
    </row>
    <row r="33" spans="2:8" ht="35.25" customHeight="1" x14ac:dyDescent="0.25">
      <c r="B33" s="91"/>
      <c r="C33" s="204" t="s">
        <v>176</v>
      </c>
      <c r="D33" s="205"/>
      <c r="E33" s="199" t="s">
        <v>177</v>
      </c>
      <c r="F33" s="200"/>
      <c r="G33" s="94"/>
      <c r="H33" s="95"/>
    </row>
    <row r="34" spans="2:8" ht="59.25" customHeight="1" x14ac:dyDescent="0.25">
      <c r="B34" s="91"/>
      <c r="C34" s="204" t="s">
        <v>178</v>
      </c>
      <c r="D34" s="205"/>
      <c r="E34" s="199" t="s">
        <v>179</v>
      </c>
      <c r="F34" s="200"/>
      <c r="G34" s="94"/>
      <c r="H34" s="95"/>
    </row>
    <row r="35" spans="2:8" ht="29.25" customHeight="1" x14ac:dyDescent="0.25">
      <c r="B35" s="91"/>
      <c r="C35" s="204" t="s">
        <v>29</v>
      </c>
      <c r="D35" s="205"/>
      <c r="E35" s="199" t="s">
        <v>180</v>
      </c>
      <c r="F35" s="200"/>
      <c r="G35" s="94"/>
      <c r="H35" s="95"/>
    </row>
    <row r="36" spans="2:8" ht="82.5" customHeight="1" x14ac:dyDescent="0.25">
      <c r="B36" s="91"/>
      <c r="C36" s="204" t="s">
        <v>182</v>
      </c>
      <c r="D36" s="205"/>
      <c r="E36" s="199" t="s">
        <v>181</v>
      </c>
      <c r="F36" s="200"/>
      <c r="G36" s="94"/>
      <c r="H36" s="95"/>
    </row>
    <row r="37" spans="2:8" ht="46.5" customHeight="1" x14ac:dyDescent="0.25">
      <c r="B37" s="91"/>
      <c r="C37" s="204" t="s">
        <v>38</v>
      </c>
      <c r="D37" s="205"/>
      <c r="E37" s="199" t="s">
        <v>183</v>
      </c>
      <c r="F37" s="200"/>
      <c r="G37" s="94"/>
      <c r="H37" s="95"/>
    </row>
    <row r="38" spans="2:8" ht="6.75" customHeight="1" thickBot="1" x14ac:dyDescent="0.3">
      <c r="B38" s="91"/>
      <c r="C38" s="206"/>
      <c r="D38" s="207"/>
      <c r="E38" s="208"/>
      <c r="F38" s="209"/>
      <c r="G38" s="94"/>
      <c r="H38" s="95"/>
    </row>
    <row r="39" spans="2:8" ht="15.75" thickTop="1" x14ac:dyDescent="0.25">
      <c r="B39" s="91"/>
      <c r="C39" s="92"/>
      <c r="D39" s="92"/>
      <c r="E39" s="93"/>
      <c r="F39" s="93"/>
      <c r="G39" s="94"/>
      <c r="H39" s="95"/>
    </row>
    <row r="40" spans="2:8" ht="21" customHeight="1" x14ac:dyDescent="0.25">
      <c r="B40" s="201" t="s">
        <v>192</v>
      </c>
      <c r="C40" s="202"/>
      <c r="D40" s="202"/>
      <c r="E40" s="202"/>
      <c r="F40" s="202"/>
      <c r="G40" s="202"/>
      <c r="H40" s="203"/>
    </row>
    <row r="41" spans="2:8" ht="20.25" customHeight="1" x14ac:dyDescent="0.25">
      <c r="B41" s="201" t="s">
        <v>193</v>
      </c>
      <c r="C41" s="202"/>
      <c r="D41" s="202"/>
      <c r="E41" s="202"/>
      <c r="F41" s="202"/>
      <c r="G41" s="202"/>
      <c r="H41" s="203"/>
    </row>
    <row r="42" spans="2:8" ht="20.25" customHeight="1" x14ac:dyDescent="0.25">
      <c r="B42" s="201" t="s">
        <v>194</v>
      </c>
      <c r="C42" s="202"/>
      <c r="D42" s="202"/>
      <c r="E42" s="202"/>
      <c r="F42" s="202"/>
      <c r="G42" s="202"/>
      <c r="H42" s="203"/>
    </row>
    <row r="43" spans="2:8" ht="20.25" customHeight="1" x14ac:dyDescent="0.25">
      <c r="B43" s="201" t="s">
        <v>195</v>
      </c>
      <c r="C43" s="202"/>
      <c r="D43" s="202"/>
      <c r="E43" s="202"/>
      <c r="F43" s="202"/>
      <c r="G43" s="202"/>
      <c r="H43" s="203"/>
    </row>
    <row r="44" spans="2:8" x14ac:dyDescent="0.25">
      <c r="B44" s="201" t="s">
        <v>196</v>
      </c>
      <c r="C44" s="202"/>
      <c r="D44" s="202"/>
      <c r="E44" s="202"/>
      <c r="F44" s="202"/>
      <c r="G44" s="202"/>
      <c r="H44" s="203"/>
    </row>
    <row r="45" spans="2:8" ht="15.75" thickBot="1" x14ac:dyDescent="0.3">
      <c r="B45" s="96"/>
      <c r="C45" s="97"/>
      <c r="D45" s="97"/>
      <c r="E45" s="97"/>
      <c r="F45" s="97"/>
      <c r="G45" s="97"/>
      <c r="H45" s="98"/>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R68"/>
  <sheetViews>
    <sheetView tabSelected="1" topLeftCell="C3" zoomScale="60" zoomScaleNormal="60" workbookViewId="0">
      <selection activeCell="C4" sqref="C4:AL4"/>
    </sheetView>
  </sheetViews>
  <sheetFormatPr baseColWidth="10" defaultColWidth="11.42578125" defaultRowHeight="16.5" x14ac:dyDescent="0.3"/>
  <cols>
    <col min="1" max="1" width="4" style="2" bestFit="1" customWidth="1"/>
    <col min="2" max="2" width="15.85546875" style="2" customWidth="1"/>
    <col min="3" max="3" width="22.140625" style="2" customWidth="1"/>
    <col min="4" max="4" width="16.140625" style="2" customWidth="1"/>
    <col min="5" max="5" width="30.28515625" style="2" customWidth="1"/>
    <col min="6" max="7" width="35" style="1" customWidth="1"/>
    <col min="8" max="8" width="18.140625" style="5" customWidth="1"/>
    <col min="9" max="9" width="20.140625" style="1" customWidth="1"/>
    <col min="10" max="10" width="12" style="1" customWidth="1"/>
    <col min="11" max="11" width="12.7109375" style="1" customWidth="1"/>
    <col min="12" max="12" width="24.42578125" style="1" bestFit="1" customWidth="1"/>
    <col min="13" max="13" width="28.28515625" style="1" hidden="1" customWidth="1"/>
    <col min="14" max="14" width="17.5703125" style="1" customWidth="1"/>
    <col min="15" max="15" width="6.28515625" style="1" bestFit="1" customWidth="1"/>
    <col min="16" max="16" width="16" style="1" customWidth="1"/>
    <col min="17" max="17" width="5.85546875" style="1" customWidth="1"/>
    <col min="18" max="18" width="55" style="1" customWidth="1"/>
    <col min="19" max="19" width="15.140625" style="1" bestFit="1" customWidth="1"/>
    <col min="20" max="20" width="6.85546875" style="1" customWidth="1"/>
    <col min="21" max="21" width="5" style="1" customWidth="1"/>
    <col min="22" max="22" width="5.5703125" style="1" customWidth="1"/>
    <col min="23" max="23" width="7.140625" style="1" customWidth="1"/>
    <col min="24" max="24" width="6.7109375" style="1" customWidth="1"/>
    <col min="25" max="25" width="4.7109375" style="1" bestFit="1" customWidth="1"/>
    <col min="26" max="26" width="38.5703125" style="1" bestFit="1" customWidth="1"/>
    <col min="27" max="27" width="8.7109375" style="1" customWidth="1"/>
    <col min="28" max="28" width="10.42578125" style="1" customWidth="1"/>
    <col min="29" max="29" width="9.28515625" style="1" customWidth="1"/>
    <col min="30" max="30" width="9.140625" style="1" customWidth="1"/>
    <col min="31" max="31" width="8.42578125" style="1" customWidth="1"/>
    <col min="32" max="32" width="7.28515625" style="1" customWidth="1"/>
    <col min="33" max="33" width="27" style="1" customWidth="1"/>
    <col min="34" max="34" width="18.85546875" style="1" customWidth="1"/>
    <col min="35" max="35" width="16.85546875" style="1" customWidth="1"/>
    <col min="36" max="36" width="18.5703125" style="1" customWidth="1"/>
    <col min="37" max="37" width="46.42578125" style="1" customWidth="1"/>
    <col min="38" max="38" width="21" style="1" customWidth="1"/>
    <col min="39" max="16384" width="11.42578125" style="1"/>
  </cols>
  <sheetData>
    <row r="1" spans="1:70" ht="16.5" customHeight="1" x14ac:dyDescent="0.3">
      <c r="A1" s="289" t="s">
        <v>138</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1"/>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row>
    <row r="2" spans="1:70" ht="24" customHeight="1" x14ac:dyDescent="0.3">
      <c r="A2" s="292"/>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4"/>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x14ac:dyDescent="0.3">
      <c r="A3" s="28"/>
      <c r="B3" s="29"/>
      <c r="C3" s="28"/>
      <c r="D3" s="28"/>
      <c r="E3" s="28"/>
      <c r="F3" s="8"/>
      <c r="G3" s="8"/>
      <c r="H3" s="27"/>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26.25" customHeight="1" x14ac:dyDescent="0.3">
      <c r="A4" s="240" t="s">
        <v>42</v>
      </c>
      <c r="B4" s="241"/>
      <c r="C4" s="287" t="s">
        <v>217</v>
      </c>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50.25" customHeight="1" x14ac:dyDescent="0.3">
      <c r="A5" s="240" t="s">
        <v>124</v>
      </c>
      <c r="B5" s="241"/>
      <c r="C5" s="287" t="s">
        <v>215</v>
      </c>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49.5" customHeight="1" x14ac:dyDescent="0.3">
      <c r="A6" s="240" t="s">
        <v>43</v>
      </c>
      <c r="B6" s="241"/>
      <c r="C6" s="288" t="s">
        <v>216</v>
      </c>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x14ac:dyDescent="0.3">
      <c r="A7" s="295" t="s">
        <v>133</v>
      </c>
      <c r="B7" s="296"/>
      <c r="C7" s="297"/>
      <c r="D7" s="297"/>
      <c r="E7" s="297"/>
      <c r="F7" s="297"/>
      <c r="G7" s="297"/>
      <c r="H7" s="297"/>
      <c r="I7" s="298"/>
      <c r="J7" s="250" t="s">
        <v>134</v>
      </c>
      <c r="K7" s="297"/>
      <c r="L7" s="297"/>
      <c r="M7" s="297"/>
      <c r="N7" s="297"/>
      <c r="O7" s="297"/>
      <c r="P7" s="298"/>
      <c r="Q7" s="250" t="s">
        <v>135</v>
      </c>
      <c r="R7" s="297"/>
      <c r="S7" s="297"/>
      <c r="T7" s="297"/>
      <c r="U7" s="297"/>
      <c r="V7" s="297"/>
      <c r="W7" s="297"/>
      <c r="X7" s="297"/>
      <c r="Y7" s="298"/>
      <c r="Z7" s="250" t="s">
        <v>136</v>
      </c>
      <c r="AA7" s="297"/>
      <c r="AB7" s="297"/>
      <c r="AC7" s="297"/>
      <c r="AD7" s="297"/>
      <c r="AE7" s="297"/>
      <c r="AF7" s="298"/>
      <c r="AG7" s="250" t="s">
        <v>34</v>
      </c>
      <c r="AH7" s="297"/>
      <c r="AI7" s="297"/>
      <c r="AJ7" s="297"/>
      <c r="AK7" s="297"/>
      <c r="AL7" s="29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1:70" ht="16.5" customHeight="1" x14ac:dyDescent="0.3">
      <c r="A8" s="242" t="s">
        <v>0</v>
      </c>
      <c r="B8" s="252" t="s">
        <v>2</v>
      </c>
      <c r="C8" s="210" t="s">
        <v>3</v>
      </c>
      <c r="D8" s="210" t="s">
        <v>41</v>
      </c>
      <c r="E8" s="212" t="s">
        <v>202</v>
      </c>
      <c r="F8" s="244" t="s">
        <v>1</v>
      </c>
      <c r="G8" s="145"/>
      <c r="H8" s="212" t="s">
        <v>49</v>
      </c>
      <c r="I8" s="210" t="s">
        <v>129</v>
      </c>
      <c r="J8" s="213" t="s">
        <v>33</v>
      </c>
      <c r="K8" s="249" t="s">
        <v>5</v>
      </c>
      <c r="L8" s="212" t="s">
        <v>85</v>
      </c>
      <c r="M8" s="212" t="s">
        <v>90</v>
      </c>
      <c r="N8" s="251" t="s">
        <v>44</v>
      </c>
      <c r="O8" s="249" t="s">
        <v>5</v>
      </c>
      <c r="P8" s="210" t="s">
        <v>47</v>
      </c>
      <c r="Q8" s="246" t="s">
        <v>11</v>
      </c>
      <c r="R8" s="211" t="s">
        <v>151</v>
      </c>
      <c r="S8" s="212" t="s">
        <v>12</v>
      </c>
      <c r="T8" s="211" t="s">
        <v>8</v>
      </c>
      <c r="U8" s="211"/>
      <c r="V8" s="211"/>
      <c r="W8" s="211"/>
      <c r="X8" s="211"/>
      <c r="Y8" s="211"/>
      <c r="Z8" s="248" t="s">
        <v>132</v>
      </c>
      <c r="AA8" s="248" t="s">
        <v>45</v>
      </c>
      <c r="AB8" s="248" t="s">
        <v>5</v>
      </c>
      <c r="AC8" s="248" t="s">
        <v>46</v>
      </c>
      <c r="AD8" s="248" t="s">
        <v>5</v>
      </c>
      <c r="AE8" s="248" t="s">
        <v>48</v>
      </c>
      <c r="AF8" s="246" t="s">
        <v>29</v>
      </c>
      <c r="AG8" s="211" t="s">
        <v>34</v>
      </c>
      <c r="AH8" s="211" t="s">
        <v>35</v>
      </c>
      <c r="AI8" s="211" t="s">
        <v>36</v>
      </c>
      <c r="AJ8" s="211" t="s">
        <v>37</v>
      </c>
      <c r="AK8" s="211" t="s">
        <v>249</v>
      </c>
      <c r="AL8" s="211" t="s">
        <v>38</v>
      </c>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row>
    <row r="9" spans="1:70" s="4" customFormat="1" ht="121.5" customHeight="1" x14ac:dyDescent="0.25">
      <c r="A9" s="243"/>
      <c r="B9" s="252"/>
      <c r="C9" s="211"/>
      <c r="D9" s="211"/>
      <c r="E9" s="213"/>
      <c r="F9" s="245"/>
      <c r="G9" s="145" t="s">
        <v>203</v>
      </c>
      <c r="H9" s="210"/>
      <c r="I9" s="211"/>
      <c r="J9" s="210"/>
      <c r="K9" s="250"/>
      <c r="L9" s="210"/>
      <c r="M9" s="210"/>
      <c r="N9" s="250"/>
      <c r="O9" s="250"/>
      <c r="P9" s="211"/>
      <c r="Q9" s="247"/>
      <c r="R9" s="211"/>
      <c r="S9" s="210"/>
      <c r="T9" s="7" t="s">
        <v>13</v>
      </c>
      <c r="U9" s="7" t="s">
        <v>17</v>
      </c>
      <c r="V9" s="7" t="s">
        <v>28</v>
      </c>
      <c r="W9" s="7" t="s">
        <v>18</v>
      </c>
      <c r="X9" s="7" t="s">
        <v>21</v>
      </c>
      <c r="Y9" s="7" t="s">
        <v>24</v>
      </c>
      <c r="Z9" s="248"/>
      <c r="AA9" s="248"/>
      <c r="AB9" s="248"/>
      <c r="AC9" s="248"/>
      <c r="AD9" s="248"/>
      <c r="AE9" s="248"/>
      <c r="AF9" s="247"/>
      <c r="AG9" s="211"/>
      <c r="AH9" s="211"/>
      <c r="AI9" s="211"/>
      <c r="AJ9" s="211"/>
      <c r="AK9" s="211"/>
      <c r="AL9" s="211"/>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row>
    <row r="10" spans="1:70" s="3" customFormat="1" ht="210" customHeight="1" x14ac:dyDescent="0.25">
      <c r="A10" s="216">
        <v>1</v>
      </c>
      <c r="B10" s="218" t="s">
        <v>128</v>
      </c>
      <c r="C10" s="218" t="s">
        <v>220</v>
      </c>
      <c r="D10" s="220" t="s">
        <v>218</v>
      </c>
      <c r="E10" s="162" t="s">
        <v>221</v>
      </c>
      <c r="F10" s="222" t="s">
        <v>240</v>
      </c>
      <c r="G10" s="222" t="s">
        <v>223</v>
      </c>
      <c r="H10" s="214" t="s">
        <v>120</v>
      </c>
      <c r="I10" s="233">
        <v>657000</v>
      </c>
      <c r="J10" s="226" t="str">
        <f>IF(I10&lt;=0,"",IF(I10&lt;=2,"Muy Baja",IF(I10&lt;=24,"Baja",IF(I10&lt;=500,"Media",IF(I10&lt;=5000,"Alta","Muy Alta")))))</f>
        <v>Muy Alta</v>
      </c>
      <c r="K10" s="224">
        <f>IF(J10="","",IF(J10="Muy Baja",0.2,IF(J10="Baja",0.4,IF(J10="Media",0.6,IF(J10="Alta",0.8,IF(J10="Muy Alta",1,))))))</f>
        <v>1</v>
      </c>
      <c r="L10" s="236" t="s">
        <v>145</v>
      </c>
      <c r="M10" s="224" t="str">
        <f ca="1">IF(NOT(ISERROR(MATCH(L10,'Tabla Impacto'!$B$221:$B$223,0))),'Tabla Impacto'!$F$223&amp;"Por favor no seleccionar los criterios de impacto(Afectación Económica o presupuestal y Pérdida Reputacional)",L10)</f>
        <v xml:space="preserve">     El riesgo afecta la imagen de de la entidad con efecto publicitario sostenido a nivel de sector administrativo, nivel departamental o municipal</v>
      </c>
      <c r="N10" s="226" t="str">
        <f ca="1">IF(OR(M10='Tabla Impacto'!$C$11,M10='Tabla Impacto'!$D$11),"Leve",IF(OR(M10='Tabla Impacto'!$C$12,M10='Tabla Impacto'!$D$12),"Menor",IF(OR(M10='Tabla Impacto'!$C$13,M10='Tabla Impacto'!$D$13),"Moderado",IF(OR(M10='Tabla Impacto'!$C$14,M10='Tabla Impacto'!$D$14),"Mayor",IF(OR(M10='Tabla Impacto'!$C$15,M10='Tabla Impacto'!$D$15),"Catastrófico","")))))</f>
        <v>Mayor</v>
      </c>
      <c r="O10" s="224">
        <f ca="1">IF(N10="","",IF(N10="Leve",0.2,IF(N10="Menor",0.4,IF(N10="Moderado",0.6,IF(N10="Mayor",0.8,IF(N10="Catastrófico",1,))))))</f>
        <v>0.8</v>
      </c>
      <c r="P10" s="229" t="str">
        <f ca="1">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Alto</v>
      </c>
      <c r="Q10" s="105">
        <v>1</v>
      </c>
      <c r="R10" s="119" t="s">
        <v>224</v>
      </c>
      <c r="S10" s="107" t="str">
        <f t="shared" ref="S10:S15" si="0">IF(OR(T10="Preventivo",T10="Detectivo"),"Probabilidad",IF(T10="Correctivo","Impacto",""))</f>
        <v>Probabilidad</v>
      </c>
      <c r="T10" s="120" t="s">
        <v>14</v>
      </c>
      <c r="U10" s="120" t="s">
        <v>9</v>
      </c>
      <c r="V10" s="121" t="str">
        <f>IF(AND(T10="Preventivo",U10="Automático"),"50%",IF(AND(T10="Preventivo",U10="Manual"),"40%",IF(AND(T10="Detectivo",U10="Automático"),"40%",IF(AND(T10="Detectivo",U10="Manual"),"30%",IF(AND(T10="Correctivo",U10="Automático"),"35%",IF(AND(T10="Correctivo",U10="Manual"),"25%",""))))))</f>
        <v>40%</v>
      </c>
      <c r="W10" s="120" t="s">
        <v>19</v>
      </c>
      <c r="X10" s="120" t="s">
        <v>23</v>
      </c>
      <c r="Y10" s="120" t="s">
        <v>113</v>
      </c>
      <c r="Z10" s="110">
        <f>IFERROR(IF(S10="Probabilidad",(K10-(+K10*V10)),IF(S10="Impacto",K10,"")),"")</f>
        <v>0.6</v>
      </c>
      <c r="AA10" s="125" t="str">
        <f>IFERROR(IF(Z10="","",IF(Z10&lt;=0.2,"Muy Baja",IF(Z10&lt;=0.4,"Baja",IF(Z10&lt;=0.6,"Media",IF(Z10&lt;=0.8,"Alta","Muy Alta"))))),"")</f>
        <v>Media</v>
      </c>
      <c r="AB10" s="126">
        <f>+Z10</f>
        <v>0.6</v>
      </c>
      <c r="AC10" s="125" t="str">
        <f ca="1">IFERROR(IF(AD10="","",IF(AD10&lt;=0.2,"Leve",IF(AD10&lt;=0.4,"Menor",IF(AD10&lt;=0.6,"Moderado",IF(AD10&lt;=0.8,"Mayor","Catastrófico"))))),"")</f>
        <v>Mayor</v>
      </c>
      <c r="AD10" s="126">
        <f ca="1">IFERROR(IF(S10="Impacto",(O10-(+O10*V10)),IF(S10="Probabilidad",O10,"")),"")</f>
        <v>0.8</v>
      </c>
      <c r="AE10" s="127" t="str">
        <f ca="1">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Alto</v>
      </c>
      <c r="AF10" s="128" t="s">
        <v>130</v>
      </c>
      <c r="AG10" s="122" t="s">
        <v>225</v>
      </c>
      <c r="AH10" s="123" t="s">
        <v>226</v>
      </c>
      <c r="AI10" s="157" t="s">
        <v>241</v>
      </c>
      <c r="AJ10" s="124">
        <v>45291</v>
      </c>
      <c r="AK10" s="161"/>
      <c r="AL10" s="123" t="s">
        <v>40</v>
      </c>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row>
    <row r="11" spans="1:70" ht="242.25" customHeight="1" x14ac:dyDescent="0.3">
      <c r="A11" s="217"/>
      <c r="B11" s="219"/>
      <c r="C11" s="219"/>
      <c r="D11" s="221"/>
      <c r="E11" s="156" t="s">
        <v>219</v>
      </c>
      <c r="F11" s="223"/>
      <c r="G11" s="223"/>
      <c r="H11" s="215"/>
      <c r="I11" s="234"/>
      <c r="J11" s="227"/>
      <c r="K11" s="225"/>
      <c r="L11" s="237"/>
      <c r="M11" s="225">
        <f ca="1">IF(NOT(ISERROR(MATCH(L11,_xlfn.ANCHORARRAY(F18),0))),K20&amp;"Por favor no seleccionar los criterios de impacto",L11)</f>
        <v>0</v>
      </c>
      <c r="N11" s="227"/>
      <c r="O11" s="225"/>
      <c r="P11" s="230"/>
      <c r="Q11" s="105">
        <v>2</v>
      </c>
      <c r="R11" s="119" t="s">
        <v>227</v>
      </c>
      <c r="S11" s="107" t="str">
        <f t="shared" si="0"/>
        <v>Probabilidad</v>
      </c>
      <c r="T11" s="120" t="s">
        <v>14</v>
      </c>
      <c r="U11" s="120" t="s">
        <v>9</v>
      </c>
      <c r="V11" s="121" t="str">
        <f t="shared" ref="V11" si="1">IF(AND(T11="Preventivo",U11="Automático"),"50%",IF(AND(T11="Preventivo",U11="Manual"),"40%",IF(AND(T11="Detectivo",U11="Automático"),"40%",IF(AND(T11="Detectivo",U11="Manual"),"30%",IF(AND(T11="Correctivo",U11="Automático"),"35%",IF(AND(T11="Correctivo",U11="Manual"),"25%",""))))))</f>
        <v>40%</v>
      </c>
      <c r="W11" s="120" t="s">
        <v>19</v>
      </c>
      <c r="X11" s="120" t="s">
        <v>23</v>
      </c>
      <c r="Y11" s="120" t="s">
        <v>113</v>
      </c>
      <c r="Z11" s="110">
        <f>IFERROR(IF(AND(S10="Probabilidad",S11="Probabilidad"),(AB10-(+AB10*V11)),IF(AND(S10="Impacto",S11="Probabilidad"),(AB9-(+AB9*V11)),IF(S11="Impacto",AB10,""))),"")</f>
        <v>0.36</v>
      </c>
      <c r="AA11" s="125" t="str">
        <f t="shared" ref="AA11" si="2">IFERROR(IF(Z11="","",IF(Z11&lt;=0.2,"Muy Baja",IF(Z11&lt;=0.4,"Baja",IF(Z11&lt;=0.6,"Media",IF(Z11&lt;=0.8,"Alta","Muy Alta"))))),"")</f>
        <v>Baja</v>
      </c>
      <c r="AB11" s="126">
        <f t="shared" ref="AB11" si="3">+Z11</f>
        <v>0.36</v>
      </c>
      <c r="AC11" s="125" t="str">
        <f t="shared" ref="AC11" ca="1" si="4">IFERROR(IF(AD11="","",IF(AD11&lt;=0.2,"Leve",IF(AD11&lt;=0.4,"Menor",IF(AD11&lt;=0.6,"Moderado",IF(AD11&lt;=0.8,"Mayor","Catastrófico"))))),"")</f>
        <v>Mayor</v>
      </c>
      <c r="AD11" s="126">
        <f ca="1">IFERROR(IF(AND(S10="Impacto",S11="Impacto"),(AD10-(+AD10*V11)),IF(AND(S10="Probabilidad",S11="Impacto"),(AD9-(+AD9*V11)),IF(S11="Probabilidad",AD10,""))),"")</f>
        <v>0.8</v>
      </c>
      <c r="AE11" s="127" t="str">
        <f t="shared" ref="AE11" ca="1" si="5">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Alto</v>
      </c>
      <c r="AF11" s="128" t="s">
        <v>130</v>
      </c>
      <c r="AG11" s="160" t="s">
        <v>239</v>
      </c>
      <c r="AH11" s="123" t="s">
        <v>226</v>
      </c>
      <c r="AI11" s="158" t="s">
        <v>242</v>
      </c>
      <c r="AJ11" s="124">
        <v>45291</v>
      </c>
      <c r="AK11" s="160"/>
      <c r="AL11" s="116" t="s">
        <v>39</v>
      </c>
      <c r="AM11" s="8"/>
      <c r="AN11" s="8"/>
      <c r="AO11" s="8"/>
      <c r="AP11" s="164"/>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row>
    <row r="12" spans="1:70" ht="166.5" customHeight="1" x14ac:dyDescent="0.3">
      <c r="A12" s="217"/>
      <c r="B12" s="219"/>
      <c r="C12" s="219"/>
      <c r="D12" s="221"/>
      <c r="E12" s="146" t="s">
        <v>222</v>
      </c>
      <c r="F12" s="223"/>
      <c r="G12" s="223"/>
      <c r="H12" s="215"/>
      <c r="I12" s="234"/>
      <c r="J12" s="227"/>
      <c r="K12" s="225"/>
      <c r="L12" s="237"/>
      <c r="M12" s="225">
        <f ca="1">IF(NOT(ISERROR(MATCH(L12,_xlfn.ANCHORARRAY(F19),0))),K21&amp;"Por favor no seleccionar los criterios de impacto",L12)</f>
        <v>0</v>
      </c>
      <c r="N12" s="227"/>
      <c r="O12" s="225"/>
      <c r="P12" s="230"/>
      <c r="Q12" s="105">
        <v>3</v>
      </c>
      <c r="R12" s="106" t="s">
        <v>229</v>
      </c>
      <c r="S12" s="107" t="str">
        <f t="shared" si="0"/>
        <v>Probabilidad</v>
      </c>
      <c r="T12" s="120" t="s">
        <v>14</v>
      </c>
      <c r="U12" s="120" t="s">
        <v>9</v>
      </c>
      <c r="V12" s="121" t="str">
        <f t="shared" ref="V12:V13" si="6">IF(AND(T12="Preventivo",U12="Automático"),"50%",IF(AND(T12="Preventivo",U12="Manual"),"40%",IF(AND(T12="Detectivo",U12="Automático"),"40%",IF(AND(T12="Detectivo",U12="Manual"),"30%",IF(AND(T12="Correctivo",U12="Automático"),"35%",IF(AND(T12="Correctivo",U12="Manual"),"25%",""))))))</f>
        <v>40%</v>
      </c>
      <c r="W12" s="120" t="s">
        <v>19</v>
      </c>
      <c r="X12" s="120" t="s">
        <v>23</v>
      </c>
      <c r="Y12" s="120" t="s">
        <v>113</v>
      </c>
      <c r="Z12" s="110">
        <f t="shared" ref="Z12:Z13" si="7">IFERROR(IF(AND(S11="Probabilidad",S12="Probabilidad"),(AB11-(+AB11*V12)),IF(AND(S11="Impacto",S12="Probabilidad"),(AB10-(+AB10*V12)),IF(S12="Impacto",AB11,""))),"")</f>
        <v>0.216</v>
      </c>
      <c r="AA12" s="125" t="str">
        <f t="shared" ref="AA12" si="8">IFERROR(IF(Z12="","",IF(Z12&lt;=0.2,"Muy Baja",IF(Z12&lt;=0.4,"Baja",IF(Z12&lt;=0.6,"Media",IF(Z12&lt;=0.8,"Alta","Muy Alta"))))),"")</f>
        <v>Baja</v>
      </c>
      <c r="AB12" s="126">
        <f t="shared" ref="AB12" si="9">+Z12</f>
        <v>0.216</v>
      </c>
      <c r="AC12" s="125" t="str">
        <f t="shared" ref="AC12" ca="1" si="10">IFERROR(IF(AD12="","",IF(AD12&lt;=0.2,"Leve",IF(AD12&lt;=0.4,"Menor",IF(AD12&lt;=0.6,"Moderado",IF(AD12&lt;=0.8,"Mayor","Catastrófico"))))),"")</f>
        <v>Mayor</v>
      </c>
      <c r="AD12" s="126">
        <f t="shared" ref="AD12" ca="1" si="11">IFERROR(IF(AND(S11="Impacto",S12="Impacto"),(AD11-(+AD11*V12)),IF(AND(S11="Probabilidad",S12="Impacto"),(AD10-(+AD10*V12)),IF(S12="Probabilidad",AD11,""))),"")</f>
        <v>0.8</v>
      </c>
      <c r="AE12" s="127" t="str">
        <f t="shared" ref="AE12" ca="1" si="12">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Alto</v>
      </c>
      <c r="AF12" s="128" t="s">
        <v>130</v>
      </c>
      <c r="AG12" s="115" t="s">
        <v>228</v>
      </c>
      <c r="AH12" s="115" t="s">
        <v>230</v>
      </c>
      <c r="AI12" s="158" t="s">
        <v>243</v>
      </c>
      <c r="AJ12" s="124">
        <v>45291</v>
      </c>
      <c r="AK12" s="160"/>
      <c r="AL12" s="116" t="s">
        <v>40</v>
      </c>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ht="166.5" customHeight="1" x14ac:dyDescent="0.3">
      <c r="A13" s="165"/>
      <c r="B13" s="167"/>
      <c r="C13" s="167"/>
      <c r="D13" s="168"/>
      <c r="E13" s="146" t="s">
        <v>245</v>
      </c>
      <c r="F13" s="169"/>
      <c r="G13" s="239"/>
      <c r="H13" s="166"/>
      <c r="I13" s="235"/>
      <c r="J13" s="228"/>
      <c r="K13" s="232"/>
      <c r="L13" s="238"/>
      <c r="M13" s="170"/>
      <c r="N13" s="228"/>
      <c r="O13" s="170"/>
      <c r="P13" s="231"/>
      <c r="Q13" s="105">
        <v>4</v>
      </c>
      <c r="R13" s="106" t="s">
        <v>244</v>
      </c>
      <c r="S13" s="107" t="s">
        <v>4</v>
      </c>
      <c r="T13" s="120" t="s">
        <v>14</v>
      </c>
      <c r="U13" s="120" t="s">
        <v>9</v>
      </c>
      <c r="V13" s="121" t="str">
        <f t="shared" si="6"/>
        <v>40%</v>
      </c>
      <c r="W13" s="120" t="s">
        <v>20</v>
      </c>
      <c r="X13" s="120" t="s">
        <v>23</v>
      </c>
      <c r="Y13" s="120" t="s">
        <v>114</v>
      </c>
      <c r="Z13" s="110">
        <f t="shared" si="7"/>
        <v>0.12959999999999999</v>
      </c>
      <c r="AA13" s="125" t="str">
        <f t="shared" ref="AA13" si="13">IFERROR(IF(Z13="","",IF(Z13&lt;=0.2,"Muy Baja",IF(Z13&lt;=0.4,"Baja",IF(Z13&lt;=0.6,"Media",IF(Z13&lt;=0.8,"Alta","Muy Alta"))))),"")</f>
        <v>Muy Baja</v>
      </c>
      <c r="AB13" s="126">
        <f t="shared" ref="AB13" si="14">+Z13</f>
        <v>0.12959999999999999</v>
      </c>
      <c r="AC13" s="125" t="str">
        <f t="shared" ref="AC13" ca="1" si="15">IFERROR(IF(AD13="","",IF(AD13&lt;=0.2,"Leve",IF(AD13&lt;=0.4,"Menor",IF(AD13&lt;=0.6,"Moderado",IF(AD13&lt;=0.8,"Mayor","Catastrófico"))))),"")</f>
        <v>Mayor</v>
      </c>
      <c r="AD13" s="126">
        <f t="shared" ref="AD13" ca="1" si="16">IFERROR(IF(AND(S12="Impacto",S13="Impacto"),(AD12-(+AD12*V13)),IF(AND(S12="Probabilidad",S13="Impacto"),(AD11-(+AD11*V13)),IF(S13="Probabilidad",AD12,""))),"")</f>
        <v>0.8</v>
      </c>
      <c r="AE13" s="127" t="str">
        <f t="shared" ref="AE13" ca="1" si="17">IFERROR(IF(OR(AND(AA13="Muy Baja",AC13="Leve"),AND(AA13="Muy Baja",AC13="Menor"),AND(AA13="Baja",AC13="Leve")),"Bajo",IF(OR(AND(AA13="Muy baja",AC13="Moderado"),AND(AA13="Baja",AC13="Menor"),AND(AA13="Baja",AC13="Moderado"),AND(AA13="Media",AC13="Leve"),AND(AA13="Media",AC13="Menor"),AND(AA13="Media",AC13="Moderado"),AND(AA13="Alta",AC13="Leve"),AND(AA13="Alta",AC13="Menor")),"Moderado",IF(OR(AND(AA13="Muy Baja",AC13="Mayor"),AND(AA13="Baja",AC13="Mayor"),AND(AA13="Media",AC13="Mayor"),AND(AA13="Alta",AC13="Moderado"),AND(AA13="Alta",AC13="Mayor"),AND(AA13="Muy Alta",AC13="Leve"),AND(AA13="Muy Alta",AC13="Menor"),AND(AA13="Muy Alta",AC13="Moderado"),AND(AA13="Muy Alta",AC13="Mayor")),"Alto",IF(OR(AND(AA13="Muy Baja",AC13="Catastrófico"),AND(AA13="Baja",AC13="Catastrófico"),AND(AA13="Media",AC13="Catastrófico"),AND(AA13="Alta",AC13="Catastrófico"),AND(AA13="Muy Alta",AC13="Catastrófico")),"Extremo","")))),"")</f>
        <v>Alto</v>
      </c>
      <c r="AF13" s="128" t="s">
        <v>130</v>
      </c>
      <c r="AG13" s="115" t="s">
        <v>246</v>
      </c>
      <c r="AH13" s="115" t="s">
        <v>230</v>
      </c>
      <c r="AI13" s="158" t="s">
        <v>243</v>
      </c>
      <c r="AJ13" s="124">
        <v>45291</v>
      </c>
      <c r="AK13" s="160" t="s">
        <v>247</v>
      </c>
      <c r="AL13" s="116" t="s">
        <v>40</v>
      </c>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0" ht="187.5" customHeight="1" x14ac:dyDescent="0.3">
      <c r="A14" s="216">
        <v>2</v>
      </c>
      <c r="B14" s="272" t="s">
        <v>128</v>
      </c>
      <c r="C14" s="272" t="s">
        <v>232</v>
      </c>
      <c r="D14" s="275" t="s">
        <v>231</v>
      </c>
      <c r="E14" s="159" t="s">
        <v>233</v>
      </c>
      <c r="F14" s="278" t="s">
        <v>235</v>
      </c>
      <c r="G14" s="285" t="s">
        <v>223</v>
      </c>
      <c r="H14" s="262" t="s">
        <v>120</v>
      </c>
      <c r="I14" s="265">
        <v>425000</v>
      </c>
      <c r="J14" s="259" t="str">
        <f>IF(I14&lt;=0,"",IF(I14&lt;=2,"Muy Baja",IF(I14&lt;=24,"Baja",IF(I14&lt;=500,"Media",IF(I14&lt;=5000,"Alta","Muy Alta")))))</f>
        <v>Muy Alta</v>
      </c>
      <c r="K14" s="253">
        <f>IF(J14="","",IF(J14="Muy Baja",0.2,IF(J14="Baja",0.4,IF(J14="Media",0.6,IF(J14="Alta",0.8,IF(J14="Muy Alta",1,))))))</f>
        <v>1</v>
      </c>
      <c r="L14" s="256" t="s">
        <v>212</v>
      </c>
      <c r="M14" s="253" t="str">
        <f ca="1">IF(NOT(ISERROR(MATCH(L14,'Tabla Impacto'!$B$221:$B$223,0))),'Tabla Impacto'!$F$223&amp;"Por favor no seleccionar los criterios de impacto(Afectación Económica o presupuestal y Pérdida Reputacional)",L14)</f>
        <v xml:space="preserve">     Mayor a 10000 SMLMV</v>
      </c>
      <c r="N14" s="259" t="str">
        <f ca="1">IF(OR(M14='Tabla Impacto'!$C$11,M14='Tabla Impacto'!$D$11),"Leve",IF(OR(M14='Tabla Impacto'!$C$12,M14='Tabla Impacto'!$D$12),"Menor",IF(OR(M14='Tabla Impacto'!$C$13,M14='Tabla Impacto'!$D$13),"Moderado",IF(OR(M14='Tabla Impacto'!$C$14,M14='Tabla Impacto'!$D$14),"Mayor",IF(OR(M14='Tabla Impacto'!$C$15,M14='Tabla Impacto'!$D$15),"Catastrófico","")))))</f>
        <v>Catastrófico</v>
      </c>
      <c r="O14" s="253">
        <f ca="1">IF(N14="","",IF(N14="Leve",0.2,IF(N14="Menor",0.4,IF(N14="Moderado",0.6,IF(N14="Mayor",0.8,IF(N14="Catastrófico",1,))))))</f>
        <v>1</v>
      </c>
      <c r="P14" s="268" t="str">
        <f ca="1">IF(OR(AND(J14="Muy Baja",N14="Leve"),AND(J14="Muy Baja",N14="Menor"),AND(J14="Baja",N14="Leve")),"Bajo",IF(OR(AND(J14="Muy baja",N14="Moderado"),AND(J14="Baja",N14="Menor"),AND(J14="Baja",N14="Moderado"),AND(J14="Media",N14="Leve"),AND(J14="Media",N14="Menor"),AND(J14="Media",N14="Moderado"),AND(J14="Alta",N14="Leve"),AND(J14="Alta",N14="Menor")),"Moderado",IF(OR(AND(J14="Muy Baja",N14="Mayor"),AND(J14="Baja",N14="Mayor"),AND(J14="Media",N14="Mayor"),AND(J14="Alta",N14="Moderado"),AND(J14="Alta",N14="Mayor"),AND(J14="Muy Alta",N14="Leve"),AND(J14="Muy Alta",N14="Menor"),AND(J14="Muy Alta",N14="Moderado"),AND(J14="Muy Alta",N14="Mayor")),"Alto",IF(OR(AND(J14="Muy Baja",N14="Catastrófico"),AND(J14="Baja",N14="Catastrófico"),AND(J14="Media",N14="Catastrófico"),AND(J14="Alta",N14="Catastrófico"),AND(J14="Muy Alta",N14="Catastrófico")),"Extremo",""))))</f>
        <v>Extremo</v>
      </c>
      <c r="Q14" s="105">
        <v>1</v>
      </c>
      <c r="R14" s="106" t="s">
        <v>237</v>
      </c>
      <c r="S14" s="107" t="str">
        <f t="shared" si="0"/>
        <v>Probabilidad</v>
      </c>
      <c r="T14" s="120" t="s">
        <v>14</v>
      </c>
      <c r="U14" s="120" t="s">
        <v>9</v>
      </c>
      <c r="V14" s="121" t="str">
        <f>IF(AND(T14="Preventivo",U14="Automático"),"50%",IF(AND(T14="Preventivo",U14="Manual"),"40%",IF(AND(T14="Detectivo",U14="Automático"),"40%",IF(AND(T14="Detectivo",U14="Manual"),"30%",IF(AND(T14="Correctivo",U14="Automático"),"35%",IF(AND(T14="Correctivo",U14="Manual"),"25%",""))))))</f>
        <v>40%</v>
      </c>
      <c r="W14" s="120" t="s">
        <v>19</v>
      </c>
      <c r="X14" s="120" t="s">
        <v>23</v>
      </c>
      <c r="Y14" s="120" t="s">
        <v>113</v>
      </c>
      <c r="Z14" s="110">
        <f>IFERROR(IF(S14="Probabilidad",(K14-(+K14*V14)),IF(S14="Impacto",K14,"")),"")</f>
        <v>0.6</v>
      </c>
      <c r="AA14" s="125" t="str">
        <f>IFERROR(IF(Z14="","",IF(Z14&lt;=0.2,"Muy Baja",IF(Z14&lt;=0.4,"Baja",IF(Z14&lt;=0.6,"Media",IF(Z14&lt;=0.8,"Alta","Muy Alta"))))),"")</f>
        <v>Media</v>
      </c>
      <c r="AB14" s="126">
        <f>+Z14</f>
        <v>0.6</v>
      </c>
      <c r="AC14" s="125" t="str">
        <f ca="1">IFERROR(IF(AD14="","",IF(AD14&lt;=0.2,"Leve",IF(AD14&lt;=0.4,"Menor",IF(AD14&lt;=0.6,"Moderado",IF(AD14&lt;=0.8,"Mayor","Catastrófico"))))),"")</f>
        <v>Catastrófico</v>
      </c>
      <c r="AD14" s="126">
        <f ca="1">IFERROR(IF(S14="Impacto",(O14-(+O14*V14)),IF(S14="Probabilidad",O14,"")),"")</f>
        <v>1</v>
      </c>
      <c r="AE14" s="127" t="str">
        <f ca="1">IFERROR(IF(OR(AND(AA14="Muy Baja",AC14="Leve"),AND(AA14="Muy Baja",AC14="Menor"),AND(AA14="Baja",AC14="Leve")),"Bajo",IF(OR(AND(AA14="Muy baja",AC14="Moderado"),AND(AA14="Baja",AC14="Menor"),AND(AA14="Baja",AC14="Moderado"),AND(AA14="Media",AC14="Leve"),AND(AA14="Media",AC14="Menor"),AND(AA14="Media",AC14="Moderado"),AND(AA14="Alta",AC14="Leve"),AND(AA14="Alta",AC14="Menor")),"Moderado",IF(OR(AND(AA14="Muy Baja",AC14="Mayor"),AND(AA14="Baja",AC14="Mayor"),AND(AA14="Media",AC14="Mayor"),AND(AA14="Alta",AC14="Moderado"),AND(AA14="Alta",AC14="Mayor"),AND(AA14="Muy Alta",AC14="Leve"),AND(AA14="Muy Alta",AC14="Menor"),AND(AA14="Muy Alta",AC14="Moderado"),AND(AA14="Muy Alta",AC14="Mayor")),"Alto",IF(OR(AND(AA14="Muy Baja",AC14="Catastrófico"),AND(AA14="Baja",AC14="Catastrófico"),AND(AA14="Media",AC14="Catastrófico"),AND(AA14="Alta",AC14="Catastrófico"),AND(AA14="Muy Alta",AC14="Catastrófico")),"Extremo","")))),"")</f>
        <v>Extremo</v>
      </c>
      <c r="AF14" s="114" t="s">
        <v>130</v>
      </c>
      <c r="AG14" s="160" t="s">
        <v>236</v>
      </c>
      <c r="AH14" s="116" t="s">
        <v>226</v>
      </c>
      <c r="AI14" s="158" t="s">
        <v>241</v>
      </c>
      <c r="AJ14" s="124">
        <v>45291</v>
      </c>
      <c r="AK14" s="160"/>
      <c r="AL14" s="116" t="s">
        <v>40</v>
      </c>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row>
    <row r="15" spans="1:70" ht="218.25" customHeight="1" x14ac:dyDescent="0.3">
      <c r="A15" s="217"/>
      <c r="B15" s="273"/>
      <c r="C15" s="273"/>
      <c r="D15" s="276"/>
      <c r="E15" s="159" t="s">
        <v>234</v>
      </c>
      <c r="F15" s="278"/>
      <c r="G15" s="286"/>
      <c r="H15" s="263"/>
      <c r="I15" s="266"/>
      <c r="J15" s="260"/>
      <c r="K15" s="254"/>
      <c r="L15" s="257"/>
      <c r="M15" s="254">
        <f ca="1">IF(NOT(ISERROR(MATCH(L15,_xlfn.ANCHORARRAY(F24),0))),K26&amp;"Por favor no seleccionar los criterios de impacto",L15)</f>
        <v>0</v>
      </c>
      <c r="N15" s="260"/>
      <c r="O15" s="254"/>
      <c r="P15" s="269"/>
      <c r="Q15" s="105">
        <v>2</v>
      </c>
      <c r="R15" s="163" t="s">
        <v>238</v>
      </c>
      <c r="S15" s="107" t="str">
        <f t="shared" si="0"/>
        <v>Probabilidad</v>
      </c>
      <c r="T15" s="120" t="s">
        <v>14</v>
      </c>
      <c r="U15" s="120" t="s">
        <v>9</v>
      </c>
      <c r="V15" s="121" t="str">
        <f t="shared" ref="V15:V17" si="18">IF(AND(T15="Preventivo",U15="Automático"),"50%",IF(AND(T15="Preventivo",U15="Manual"),"40%",IF(AND(T15="Detectivo",U15="Automático"),"40%",IF(AND(T15="Detectivo",U15="Manual"),"30%",IF(AND(T15="Correctivo",U15="Automático"),"35%",IF(AND(T15="Correctivo",U15="Manual"),"25%",""))))))</f>
        <v>40%</v>
      </c>
      <c r="W15" s="120" t="s">
        <v>19</v>
      </c>
      <c r="X15" s="120" t="s">
        <v>23</v>
      </c>
      <c r="Y15" s="120" t="s">
        <v>113</v>
      </c>
      <c r="Z15" s="110">
        <f>IFERROR(IF(AND(S14="Probabilidad",S15="Probabilidad"),(AB14-(+AB14*V15)),IF(AND(S14="Impacto",S15="Probabilidad"),(#REF!-(+#REF!*V15)),IF(S15="Impacto",AB14,""))),"")</f>
        <v>0.36</v>
      </c>
      <c r="AA15" s="125" t="str">
        <f t="shared" ref="AA15:AA17" si="19">IFERROR(IF(Z15="","",IF(Z15&lt;=0.2,"Muy Baja",IF(Z15&lt;=0.4,"Baja",IF(Z15&lt;=0.6,"Media",IF(Z15&lt;=0.8,"Alta","Muy Alta"))))),"")</f>
        <v>Baja</v>
      </c>
      <c r="AB15" s="126">
        <f t="shared" ref="AB15:AB17" si="20">+Z15</f>
        <v>0.36</v>
      </c>
      <c r="AC15" s="125" t="str">
        <f t="shared" ref="AC15:AC17" ca="1" si="21">IFERROR(IF(AD15="","",IF(AD15&lt;=0.2,"Leve",IF(AD15&lt;=0.4,"Menor",IF(AD15&lt;=0.6,"Moderado",IF(AD15&lt;=0.8,"Mayor","Catastrófico"))))),"")</f>
        <v>Catastrófico</v>
      </c>
      <c r="AD15" s="126">
        <f ca="1">IFERROR(IF(AND(S14="Impacto",S15="Impacto"),(AD14-(+AD14*V15)),IF(AND(S14="Probabilidad",S15="Impacto"),(#REF!-(+#REF!*V15)),IF(S15="Probabilidad",AD14,""))),"")</f>
        <v>1</v>
      </c>
      <c r="AE15" s="127" t="str">
        <f t="shared" ref="AE15:AE17" ca="1" si="22">IFERROR(IF(OR(AND(AA15="Muy Baja",AC15="Leve"),AND(AA15="Muy Baja",AC15="Menor"),AND(AA15="Baja",AC15="Leve")),"Bajo",IF(OR(AND(AA15="Muy baja",AC15="Moderado"),AND(AA15="Baja",AC15="Menor"),AND(AA15="Baja",AC15="Moderado"),AND(AA15="Media",AC15="Leve"),AND(AA15="Media",AC15="Menor"),AND(AA15="Media",AC15="Moderado"),AND(AA15="Alta",AC15="Leve"),AND(AA15="Alta",AC15="Menor")),"Moderado",IF(OR(AND(AA15="Muy Baja",AC15="Mayor"),AND(AA15="Baja",AC15="Mayor"),AND(AA15="Media",AC15="Mayor"),AND(AA15="Alta",AC15="Moderado"),AND(AA15="Alta",AC15="Mayor"),AND(AA15="Muy Alta",AC15="Leve"),AND(AA15="Muy Alta",AC15="Menor"),AND(AA15="Muy Alta",AC15="Moderado"),AND(AA15="Muy Alta",AC15="Mayor")),"Alto",IF(OR(AND(AA15="Muy Baja",AC15="Catastrófico"),AND(AA15="Baja",AC15="Catastrófico"),AND(AA15="Media",AC15="Catastrófico"),AND(AA15="Alta",AC15="Catastrófico"),AND(AA15="Muy Alta",AC15="Catastrófico")),"Extremo","")))),"")</f>
        <v>Extremo</v>
      </c>
      <c r="AF15" s="114" t="s">
        <v>130</v>
      </c>
      <c r="AG15" s="115" t="s">
        <v>248</v>
      </c>
      <c r="AH15" s="116" t="s">
        <v>226</v>
      </c>
      <c r="AI15" s="158" t="s">
        <v>242</v>
      </c>
      <c r="AJ15" s="124">
        <v>45291</v>
      </c>
      <c r="AK15" s="160"/>
      <c r="AL15" s="116" t="s">
        <v>40</v>
      </c>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ht="24" customHeight="1" x14ac:dyDescent="0.3">
      <c r="A16" s="217"/>
      <c r="B16" s="273"/>
      <c r="C16" s="273"/>
      <c r="D16" s="276"/>
      <c r="E16" s="147"/>
      <c r="F16" s="278"/>
      <c r="G16" s="148"/>
      <c r="H16" s="263"/>
      <c r="I16" s="266"/>
      <c r="J16" s="260"/>
      <c r="K16" s="254"/>
      <c r="L16" s="257"/>
      <c r="M16" s="254">
        <f ca="1">IF(NOT(ISERROR(MATCH(L16,_xlfn.ANCHORARRAY(F27),0))),K29&amp;"Por favor no seleccionar los criterios de impacto",L16)</f>
        <v>0</v>
      </c>
      <c r="N16" s="260"/>
      <c r="O16" s="254"/>
      <c r="P16" s="269"/>
      <c r="Q16" s="105">
        <v>5</v>
      </c>
      <c r="R16" s="106"/>
      <c r="S16" s="107" t="str">
        <f t="shared" ref="S16:S17" si="23">IF(OR(T16="Preventivo",T16="Detectivo"),"Probabilidad",IF(T16="Correctivo","Impacto",""))</f>
        <v/>
      </c>
      <c r="T16" s="120"/>
      <c r="U16" s="120"/>
      <c r="V16" s="121" t="str">
        <f t="shared" si="18"/>
        <v/>
      </c>
      <c r="W16" s="120"/>
      <c r="X16" s="120"/>
      <c r="Y16" s="120"/>
      <c r="Z16" s="110" t="str">
        <f>IFERROR(IF(AND(#REF!="Probabilidad",S16="Probabilidad"),(#REF!-(+#REF!*V16)),IF(AND(#REF!="Impacto",S16="Probabilidad"),(#REF!-(+#REF!*V16)),IF(S16="Impacto",#REF!,""))),"")</f>
        <v/>
      </c>
      <c r="AA16" s="125" t="str">
        <f t="shared" si="19"/>
        <v/>
      </c>
      <c r="AB16" s="126" t="str">
        <f t="shared" si="20"/>
        <v/>
      </c>
      <c r="AC16" s="125" t="str">
        <f t="shared" si="21"/>
        <v/>
      </c>
      <c r="AD16" s="126" t="str">
        <f>IFERROR(IF(AND(#REF!="Impacto",S16="Impacto"),(#REF!-(+#REF!*V16)),IF(AND(#REF!="Probabilidad",S16="Impacto"),(#REF!-(+#REF!*V16)),IF(S16="Probabilidad",#REF!,""))),"")</f>
        <v/>
      </c>
      <c r="AE16" s="127" t="str">
        <f t="shared" si="22"/>
        <v/>
      </c>
      <c r="AF16" s="114"/>
      <c r="AG16" s="115"/>
      <c r="AH16" s="116"/>
      <c r="AI16" s="117"/>
      <c r="AJ16" s="117"/>
      <c r="AK16" s="115"/>
      <c r="AL16" s="116"/>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row>
    <row r="17" spans="1:70" ht="25.5" customHeight="1" x14ac:dyDescent="0.3">
      <c r="A17" s="271"/>
      <c r="B17" s="274"/>
      <c r="C17" s="274"/>
      <c r="D17" s="277"/>
      <c r="E17" s="147"/>
      <c r="F17" s="278"/>
      <c r="G17" s="148"/>
      <c r="H17" s="264"/>
      <c r="I17" s="267"/>
      <c r="J17" s="261"/>
      <c r="K17" s="255"/>
      <c r="L17" s="258"/>
      <c r="M17" s="255">
        <f ca="1">IF(NOT(ISERROR(MATCH(L17,_xlfn.ANCHORARRAY(F28),0))),K30&amp;"Por favor no seleccionar los criterios de impacto",L17)</f>
        <v>0</v>
      </c>
      <c r="N17" s="261"/>
      <c r="O17" s="255"/>
      <c r="P17" s="270"/>
      <c r="Q17" s="105">
        <v>6</v>
      </c>
      <c r="R17" s="106"/>
      <c r="S17" s="107" t="str">
        <f t="shared" si="23"/>
        <v/>
      </c>
      <c r="T17" s="120"/>
      <c r="U17" s="120"/>
      <c r="V17" s="121" t="str">
        <f t="shared" si="18"/>
        <v/>
      </c>
      <c r="W17" s="120"/>
      <c r="X17" s="120"/>
      <c r="Y17" s="120"/>
      <c r="Z17" s="110" t="str">
        <f>IFERROR(IF(AND(S16="Probabilidad",S17="Probabilidad"),(AB16-(+AB16*V17)),IF(AND(S16="Impacto",S17="Probabilidad"),(#REF!-(+#REF!*V17)),IF(S17="Impacto",AB16,""))),"")</f>
        <v/>
      </c>
      <c r="AA17" s="125" t="str">
        <f t="shared" si="19"/>
        <v/>
      </c>
      <c r="AB17" s="126" t="str">
        <f t="shared" si="20"/>
        <v/>
      </c>
      <c r="AC17" s="125" t="str">
        <f t="shared" si="21"/>
        <v/>
      </c>
      <c r="AD17" s="126" t="str">
        <f>IFERROR(IF(AND(S16="Impacto",S17="Impacto"),(AD16-(+AD16*V17)),IF(AND(S16="Probabilidad",S17="Impacto"),(#REF!-(+#REF!*V17)),IF(S17="Probabilidad",AD16,""))),"")</f>
        <v/>
      </c>
      <c r="AE17" s="127" t="str">
        <f t="shared" si="22"/>
        <v/>
      </c>
      <c r="AF17" s="114"/>
      <c r="AG17" s="115"/>
      <c r="AH17" s="116"/>
      <c r="AI17" s="117"/>
      <c r="AJ17" s="117"/>
      <c r="AK17" s="115"/>
      <c r="AL17" s="116"/>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row>
    <row r="18" spans="1:70" ht="30.75" customHeight="1" x14ac:dyDescent="0.3">
      <c r="A18" s="216">
        <v>3</v>
      </c>
      <c r="B18" s="272"/>
      <c r="C18" s="272"/>
      <c r="D18" s="275"/>
      <c r="E18" s="147"/>
      <c r="F18" s="278"/>
      <c r="G18" s="148"/>
      <c r="H18" s="262"/>
      <c r="I18" s="265"/>
      <c r="J18" s="259" t="str">
        <f t="shared" ref="J18" si="24">IF(I18&lt;=0,"",IF(I18&lt;=2,"Muy Baja",IF(I18&lt;=24,"Baja",IF(I18&lt;=500,"Media",IF(I18&lt;=5000,"Alta","Muy Alta")))))</f>
        <v/>
      </c>
      <c r="K18" s="253" t="str">
        <f t="shared" ref="K18" si="25">IF(J18="","",IF(J18="Muy Baja",0.2,IF(J18="Baja",0.4,IF(J18="Media",0.6,IF(J18="Alta",0.8,IF(J18="Muy Alta",1,))))))</f>
        <v/>
      </c>
      <c r="L18" s="256"/>
      <c r="M18" s="253">
        <f ca="1">IF(NOT(ISERROR(MATCH(L18,'Tabla Impacto'!$B$221:$B$223,0))),'Tabla Impacto'!$F$223&amp;"Por favor no seleccionar los criterios de impacto(Afectación Económica o presupuestal y Pérdida Reputacional)",L18)</f>
        <v>0</v>
      </c>
      <c r="N18" s="259" t="str">
        <f ca="1">IF(OR(M18='Tabla Impacto'!$C$11,M18='Tabla Impacto'!$D$11),"Leve",IF(OR(M18='Tabla Impacto'!$C$12,M18='Tabla Impacto'!$D$12),"Menor",IF(OR(M18='Tabla Impacto'!$C$13,M18='Tabla Impacto'!$D$13),"Moderado",IF(OR(M18='Tabla Impacto'!$C$14,M18='Tabla Impacto'!$D$14),"Mayor",IF(OR(M18='Tabla Impacto'!$C$15,M18='Tabla Impacto'!$D$15),"Catastrófico","")))))</f>
        <v/>
      </c>
      <c r="O18" s="253" t="str">
        <f t="shared" ref="O18" ca="1" si="26">IF(N18="","",IF(N18="Leve",0.2,IF(N18="Menor",0.4,IF(N18="Moderado",0.6,IF(N18="Mayor",0.8,IF(N18="Catastrófico",1,))))))</f>
        <v/>
      </c>
      <c r="P18" s="268" t="str">
        <f t="shared" ref="P18" ca="1" si="27">IF(OR(AND(J18="Muy Baja",N18="Leve"),AND(J18="Muy Baja",N18="Menor"),AND(J18="Baja",N18="Leve")),"Bajo",IF(OR(AND(J18="Muy baja",N18="Moderado"),AND(J18="Baja",N18="Menor"),AND(J18="Baja",N18="Moderado"),AND(J18="Media",N18="Leve"),AND(J18="Media",N18="Menor"),AND(J18="Media",N18="Moderado"),AND(J18="Alta",N18="Leve"),AND(J18="Alta",N18="Menor")),"Moderado",IF(OR(AND(J18="Muy Baja",N18="Mayor"),AND(J18="Baja",N18="Mayor"),AND(J18="Media",N18="Mayor"),AND(J18="Alta",N18="Moderado"),AND(J18="Alta",N18="Mayor"),AND(J18="Muy Alta",N18="Leve"),AND(J18="Muy Alta",N18="Menor"),AND(J18="Muy Alta",N18="Moderado"),AND(J18="Muy Alta",N18="Mayor")),"Alto",IF(OR(AND(J18="Muy Baja",N18="Catastrófico"),AND(J18="Baja",N18="Catastrófico"),AND(J18="Media",N18="Catastrófico"),AND(J18="Alta",N18="Catastrófico"),AND(J18="Muy Alta",N18="Catastrófico")),"Extremo",""))))</f>
        <v/>
      </c>
      <c r="Q18" s="105">
        <v>1</v>
      </c>
      <c r="R18" s="106"/>
      <c r="S18" s="107" t="str">
        <f>IF(OR(T18="Preventivo",T18="Detectivo"),"Probabilidad",IF(T18="Correctivo","Impacto",""))</f>
        <v/>
      </c>
      <c r="T18" s="108"/>
      <c r="U18" s="108"/>
      <c r="V18" s="109" t="str">
        <f>IF(AND(T18="Preventivo",U18="Automático"),"50%",IF(AND(T18="Preventivo",U18="Manual"),"40%",IF(AND(T18="Detectivo",U18="Automático"),"40%",IF(AND(T18="Detectivo",U18="Manual"),"30%",IF(AND(T18="Correctivo",U18="Automático"),"35%",IF(AND(T18="Correctivo",U18="Manual"),"25%",""))))))</f>
        <v/>
      </c>
      <c r="W18" s="108"/>
      <c r="X18" s="108"/>
      <c r="Y18" s="108"/>
      <c r="Z18" s="110" t="str">
        <f>IFERROR(IF(S18="Probabilidad",(K18-(+K18*V18)),IF(S18="Impacto",K18,"")),"")</f>
        <v/>
      </c>
      <c r="AA18" s="111" t="str">
        <f>IFERROR(IF(Z18="","",IF(Z18&lt;=0.2,"Muy Baja",IF(Z18&lt;=0.4,"Baja",IF(Z18&lt;=0.6,"Media",IF(Z18&lt;=0.8,"Alta","Muy Alta"))))),"")</f>
        <v/>
      </c>
      <c r="AB18" s="112" t="str">
        <f>+Z18</f>
        <v/>
      </c>
      <c r="AC18" s="111" t="str">
        <f>IFERROR(IF(AD18="","",IF(AD18&lt;=0.2,"Leve",IF(AD18&lt;=0.4,"Menor",IF(AD18&lt;=0.6,"Moderado",IF(AD18&lt;=0.8,"Mayor","Catastrófico"))))),"")</f>
        <v/>
      </c>
      <c r="AD18" s="112" t="str">
        <f>IFERROR(IF(S18="Impacto",(O18-(+O18*V18)),IF(S18="Probabilidad",O18,"")),"")</f>
        <v/>
      </c>
      <c r="AE18" s="113" t="str">
        <f>IFERROR(IF(OR(AND(AA18="Muy Baja",AC18="Leve"),AND(AA18="Muy Baja",AC18="Menor"),AND(AA18="Baja",AC18="Leve")),"Bajo",IF(OR(AND(AA18="Muy baja",AC18="Moderado"),AND(AA18="Baja",AC18="Menor"),AND(AA18="Baja",AC18="Moderado"),AND(AA18="Media",AC18="Leve"),AND(AA18="Media",AC18="Menor"),AND(AA18="Media",AC18="Moderado"),AND(AA18="Alta",AC18="Leve"),AND(AA18="Alta",AC18="Menor")),"Moderado",IF(OR(AND(AA18="Muy Baja",AC18="Mayor"),AND(AA18="Baja",AC18="Mayor"),AND(AA18="Media",AC18="Mayor"),AND(AA18="Alta",AC18="Moderado"),AND(AA18="Alta",AC18="Mayor"),AND(AA18="Muy Alta",AC18="Leve"),AND(AA18="Muy Alta",AC18="Menor"),AND(AA18="Muy Alta",AC18="Moderado"),AND(AA18="Muy Alta",AC18="Mayor")),"Alto",IF(OR(AND(AA18="Muy Baja",AC18="Catastrófico"),AND(AA18="Baja",AC18="Catastrófico"),AND(AA18="Media",AC18="Catastrófico"),AND(AA18="Alta",AC18="Catastrófico"),AND(AA18="Muy Alta",AC18="Catastrófico")),"Extremo","")))),"")</f>
        <v/>
      </c>
      <c r="AF18" s="114"/>
      <c r="AG18" s="115"/>
      <c r="AH18" s="116"/>
      <c r="AI18" s="117"/>
      <c r="AJ18" s="117"/>
      <c r="AK18" s="115"/>
      <c r="AL18" s="116"/>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ht="26.25" customHeight="1" x14ac:dyDescent="0.3">
      <c r="A19" s="217"/>
      <c r="B19" s="273"/>
      <c r="C19" s="273"/>
      <c r="D19" s="276"/>
      <c r="E19" s="147"/>
      <c r="F19" s="278"/>
      <c r="G19" s="148"/>
      <c r="H19" s="263"/>
      <c r="I19" s="266"/>
      <c r="J19" s="260"/>
      <c r="K19" s="254"/>
      <c r="L19" s="257"/>
      <c r="M19" s="254">
        <f ca="1">IF(NOT(ISERROR(MATCH(L19,_xlfn.ANCHORARRAY(F30),0))),K32&amp;"Por favor no seleccionar los criterios de impacto",L19)</f>
        <v>0</v>
      </c>
      <c r="N19" s="260"/>
      <c r="O19" s="254"/>
      <c r="P19" s="269"/>
      <c r="Q19" s="105">
        <v>2</v>
      </c>
      <c r="R19" s="106"/>
      <c r="S19" s="107" t="str">
        <f>IF(OR(T19="Preventivo",T19="Detectivo"),"Probabilidad",IF(T19="Correctivo","Impacto",""))</f>
        <v/>
      </c>
      <c r="T19" s="108"/>
      <c r="U19" s="108"/>
      <c r="V19" s="109" t="str">
        <f t="shared" ref="V19:V23" si="28">IF(AND(T19="Preventivo",U19="Automático"),"50%",IF(AND(T19="Preventivo",U19="Manual"),"40%",IF(AND(T19="Detectivo",U19="Automático"),"40%",IF(AND(T19="Detectivo",U19="Manual"),"30%",IF(AND(T19="Correctivo",U19="Automático"),"35%",IF(AND(T19="Correctivo",U19="Manual"),"25%",""))))))</f>
        <v/>
      </c>
      <c r="W19" s="108"/>
      <c r="X19" s="108"/>
      <c r="Y19" s="108"/>
      <c r="Z19" s="110" t="str">
        <f>IFERROR(IF(AND(S18="Probabilidad",S19="Probabilidad"),(AB18-(+AB18*V19)),IF(AND(S18="Impacto",S19="Probabilidad"),(AB17-(+AB17*V19)),IF(S19="Impacto",AB18,""))),"")</f>
        <v/>
      </c>
      <c r="AA19" s="111" t="str">
        <f t="shared" ref="AA19:AA23" si="29">IFERROR(IF(Z19="","",IF(Z19&lt;=0.2,"Muy Baja",IF(Z19&lt;=0.4,"Baja",IF(Z19&lt;=0.6,"Media",IF(Z19&lt;=0.8,"Alta","Muy Alta"))))),"")</f>
        <v/>
      </c>
      <c r="AB19" s="112" t="str">
        <f t="shared" ref="AB19:AB23" si="30">+Z19</f>
        <v/>
      </c>
      <c r="AC19" s="111" t="str">
        <f t="shared" ref="AC19:AC23" si="31">IFERROR(IF(AD19="","",IF(AD19&lt;=0.2,"Leve",IF(AD19&lt;=0.4,"Menor",IF(AD19&lt;=0.6,"Moderado",IF(AD19&lt;=0.8,"Mayor","Catastrófico"))))),"")</f>
        <v/>
      </c>
      <c r="AD19" s="112" t="str">
        <f>IFERROR(IF(AND(S18="Impacto",S19="Impacto"),(AD18-(+AD18*V19)),IF(AND(S18="Probabilidad",S19="Impacto"),(AD17-(+AD17*V19)),IF(S19="Probabilidad",AD18,""))),"")</f>
        <v/>
      </c>
      <c r="AE19" s="113" t="str">
        <f t="shared" ref="AE19:AE23" si="32">IFERROR(IF(OR(AND(AA19="Muy Baja",AC19="Leve"),AND(AA19="Muy Baja",AC19="Menor"),AND(AA19="Baja",AC19="Leve")),"Bajo",IF(OR(AND(AA19="Muy baja",AC19="Moderado"),AND(AA19="Baja",AC19="Menor"),AND(AA19="Baja",AC19="Moderado"),AND(AA19="Media",AC19="Leve"),AND(AA19="Media",AC19="Menor"),AND(AA19="Media",AC19="Moderado"),AND(AA19="Alta",AC19="Leve"),AND(AA19="Alta",AC19="Menor")),"Moderado",IF(OR(AND(AA19="Muy Baja",AC19="Mayor"),AND(AA19="Baja",AC19="Mayor"),AND(AA19="Media",AC19="Mayor"),AND(AA19="Alta",AC19="Moderado"),AND(AA19="Alta",AC19="Mayor"),AND(AA19="Muy Alta",AC19="Leve"),AND(AA19="Muy Alta",AC19="Menor"),AND(AA19="Muy Alta",AC19="Moderado"),AND(AA19="Muy Alta",AC19="Mayor")),"Alto",IF(OR(AND(AA19="Muy Baja",AC19="Catastrófico"),AND(AA19="Baja",AC19="Catastrófico"),AND(AA19="Media",AC19="Catastrófico"),AND(AA19="Alta",AC19="Catastrófico"),AND(AA19="Muy Alta",AC19="Catastrófico")),"Extremo","")))),"")</f>
        <v/>
      </c>
      <c r="AF19" s="114"/>
      <c r="AG19" s="115"/>
      <c r="AH19" s="116"/>
      <c r="AI19" s="117"/>
      <c r="AJ19" s="117"/>
      <c r="AK19" s="115"/>
      <c r="AL19" s="116"/>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row>
    <row r="20" spans="1:70" ht="26.25" customHeight="1" x14ac:dyDescent="0.3">
      <c r="A20" s="217"/>
      <c r="B20" s="273"/>
      <c r="C20" s="273"/>
      <c r="D20" s="276"/>
      <c r="E20" s="147"/>
      <c r="F20" s="278"/>
      <c r="G20" s="148"/>
      <c r="H20" s="263"/>
      <c r="I20" s="266"/>
      <c r="J20" s="260"/>
      <c r="K20" s="254"/>
      <c r="L20" s="257"/>
      <c r="M20" s="254">
        <f ca="1">IF(NOT(ISERROR(MATCH(L20,_xlfn.ANCHORARRAY(F31),0))),K33&amp;"Por favor no seleccionar los criterios de impacto",L20)</f>
        <v>0</v>
      </c>
      <c r="N20" s="260"/>
      <c r="O20" s="254"/>
      <c r="P20" s="269"/>
      <c r="Q20" s="105">
        <v>3</v>
      </c>
      <c r="R20" s="118"/>
      <c r="S20" s="107" t="str">
        <f>IF(OR(T20="Preventivo",T20="Detectivo"),"Probabilidad",IF(T20="Correctivo","Impacto",""))</f>
        <v/>
      </c>
      <c r="T20" s="108"/>
      <c r="U20" s="108"/>
      <c r="V20" s="109" t="str">
        <f t="shared" si="28"/>
        <v/>
      </c>
      <c r="W20" s="108"/>
      <c r="X20" s="108"/>
      <c r="Y20" s="108"/>
      <c r="Z20" s="110" t="str">
        <f t="shared" ref="Z20:Z23" si="33">IFERROR(IF(AND(S19="Probabilidad",S20="Probabilidad"),(AB19-(+AB19*V20)),IF(AND(S19="Impacto",S20="Probabilidad"),(AB18-(+AB18*V20)),IF(S20="Impacto",AB19,""))),"")</f>
        <v/>
      </c>
      <c r="AA20" s="111" t="str">
        <f t="shared" si="29"/>
        <v/>
      </c>
      <c r="AB20" s="112" t="str">
        <f t="shared" si="30"/>
        <v/>
      </c>
      <c r="AC20" s="111" t="str">
        <f t="shared" si="31"/>
        <v/>
      </c>
      <c r="AD20" s="112" t="str">
        <f t="shared" ref="AD20:AD23" si="34">IFERROR(IF(AND(S19="Impacto",S20="Impacto"),(AD19-(+AD19*V20)),IF(AND(S19="Probabilidad",S20="Impacto"),(AD18-(+AD18*V20)),IF(S20="Probabilidad",AD19,""))),"")</f>
        <v/>
      </c>
      <c r="AE20" s="113" t="str">
        <f t="shared" si="32"/>
        <v/>
      </c>
      <c r="AF20" s="114"/>
      <c r="AG20" s="115"/>
      <c r="AH20" s="116"/>
      <c r="AI20" s="117"/>
      <c r="AJ20" s="117"/>
      <c r="AK20" s="115"/>
      <c r="AL20" s="116"/>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row>
    <row r="21" spans="1:70" ht="26.25" customHeight="1" x14ac:dyDescent="0.3">
      <c r="A21" s="217"/>
      <c r="B21" s="273"/>
      <c r="C21" s="273"/>
      <c r="D21" s="276"/>
      <c r="E21" s="147"/>
      <c r="F21" s="278"/>
      <c r="G21" s="148"/>
      <c r="H21" s="263"/>
      <c r="I21" s="266"/>
      <c r="J21" s="260"/>
      <c r="K21" s="254"/>
      <c r="L21" s="257"/>
      <c r="M21" s="254">
        <f ca="1">IF(NOT(ISERROR(MATCH(L21,_xlfn.ANCHORARRAY(F32),0))),K34&amp;"Por favor no seleccionar los criterios de impacto",L21)</f>
        <v>0</v>
      </c>
      <c r="N21" s="260"/>
      <c r="O21" s="254"/>
      <c r="P21" s="269"/>
      <c r="Q21" s="105">
        <v>4</v>
      </c>
      <c r="R21" s="106"/>
      <c r="S21" s="107" t="str">
        <f t="shared" ref="S21:S23" si="35">IF(OR(T21="Preventivo",T21="Detectivo"),"Probabilidad",IF(T21="Correctivo","Impacto",""))</f>
        <v/>
      </c>
      <c r="T21" s="108"/>
      <c r="U21" s="108"/>
      <c r="V21" s="109" t="str">
        <f t="shared" si="28"/>
        <v/>
      </c>
      <c r="W21" s="108"/>
      <c r="X21" s="108"/>
      <c r="Y21" s="108"/>
      <c r="Z21" s="110" t="str">
        <f t="shared" si="33"/>
        <v/>
      </c>
      <c r="AA21" s="111" t="str">
        <f t="shared" si="29"/>
        <v/>
      </c>
      <c r="AB21" s="112" t="str">
        <f t="shared" si="30"/>
        <v/>
      </c>
      <c r="AC21" s="111" t="str">
        <f t="shared" si="31"/>
        <v/>
      </c>
      <c r="AD21" s="112" t="str">
        <f t="shared" si="34"/>
        <v/>
      </c>
      <c r="AE21" s="113" t="str">
        <f t="shared" si="32"/>
        <v/>
      </c>
      <c r="AF21" s="114"/>
      <c r="AG21" s="115"/>
      <c r="AH21" s="116"/>
      <c r="AI21" s="117"/>
      <c r="AJ21" s="117"/>
      <c r="AK21" s="115"/>
      <c r="AL21" s="116"/>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ht="26.25" customHeight="1" x14ac:dyDescent="0.3">
      <c r="A22" s="217"/>
      <c r="B22" s="273"/>
      <c r="C22" s="273"/>
      <c r="D22" s="276"/>
      <c r="E22" s="147"/>
      <c r="F22" s="278"/>
      <c r="G22" s="148"/>
      <c r="H22" s="263"/>
      <c r="I22" s="266"/>
      <c r="J22" s="260"/>
      <c r="K22" s="254"/>
      <c r="L22" s="257"/>
      <c r="M22" s="254">
        <f ca="1">IF(NOT(ISERROR(MATCH(L22,_xlfn.ANCHORARRAY(F33),0))),K35&amp;"Por favor no seleccionar los criterios de impacto",L22)</f>
        <v>0</v>
      </c>
      <c r="N22" s="260"/>
      <c r="O22" s="254"/>
      <c r="P22" s="269"/>
      <c r="Q22" s="105">
        <v>5</v>
      </c>
      <c r="R22" s="106"/>
      <c r="S22" s="107" t="str">
        <f t="shared" si="35"/>
        <v/>
      </c>
      <c r="T22" s="108"/>
      <c r="U22" s="108"/>
      <c r="V22" s="109" t="str">
        <f t="shared" si="28"/>
        <v/>
      </c>
      <c r="W22" s="108"/>
      <c r="X22" s="108"/>
      <c r="Y22" s="108"/>
      <c r="Z22" s="110" t="str">
        <f t="shared" si="33"/>
        <v/>
      </c>
      <c r="AA22" s="111" t="str">
        <f t="shared" si="29"/>
        <v/>
      </c>
      <c r="AB22" s="112" t="str">
        <f t="shared" si="30"/>
        <v/>
      </c>
      <c r="AC22" s="111" t="str">
        <f t="shared" si="31"/>
        <v/>
      </c>
      <c r="AD22" s="112" t="str">
        <f t="shared" si="34"/>
        <v/>
      </c>
      <c r="AE22" s="113" t="str">
        <f t="shared" si="32"/>
        <v/>
      </c>
      <c r="AF22" s="114"/>
      <c r="AG22" s="115"/>
      <c r="AH22" s="116"/>
      <c r="AI22" s="117"/>
      <c r="AJ22" s="117"/>
      <c r="AK22" s="115"/>
      <c r="AL22" s="116"/>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row>
    <row r="23" spans="1:70" ht="26.25" customHeight="1" x14ac:dyDescent="0.3">
      <c r="A23" s="271"/>
      <c r="B23" s="274"/>
      <c r="C23" s="274"/>
      <c r="D23" s="277"/>
      <c r="E23" s="147"/>
      <c r="F23" s="278"/>
      <c r="G23" s="148"/>
      <c r="H23" s="264"/>
      <c r="I23" s="267"/>
      <c r="J23" s="261"/>
      <c r="K23" s="255"/>
      <c r="L23" s="258"/>
      <c r="M23" s="255">
        <f ca="1">IF(NOT(ISERROR(MATCH(L23,_xlfn.ANCHORARRAY(F34),0))),K36&amp;"Por favor no seleccionar los criterios de impacto",L23)</f>
        <v>0</v>
      </c>
      <c r="N23" s="261"/>
      <c r="O23" s="255"/>
      <c r="P23" s="270"/>
      <c r="Q23" s="105">
        <v>6</v>
      </c>
      <c r="R23" s="106"/>
      <c r="S23" s="107" t="str">
        <f t="shared" si="35"/>
        <v/>
      </c>
      <c r="T23" s="108"/>
      <c r="U23" s="108"/>
      <c r="V23" s="109" t="str">
        <f t="shared" si="28"/>
        <v/>
      </c>
      <c r="W23" s="108"/>
      <c r="X23" s="108"/>
      <c r="Y23" s="108"/>
      <c r="Z23" s="110" t="str">
        <f t="shared" si="33"/>
        <v/>
      </c>
      <c r="AA23" s="111" t="str">
        <f t="shared" si="29"/>
        <v/>
      </c>
      <c r="AB23" s="112" t="str">
        <f t="shared" si="30"/>
        <v/>
      </c>
      <c r="AC23" s="111" t="str">
        <f t="shared" si="31"/>
        <v/>
      </c>
      <c r="AD23" s="112" t="str">
        <f t="shared" si="34"/>
        <v/>
      </c>
      <c r="AE23" s="113" t="str">
        <f t="shared" si="32"/>
        <v/>
      </c>
      <c r="AF23" s="114"/>
      <c r="AG23" s="115"/>
      <c r="AH23" s="116"/>
      <c r="AI23" s="117"/>
      <c r="AJ23" s="117"/>
      <c r="AK23" s="115"/>
      <c r="AL23" s="116"/>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row>
    <row r="24" spans="1:70" ht="26.25" customHeight="1" x14ac:dyDescent="0.3">
      <c r="A24" s="216">
        <v>4</v>
      </c>
      <c r="B24" s="272"/>
      <c r="C24" s="272"/>
      <c r="D24" s="275"/>
      <c r="E24" s="147"/>
      <c r="F24" s="278"/>
      <c r="G24" s="148"/>
      <c r="H24" s="262"/>
      <c r="I24" s="265"/>
      <c r="J24" s="259" t="str">
        <f t="shared" ref="J24" si="36">IF(I24&lt;=0,"",IF(I24&lt;=2,"Muy Baja",IF(I24&lt;=24,"Baja",IF(I24&lt;=500,"Media",IF(I24&lt;=5000,"Alta","Muy Alta")))))</f>
        <v/>
      </c>
      <c r="K24" s="253" t="str">
        <f t="shared" ref="K24" si="37">IF(J24="","",IF(J24="Muy Baja",0.2,IF(J24="Baja",0.4,IF(J24="Media",0.6,IF(J24="Alta",0.8,IF(J24="Muy Alta",1,))))))</f>
        <v/>
      </c>
      <c r="L24" s="256"/>
      <c r="M24" s="253">
        <f ca="1">IF(NOT(ISERROR(MATCH(L24,'Tabla Impacto'!$B$221:$B$223,0))),'Tabla Impacto'!$F$223&amp;"Por favor no seleccionar los criterios de impacto(Afectación Económica o presupuestal y Pérdida Reputacional)",L24)</f>
        <v>0</v>
      </c>
      <c r="N24" s="259" t="str">
        <f ca="1">IF(OR(M24='Tabla Impacto'!$C$11,M24='Tabla Impacto'!$D$11),"Leve",IF(OR(M24='Tabla Impacto'!$C$12,M24='Tabla Impacto'!$D$12),"Menor",IF(OR(M24='Tabla Impacto'!$C$13,M24='Tabla Impacto'!$D$13),"Moderado",IF(OR(M24='Tabla Impacto'!$C$14,M24='Tabla Impacto'!$D$14),"Mayor",IF(OR(M24='Tabla Impacto'!$C$15,M24='Tabla Impacto'!$D$15),"Catastrófico","")))))</f>
        <v/>
      </c>
      <c r="O24" s="253" t="str">
        <f t="shared" ref="O24" ca="1" si="38">IF(N24="","",IF(N24="Leve",0.2,IF(N24="Menor",0.4,IF(N24="Moderado",0.6,IF(N24="Mayor",0.8,IF(N24="Catastrófico",1,))))))</f>
        <v/>
      </c>
      <c r="P24" s="268" t="str">
        <f t="shared" ref="P24" ca="1" si="39">IF(OR(AND(J24="Muy Baja",N24="Leve"),AND(J24="Muy Baja",N24="Menor"),AND(J24="Baja",N24="Leve")),"Bajo",IF(OR(AND(J24="Muy baja",N24="Moderado"),AND(J24="Baja",N24="Menor"),AND(J24="Baja",N24="Moderado"),AND(J24="Media",N24="Leve"),AND(J24="Media",N24="Menor"),AND(J24="Media",N24="Moderado"),AND(J24="Alta",N24="Leve"),AND(J24="Alta",N24="Menor")),"Moderado",IF(OR(AND(J24="Muy Baja",N24="Mayor"),AND(J24="Baja",N24="Mayor"),AND(J24="Media",N24="Mayor"),AND(J24="Alta",N24="Moderado"),AND(J24="Alta",N24="Mayor"),AND(J24="Muy Alta",N24="Leve"),AND(J24="Muy Alta",N24="Menor"),AND(J24="Muy Alta",N24="Moderado"),AND(J24="Muy Alta",N24="Mayor")),"Alto",IF(OR(AND(J24="Muy Baja",N24="Catastrófico"),AND(J24="Baja",N24="Catastrófico"),AND(J24="Media",N24="Catastrófico"),AND(J24="Alta",N24="Catastrófico"),AND(J24="Muy Alta",N24="Catastrófico")),"Extremo",""))))</f>
        <v/>
      </c>
      <c r="Q24" s="105">
        <v>1</v>
      </c>
      <c r="R24" s="106"/>
      <c r="S24" s="107" t="str">
        <f>IF(OR(T24="Preventivo",T24="Detectivo"),"Probabilidad",IF(T24="Correctivo","Impacto",""))</f>
        <v/>
      </c>
      <c r="T24" s="108"/>
      <c r="U24" s="108"/>
      <c r="V24" s="109" t="str">
        <f>IF(AND(T24="Preventivo",U24="Automático"),"50%",IF(AND(T24="Preventivo",U24="Manual"),"40%",IF(AND(T24="Detectivo",U24="Automático"),"40%",IF(AND(T24="Detectivo",U24="Manual"),"30%",IF(AND(T24="Correctivo",U24="Automático"),"35%",IF(AND(T24="Correctivo",U24="Manual"),"25%",""))))))</f>
        <v/>
      </c>
      <c r="W24" s="108"/>
      <c r="X24" s="108"/>
      <c r="Y24" s="108"/>
      <c r="Z24" s="110" t="str">
        <f>IFERROR(IF(S24="Probabilidad",(K24-(+K24*V24)),IF(S24="Impacto",K24,"")),"")</f>
        <v/>
      </c>
      <c r="AA24" s="111" t="str">
        <f>IFERROR(IF(Z24="","",IF(Z24&lt;=0.2,"Muy Baja",IF(Z24&lt;=0.4,"Baja",IF(Z24&lt;=0.6,"Media",IF(Z24&lt;=0.8,"Alta","Muy Alta"))))),"")</f>
        <v/>
      </c>
      <c r="AB24" s="112" t="str">
        <f>+Z24</f>
        <v/>
      </c>
      <c r="AC24" s="111" t="str">
        <f>IFERROR(IF(AD24="","",IF(AD24&lt;=0.2,"Leve",IF(AD24&lt;=0.4,"Menor",IF(AD24&lt;=0.6,"Moderado",IF(AD24&lt;=0.8,"Mayor","Catastrófico"))))),"")</f>
        <v/>
      </c>
      <c r="AD24" s="112" t="str">
        <f>IFERROR(IF(S24="Impacto",(O24-(+O24*V24)),IF(S24="Probabilidad",O24,"")),"")</f>
        <v/>
      </c>
      <c r="AE24" s="113" t="str">
        <f>IFERROR(IF(OR(AND(AA24="Muy Baja",AC24="Leve"),AND(AA24="Muy Baja",AC24="Menor"),AND(AA24="Baja",AC24="Leve")),"Bajo",IF(OR(AND(AA24="Muy baja",AC24="Moderado"),AND(AA24="Baja",AC24="Menor"),AND(AA24="Baja",AC24="Moderado"),AND(AA24="Media",AC24="Leve"),AND(AA24="Media",AC24="Menor"),AND(AA24="Media",AC24="Moderado"),AND(AA24="Alta",AC24="Leve"),AND(AA24="Alta",AC24="Menor")),"Moderado",IF(OR(AND(AA24="Muy Baja",AC24="Mayor"),AND(AA24="Baja",AC24="Mayor"),AND(AA24="Media",AC24="Mayor"),AND(AA24="Alta",AC24="Moderado"),AND(AA24="Alta",AC24="Mayor"),AND(AA24="Muy Alta",AC24="Leve"),AND(AA24="Muy Alta",AC24="Menor"),AND(AA24="Muy Alta",AC24="Moderado"),AND(AA24="Muy Alta",AC24="Mayor")),"Alto",IF(OR(AND(AA24="Muy Baja",AC24="Catastrófico"),AND(AA24="Baja",AC24="Catastrófico"),AND(AA24="Media",AC24="Catastrófico"),AND(AA24="Alta",AC24="Catastrófico"),AND(AA24="Muy Alta",AC24="Catastrófico")),"Extremo","")))),"")</f>
        <v/>
      </c>
      <c r="AF24" s="114"/>
      <c r="AG24" s="115"/>
      <c r="AH24" s="116"/>
      <c r="AI24" s="117"/>
      <c r="AJ24" s="117"/>
      <c r="AK24" s="115"/>
      <c r="AL24" s="116"/>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row>
    <row r="25" spans="1:70" ht="26.25" customHeight="1" x14ac:dyDescent="0.3">
      <c r="A25" s="217"/>
      <c r="B25" s="273"/>
      <c r="C25" s="273"/>
      <c r="D25" s="276"/>
      <c r="E25" s="147"/>
      <c r="F25" s="278"/>
      <c r="G25" s="148"/>
      <c r="H25" s="263"/>
      <c r="I25" s="266"/>
      <c r="J25" s="260"/>
      <c r="K25" s="254"/>
      <c r="L25" s="257"/>
      <c r="M25" s="254">
        <f ca="1">IF(NOT(ISERROR(MATCH(L25,_xlfn.ANCHORARRAY(F36),0))),K38&amp;"Por favor no seleccionar los criterios de impacto",L25)</f>
        <v>0</v>
      </c>
      <c r="N25" s="260"/>
      <c r="O25" s="254"/>
      <c r="P25" s="269"/>
      <c r="Q25" s="105">
        <v>2</v>
      </c>
      <c r="R25" s="106"/>
      <c r="S25" s="107" t="str">
        <f>IF(OR(T25="Preventivo",T25="Detectivo"),"Probabilidad",IF(T25="Correctivo","Impacto",""))</f>
        <v/>
      </c>
      <c r="T25" s="108"/>
      <c r="U25" s="108"/>
      <c r="V25" s="109" t="str">
        <f t="shared" ref="V25:V29" si="40">IF(AND(T25="Preventivo",U25="Automático"),"50%",IF(AND(T25="Preventivo",U25="Manual"),"40%",IF(AND(T25="Detectivo",U25="Automático"),"40%",IF(AND(T25="Detectivo",U25="Manual"),"30%",IF(AND(T25="Correctivo",U25="Automático"),"35%",IF(AND(T25="Correctivo",U25="Manual"),"25%",""))))))</f>
        <v/>
      </c>
      <c r="W25" s="108"/>
      <c r="X25" s="108"/>
      <c r="Y25" s="108"/>
      <c r="Z25" s="110" t="str">
        <f>IFERROR(IF(AND(S24="Probabilidad",S25="Probabilidad"),(AB24-(+AB24*V25)),IF(AND(S24="Impacto",S25="Probabilidad"),(AB23-(+AB23*V25)),IF(S25="Impacto",AB24,""))),"")</f>
        <v/>
      </c>
      <c r="AA25" s="111" t="str">
        <f t="shared" ref="AA25:AA29" si="41">IFERROR(IF(Z25="","",IF(Z25&lt;=0.2,"Muy Baja",IF(Z25&lt;=0.4,"Baja",IF(Z25&lt;=0.6,"Media",IF(Z25&lt;=0.8,"Alta","Muy Alta"))))),"")</f>
        <v/>
      </c>
      <c r="AB25" s="112" t="str">
        <f t="shared" ref="AB25:AB29" si="42">+Z25</f>
        <v/>
      </c>
      <c r="AC25" s="111" t="str">
        <f t="shared" ref="AC25:AC29" si="43">IFERROR(IF(AD25="","",IF(AD25&lt;=0.2,"Leve",IF(AD25&lt;=0.4,"Menor",IF(AD25&lt;=0.6,"Moderado",IF(AD25&lt;=0.8,"Mayor","Catastrófico"))))),"")</f>
        <v/>
      </c>
      <c r="AD25" s="112" t="str">
        <f>IFERROR(IF(AND(S24="Impacto",S25="Impacto"),(AD24-(+AD24*V25)),IF(AND(S24="Probabilidad",S25="Impacto"),(AD23-(+AD23*V25)),IF(S25="Probabilidad",AD24,""))),"")</f>
        <v/>
      </c>
      <c r="AE25" s="113" t="str">
        <f t="shared" ref="AE25:AE29" si="44">IFERROR(IF(OR(AND(AA25="Muy Baja",AC25="Leve"),AND(AA25="Muy Baja",AC25="Menor"),AND(AA25="Baja",AC25="Leve")),"Bajo",IF(OR(AND(AA25="Muy baja",AC25="Moderado"),AND(AA25="Baja",AC25="Menor"),AND(AA25="Baja",AC25="Moderado"),AND(AA25="Media",AC25="Leve"),AND(AA25="Media",AC25="Menor"),AND(AA25="Media",AC25="Moderado"),AND(AA25="Alta",AC25="Leve"),AND(AA25="Alta",AC25="Menor")),"Moderado",IF(OR(AND(AA25="Muy Baja",AC25="Mayor"),AND(AA25="Baja",AC25="Mayor"),AND(AA25="Media",AC25="Mayor"),AND(AA25="Alta",AC25="Moderado"),AND(AA25="Alta",AC25="Mayor"),AND(AA25="Muy Alta",AC25="Leve"),AND(AA25="Muy Alta",AC25="Menor"),AND(AA25="Muy Alta",AC25="Moderado"),AND(AA25="Muy Alta",AC25="Mayor")),"Alto",IF(OR(AND(AA25="Muy Baja",AC25="Catastrófico"),AND(AA25="Baja",AC25="Catastrófico"),AND(AA25="Media",AC25="Catastrófico"),AND(AA25="Alta",AC25="Catastrófico"),AND(AA25="Muy Alta",AC25="Catastrófico")),"Extremo","")))),"")</f>
        <v/>
      </c>
      <c r="AF25" s="114"/>
      <c r="AG25" s="115"/>
      <c r="AH25" s="116"/>
      <c r="AI25" s="117"/>
      <c r="AJ25" s="117"/>
      <c r="AK25" s="115"/>
      <c r="AL25" s="116"/>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row>
    <row r="26" spans="1:70" ht="26.25" customHeight="1" x14ac:dyDescent="0.3">
      <c r="A26" s="217"/>
      <c r="B26" s="273"/>
      <c r="C26" s="273"/>
      <c r="D26" s="276"/>
      <c r="E26" s="147"/>
      <c r="F26" s="278"/>
      <c r="G26" s="148"/>
      <c r="H26" s="263"/>
      <c r="I26" s="266"/>
      <c r="J26" s="260"/>
      <c r="K26" s="254"/>
      <c r="L26" s="257"/>
      <c r="M26" s="254">
        <f ca="1">IF(NOT(ISERROR(MATCH(L26,_xlfn.ANCHORARRAY(F37),0))),K39&amp;"Por favor no seleccionar los criterios de impacto",L26)</f>
        <v>0</v>
      </c>
      <c r="N26" s="260"/>
      <c r="O26" s="254"/>
      <c r="P26" s="269"/>
      <c r="Q26" s="105">
        <v>3</v>
      </c>
      <c r="R26" s="118"/>
      <c r="S26" s="107" t="str">
        <f>IF(OR(T26="Preventivo",T26="Detectivo"),"Probabilidad",IF(T26="Correctivo","Impacto",""))</f>
        <v/>
      </c>
      <c r="T26" s="108"/>
      <c r="U26" s="108"/>
      <c r="V26" s="109" t="str">
        <f t="shared" si="40"/>
        <v/>
      </c>
      <c r="W26" s="108"/>
      <c r="X26" s="108"/>
      <c r="Y26" s="108"/>
      <c r="Z26" s="110" t="str">
        <f t="shared" ref="Z26:Z29" si="45">IFERROR(IF(AND(S25="Probabilidad",S26="Probabilidad"),(AB25-(+AB25*V26)),IF(AND(S25="Impacto",S26="Probabilidad"),(AB24-(+AB24*V26)),IF(S26="Impacto",AB25,""))),"")</f>
        <v/>
      </c>
      <c r="AA26" s="111" t="str">
        <f t="shared" si="41"/>
        <v/>
      </c>
      <c r="AB26" s="112" t="str">
        <f t="shared" si="42"/>
        <v/>
      </c>
      <c r="AC26" s="111" t="str">
        <f t="shared" si="43"/>
        <v/>
      </c>
      <c r="AD26" s="112" t="str">
        <f t="shared" ref="AD26:AD29" si="46">IFERROR(IF(AND(S25="Impacto",S26="Impacto"),(AD25-(+AD25*V26)),IF(AND(S25="Probabilidad",S26="Impacto"),(AD24-(+AD24*V26)),IF(S26="Probabilidad",AD25,""))),"")</f>
        <v/>
      </c>
      <c r="AE26" s="113" t="str">
        <f t="shared" si="44"/>
        <v/>
      </c>
      <c r="AF26" s="114"/>
      <c r="AG26" s="115"/>
      <c r="AH26" s="116"/>
      <c r="AI26" s="117"/>
      <c r="AJ26" s="117"/>
      <c r="AK26" s="115"/>
      <c r="AL26" s="116"/>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row>
    <row r="27" spans="1:70" ht="26.25" customHeight="1" x14ac:dyDescent="0.3">
      <c r="A27" s="217"/>
      <c r="B27" s="273"/>
      <c r="C27" s="273"/>
      <c r="D27" s="276"/>
      <c r="E27" s="147"/>
      <c r="F27" s="278"/>
      <c r="G27" s="148"/>
      <c r="H27" s="263"/>
      <c r="I27" s="266"/>
      <c r="J27" s="260"/>
      <c r="K27" s="254"/>
      <c r="L27" s="257"/>
      <c r="M27" s="254">
        <f ca="1">IF(NOT(ISERROR(MATCH(L27,_xlfn.ANCHORARRAY(F38),0))),K40&amp;"Por favor no seleccionar los criterios de impacto",L27)</f>
        <v>0</v>
      </c>
      <c r="N27" s="260"/>
      <c r="O27" s="254"/>
      <c r="P27" s="269"/>
      <c r="Q27" s="105">
        <v>4</v>
      </c>
      <c r="R27" s="106"/>
      <c r="S27" s="107" t="str">
        <f t="shared" ref="S27:S29" si="47">IF(OR(T27="Preventivo",T27="Detectivo"),"Probabilidad",IF(T27="Correctivo","Impacto",""))</f>
        <v/>
      </c>
      <c r="T27" s="108"/>
      <c r="U27" s="108"/>
      <c r="V27" s="109" t="str">
        <f t="shared" si="40"/>
        <v/>
      </c>
      <c r="W27" s="108"/>
      <c r="X27" s="108"/>
      <c r="Y27" s="108"/>
      <c r="Z27" s="110" t="str">
        <f t="shared" si="45"/>
        <v/>
      </c>
      <c r="AA27" s="111" t="str">
        <f t="shared" si="41"/>
        <v/>
      </c>
      <c r="AB27" s="112" t="str">
        <f t="shared" si="42"/>
        <v/>
      </c>
      <c r="AC27" s="111" t="str">
        <f t="shared" si="43"/>
        <v/>
      </c>
      <c r="AD27" s="112" t="str">
        <f t="shared" si="46"/>
        <v/>
      </c>
      <c r="AE27" s="113" t="str">
        <f t="shared" si="44"/>
        <v/>
      </c>
      <c r="AF27" s="114"/>
      <c r="AG27" s="115"/>
      <c r="AH27" s="116"/>
      <c r="AI27" s="117"/>
      <c r="AJ27" s="117"/>
      <c r="AK27" s="115"/>
      <c r="AL27" s="116"/>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row>
    <row r="28" spans="1:70" ht="26.25" customHeight="1" x14ac:dyDescent="0.3">
      <c r="A28" s="217"/>
      <c r="B28" s="273"/>
      <c r="C28" s="273"/>
      <c r="D28" s="276"/>
      <c r="E28" s="147"/>
      <c r="F28" s="278"/>
      <c r="G28" s="148"/>
      <c r="H28" s="263"/>
      <c r="I28" s="266"/>
      <c r="J28" s="260"/>
      <c r="K28" s="254"/>
      <c r="L28" s="257"/>
      <c r="M28" s="254">
        <f ca="1">IF(NOT(ISERROR(MATCH(L28,_xlfn.ANCHORARRAY(F39),0))),K41&amp;"Por favor no seleccionar los criterios de impacto",L28)</f>
        <v>0</v>
      </c>
      <c r="N28" s="260"/>
      <c r="O28" s="254"/>
      <c r="P28" s="269"/>
      <c r="Q28" s="105">
        <v>5</v>
      </c>
      <c r="R28" s="106"/>
      <c r="S28" s="107" t="str">
        <f t="shared" si="47"/>
        <v/>
      </c>
      <c r="T28" s="108"/>
      <c r="U28" s="108"/>
      <c r="V28" s="109" t="str">
        <f t="shared" si="40"/>
        <v/>
      </c>
      <c r="W28" s="108"/>
      <c r="X28" s="108"/>
      <c r="Y28" s="108"/>
      <c r="Z28" s="110" t="str">
        <f t="shared" si="45"/>
        <v/>
      </c>
      <c r="AA28" s="111" t="str">
        <f t="shared" si="41"/>
        <v/>
      </c>
      <c r="AB28" s="112" t="str">
        <f t="shared" si="42"/>
        <v/>
      </c>
      <c r="AC28" s="111" t="str">
        <f t="shared" si="43"/>
        <v/>
      </c>
      <c r="AD28" s="112" t="str">
        <f t="shared" si="46"/>
        <v/>
      </c>
      <c r="AE28" s="113" t="str">
        <f t="shared" si="44"/>
        <v/>
      </c>
      <c r="AF28" s="114"/>
      <c r="AG28" s="115"/>
      <c r="AH28" s="116"/>
      <c r="AI28" s="117"/>
      <c r="AJ28" s="117"/>
      <c r="AK28" s="115"/>
      <c r="AL28" s="116"/>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1:70" ht="26.25" customHeight="1" x14ac:dyDescent="0.3">
      <c r="A29" s="271"/>
      <c r="B29" s="274"/>
      <c r="C29" s="274"/>
      <c r="D29" s="277"/>
      <c r="E29" s="147"/>
      <c r="F29" s="278"/>
      <c r="G29" s="148"/>
      <c r="H29" s="264"/>
      <c r="I29" s="267"/>
      <c r="J29" s="261"/>
      <c r="K29" s="255"/>
      <c r="L29" s="258"/>
      <c r="M29" s="255">
        <f ca="1">IF(NOT(ISERROR(MATCH(L29,_xlfn.ANCHORARRAY(F40),0))),K42&amp;"Por favor no seleccionar los criterios de impacto",L29)</f>
        <v>0</v>
      </c>
      <c r="N29" s="261"/>
      <c r="O29" s="255"/>
      <c r="P29" s="270"/>
      <c r="Q29" s="105">
        <v>6</v>
      </c>
      <c r="R29" s="106"/>
      <c r="S29" s="107" t="str">
        <f t="shared" si="47"/>
        <v/>
      </c>
      <c r="T29" s="108"/>
      <c r="U29" s="108"/>
      <c r="V29" s="109" t="str">
        <f t="shared" si="40"/>
        <v/>
      </c>
      <c r="W29" s="108"/>
      <c r="X29" s="108"/>
      <c r="Y29" s="108"/>
      <c r="Z29" s="110" t="str">
        <f t="shared" si="45"/>
        <v/>
      </c>
      <c r="AA29" s="111" t="str">
        <f t="shared" si="41"/>
        <v/>
      </c>
      <c r="AB29" s="112" t="str">
        <f t="shared" si="42"/>
        <v/>
      </c>
      <c r="AC29" s="111" t="str">
        <f t="shared" si="43"/>
        <v/>
      </c>
      <c r="AD29" s="112" t="str">
        <f t="shared" si="46"/>
        <v/>
      </c>
      <c r="AE29" s="113" t="str">
        <f t="shared" si="44"/>
        <v/>
      </c>
      <c r="AF29" s="114"/>
      <c r="AG29" s="115"/>
      <c r="AH29" s="116"/>
      <c r="AI29" s="117"/>
      <c r="AJ29" s="117"/>
      <c r="AK29" s="115"/>
      <c r="AL29" s="116"/>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row>
    <row r="30" spans="1:70" ht="26.25" customHeight="1" x14ac:dyDescent="0.3">
      <c r="A30" s="216">
        <v>5</v>
      </c>
      <c r="B30" s="272"/>
      <c r="C30" s="272"/>
      <c r="D30" s="275"/>
      <c r="E30" s="147"/>
      <c r="F30" s="278"/>
      <c r="G30" s="148"/>
      <c r="H30" s="262"/>
      <c r="I30" s="265"/>
      <c r="J30" s="259" t="str">
        <f t="shared" ref="J30" si="48">IF(I30&lt;=0,"",IF(I30&lt;=2,"Muy Baja",IF(I30&lt;=24,"Baja",IF(I30&lt;=500,"Media",IF(I30&lt;=5000,"Alta","Muy Alta")))))</f>
        <v/>
      </c>
      <c r="K30" s="253" t="str">
        <f t="shared" ref="K30" si="49">IF(J30="","",IF(J30="Muy Baja",0.2,IF(J30="Baja",0.4,IF(J30="Media",0.6,IF(J30="Alta",0.8,IF(J30="Muy Alta",1,))))))</f>
        <v/>
      </c>
      <c r="L30" s="256"/>
      <c r="M30" s="253">
        <f ca="1">IF(NOT(ISERROR(MATCH(L30,'Tabla Impacto'!$B$221:$B$223,0))),'Tabla Impacto'!$F$223&amp;"Por favor no seleccionar los criterios de impacto(Afectación Económica o presupuestal y Pérdida Reputacional)",L30)</f>
        <v>0</v>
      </c>
      <c r="N30" s="259" t="str">
        <f ca="1">IF(OR(M30='Tabla Impacto'!$C$11,M30='Tabla Impacto'!$D$11),"Leve",IF(OR(M30='Tabla Impacto'!$C$12,M30='Tabla Impacto'!$D$12),"Menor",IF(OR(M30='Tabla Impacto'!$C$13,M30='Tabla Impacto'!$D$13),"Moderado",IF(OR(M30='Tabla Impacto'!$C$14,M30='Tabla Impacto'!$D$14),"Mayor",IF(OR(M30='Tabla Impacto'!$C$15,M30='Tabla Impacto'!$D$15),"Catastrófico","")))))</f>
        <v/>
      </c>
      <c r="O30" s="253" t="str">
        <f t="shared" ref="O30" ca="1" si="50">IF(N30="","",IF(N30="Leve",0.2,IF(N30="Menor",0.4,IF(N30="Moderado",0.6,IF(N30="Mayor",0.8,IF(N30="Catastrófico",1,))))))</f>
        <v/>
      </c>
      <c r="P30" s="268" t="str">
        <f t="shared" ref="P30" ca="1" si="51">IF(OR(AND(J30="Muy Baja",N30="Leve"),AND(J30="Muy Baja",N30="Menor"),AND(J30="Baja",N30="Leve")),"Bajo",IF(OR(AND(J30="Muy baja",N30="Moderado"),AND(J30="Baja",N30="Menor"),AND(J30="Baja",N30="Moderado"),AND(J30="Media",N30="Leve"),AND(J30="Media",N30="Menor"),AND(J30="Media",N30="Moderado"),AND(J30="Alta",N30="Leve"),AND(J30="Alta",N30="Menor")),"Moderado",IF(OR(AND(J30="Muy Baja",N30="Mayor"),AND(J30="Baja",N30="Mayor"),AND(J30="Media",N30="Mayor"),AND(J30="Alta",N30="Moderado"),AND(J30="Alta",N30="Mayor"),AND(J30="Muy Alta",N30="Leve"),AND(J30="Muy Alta",N30="Menor"),AND(J30="Muy Alta",N30="Moderado"),AND(J30="Muy Alta",N30="Mayor")),"Alto",IF(OR(AND(J30="Muy Baja",N30="Catastrófico"),AND(J30="Baja",N30="Catastrófico"),AND(J30="Media",N30="Catastrófico"),AND(J30="Alta",N30="Catastrófico"),AND(J30="Muy Alta",N30="Catastrófico")),"Extremo",""))))</f>
        <v/>
      </c>
      <c r="Q30" s="105">
        <v>1</v>
      </c>
      <c r="R30" s="106"/>
      <c r="S30" s="107" t="s">
        <v>214</v>
      </c>
      <c r="T30" s="108"/>
      <c r="U30" s="108"/>
      <c r="V30" s="109" t="s">
        <v>214</v>
      </c>
      <c r="W30" s="108"/>
      <c r="X30" s="108"/>
      <c r="Y30" s="108"/>
      <c r="Z30" s="110" t="s">
        <v>214</v>
      </c>
      <c r="AA30" s="111" t="s">
        <v>214</v>
      </c>
      <c r="AB30" s="112" t="s">
        <v>214</v>
      </c>
      <c r="AC30" s="111" t="s">
        <v>214</v>
      </c>
      <c r="AD30" s="112" t="s">
        <v>214</v>
      </c>
      <c r="AE30" s="113" t="s">
        <v>214</v>
      </c>
      <c r="AF30" s="114"/>
      <c r="AG30" s="115"/>
      <c r="AH30" s="116"/>
      <c r="AI30" s="117"/>
      <c r="AJ30" s="117"/>
      <c r="AK30" s="115"/>
      <c r="AL30" s="116"/>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row>
    <row r="31" spans="1:70" ht="26.25" customHeight="1" x14ac:dyDescent="0.3">
      <c r="A31" s="217"/>
      <c r="B31" s="273"/>
      <c r="C31" s="273"/>
      <c r="D31" s="276"/>
      <c r="E31" s="147"/>
      <c r="F31" s="278"/>
      <c r="G31" s="148"/>
      <c r="H31" s="263"/>
      <c r="I31" s="266"/>
      <c r="J31" s="260"/>
      <c r="K31" s="254"/>
      <c r="L31" s="257"/>
      <c r="M31" s="254">
        <f ca="1">IF(NOT(ISERROR(MATCH(L31,_xlfn.ANCHORARRAY(F42),0))),K44&amp;"Por favor no seleccionar los criterios de impacto",L31)</f>
        <v>0</v>
      </c>
      <c r="N31" s="260"/>
      <c r="O31" s="254"/>
      <c r="P31" s="269"/>
      <c r="Q31" s="105">
        <v>2</v>
      </c>
      <c r="R31" s="106"/>
      <c r="S31" s="107" t="s">
        <v>214</v>
      </c>
      <c r="T31" s="108"/>
      <c r="U31" s="108"/>
      <c r="V31" s="109" t="s">
        <v>214</v>
      </c>
      <c r="W31" s="108"/>
      <c r="X31" s="108"/>
      <c r="Y31" s="108"/>
      <c r="Z31" s="110" t="s">
        <v>214</v>
      </c>
      <c r="AA31" s="111" t="s">
        <v>214</v>
      </c>
      <c r="AB31" s="112" t="s">
        <v>214</v>
      </c>
      <c r="AC31" s="111" t="s">
        <v>214</v>
      </c>
      <c r="AD31" s="112" t="s">
        <v>214</v>
      </c>
      <c r="AE31" s="113" t="s">
        <v>214</v>
      </c>
      <c r="AF31" s="114"/>
      <c r="AG31" s="115"/>
      <c r="AH31" s="116"/>
      <c r="AI31" s="117"/>
      <c r="AJ31" s="117"/>
      <c r="AK31" s="115"/>
      <c r="AL31" s="116"/>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1:70" ht="26.25" customHeight="1" x14ac:dyDescent="0.3">
      <c r="A32" s="217"/>
      <c r="B32" s="273"/>
      <c r="C32" s="273"/>
      <c r="D32" s="276"/>
      <c r="E32" s="147"/>
      <c r="F32" s="278"/>
      <c r="G32" s="148"/>
      <c r="H32" s="263"/>
      <c r="I32" s="266"/>
      <c r="J32" s="260"/>
      <c r="K32" s="254"/>
      <c r="L32" s="257"/>
      <c r="M32" s="254">
        <f ca="1">IF(NOT(ISERROR(MATCH(L32,_xlfn.ANCHORARRAY(F43),0))),K45&amp;"Por favor no seleccionar los criterios de impacto",L32)</f>
        <v>0</v>
      </c>
      <c r="N32" s="260"/>
      <c r="O32" s="254"/>
      <c r="P32" s="269"/>
      <c r="Q32" s="105">
        <v>3</v>
      </c>
      <c r="R32" s="118"/>
      <c r="S32" s="107" t="s">
        <v>214</v>
      </c>
      <c r="T32" s="108"/>
      <c r="U32" s="108"/>
      <c r="V32" s="109" t="s">
        <v>214</v>
      </c>
      <c r="W32" s="108"/>
      <c r="X32" s="108"/>
      <c r="Y32" s="108"/>
      <c r="Z32" s="110" t="s">
        <v>214</v>
      </c>
      <c r="AA32" s="111" t="s">
        <v>214</v>
      </c>
      <c r="AB32" s="112" t="s">
        <v>214</v>
      </c>
      <c r="AC32" s="111" t="s">
        <v>214</v>
      </c>
      <c r="AD32" s="112" t="s">
        <v>214</v>
      </c>
      <c r="AE32" s="113" t="s">
        <v>214</v>
      </c>
      <c r="AF32" s="114"/>
      <c r="AG32" s="115"/>
      <c r="AH32" s="116"/>
      <c r="AI32" s="117"/>
      <c r="AJ32" s="117"/>
      <c r="AK32" s="115"/>
      <c r="AL32" s="116"/>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1:70" ht="26.25" customHeight="1" x14ac:dyDescent="0.3">
      <c r="A33" s="217"/>
      <c r="B33" s="273"/>
      <c r="C33" s="273"/>
      <c r="D33" s="276"/>
      <c r="E33" s="147"/>
      <c r="F33" s="278"/>
      <c r="G33" s="148"/>
      <c r="H33" s="263"/>
      <c r="I33" s="266"/>
      <c r="J33" s="260"/>
      <c r="K33" s="254"/>
      <c r="L33" s="257"/>
      <c r="M33" s="254">
        <f ca="1">IF(NOT(ISERROR(MATCH(L33,_xlfn.ANCHORARRAY(F44),0))),K46&amp;"Por favor no seleccionar los criterios de impacto",L33)</f>
        <v>0</v>
      </c>
      <c r="N33" s="260"/>
      <c r="O33" s="254"/>
      <c r="P33" s="269"/>
      <c r="Q33" s="105">
        <v>4</v>
      </c>
      <c r="R33" s="106"/>
      <c r="S33" s="107" t="s">
        <v>214</v>
      </c>
      <c r="T33" s="108"/>
      <c r="U33" s="108"/>
      <c r="V33" s="109" t="s">
        <v>214</v>
      </c>
      <c r="W33" s="108"/>
      <c r="X33" s="108"/>
      <c r="Y33" s="108"/>
      <c r="Z33" s="110" t="s">
        <v>214</v>
      </c>
      <c r="AA33" s="111" t="s">
        <v>214</v>
      </c>
      <c r="AB33" s="112" t="s">
        <v>214</v>
      </c>
      <c r="AC33" s="111" t="s">
        <v>214</v>
      </c>
      <c r="AD33" s="112" t="s">
        <v>214</v>
      </c>
      <c r="AE33" s="113" t="s">
        <v>214</v>
      </c>
      <c r="AF33" s="114"/>
      <c r="AG33" s="115"/>
      <c r="AH33" s="116"/>
      <c r="AI33" s="117"/>
      <c r="AJ33" s="117"/>
      <c r="AK33" s="115"/>
      <c r="AL33" s="116"/>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1:70" ht="26.25" customHeight="1" x14ac:dyDescent="0.3">
      <c r="A34" s="217"/>
      <c r="B34" s="273"/>
      <c r="C34" s="273"/>
      <c r="D34" s="276"/>
      <c r="E34" s="147"/>
      <c r="F34" s="278"/>
      <c r="G34" s="148"/>
      <c r="H34" s="263"/>
      <c r="I34" s="266"/>
      <c r="J34" s="260"/>
      <c r="K34" s="254"/>
      <c r="L34" s="257"/>
      <c r="M34" s="254">
        <f ca="1">IF(NOT(ISERROR(MATCH(L34,_xlfn.ANCHORARRAY(F45),0))),K47&amp;"Por favor no seleccionar los criterios de impacto",L34)</f>
        <v>0</v>
      </c>
      <c r="N34" s="260"/>
      <c r="O34" s="254"/>
      <c r="P34" s="269"/>
      <c r="Q34" s="105">
        <v>5</v>
      </c>
      <c r="R34" s="106"/>
      <c r="S34" s="107" t="s">
        <v>214</v>
      </c>
      <c r="T34" s="108"/>
      <c r="U34" s="108"/>
      <c r="V34" s="109" t="s">
        <v>214</v>
      </c>
      <c r="W34" s="108"/>
      <c r="X34" s="108"/>
      <c r="Y34" s="108"/>
      <c r="Z34" s="110" t="s">
        <v>214</v>
      </c>
      <c r="AA34" s="111" t="s">
        <v>214</v>
      </c>
      <c r="AB34" s="112" t="s">
        <v>214</v>
      </c>
      <c r="AC34" s="111" t="s">
        <v>214</v>
      </c>
      <c r="AD34" s="112" t="s">
        <v>214</v>
      </c>
      <c r="AE34" s="113" t="s">
        <v>214</v>
      </c>
      <c r="AF34" s="114"/>
      <c r="AG34" s="115"/>
      <c r="AH34" s="116"/>
      <c r="AI34" s="117"/>
      <c r="AJ34" s="117"/>
      <c r="AK34" s="115"/>
      <c r="AL34" s="116"/>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1:70" ht="26.25" customHeight="1" x14ac:dyDescent="0.3">
      <c r="A35" s="271"/>
      <c r="B35" s="274"/>
      <c r="C35" s="274"/>
      <c r="D35" s="277"/>
      <c r="E35" s="147"/>
      <c r="F35" s="278"/>
      <c r="G35" s="148"/>
      <c r="H35" s="264"/>
      <c r="I35" s="267"/>
      <c r="J35" s="261"/>
      <c r="K35" s="255"/>
      <c r="L35" s="258"/>
      <c r="M35" s="255">
        <f ca="1">IF(NOT(ISERROR(MATCH(L35,_xlfn.ANCHORARRAY(F46),0))),K48&amp;"Por favor no seleccionar los criterios de impacto",L35)</f>
        <v>0</v>
      </c>
      <c r="N35" s="261"/>
      <c r="O35" s="255"/>
      <c r="P35" s="270"/>
      <c r="Q35" s="105">
        <v>6</v>
      </c>
      <c r="R35" s="106"/>
      <c r="S35" s="107" t="s">
        <v>214</v>
      </c>
      <c r="T35" s="108"/>
      <c r="U35" s="108"/>
      <c r="V35" s="109" t="s">
        <v>214</v>
      </c>
      <c r="W35" s="108"/>
      <c r="X35" s="108"/>
      <c r="Y35" s="108"/>
      <c r="Z35" s="110" t="s">
        <v>214</v>
      </c>
      <c r="AA35" s="111" t="s">
        <v>214</v>
      </c>
      <c r="AB35" s="112" t="s">
        <v>214</v>
      </c>
      <c r="AC35" s="111" t="s">
        <v>214</v>
      </c>
      <c r="AD35" s="112" t="s">
        <v>214</v>
      </c>
      <c r="AE35" s="113" t="s">
        <v>214</v>
      </c>
      <c r="AF35" s="114"/>
      <c r="AG35" s="115"/>
      <c r="AH35" s="116"/>
      <c r="AI35" s="117"/>
      <c r="AJ35" s="117"/>
      <c r="AK35" s="115"/>
      <c r="AL35" s="116"/>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1:70" ht="26.25" customHeight="1" x14ac:dyDescent="0.3">
      <c r="A36" s="216">
        <v>6</v>
      </c>
      <c r="B36" s="272"/>
      <c r="C36" s="272"/>
      <c r="D36" s="275"/>
      <c r="E36" s="147"/>
      <c r="F36" s="278"/>
      <c r="G36" s="148"/>
      <c r="H36" s="262"/>
      <c r="I36" s="265"/>
      <c r="J36" s="259" t="str">
        <f t="shared" ref="J36" si="52">IF(I36&lt;=0,"",IF(I36&lt;=2,"Muy Baja",IF(I36&lt;=24,"Baja",IF(I36&lt;=500,"Media",IF(I36&lt;=5000,"Alta","Muy Alta")))))</f>
        <v/>
      </c>
      <c r="K36" s="253" t="str">
        <f t="shared" ref="K36" si="53">IF(J36="","",IF(J36="Muy Baja",0.2,IF(J36="Baja",0.4,IF(J36="Media",0.6,IF(J36="Alta",0.8,IF(J36="Muy Alta",1,))))))</f>
        <v/>
      </c>
      <c r="L36" s="256"/>
      <c r="M36" s="253">
        <f ca="1">IF(NOT(ISERROR(MATCH(L36,'Tabla Impacto'!$B$221:$B$223,0))),'Tabla Impacto'!$F$223&amp;"Por favor no seleccionar los criterios de impacto(Afectación Económica o presupuestal y Pérdida Reputacional)",L36)</f>
        <v>0</v>
      </c>
      <c r="N36" s="259" t="str">
        <f ca="1">IF(OR(M36='Tabla Impacto'!$C$11,M36='Tabla Impacto'!$D$11),"Leve",IF(OR(M36='Tabla Impacto'!$C$12,M36='Tabla Impacto'!$D$12),"Menor",IF(OR(M36='Tabla Impacto'!$C$13,M36='Tabla Impacto'!$D$13),"Moderado",IF(OR(M36='Tabla Impacto'!$C$14,M36='Tabla Impacto'!$D$14),"Mayor",IF(OR(M36='Tabla Impacto'!$C$15,M36='Tabla Impacto'!$D$15),"Catastrófico","")))))</f>
        <v/>
      </c>
      <c r="O36" s="253" t="str">
        <f t="shared" ref="O36" ca="1" si="54">IF(N36="","",IF(N36="Leve",0.2,IF(N36="Menor",0.4,IF(N36="Moderado",0.6,IF(N36="Mayor",0.8,IF(N36="Catastrófico",1,))))))</f>
        <v/>
      </c>
      <c r="P36" s="268" t="str">
        <f t="shared" ref="P36" ca="1" si="55">IF(OR(AND(J36="Muy Baja",N36="Leve"),AND(J36="Muy Baja",N36="Menor"),AND(J36="Baja",N36="Leve")),"Bajo",IF(OR(AND(J36="Muy baja",N36="Moderado"),AND(J36="Baja",N36="Menor"),AND(J36="Baja",N36="Moderado"),AND(J36="Media",N36="Leve"),AND(J36="Media",N36="Menor"),AND(J36="Media",N36="Moderado"),AND(J36="Alta",N36="Leve"),AND(J36="Alta",N36="Menor")),"Moderado",IF(OR(AND(J36="Muy Baja",N36="Mayor"),AND(J36="Baja",N36="Mayor"),AND(J36="Media",N36="Mayor"),AND(J36="Alta",N36="Moderado"),AND(J36="Alta",N36="Mayor"),AND(J36="Muy Alta",N36="Leve"),AND(J36="Muy Alta",N36="Menor"),AND(J36="Muy Alta",N36="Moderado"),AND(J36="Muy Alta",N36="Mayor")),"Alto",IF(OR(AND(J36="Muy Baja",N36="Catastrófico"),AND(J36="Baja",N36="Catastrófico"),AND(J36="Media",N36="Catastrófico"),AND(J36="Alta",N36="Catastrófico"),AND(J36="Muy Alta",N36="Catastrófico")),"Extremo",""))))</f>
        <v/>
      </c>
      <c r="Q36" s="105">
        <v>1</v>
      </c>
      <c r="R36" s="106"/>
      <c r="S36" s="107" t="s">
        <v>214</v>
      </c>
      <c r="T36" s="108"/>
      <c r="U36" s="108"/>
      <c r="V36" s="109" t="s">
        <v>214</v>
      </c>
      <c r="W36" s="108"/>
      <c r="X36" s="108"/>
      <c r="Y36" s="108"/>
      <c r="Z36" s="110" t="s">
        <v>214</v>
      </c>
      <c r="AA36" s="111" t="s">
        <v>214</v>
      </c>
      <c r="AB36" s="112" t="s">
        <v>214</v>
      </c>
      <c r="AC36" s="111" t="s">
        <v>214</v>
      </c>
      <c r="AD36" s="112" t="s">
        <v>214</v>
      </c>
      <c r="AE36" s="113" t="s">
        <v>214</v>
      </c>
      <c r="AF36" s="114"/>
      <c r="AG36" s="115"/>
      <c r="AH36" s="116"/>
      <c r="AI36" s="117"/>
      <c r="AJ36" s="117"/>
      <c r="AK36" s="115"/>
      <c r="AL36" s="116"/>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1:70" ht="26.25" customHeight="1" x14ac:dyDescent="0.3">
      <c r="A37" s="217"/>
      <c r="B37" s="273"/>
      <c r="C37" s="273"/>
      <c r="D37" s="276"/>
      <c r="E37" s="147"/>
      <c r="F37" s="278"/>
      <c r="G37" s="148"/>
      <c r="H37" s="263"/>
      <c r="I37" s="266"/>
      <c r="J37" s="260"/>
      <c r="K37" s="254"/>
      <c r="L37" s="257"/>
      <c r="M37" s="254">
        <f ca="1">IF(NOT(ISERROR(MATCH(L37,_xlfn.ANCHORARRAY(F48),0))),K50&amp;"Por favor no seleccionar los criterios de impacto",L37)</f>
        <v>0</v>
      </c>
      <c r="N37" s="260"/>
      <c r="O37" s="254"/>
      <c r="P37" s="269"/>
      <c r="Q37" s="105">
        <v>2</v>
      </c>
      <c r="R37" s="106"/>
      <c r="S37" s="107" t="s">
        <v>214</v>
      </c>
      <c r="T37" s="108"/>
      <c r="U37" s="108"/>
      <c r="V37" s="109" t="s">
        <v>214</v>
      </c>
      <c r="W37" s="108"/>
      <c r="X37" s="108"/>
      <c r="Y37" s="108"/>
      <c r="Z37" s="110" t="s">
        <v>214</v>
      </c>
      <c r="AA37" s="111" t="s">
        <v>214</v>
      </c>
      <c r="AB37" s="112" t="s">
        <v>214</v>
      </c>
      <c r="AC37" s="111" t="s">
        <v>214</v>
      </c>
      <c r="AD37" s="112" t="s">
        <v>214</v>
      </c>
      <c r="AE37" s="113" t="s">
        <v>214</v>
      </c>
      <c r="AF37" s="114"/>
      <c r="AG37" s="115"/>
      <c r="AH37" s="116"/>
      <c r="AI37" s="117"/>
      <c r="AJ37" s="117"/>
      <c r="AK37" s="115"/>
      <c r="AL37" s="116"/>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1:70" ht="26.25" customHeight="1" x14ac:dyDescent="0.3">
      <c r="A38" s="217"/>
      <c r="B38" s="273"/>
      <c r="C38" s="273"/>
      <c r="D38" s="276"/>
      <c r="E38" s="147"/>
      <c r="F38" s="278"/>
      <c r="G38" s="148"/>
      <c r="H38" s="263"/>
      <c r="I38" s="266"/>
      <c r="J38" s="260"/>
      <c r="K38" s="254"/>
      <c r="L38" s="257"/>
      <c r="M38" s="254">
        <f ca="1">IF(NOT(ISERROR(MATCH(L38,_xlfn.ANCHORARRAY(F49),0))),K51&amp;"Por favor no seleccionar los criterios de impacto",L38)</f>
        <v>0</v>
      </c>
      <c r="N38" s="260"/>
      <c r="O38" s="254"/>
      <c r="P38" s="269"/>
      <c r="Q38" s="105">
        <v>3</v>
      </c>
      <c r="R38" s="118"/>
      <c r="S38" s="107" t="s">
        <v>214</v>
      </c>
      <c r="T38" s="108"/>
      <c r="U38" s="108"/>
      <c r="V38" s="109" t="s">
        <v>214</v>
      </c>
      <c r="W38" s="108"/>
      <c r="X38" s="108"/>
      <c r="Y38" s="108"/>
      <c r="Z38" s="110" t="s">
        <v>214</v>
      </c>
      <c r="AA38" s="111" t="s">
        <v>214</v>
      </c>
      <c r="AB38" s="112" t="s">
        <v>214</v>
      </c>
      <c r="AC38" s="111" t="s">
        <v>214</v>
      </c>
      <c r="AD38" s="112" t="s">
        <v>214</v>
      </c>
      <c r="AE38" s="113" t="s">
        <v>214</v>
      </c>
      <c r="AF38" s="114"/>
      <c r="AG38" s="115"/>
      <c r="AH38" s="116"/>
      <c r="AI38" s="117"/>
      <c r="AJ38" s="117"/>
      <c r="AK38" s="115"/>
      <c r="AL38" s="116"/>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ht="26.25" customHeight="1" x14ac:dyDescent="0.3">
      <c r="A39" s="217"/>
      <c r="B39" s="273"/>
      <c r="C39" s="273"/>
      <c r="D39" s="276"/>
      <c r="E39" s="147"/>
      <c r="F39" s="278"/>
      <c r="G39" s="148"/>
      <c r="H39" s="263"/>
      <c r="I39" s="266"/>
      <c r="J39" s="260"/>
      <c r="K39" s="254"/>
      <c r="L39" s="257"/>
      <c r="M39" s="254">
        <f ca="1">IF(NOT(ISERROR(MATCH(L39,_xlfn.ANCHORARRAY(F50),0))),K52&amp;"Por favor no seleccionar los criterios de impacto",L39)</f>
        <v>0</v>
      </c>
      <c r="N39" s="260"/>
      <c r="O39" s="254"/>
      <c r="P39" s="269"/>
      <c r="Q39" s="105">
        <v>4</v>
      </c>
      <c r="R39" s="106"/>
      <c r="S39" s="107" t="s">
        <v>214</v>
      </c>
      <c r="T39" s="108"/>
      <c r="U39" s="108"/>
      <c r="V39" s="109" t="s">
        <v>214</v>
      </c>
      <c r="W39" s="108"/>
      <c r="X39" s="108"/>
      <c r="Y39" s="108"/>
      <c r="Z39" s="110" t="s">
        <v>214</v>
      </c>
      <c r="AA39" s="111" t="s">
        <v>214</v>
      </c>
      <c r="AB39" s="112" t="s">
        <v>214</v>
      </c>
      <c r="AC39" s="111" t="s">
        <v>214</v>
      </c>
      <c r="AD39" s="112" t="s">
        <v>214</v>
      </c>
      <c r="AE39" s="113" t="s">
        <v>214</v>
      </c>
      <c r="AF39" s="114"/>
      <c r="AG39" s="115"/>
      <c r="AH39" s="116"/>
      <c r="AI39" s="117"/>
      <c r="AJ39" s="117"/>
      <c r="AK39" s="115"/>
      <c r="AL39" s="116"/>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row>
    <row r="40" spans="1:70" ht="26.25" customHeight="1" x14ac:dyDescent="0.3">
      <c r="A40" s="217"/>
      <c r="B40" s="273"/>
      <c r="C40" s="273"/>
      <c r="D40" s="276"/>
      <c r="E40" s="147"/>
      <c r="F40" s="278"/>
      <c r="G40" s="148"/>
      <c r="H40" s="263"/>
      <c r="I40" s="266"/>
      <c r="J40" s="260"/>
      <c r="K40" s="254"/>
      <c r="L40" s="257"/>
      <c r="M40" s="254">
        <f ca="1">IF(NOT(ISERROR(MATCH(L40,_xlfn.ANCHORARRAY(F51),0))),K53&amp;"Por favor no seleccionar los criterios de impacto",L40)</f>
        <v>0</v>
      </c>
      <c r="N40" s="260"/>
      <c r="O40" s="254"/>
      <c r="P40" s="269"/>
      <c r="Q40" s="105">
        <v>5</v>
      </c>
      <c r="R40" s="106"/>
      <c r="S40" s="107" t="s">
        <v>214</v>
      </c>
      <c r="T40" s="108"/>
      <c r="U40" s="108"/>
      <c r="V40" s="109" t="s">
        <v>214</v>
      </c>
      <c r="W40" s="108"/>
      <c r="X40" s="108"/>
      <c r="Y40" s="108"/>
      <c r="Z40" s="110" t="s">
        <v>214</v>
      </c>
      <c r="AA40" s="111" t="s">
        <v>214</v>
      </c>
      <c r="AB40" s="112" t="s">
        <v>214</v>
      </c>
      <c r="AC40" s="111" t="s">
        <v>214</v>
      </c>
      <c r="AD40" s="112" t="s">
        <v>214</v>
      </c>
      <c r="AE40" s="113" t="s">
        <v>214</v>
      </c>
      <c r="AF40" s="114"/>
      <c r="AG40" s="115"/>
      <c r="AH40" s="116"/>
      <c r="AI40" s="117"/>
      <c r="AJ40" s="117"/>
      <c r="AK40" s="115"/>
      <c r="AL40" s="116"/>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row>
    <row r="41" spans="1:70" ht="26.25" customHeight="1" x14ac:dyDescent="0.3">
      <c r="A41" s="271"/>
      <c r="B41" s="274"/>
      <c r="C41" s="274"/>
      <c r="D41" s="277"/>
      <c r="E41" s="147"/>
      <c r="F41" s="278"/>
      <c r="G41" s="148"/>
      <c r="H41" s="264"/>
      <c r="I41" s="267"/>
      <c r="J41" s="261"/>
      <c r="K41" s="255"/>
      <c r="L41" s="258"/>
      <c r="M41" s="255">
        <f ca="1">IF(NOT(ISERROR(MATCH(L41,_xlfn.ANCHORARRAY(F52),0))),K54&amp;"Por favor no seleccionar los criterios de impacto",L41)</f>
        <v>0</v>
      </c>
      <c r="N41" s="261"/>
      <c r="O41" s="255"/>
      <c r="P41" s="270"/>
      <c r="Q41" s="105">
        <v>6</v>
      </c>
      <c r="R41" s="106"/>
      <c r="S41" s="107" t="s">
        <v>214</v>
      </c>
      <c r="T41" s="108"/>
      <c r="U41" s="108"/>
      <c r="V41" s="109" t="s">
        <v>214</v>
      </c>
      <c r="W41" s="108"/>
      <c r="X41" s="108"/>
      <c r="Y41" s="108"/>
      <c r="Z41" s="110" t="s">
        <v>214</v>
      </c>
      <c r="AA41" s="111" t="s">
        <v>214</v>
      </c>
      <c r="AB41" s="112" t="s">
        <v>214</v>
      </c>
      <c r="AC41" s="111" t="s">
        <v>214</v>
      </c>
      <c r="AD41" s="112" t="s">
        <v>214</v>
      </c>
      <c r="AE41" s="113" t="s">
        <v>214</v>
      </c>
      <c r="AF41" s="114"/>
      <c r="AG41" s="115"/>
      <c r="AH41" s="116"/>
      <c r="AI41" s="117"/>
      <c r="AJ41" s="117"/>
      <c r="AK41" s="115"/>
      <c r="AL41" s="116"/>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row>
    <row r="42" spans="1:70" ht="26.25" customHeight="1" x14ac:dyDescent="0.3">
      <c r="A42" s="216">
        <v>7</v>
      </c>
      <c r="B42" s="272"/>
      <c r="C42" s="272"/>
      <c r="D42" s="272"/>
      <c r="E42" s="130"/>
      <c r="F42" s="280"/>
      <c r="G42" s="133"/>
      <c r="H42" s="272"/>
      <c r="I42" s="265"/>
      <c r="J42" s="259" t="str">
        <f t="shared" ref="J42" si="56">IF(I42&lt;=0,"",IF(I42&lt;=2,"Muy Baja",IF(I42&lt;=24,"Baja",IF(I42&lt;=500,"Media",IF(I42&lt;=5000,"Alta","Muy Alta")))))</f>
        <v/>
      </c>
      <c r="K42" s="253" t="str">
        <f t="shared" ref="K42" si="57">IF(J42="","",IF(J42="Muy Baja",0.2,IF(J42="Baja",0.4,IF(J42="Media",0.6,IF(J42="Alta",0.8,IF(J42="Muy Alta",1,))))))</f>
        <v/>
      </c>
      <c r="L42" s="256"/>
      <c r="M42" s="253">
        <f ca="1">IF(NOT(ISERROR(MATCH(L42,'Tabla Impacto'!$B$221:$B$223,0))),'Tabla Impacto'!$F$223&amp;"Por favor no seleccionar los criterios de impacto(Afectación Económica o presupuestal y Pérdida Reputacional)",L42)</f>
        <v>0</v>
      </c>
      <c r="N42" s="259" t="str">
        <f ca="1">IF(OR(M42='Tabla Impacto'!$C$11,M42='Tabla Impacto'!$D$11),"Leve",IF(OR(M42='Tabla Impacto'!$C$12,M42='Tabla Impacto'!$D$12),"Menor",IF(OR(M42='Tabla Impacto'!$C$13,M42='Tabla Impacto'!$D$13),"Moderado",IF(OR(M42='Tabla Impacto'!$C$14,M42='Tabla Impacto'!$D$14),"Mayor",IF(OR(M42='Tabla Impacto'!$C$15,M42='Tabla Impacto'!$D$15),"Catastrófico","")))))</f>
        <v/>
      </c>
      <c r="O42" s="253" t="str">
        <f t="shared" ref="O42" ca="1" si="58">IF(N42="","",IF(N42="Leve",0.2,IF(N42="Menor",0.4,IF(N42="Moderado",0.6,IF(N42="Mayor",0.8,IF(N42="Catastrófico",1,))))))</f>
        <v/>
      </c>
      <c r="P42" s="268" t="str">
        <f t="shared" ref="P42" ca="1" si="59">IF(OR(AND(J42="Muy Baja",N42="Leve"),AND(J42="Muy Baja",N42="Menor"),AND(J42="Baja",N42="Leve")),"Bajo",IF(OR(AND(J42="Muy baja",N42="Moderado"),AND(J42="Baja",N42="Menor"),AND(J42="Baja",N42="Moderado"),AND(J42="Media",N42="Leve"),AND(J42="Media",N42="Menor"),AND(J42="Media",N42="Moderado"),AND(J42="Alta",N42="Leve"),AND(J42="Alta",N42="Menor")),"Moderado",IF(OR(AND(J42="Muy Baja",N42="Mayor"),AND(J42="Baja",N42="Mayor"),AND(J42="Media",N42="Mayor"),AND(J42="Alta",N42="Moderado"),AND(J42="Alta",N42="Mayor"),AND(J42="Muy Alta",N42="Leve"),AND(J42="Muy Alta",N42="Menor"),AND(J42="Muy Alta",N42="Moderado"),AND(J42="Muy Alta",N42="Mayor")),"Alto",IF(OR(AND(J42="Muy Baja",N42="Catastrófico"),AND(J42="Baja",N42="Catastrófico"),AND(J42="Media",N42="Catastrófico"),AND(J42="Alta",N42="Catastrófico"),AND(J42="Muy Alta",N42="Catastrófico")),"Extremo",""))))</f>
        <v/>
      </c>
      <c r="Q42" s="105">
        <v>1</v>
      </c>
      <c r="R42" s="106"/>
      <c r="S42" s="107" t="s">
        <v>214</v>
      </c>
      <c r="T42" s="108"/>
      <c r="U42" s="108"/>
      <c r="V42" s="109" t="s">
        <v>214</v>
      </c>
      <c r="W42" s="108"/>
      <c r="X42" s="108"/>
      <c r="Y42" s="108"/>
      <c r="Z42" s="110" t="s">
        <v>214</v>
      </c>
      <c r="AA42" s="111" t="s">
        <v>214</v>
      </c>
      <c r="AB42" s="112" t="s">
        <v>214</v>
      </c>
      <c r="AC42" s="111" t="s">
        <v>214</v>
      </c>
      <c r="AD42" s="112" t="s">
        <v>214</v>
      </c>
      <c r="AE42" s="113" t="s">
        <v>214</v>
      </c>
      <c r="AF42" s="114"/>
      <c r="AG42" s="115"/>
      <c r="AH42" s="116"/>
      <c r="AI42" s="117"/>
      <c r="AJ42" s="117"/>
      <c r="AK42" s="115"/>
      <c r="AL42" s="116"/>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row>
    <row r="43" spans="1:70" ht="26.25" customHeight="1" x14ac:dyDescent="0.3">
      <c r="A43" s="217"/>
      <c r="B43" s="273"/>
      <c r="C43" s="273"/>
      <c r="D43" s="273"/>
      <c r="E43" s="130"/>
      <c r="F43" s="280"/>
      <c r="G43" s="133"/>
      <c r="H43" s="273"/>
      <c r="I43" s="266"/>
      <c r="J43" s="260"/>
      <c r="K43" s="254"/>
      <c r="L43" s="257"/>
      <c r="M43" s="254">
        <f ca="1">IF(NOT(ISERROR(MATCH(L43,_xlfn.ANCHORARRAY(F54),0))),K56&amp;"Por favor no seleccionar los criterios de impacto",L43)</f>
        <v>0</v>
      </c>
      <c r="N43" s="260"/>
      <c r="O43" s="254"/>
      <c r="P43" s="269"/>
      <c r="Q43" s="105">
        <v>2</v>
      </c>
      <c r="R43" s="106"/>
      <c r="S43" s="107" t="s">
        <v>214</v>
      </c>
      <c r="T43" s="108"/>
      <c r="U43" s="108"/>
      <c r="V43" s="109" t="s">
        <v>214</v>
      </c>
      <c r="W43" s="108"/>
      <c r="X43" s="108"/>
      <c r="Y43" s="108"/>
      <c r="Z43" s="110" t="s">
        <v>214</v>
      </c>
      <c r="AA43" s="111" t="s">
        <v>214</v>
      </c>
      <c r="AB43" s="112" t="s">
        <v>214</v>
      </c>
      <c r="AC43" s="111" t="s">
        <v>214</v>
      </c>
      <c r="AD43" s="112" t="s">
        <v>214</v>
      </c>
      <c r="AE43" s="113" t="s">
        <v>214</v>
      </c>
      <c r="AF43" s="114"/>
      <c r="AG43" s="115"/>
      <c r="AH43" s="116"/>
      <c r="AI43" s="117"/>
      <c r="AJ43" s="117"/>
      <c r="AK43" s="115"/>
      <c r="AL43" s="116"/>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row>
    <row r="44" spans="1:70" ht="26.25" customHeight="1" x14ac:dyDescent="0.3">
      <c r="A44" s="217"/>
      <c r="B44" s="273"/>
      <c r="C44" s="273"/>
      <c r="D44" s="273"/>
      <c r="E44" s="130"/>
      <c r="F44" s="280"/>
      <c r="G44" s="133"/>
      <c r="H44" s="273"/>
      <c r="I44" s="266"/>
      <c r="J44" s="260"/>
      <c r="K44" s="254"/>
      <c r="L44" s="257"/>
      <c r="M44" s="254">
        <f ca="1">IF(NOT(ISERROR(MATCH(L44,_xlfn.ANCHORARRAY(F55),0))),K57&amp;"Por favor no seleccionar los criterios de impacto",L44)</f>
        <v>0</v>
      </c>
      <c r="N44" s="260"/>
      <c r="O44" s="254"/>
      <c r="P44" s="269"/>
      <c r="Q44" s="105">
        <v>3</v>
      </c>
      <c r="R44" s="118"/>
      <c r="S44" s="107" t="s">
        <v>214</v>
      </c>
      <c r="T44" s="108"/>
      <c r="U44" s="108"/>
      <c r="V44" s="109" t="s">
        <v>214</v>
      </c>
      <c r="W44" s="108"/>
      <c r="X44" s="108"/>
      <c r="Y44" s="108"/>
      <c r="Z44" s="110" t="s">
        <v>214</v>
      </c>
      <c r="AA44" s="111" t="s">
        <v>214</v>
      </c>
      <c r="AB44" s="112" t="s">
        <v>214</v>
      </c>
      <c r="AC44" s="111" t="s">
        <v>214</v>
      </c>
      <c r="AD44" s="112" t="s">
        <v>214</v>
      </c>
      <c r="AE44" s="113" t="s">
        <v>214</v>
      </c>
      <c r="AF44" s="114"/>
      <c r="AG44" s="115"/>
      <c r="AH44" s="116"/>
      <c r="AI44" s="117"/>
      <c r="AJ44" s="117"/>
      <c r="AK44" s="115"/>
      <c r="AL44" s="116"/>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row>
    <row r="45" spans="1:70" ht="26.25" customHeight="1" x14ac:dyDescent="0.3">
      <c r="A45" s="217"/>
      <c r="B45" s="273"/>
      <c r="C45" s="273"/>
      <c r="D45" s="273"/>
      <c r="E45" s="130"/>
      <c r="F45" s="280"/>
      <c r="G45" s="133"/>
      <c r="H45" s="273"/>
      <c r="I45" s="266"/>
      <c r="J45" s="260"/>
      <c r="K45" s="254"/>
      <c r="L45" s="257"/>
      <c r="M45" s="254">
        <f ca="1">IF(NOT(ISERROR(MATCH(L45,_xlfn.ANCHORARRAY(F56),0))),K58&amp;"Por favor no seleccionar los criterios de impacto",L45)</f>
        <v>0</v>
      </c>
      <c r="N45" s="260"/>
      <c r="O45" s="254"/>
      <c r="P45" s="269"/>
      <c r="Q45" s="105">
        <v>4</v>
      </c>
      <c r="R45" s="106"/>
      <c r="S45" s="107" t="s">
        <v>214</v>
      </c>
      <c r="T45" s="108"/>
      <c r="U45" s="108"/>
      <c r="V45" s="109" t="s">
        <v>214</v>
      </c>
      <c r="W45" s="108"/>
      <c r="X45" s="108"/>
      <c r="Y45" s="108"/>
      <c r="Z45" s="110" t="s">
        <v>214</v>
      </c>
      <c r="AA45" s="111" t="s">
        <v>214</v>
      </c>
      <c r="AB45" s="112" t="s">
        <v>214</v>
      </c>
      <c r="AC45" s="111" t="s">
        <v>214</v>
      </c>
      <c r="AD45" s="112" t="s">
        <v>214</v>
      </c>
      <c r="AE45" s="113" t="s">
        <v>214</v>
      </c>
      <c r="AF45" s="114"/>
      <c r="AG45" s="115"/>
      <c r="AH45" s="116"/>
      <c r="AI45" s="117"/>
      <c r="AJ45" s="117"/>
      <c r="AK45" s="115"/>
      <c r="AL45" s="116"/>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row>
    <row r="46" spans="1:70" ht="26.25" customHeight="1" x14ac:dyDescent="0.3">
      <c r="A46" s="217"/>
      <c r="B46" s="273"/>
      <c r="C46" s="273"/>
      <c r="D46" s="273"/>
      <c r="E46" s="130"/>
      <c r="F46" s="280"/>
      <c r="G46" s="133"/>
      <c r="H46" s="273"/>
      <c r="I46" s="266"/>
      <c r="J46" s="260"/>
      <c r="K46" s="254"/>
      <c r="L46" s="257"/>
      <c r="M46" s="254">
        <f ca="1">IF(NOT(ISERROR(MATCH(L46,_xlfn.ANCHORARRAY(F57),0))),K59&amp;"Por favor no seleccionar los criterios de impacto",L46)</f>
        <v>0</v>
      </c>
      <c r="N46" s="260"/>
      <c r="O46" s="254"/>
      <c r="P46" s="269"/>
      <c r="Q46" s="105">
        <v>5</v>
      </c>
      <c r="R46" s="106"/>
      <c r="S46" s="107" t="s">
        <v>214</v>
      </c>
      <c r="T46" s="108"/>
      <c r="U46" s="108"/>
      <c r="V46" s="109" t="s">
        <v>214</v>
      </c>
      <c r="W46" s="108"/>
      <c r="X46" s="108"/>
      <c r="Y46" s="108"/>
      <c r="Z46" s="110" t="s">
        <v>214</v>
      </c>
      <c r="AA46" s="111" t="s">
        <v>214</v>
      </c>
      <c r="AB46" s="112" t="s">
        <v>214</v>
      </c>
      <c r="AC46" s="111" t="s">
        <v>214</v>
      </c>
      <c r="AD46" s="112" t="s">
        <v>214</v>
      </c>
      <c r="AE46" s="113" t="s">
        <v>214</v>
      </c>
      <c r="AF46" s="114"/>
      <c r="AG46" s="115"/>
      <c r="AH46" s="116"/>
      <c r="AI46" s="117"/>
      <c r="AJ46" s="117"/>
      <c r="AK46" s="115"/>
      <c r="AL46" s="116"/>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row>
    <row r="47" spans="1:70" ht="26.25" customHeight="1" x14ac:dyDescent="0.3">
      <c r="A47" s="271"/>
      <c r="B47" s="274"/>
      <c r="C47" s="274"/>
      <c r="D47" s="274"/>
      <c r="E47" s="131"/>
      <c r="F47" s="281"/>
      <c r="G47" s="134"/>
      <c r="H47" s="274"/>
      <c r="I47" s="267"/>
      <c r="J47" s="261"/>
      <c r="K47" s="255"/>
      <c r="L47" s="258"/>
      <c r="M47" s="255">
        <f ca="1">IF(NOT(ISERROR(MATCH(L47,_xlfn.ANCHORARRAY(F58),0))),K60&amp;"Por favor no seleccionar los criterios de impacto",L47)</f>
        <v>0</v>
      </c>
      <c r="N47" s="261"/>
      <c r="O47" s="255"/>
      <c r="P47" s="270"/>
      <c r="Q47" s="105">
        <v>6</v>
      </c>
      <c r="R47" s="106"/>
      <c r="S47" s="107" t="s">
        <v>214</v>
      </c>
      <c r="T47" s="108"/>
      <c r="U47" s="108"/>
      <c r="V47" s="109" t="s">
        <v>214</v>
      </c>
      <c r="W47" s="108"/>
      <c r="X47" s="108"/>
      <c r="Y47" s="108"/>
      <c r="Z47" s="110" t="s">
        <v>214</v>
      </c>
      <c r="AA47" s="111" t="s">
        <v>214</v>
      </c>
      <c r="AB47" s="112" t="s">
        <v>214</v>
      </c>
      <c r="AC47" s="111" t="s">
        <v>214</v>
      </c>
      <c r="AD47" s="112" t="s">
        <v>214</v>
      </c>
      <c r="AE47" s="113" t="s">
        <v>214</v>
      </c>
      <c r="AF47" s="114"/>
      <c r="AG47" s="115"/>
      <c r="AH47" s="116"/>
      <c r="AI47" s="117"/>
      <c r="AJ47" s="117"/>
      <c r="AK47" s="115"/>
      <c r="AL47" s="116"/>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row>
    <row r="48" spans="1:70" ht="26.25" customHeight="1" x14ac:dyDescent="0.3">
      <c r="A48" s="216">
        <v>8</v>
      </c>
      <c r="B48" s="272"/>
      <c r="C48" s="272"/>
      <c r="D48" s="272"/>
      <c r="E48" s="129"/>
      <c r="F48" s="279"/>
      <c r="G48" s="132"/>
      <c r="H48" s="272"/>
      <c r="I48" s="265"/>
      <c r="J48" s="259" t="str">
        <f t="shared" ref="J48" si="60">IF(I48&lt;=0,"",IF(I48&lt;=2,"Muy Baja",IF(I48&lt;=24,"Baja",IF(I48&lt;=500,"Media",IF(I48&lt;=5000,"Alta","Muy Alta")))))</f>
        <v/>
      </c>
      <c r="K48" s="253" t="str">
        <f t="shared" ref="K48" si="61">IF(J48="","",IF(J48="Muy Baja",0.2,IF(J48="Baja",0.4,IF(J48="Media",0.6,IF(J48="Alta",0.8,IF(J48="Muy Alta",1,))))))</f>
        <v/>
      </c>
      <c r="L48" s="256"/>
      <c r="M48" s="253">
        <f ca="1">IF(NOT(ISERROR(MATCH(L48,'Tabla Impacto'!$B$221:$B$223,0))),'Tabla Impacto'!$F$223&amp;"Por favor no seleccionar los criterios de impacto(Afectación Económica o presupuestal y Pérdida Reputacional)",L48)</f>
        <v>0</v>
      </c>
      <c r="N48" s="259" t="str">
        <f ca="1">IF(OR(M48='Tabla Impacto'!$C$11,M48='Tabla Impacto'!$D$11),"Leve",IF(OR(M48='Tabla Impacto'!$C$12,M48='Tabla Impacto'!$D$12),"Menor",IF(OR(M48='Tabla Impacto'!$C$13,M48='Tabla Impacto'!$D$13),"Moderado",IF(OR(M48='Tabla Impacto'!$C$14,M48='Tabla Impacto'!$D$14),"Mayor",IF(OR(M48='Tabla Impacto'!$C$15,M48='Tabla Impacto'!$D$15),"Catastrófico","")))))</f>
        <v/>
      </c>
      <c r="O48" s="253" t="str">
        <f t="shared" ref="O48" ca="1" si="62">IF(N48="","",IF(N48="Leve",0.2,IF(N48="Menor",0.4,IF(N48="Moderado",0.6,IF(N48="Mayor",0.8,IF(N48="Catastrófico",1,))))))</f>
        <v/>
      </c>
      <c r="P48" s="268" t="str">
        <f t="shared" ref="P48" ca="1" si="63">IF(OR(AND(J48="Muy Baja",N48="Leve"),AND(J48="Muy Baja",N48="Menor"),AND(J48="Baja",N48="Leve")),"Bajo",IF(OR(AND(J48="Muy baja",N48="Moderado"),AND(J48="Baja",N48="Menor"),AND(J48="Baja",N48="Moderado"),AND(J48="Media",N48="Leve"),AND(J48="Media",N48="Menor"),AND(J48="Media",N48="Moderado"),AND(J48="Alta",N48="Leve"),AND(J48="Alta",N48="Menor")),"Moderado",IF(OR(AND(J48="Muy Baja",N48="Mayor"),AND(J48="Baja",N48="Mayor"),AND(J48="Media",N48="Mayor"),AND(J48="Alta",N48="Moderado"),AND(J48="Alta",N48="Mayor"),AND(J48="Muy Alta",N48="Leve"),AND(J48="Muy Alta",N48="Menor"),AND(J48="Muy Alta",N48="Moderado"),AND(J48="Muy Alta",N48="Mayor")),"Alto",IF(OR(AND(J48="Muy Baja",N48="Catastrófico"),AND(J48="Baja",N48="Catastrófico"),AND(J48="Media",N48="Catastrófico"),AND(J48="Alta",N48="Catastrófico"),AND(J48="Muy Alta",N48="Catastrófico")),"Extremo",""))))</f>
        <v/>
      </c>
      <c r="Q48" s="105">
        <v>1</v>
      </c>
      <c r="R48" s="106"/>
      <c r="S48" s="107" t="str">
        <f>IF(OR(T48="Preventivo",T48="Detectivo"),"Probabilidad",IF(T48="Correctivo","Impacto",""))</f>
        <v/>
      </c>
      <c r="T48" s="108"/>
      <c r="U48" s="108"/>
      <c r="V48" s="109" t="str">
        <f>IF(AND(T48="Preventivo",U48="Automático"),"50%",IF(AND(T48="Preventivo",U48="Manual"),"40%",IF(AND(T48="Detectivo",U48="Automático"),"40%",IF(AND(T48="Detectivo",U48="Manual"),"30%",IF(AND(T48="Correctivo",U48="Automático"),"35%",IF(AND(T48="Correctivo",U48="Manual"),"25%",""))))))</f>
        <v/>
      </c>
      <c r="W48" s="108"/>
      <c r="X48" s="108"/>
      <c r="Y48" s="108"/>
      <c r="Z48" s="110" t="str">
        <f>IFERROR(IF(S48="Probabilidad",(K48-(+K48*V48)),IF(S48="Impacto",K48,"")),"")</f>
        <v/>
      </c>
      <c r="AA48" s="111" t="str">
        <f>IFERROR(IF(Z48="","",IF(Z48&lt;=0.2,"Muy Baja",IF(Z48&lt;=0.4,"Baja",IF(Z48&lt;=0.6,"Media",IF(Z48&lt;=0.8,"Alta","Muy Alta"))))),"")</f>
        <v/>
      </c>
      <c r="AB48" s="112" t="str">
        <f>+Z48</f>
        <v/>
      </c>
      <c r="AC48" s="111" t="str">
        <f>IFERROR(IF(AD48="","",IF(AD48&lt;=0.2,"Leve",IF(AD48&lt;=0.4,"Menor",IF(AD48&lt;=0.6,"Moderado",IF(AD48&lt;=0.8,"Mayor","Catastrófico"))))),"")</f>
        <v/>
      </c>
      <c r="AD48" s="112" t="str">
        <f>IFERROR(IF(S48="Impacto",(O48-(+O48*V48)),IF(S48="Probabilidad",O48,"")),"")</f>
        <v/>
      </c>
      <c r="AE48" s="113" t="str">
        <f>IFERROR(IF(OR(AND(AA48="Muy Baja",AC48="Leve"),AND(AA48="Muy Baja",AC48="Menor"),AND(AA48="Baja",AC48="Leve")),"Bajo",IF(OR(AND(AA48="Muy baja",AC48="Moderado"),AND(AA48="Baja",AC48="Menor"),AND(AA48="Baja",AC48="Moderado"),AND(AA48="Media",AC48="Leve"),AND(AA48="Media",AC48="Menor"),AND(AA48="Media",AC48="Moderado"),AND(AA48="Alta",AC48="Leve"),AND(AA48="Alta",AC48="Menor")),"Moderado",IF(OR(AND(AA48="Muy Baja",AC48="Mayor"),AND(AA48="Baja",AC48="Mayor"),AND(AA48="Media",AC48="Mayor"),AND(AA48="Alta",AC48="Moderado"),AND(AA48="Alta",AC48="Mayor"),AND(AA48="Muy Alta",AC48="Leve"),AND(AA48="Muy Alta",AC48="Menor"),AND(AA48="Muy Alta",AC48="Moderado"),AND(AA48="Muy Alta",AC48="Mayor")),"Alto",IF(OR(AND(AA48="Muy Baja",AC48="Catastrófico"),AND(AA48="Baja",AC48="Catastrófico"),AND(AA48="Media",AC48="Catastrófico"),AND(AA48="Alta",AC48="Catastrófico"),AND(AA48="Muy Alta",AC48="Catastrófico")),"Extremo","")))),"")</f>
        <v/>
      </c>
      <c r="AF48" s="114"/>
      <c r="AG48" s="115"/>
      <c r="AH48" s="116"/>
      <c r="AI48" s="117"/>
      <c r="AJ48" s="117"/>
      <c r="AK48" s="115"/>
      <c r="AL48" s="116"/>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row>
    <row r="49" spans="1:70" ht="26.25" customHeight="1" x14ac:dyDescent="0.3">
      <c r="A49" s="217"/>
      <c r="B49" s="273"/>
      <c r="C49" s="273"/>
      <c r="D49" s="273"/>
      <c r="E49" s="130"/>
      <c r="F49" s="280"/>
      <c r="G49" s="133"/>
      <c r="H49" s="273"/>
      <c r="I49" s="266"/>
      <c r="J49" s="260"/>
      <c r="K49" s="254"/>
      <c r="L49" s="257"/>
      <c r="M49" s="254">
        <f ca="1">IF(NOT(ISERROR(MATCH(L49,_xlfn.ANCHORARRAY(F60),0))),K62&amp;"Por favor no seleccionar los criterios de impacto",L49)</f>
        <v>0</v>
      </c>
      <c r="N49" s="260"/>
      <c r="O49" s="254"/>
      <c r="P49" s="269"/>
      <c r="Q49" s="105">
        <v>2</v>
      </c>
      <c r="R49" s="106"/>
      <c r="S49" s="107" t="str">
        <f>IF(OR(T49="Preventivo",T49="Detectivo"),"Probabilidad",IF(T49="Correctivo","Impacto",""))</f>
        <v/>
      </c>
      <c r="T49" s="108"/>
      <c r="U49" s="108"/>
      <c r="V49" s="109" t="str">
        <f t="shared" ref="V49:V53" si="64">IF(AND(T49="Preventivo",U49="Automático"),"50%",IF(AND(T49="Preventivo",U49="Manual"),"40%",IF(AND(T49="Detectivo",U49="Automático"),"40%",IF(AND(T49="Detectivo",U49="Manual"),"30%",IF(AND(T49="Correctivo",U49="Automático"),"35%",IF(AND(T49="Correctivo",U49="Manual"),"25%",""))))))</f>
        <v/>
      </c>
      <c r="W49" s="108"/>
      <c r="X49" s="108"/>
      <c r="Y49" s="108"/>
      <c r="Z49" s="110" t="str">
        <f>IFERROR(IF(AND(S48="Probabilidad",S49="Probabilidad"),(AB48-(+AB48*V49)),IF(S49="Probabilidad",(K48-(+K48*V49)),IF(S49="Impacto",AB48,""))),"")</f>
        <v/>
      </c>
      <c r="AA49" s="111" t="str">
        <f t="shared" ref="AA49:AA65" si="65">IFERROR(IF(Z49="","",IF(Z49&lt;=0.2,"Muy Baja",IF(Z49&lt;=0.4,"Baja",IF(Z49&lt;=0.6,"Media",IF(Z49&lt;=0.8,"Alta","Muy Alta"))))),"")</f>
        <v/>
      </c>
      <c r="AB49" s="112" t="str">
        <f t="shared" ref="AB49:AB53" si="66">+Z49</f>
        <v/>
      </c>
      <c r="AC49" s="111" t="str">
        <f t="shared" ref="AC49:AC65" si="67">IFERROR(IF(AD49="","",IF(AD49&lt;=0.2,"Leve",IF(AD49&lt;=0.4,"Menor",IF(AD49&lt;=0.6,"Moderado",IF(AD49&lt;=0.8,"Mayor","Catastrófico"))))),"")</f>
        <v/>
      </c>
      <c r="AD49" s="112" t="str">
        <f>IFERROR(IF(AND(S48="Impacto",S49="Impacto"),(AD48-(+AD48*V49)),IF(S49="Impacto",(O48-(+O48*V49)),IF(S49="Probabilidad",AD48,""))),"")</f>
        <v/>
      </c>
      <c r="AE49" s="113" t="str">
        <f t="shared" ref="AE49:AE50" si="68">IFERROR(IF(OR(AND(AA49="Muy Baja",AC49="Leve"),AND(AA49="Muy Baja",AC49="Menor"),AND(AA49="Baja",AC49="Leve")),"Bajo",IF(OR(AND(AA49="Muy baja",AC49="Moderado"),AND(AA49="Baja",AC49="Menor"),AND(AA49="Baja",AC49="Moderado"),AND(AA49="Media",AC49="Leve"),AND(AA49="Media",AC49="Menor"),AND(AA49="Media",AC49="Moderado"),AND(AA49="Alta",AC49="Leve"),AND(AA49="Alta",AC49="Menor")),"Moderado",IF(OR(AND(AA49="Muy Baja",AC49="Mayor"),AND(AA49="Baja",AC49="Mayor"),AND(AA49="Media",AC49="Mayor"),AND(AA49="Alta",AC49="Moderado"),AND(AA49="Alta",AC49="Mayor"),AND(AA49="Muy Alta",AC49="Leve"),AND(AA49="Muy Alta",AC49="Menor"),AND(AA49="Muy Alta",AC49="Moderado"),AND(AA49="Muy Alta",AC49="Mayor")),"Alto",IF(OR(AND(AA49="Muy Baja",AC49="Catastrófico"),AND(AA49="Baja",AC49="Catastrófico"),AND(AA49="Media",AC49="Catastrófico"),AND(AA49="Alta",AC49="Catastrófico"),AND(AA49="Muy Alta",AC49="Catastrófico")),"Extremo","")))),"")</f>
        <v/>
      </c>
      <c r="AF49" s="114"/>
      <c r="AG49" s="115"/>
      <c r="AH49" s="116"/>
      <c r="AI49" s="117"/>
      <c r="AJ49" s="117"/>
      <c r="AK49" s="115"/>
      <c r="AL49" s="116"/>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row>
    <row r="50" spans="1:70" ht="26.25" customHeight="1" x14ac:dyDescent="0.3">
      <c r="A50" s="217"/>
      <c r="B50" s="273"/>
      <c r="C50" s="273"/>
      <c r="D50" s="273"/>
      <c r="E50" s="130"/>
      <c r="F50" s="280"/>
      <c r="G50" s="133"/>
      <c r="H50" s="273"/>
      <c r="I50" s="266"/>
      <c r="J50" s="260"/>
      <c r="K50" s="254"/>
      <c r="L50" s="257"/>
      <c r="M50" s="254">
        <f ca="1">IF(NOT(ISERROR(MATCH(L50,_xlfn.ANCHORARRAY(F61),0))),K63&amp;"Por favor no seleccionar los criterios de impacto",L50)</f>
        <v>0</v>
      </c>
      <c r="N50" s="260"/>
      <c r="O50" s="254"/>
      <c r="P50" s="269"/>
      <c r="Q50" s="105">
        <v>3</v>
      </c>
      <c r="R50" s="118"/>
      <c r="S50" s="107" t="str">
        <f>IF(OR(T50="Preventivo",T50="Detectivo"),"Probabilidad",IF(T50="Correctivo","Impacto",""))</f>
        <v/>
      </c>
      <c r="T50" s="108"/>
      <c r="U50" s="108"/>
      <c r="V50" s="109" t="str">
        <f t="shared" si="64"/>
        <v/>
      </c>
      <c r="W50" s="108"/>
      <c r="X50" s="108"/>
      <c r="Y50" s="108"/>
      <c r="Z50" s="110" t="str">
        <f>IFERROR(IF(AND(S49="Probabilidad",S50="Probabilidad"),(AB49-(+AB49*V50)),IF(AND(S49="Impacto",S50="Probabilidad"),(AB48-(+AB48*V50)),IF(S50="Impacto",AB49,""))),"")</f>
        <v/>
      </c>
      <c r="AA50" s="111" t="str">
        <f t="shared" si="65"/>
        <v/>
      </c>
      <c r="AB50" s="112" t="str">
        <f t="shared" si="66"/>
        <v/>
      </c>
      <c r="AC50" s="111" t="str">
        <f t="shared" si="67"/>
        <v/>
      </c>
      <c r="AD50" s="112" t="str">
        <f>IFERROR(IF(AND(S49="Impacto",S50="Impacto"),(AD49-(+AD49*V50)),IF(AND(S49="Probabilidad",S50="Impacto"),(AD48-(+AD48*V50)),IF(S50="Probabilidad",AD49,""))),"")</f>
        <v/>
      </c>
      <c r="AE50" s="113" t="str">
        <f t="shared" si="68"/>
        <v/>
      </c>
      <c r="AF50" s="114"/>
      <c r="AG50" s="115"/>
      <c r="AH50" s="116"/>
      <c r="AI50" s="117"/>
      <c r="AJ50" s="117"/>
      <c r="AK50" s="115"/>
      <c r="AL50" s="116"/>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row>
    <row r="51" spans="1:70" ht="26.25" customHeight="1" x14ac:dyDescent="0.3">
      <c r="A51" s="217"/>
      <c r="B51" s="273"/>
      <c r="C51" s="273"/>
      <c r="D51" s="273"/>
      <c r="E51" s="130"/>
      <c r="F51" s="280"/>
      <c r="G51" s="133"/>
      <c r="H51" s="273"/>
      <c r="I51" s="266"/>
      <c r="J51" s="260"/>
      <c r="K51" s="254"/>
      <c r="L51" s="257"/>
      <c r="M51" s="254">
        <f ca="1">IF(NOT(ISERROR(MATCH(L51,_xlfn.ANCHORARRAY(F62),0))),K64&amp;"Por favor no seleccionar los criterios de impacto",L51)</f>
        <v>0</v>
      </c>
      <c r="N51" s="260"/>
      <c r="O51" s="254"/>
      <c r="P51" s="269"/>
      <c r="Q51" s="105">
        <v>4</v>
      </c>
      <c r="R51" s="106"/>
      <c r="S51" s="107" t="str">
        <f t="shared" ref="S51:S53" si="69">IF(OR(T51="Preventivo",T51="Detectivo"),"Probabilidad",IF(T51="Correctivo","Impacto",""))</f>
        <v/>
      </c>
      <c r="T51" s="108"/>
      <c r="U51" s="108"/>
      <c r="V51" s="109" t="str">
        <f t="shared" si="64"/>
        <v/>
      </c>
      <c r="W51" s="108"/>
      <c r="X51" s="108"/>
      <c r="Y51" s="108"/>
      <c r="Z51" s="110" t="str">
        <f t="shared" ref="Z51:Z53" si="70">IFERROR(IF(AND(S50="Probabilidad",S51="Probabilidad"),(AB50-(+AB50*V51)),IF(AND(S50="Impacto",S51="Probabilidad"),(AB49-(+AB49*V51)),IF(S51="Impacto",AB50,""))),"")</f>
        <v/>
      </c>
      <c r="AA51" s="111" t="str">
        <f t="shared" si="65"/>
        <v/>
      </c>
      <c r="AB51" s="112" t="str">
        <f t="shared" si="66"/>
        <v/>
      </c>
      <c r="AC51" s="111" t="str">
        <f t="shared" si="67"/>
        <v/>
      </c>
      <c r="AD51" s="112" t="str">
        <f t="shared" ref="AD51:AD53" si="71">IFERROR(IF(AND(S50="Impacto",S51="Impacto"),(AD50-(+AD50*V51)),IF(AND(S50="Probabilidad",S51="Impacto"),(AD49-(+AD49*V51)),IF(S51="Probabilidad",AD50,""))),"")</f>
        <v/>
      </c>
      <c r="AE51" s="113" t="str">
        <f>IFERROR(IF(OR(AND(AA51="Muy Baja",AC51="Leve"),AND(AA51="Muy Baja",AC51="Menor"),AND(AA51="Baja",AC51="Leve")),"Bajo",IF(OR(AND(AA51="Muy baja",AC51="Moderado"),AND(AA51="Baja",AC51="Menor"),AND(AA51="Baja",AC51="Moderado"),AND(AA51="Media",AC51="Leve"),AND(AA51="Media",AC51="Menor"),AND(AA51="Media",AC51="Moderado"),AND(AA51="Alta",AC51="Leve"),AND(AA51="Alta",AC51="Menor")),"Moderado",IF(OR(AND(AA51="Muy Baja",AC51="Mayor"),AND(AA51="Baja",AC51="Mayor"),AND(AA51="Media",AC51="Mayor"),AND(AA51="Alta",AC51="Moderado"),AND(AA51="Alta",AC51="Mayor"),AND(AA51="Muy Alta",AC51="Leve"),AND(AA51="Muy Alta",AC51="Menor"),AND(AA51="Muy Alta",AC51="Moderado"),AND(AA51="Muy Alta",AC51="Mayor")),"Alto",IF(OR(AND(AA51="Muy Baja",AC51="Catastrófico"),AND(AA51="Baja",AC51="Catastrófico"),AND(AA51="Media",AC51="Catastrófico"),AND(AA51="Alta",AC51="Catastrófico"),AND(AA51="Muy Alta",AC51="Catastrófico")),"Extremo","")))),"")</f>
        <v/>
      </c>
      <c r="AF51" s="114"/>
      <c r="AG51" s="115"/>
      <c r="AH51" s="116"/>
      <c r="AI51" s="117"/>
      <c r="AJ51" s="117"/>
      <c r="AK51" s="115"/>
      <c r="AL51" s="116"/>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row>
    <row r="52" spans="1:70" ht="26.25" customHeight="1" x14ac:dyDescent="0.3">
      <c r="A52" s="217"/>
      <c r="B52" s="273"/>
      <c r="C52" s="273"/>
      <c r="D52" s="273"/>
      <c r="E52" s="130"/>
      <c r="F52" s="280"/>
      <c r="G52" s="133"/>
      <c r="H52" s="273"/>
      <c r="I52" s="266"/>
      <c r="J52" s="260"/>
      <c r="K52" s="254"/>
      <c r="L52" s="257"/>
      <c r="M52" s="254">
        <f ca="1">IF(NOT(ISERROR(MATCH(L52,_xlfn.ANCHORARRAY(F63),0))),K65&amp;"Por favor no seleccionar los criterios de impacto",L52)</f>
        <v>0</v>
      </c>
      <c r="N52" s="260"/>
      <c r="O52" s="254"/>
      <c r="P52" s="269"/>
      <c r="Q52" s="105">
        <v>5</v>
      </c>
      <c r="R52" s="106"/>
      <c r="S52" s="107" t="str">
        <f t="shared" si="69"/>
        <v/>
      </c>
      <c r="T52" s="108"/>
      <c r="U52" s="108"/>
      <c r="V52" s="109" t="str">
        <f t="shared" si="64"/>
        <v/>
      </c>
      <c r="W52" s="108"/>
      <c r="X52" s="108"/>
      <c r="Y52" s="108"/>
      <c r="Z52" s="110" t="str">
        <f t="shared" si="70"/>
        <v/>
      </c>
      <c r="AA52" s="111" t="str">
        <f t="shared" si="65"/>
        <v/>
      </c>
      <c r="AB52" s="112" t="str">
        <f t="shared" si="66"/>
        <v/>
      </c>
      <c r="AC52" s="111" t="str">
        <f t="shared" si="67"/>
        <v/>
      </c>
      <c r="AD52" s="112" t="str">
        <f t="shared" si="71"/>
        <v/>
      </c>
      <c r="AE52" s="113" t="str">
        <f t="shared" ref="AE52:AE53" si="72">IFERROR(IF(OR(AND(AA52="Muy Baja",AC52="Leve"),AND(AA52="Muy Baja",AC52="Menor"),AND(AA52="Baja",AC52="Leve")),"Bajo",IF(OR(AND(AA52="Muy baja",AC52="Moderado"),AND(AA52="Baja",AC52="Menor"),AND(AA52="Baja",AC52="Moderado"),AND(AA52="Media",AC52="Leve"),AND(AA52="Media",AC52="Menor"),AND(AA52="Media",AC52="Moderado"),AND(AA52="Alta",AC52="Leve"),AND(AA52="Alta",AC52="Menor")),"Moderado",IF(OR(AND(AA52="Muy Baja",AC52="Mayor"),AND(AA52="Baja",AC52="Mayor"),AND(AA52="Media",AC52="Mayor"),AND(AA52="Alta",AC52="Moderado"),AND(AA52="Alta",AC52="Mayor"),AND(AA52="Muy Alta",AC52="Leve"),AND(AA52="Muy Alta",AC52="Menor"),AND(AA52="Muy Alta",AC52="Moderado"),AND(AA52="Muy Alta",AC52="Mayor")),"Alto",IF(OR(AND(AA52="Muy Baja",AC52="Catastrófico"),AND(AA52="Baja",AC52="Catastrófico"),AND(AA52="Media",AC52="Catastrófico"),AND(AA52="Alta",AC52="Catastrófico"),AND(AA52="Muy Alta",AC52="Catastrófico")),"Extremo","")))),"")</f>
        <v/>
      </c>
      <c r="AF52" s="114"/>
      <c r="AG52" s="115"/>
      <c r="AH52" s="116"/>
      <c r="AI52" s="117"/>
      <c r="AJ52" s="117"/>
      <c r="AK52" s="115"/>
      <c r="AL52" s="116"/>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row>
    <row r="53" spans="1:70" ht="26.25" customHeight="1" x14ac:dyDescent="0.3">
      <c r="A53" s="271"/>
      <c r="B53" s="274"/>
      <c r="C53" s="274"/>
      <c r="D53" s="274"/>
      <c r="E53" s="131"/>
      <c r="F53" s="281"/>
      <c r="G53" s="134"/>
      <c r="H53" s="274"/>
      <c r="I53" s="267"/>
      <c r="J53" s="261"/>
      <c r="K53" s="255"/>
      <c r="L53" s="258"/>
      <c r="M53" s="255">
        <f ca="1">IF(NOT(ISERROR(MATCH(L53,_xlfn.ANCHORARRAY(F64),0))),K66&amp;"Por favor no seleccionar los criterios de impacto",L53)</f>
        <v>0</v>
      </c>
      <c r="N53" s="261"/>
      <c r="O53" s="255"/>
      <c r="P53" s="270"/>
      <c r="Q53" s="105">
        <v>6</v>
      </c>
      <c r="R53" s="106"/>
      <c r="S53" s="107" t="str">
        <f t="shared" si="69"/>
        <v/>
      </c>
      <c r="T53" s="108"/>
      <c r="U53" s="108"/>
      <c r="V53" s="109" t="str">
        <f t="shared" si="64"/>
        <v/>
      </c>
      <c r="W53" s="108"/>
      <c r="X53" s="108"/>
      <c r="Y53" s="108"/>
      <c r="Z53" s="110" t="str">
        <f t="shared" si="70"/>
        <v/>
      </c>
      <c r="AA53" s="111" t="str">
        <f t="shared" si="65"/>
        <v/>
      </c>
      <c r="AB53" s="112" t="str">
        <f t="shared" si="66"/>
        <v/>
      </c>
      <c r="AC53" s="111" t="str">
        <f t="shared" si="67"/>
        <v/>
      </c>
      <c r="AD53" s="112" t="str">
        <f t="shared" si="71"/>
        <v/>
      </c>
      <c r="AE53" s="113" t="str">
        <f t="shared" si="72"/>
        <v/>
      </c>
      <c r="AF53" s="114"/>
      <c r="AG53" s="115"/>
      <c r="AH53" s="116"/>
      <c r="AI53" s="117"/>
      <c r="AJ53" s="117"/>
      <c r="AK53" s="115"/>
      <c r="AL53" s="116"/>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row>
    <row r="54" spans="1:70" ht="26.25" customHeight="1" x14ac:dyDescent="0.3">
      <c r="A54" s="216">
        <v>9</v>
      </c>
      <c r="B54" s="272"/>
      <c r="C54" s="272"/>
      <c r="D54" s="272"/>
      <c r="E54" s="129"/>
      <c r="F54" s="279"/>
      <c r="G54" s="132"/>
      <c r="H54" s="272"/>
      <c r="I54" s="265"/>
      <c r="J54" s="259" t="str">
        <f t="shared" ref="J54" si="73">IF(I54&lt;=0,"",IF(I54&lt;=2,"Muy Baja",IF(I54&lt;=24,"Baja",IF(I54&lt;=500,"Media",IF(I54&lt;=5000,"Alta","Muy Alta")))))</f>
        <v/>
      </c>
      <c r="K54" s="253" t="str">
        <f t="shared" ref="K54" si="74">IF(J54="","",IF(J54="Muy Baja",0.2,IF(J54="Baja",0.4,IF(J54="Media",0.6,IF(J54="Alta",0.8,IF(J54="Muy Alta",1,))))))</f>
        <v/>
      </c>
      <c r="L54" s="256"/>
      <c r="M54" s="253">
        <f ca="1">IF(NOT(ISERROR(MATCH(L54,'Tabla Impacto'!$B$221:$B$223,0))),'Tabla Impacto'!$F$223&amp;"Por favor no seleccionar los criterios de impacto(Afectación Económica o presupuestal y Pérdida Reputacional)",L54)</f>
        <v>0</v>
      </c>
      <c r="N54" s="259" t="str">
        <f ca="1">IF(OR(M54='Tabla Impacto'!$C$11,M54='Tabla Impacto'!$D$11),"Leve",IF(OR(M54='Tabla Impacto'!$C$12,M54='Tabla Impacto'!$D$12),"Menor",IF(OR(M54='Tabla Impacto'!$C$13,M54='Tabla Impacto'!$D$13),"Moderado",IF(OR(M54='Tabla Impacto'!$C$14,M54='Tabla Impacto'!$D$14),"Mayor",IF(OR(M54='Tabla Impacto'!$C$15,M54='Tabla Impacto'!$D$15),"Catastrófico","")))))</f>
        <v/>
      </c>
      <c r="O54" s="253" t="str">
        <f t="shared" ref="O54" ca="1" si="75">IF(N54="","",IF(N54="Leve",0.2,IF(N54="Menor",0.4,IF(N54="Moderado",0.6,IF(N54="Mayor",0.8,IF(N54="Catastrófico",1,))))))</f>
        <v/>
      </c>
      <c r="P54" s="268" t="str">
        <f t="shared" ref="P54" ca="1" si="76">IF(OR(AND(J54="Muy Baja",N54="Leve"),AND(J54="Muy Baja",N54="Menor"),AND(J54="Baja",N54="Leve")),"Bajo",IF(OR(AND(J54="Muy baja",N54="Moderado"),AND(J54="Baja",N54="Menor"),AND(J54="Baja",N54="Moderado"),AND(J54="Media",N54="Leve"),AND(J54="Media",N54="Menor"),AND(J54="Media",N54="Moderado"),AND(J54="Alta",N54="Leve"),AND(J54="Alta",N54="Menor")),"Moderado",IF(OR(AND(J54="Muy Baja",N54="Mayor"),AND(J54="Baja",N54="Mayor"),AND(J54="Media",N54="Mayor"),AND(J54="Alta",N54="Moderado"),AND(J54="Alta",N54="Mayor"),AND(J54="Muy Alta",N54="Leve"),AND(J54="Muy Alta",N54="Menor"),AND(J54="Muy Alta",N54="Moderado"),AND(J54="Muy Alta",N54="Mayor")),"Alto",IF(OR(AND(J54="Muy Baja",N54="Catastrófico"),AND(J54="Baja",N54="Catastrófico"),AND(J54="Media",N54="Catastrófico"),AND(J54="Alta",N54="Catastrófico"),AND(J54="Muy Alta",N54="Catastrófico")),"Extremo",""))))</f>
        <v/>
      </c>
      <c r="Q54" s="105">
        <v>1</v>
      </c>
      <c r="R54" s="106"/>
      <c r="S54" s="107" t="str">
        <f>IF(OR(T54="Preventivo",T54="Detectivo"),"Probabilidad",IF(T54="Correctivo","Impacto",""))</f>
        <v/>
      </c>
      <c r="T54" s="108"/>
      <c r="U54" s="108"/>
      <c r="V54" s="109" t="str">
        <f>IF(AND(T54="Preventivo",U54="Automático"),"50%",IF(AND(T54="Preventivo",U54="Manual"),"40%",IF(AND(T54="Detectivo",U54="Automático"),"40%",IF(AND(T54="Detectivo",U54="Manual"),"30%",IF(AND(T54="Correctivo",U54="Automático"),"35%",IF(AND(T54="Correctivo",U54="Manual"),"25%",""))))))</f>
        <v/>
      </c>
      <c r="W54" s="108"/>
      <c r="X54" s="108"/>
      <c r="Y54" s="108"/>
      <c r="Z54" s="110" t="str">
        <f>IFERROR(IF(S54="Probabilidad",(K54-(+K54*V54)),IF(S54="Impacto",K54,"")),"")</f>
        <v/>
      </c>
      <c r="AA54" s="111" t="str">
        <f>IFERROR(IF(Z54="","",IF(Z54&lt;=0.2,"Muy Baja",IF(Z54&lt;=0.4,"Baja",IF(Z54&lt;=0.6,"Media",IF(Z54&lt;=0.8,"Alta","Muy Alta"))))),"")</f>
        <v/>
      </c>
      <c r="AB54" s="112" t="str">
        <f>+Z54</f>
        <v/>
      </c>
      <c r="AC54" s="111" t="str">
        <f>IFERROR(IF(AD54="","",IF(AD54&lt;=0.2,"Leve",IF(AD54&lt;=0.4,"Menor",IF(AD54&lt;=0.6,"Moderado",IF(AD54&lt;=0.8,"Mayor","Catastrófico"))))),"")</f>
        <v/>
      </c>
      <c r="AD54" s="112" t="str">
        <f>IFERROR(IF(S54="Impacto",(O54-(+O54*V54)),IF(S54="Probabilidad",O54,"")),"")</f>
        <v/>
      </c>
      <c r="AE54" s="113" t="str">
        <f>IFERROR(IF(OR(AND(AA54="Muy Baja",AC54="Leve"),AND(AA54="Muy Baja",AC54="Menor"),AND(AA54="Baja",AC54="Leve")),"Bajo",IF(OR(AND(AA54="Muy baja",AC54="Moderado"),AND(AA54="Baja",AC54="Menor"),AND(AA54="Baja",AC54="Moderado"),AND(AA54="Media",AC54="Leve"),AND(AA54="Media",AC54="Menor"),AND(AA54="Media",AC54="Moderado"),AND(AA54="Alta",AC54="Leve"),AND(AA54="Alta",AC54="Menor")),"Moderado",IF(OR(AND(AA54="Muy Baja",AC54="Mayor"),AND(AA54="Baja",AC54="Mayor"),AND(AA54="Media",AC54="Mayor"),AND(AA54="Alta",AC54="Moderado"),AND(AA54="Alta",AC54="Mayor"),AND(AA54="Muy Alta",AC54="Leve"),AND(AA54="Muy Alta",AC54="Menor"),AND(AA54="Muy Alta",AC54="Moderado"),AND(AA54="Muy Alta",AC54="Mayor")),"Alto",IF(OR(AND(AA54="Muy Baja",AC54="Catastrófico"),AND(AA54="Baja",AC54="Catastrófico"),AND(AA54="Media",AC54="Catastrófico"),AND(AA54="Alta",AC54="Catastrófico"),AND(AA54="Muy Alta",AC54="Catastrófico")),"Extremo","")))),"")</f>
        <v/>
      </c>
      <c r="AF54" s="114"/>
      <c r="AG54" s="115"/>
      <c r="AH54" s="116"/>
      <c r="AI54" s="117"/>
      <c r="AJ54" s="117"/>
      <c r="AK54" s="115"/>
      <c r="AL54" s="116"/>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row>
    <row r="55" spans="1:70" ht="26.25" customHeight="1" x14ac:dyDescent="0.3">
      <c r="A55" s="217"/>
      <c r="B55" s="273"/>
      <c r="C55" s="273"/>
      <c r="D55" s="273"/>
      <c r="E55" s="130"/>
      <c r="F55" s="280"/>
      <c r="G55" s="133"/>
      <c r="H55" s="273"/>
      <c r="I55" s="266"/>
      <c r="J55" s="260"/>
      <c r="K55" s="254"/>
      <c r="L55" s="257"/>
      <c r="M55" s="254">
        <f ca="1">IF(NOT(ISERROR(MATCH(L55,_xlfn.ANCHORARRAY(F66),0))),K68&amp;"Por favor no seleccionar los criterios de impacto",L55)</f>
        <v>0</v>
      </c>
      <c r="N55" s="260"/>
      <c r="O55" s="254"/>
      <c r="P55" s="269"/>
      <c r="Q55" s="105">
        <v>2</v>
      </c>
      <c r="R55" s="106"/>
      <c r="S55" s="107" t="str">
        <f>IF(OR(T55="Preventivo",T55="Detectivo"),"Probabilidad",IF(T55="Correctivo","Impacto",""))</f>
        <v/>
      </c>
      <c r="T55" s="108"/>
      <c r="U55" s="108"/>
      <c r="V55" s="109" t="str">
        <f t="shared" ref="V55:V59" si="77">IF(AND(T55="Preventivo",U55="Automático"),"50%",IF(AND(T55="Preventivo",U55="Manual"),"40%",IF(AND(T55="Detectivo",U55="Automático"),"40%",IF(AND(T55="Detectivo",U55="Manual"),"30%",IF(AND(T55="Correctivo",U55="Automático"),"35%",IF(AND(T55="Correctivo",U55="Manual"),"25%",""))))))</f>
        <v/>
      </c>
      <c r="W55" s="108"/>
      <c r="X55" s="108"/>
      <c r="Y55" s="108"/>
      <c r="Z55" s="110" t="str">
        <f>IFERROR(IF(AND(S54="Probabilidad",S55="Probabilidad"),(AB54-(+AB54*V55)),IF(S55="Probabilidad",(K54-(+K54*V55)),IF(S55="Impacto",AB54,""))),"")</f>
        <v/>
      </c>
      <c r="AA55" s="111" t="str">
        <f t="shared" si="65"/>
        <v/>
      </c>
      <c r="AB55" s="112" t="str">
        <f t="shared" ref="AB55:AB59" si="78">+Z55</f>
        <v/>
      </c>
      <c r="AC55" s="111" t="str">
        <f t="shared" si="67"/>
        <v/>
      </c>
      <c r="AD55" s="112" t="str">
        <f>IFERROR(IF(AND(S54="Impacto",S55="Impacto"),(AD54-(+AD54*V55)),IF(S55="Impacto",(O54-(+O54*V55)),IF(S55="Probabilidad",AD54,""))),"")</f>
        <v/>
      </c>
      <c r="AE55" s="113" t="str">
        <f t="shared" ref="AE55:AE56" si="79">IFERROR(IF(OR(AND(AA55="Muy Baja",AC55="Leve"),AND(AA55="Muy Baja",AC55="Menor"),AND(AA55="Baja",AC55="Leve")),"Bajo",IF(OR(AND(AA55="Muy baja",AC55="Moderado"),AND(AA55="Baja",AC55="Menor"),AND(AA55="Baja",AC55="Moderado"),AND(AA55="Media",AC55="Leve"),AND(AA55="Media",AC55="Menor"),AND(AA55="Media",AC55="Moderado"),AND(AA55="Alta",AC55="Leve"),AND(AA55="Alta",AC55="Menor")),"Moderado",IF(OR(AND(AA55="Muy Baja",AC55="Mayor"),AND(AA55="Baja",AC55="Mayor"),AND(AA55="Media",AC55="Mayor"),AND(AA55="Alta",AC55="Moderado"),AND(AA55="Alta",AC55="Mayor"),AND(AA55="Muy Alta",AC55="Leve"),AND(AA55="Muy Alta",AC55="Menor"),AND(AA55="Muy Alta",AC55="Moderado"),AND(AA55="Muy Alta",AC55="Mayor")),"Alto",IF(OR(AND(AA55="Muy Baja",AC55="Catastrófico"),AND(AA55="Baja",AC55="Catastrófico"),AND(AA55="Media",AC55="Catastrófico"),AND(AA55="Alta",AC55="Catastrófico"),AND(AA55="Muy Alta",AC55="Catastrófico")),"Extremo","")))),"")</f>
        <v/>
      </c>
      <c r="AF55" s="114"/>
      <c r="AG55" s="115"/>
      <c r="AH55" s="116"/>
      <c r="AI55" s="117"/>
      <c r="AJ55" s="117"/>
      <c r="AK55" s="115"/>
      <c r="AL55" s="116"/>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row>
    <row r="56" spans="1:70" ht="26.25" customHeight="1" x14ac:dyDescent="0.3">
      <c r="A56" s="217"/>
      <c r="B56" s="273"/>
      <c r="C56" s="273"/>
      <c r="D56" s="273"/>
      <c r="E56" s="130"/>
      <c r="F56" s="280"/>
      <c r="G56" s="133"/>
      <c r="H56" s="273"/>
      <c r="I56" s="266"/>
      <c r="J56" s="260"/>
      <c r="K56" s="254"/>
      <c r="L56" s="257"/>
      <c r="M56" s="254">
        <f ca="1">IF(NOT(ISERROR(MATCH(L56,_xlfn.ANCHORARRAY(F67),0))),K69&amp;"Por favor no seleccionar los criterios de impacto",L56)</f>
        <v>0</v>
      </c>
      <c r="N56" s="260"/>
      <c r="O56" s="254"/>
      <c r="P56" s="269"/>
      <c r="Q56" s="105">
        <v>3</v>
      </c>
      <c r="R56" s="118"/>
      <c r="S56" s="107" t="str">
        <f>IF(OR(T56="Preventivo",T56="Detectivo"),"Probabilidad",IF(T56="Correctivo","Impacto",""))</f>
        <v/>
      </c>
      <c r="T56" s="108"/>
      <c r="U56" s="108"/>
      <c r="V56" s="109" t="str">
        <f t="shared" si="77"/>
        <v/>
      </c>
      <c r="W56" s="108"/>
      <c r="X56" s="108"/>
      <c r="Y56" s="108"/>
      <c r="Z56" s="110" t="str">
        <f>IFERROR(IF(AND(S55="Probabilidad",S56="Probabilidad"),(AB55-(+AB55*V56)),IF(AND(S55="Impacto",S56="Probabilidad"),(AB54-(+AB54*V56)),IF(S56="Impacto",AB55,""))),"")</f>
        <v/>
      </c>
      <c r="AA56" s="111" t="str">
        <f t="shared" si="65"/>
        <v/>
      </c>
      <c r="AB56" s="112" t="str">
        <f t="shared" si="78"/>
        <v/>
      </c>
      <c r="AC56" s="111" t="str">
        <f t="shared" si="67"/>
        <v/>
      </c>
      <c r="AD56" s="112" t="str">
        <f>IFERROR(IF(AND(S55="Impacto",S56="Impacto"),(AD55-(+AD55*V56)),IF(AND(S55="Probabilidad",S56="Impacto"),(AD54-(+AD54*V56)),IF(S56="Probabilidad",AD55,""))),"")</f>
        <v/>
      </c>
      <c r="AE56" s="113" t="str">
        <f t="shared" si="79"/>
        <v/>
      </c>
      <c r="AF56" s="114"/>
      <c r="AG56" s="115"/>
      <c r="AH56" s="116"/>
      <c r="AI56" s="117"/>
      <c r="AJ56" s="117"/>
      <c r="AK56" s="115"/>
      <c r="AL56" s="116"/>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row>
    <row r="57" spans="1:70" ht="26.25" customHeight="1" x14ac:dyDescent="0.3">
      <c r="A57" s="217"/>
      <c r="B57" s="273"/>
      <c r="C57" s="273"/>
      <c r="D57" s="273"/>
      <c r="E57" s="130"/>
      <c r="F57" s="280"/>
      <c r="G57" s="133"/>
      <c r="H57" s="273"/>
      <c r="I57" s="266"/>
      <c r="J57" s="260"/>
      <c r="K57" s="254"/>
      <c r="L57" s="257"/>
      <c r="M57" s="254">
        <f ca="1">IF(NOT(ISERROR(MATCH(L57,_xlfn.ANCHORARRAY(F68),0))),K70&amp;"Por favor no seleccionar los criterios de impacto",L57)</f>
        <v>0</v>
      </c>
      <c r="N57" s="260"/>
      <c r="O57" s="254"/>
      <c r="P57" s="269"/>
      <c r="Q57" s="105">
        <v>4</v>
      </c>
      <c r="R57" s="106"/>
      <c r="S57" s="107" t="str">
        <f t="shared" ref="S57:S59" si="80">IF(OR(T57="Preventivo",T57="Detectivo"),"Probabilidad",IF(T57="Correctivo","Impacto",""))</f>
        <v/>
      </c>
      <c r="T57" s="108"/>
      <c r="U57" s="108"/>
      <c r="V57" s="109" t="str">
        <f t="shared" si="77"/>
        <v/>
      </c>
      <c r="W57" s="108"/>
      <c r="X57" s="108"/>
      <c r="Y57" s="108"/>
      <c r="Z57" s="110" t="str">
        <f t="shared" ref="Z57:Z59" si="81">IFERROR(IF(AND(S56="Probabilidad",S57="Probabilidad"),(AB56-(+AB56*V57)),IF(AND(S56="Impacto",S57="Probabilidad"),(AB55-(+AB55*V57)),IF(S57="Impacto",AB56,""))),"")</f>
        <v/>
      </c>
      <c r="AA57" s="111" t="str">
        <f t="shared" si="65"/>
        <v/>
      </c>
      <c r="AB57" s="112" t="str">
        <f t="shared" si="78"/>
        <v/>
      </c>
      <c r="AC57" s="111" t="str">
        <f t="shared" si="67"/>
        <v/>
      </c>
      <c r="AD57" s="112" t="str">
        <f t="shared" ref="AD57:AD59" si="82">IFERROR(IF(AND(S56="Impacto",S57="Impacto"),(AD56-(+AD56*V57)),IF(AND(S56="Probabilidad",S57="Impacto"),(AD55-(+AD55*V57)),IF(S57="Probabilidad",AD56,""))),"")</f>
        <v/>
      </c>
      <c r="AE57" s="113" t="str">
        <f>IFERROR(IF(OR(AND(AA57="Muy Baja",AC57="Leve"),AND(AA57="Muy Baja",AC57="Menor"),AND(AA57="Baja",AC57="Leve")),"Bajo",IF(OR(AND(AA57="Muy baja",AC57="Moderado"),AND(AA57="Baja",AC57="Menor"),AND(AA57="Baja",AC57="Moderado"),AND(AA57="Media",AC57="Leve"),AND(AA57="Media",AC57="Menor"),AND(AA57="Media",AC57="Moderado"),AND(AA57="Alta",AC57="Leve"),AND(AA57="Alta",AC57="Menor")),"Moderado",IF(OR(AND(AA57="Muy Baja",AC57="Mayor"),AND(AA57="Baja",AC57="Mayor"),AND(AA57="Media",AC57="Mayor"),AND(AA57="Alta",AC57="Moderado"),AND(AA57="Alta",AC57="Mayor"),AND(AA57="Muy Alta",AC57="Leve"),AND(AA57="Muy Alta",AC57="Menor"),AND(AA57="Muy Alta",AC57="Moderado"),AND(AA57="Muy Alta",AC57="Mayor")),"Alto",IF(OR(AND(AA57="Muy Baja",AC57="Catastrófico"),AND(AA57="Baja",AC57="Catastrófico"),AND(AA57="Media",AC57="Catastrófico"),AND(AA57="Alta",AC57="Catastrófico"),AND(AA57="Muy Alta",AC57="Catastrófico")),"Extremo","")))),"")</f>
        <v/>
      </c>
      <c r="AF57" s="114"/>
      <c r="AG57" s="115"/>
      <c r="AH57" s="116"/>
      <c r="AI57" s="117"/>
      <c r="AJ57" s="117"/>
      <c r="AK57" s="115"/>
      <c r="AL57" s="116"/>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row>
    <row r="58" spans="1:70" ht="26.25" customHeight="1" x14ac:dyDescent="0.3">
      <c r="A58" s="217"/>
      <c r="B58" s="273"/>
      <c r="C58" s="273"/>
      <c r="D58" s="273"/>
      <c r="E58" s="130"/>
      <c r="F58" s="280"/>
      <c r="G58" s="133"/>
      <c r="H58" s="273"/>
      <c r="I58" s="266"/>
      <c r="J58" s="260"/>
      <c r="K58" s="254"/>
      <c r="L58" s="257"/>
      <c r="M58" s="254">
        <f ca="1">IF(NOT(ISERROR(MATCH(L58,_xlfn.ANCHORARRAY(F69),0))),K71&amp;"Por favor no seleccionar los criterios de impacto",L58)</f>
        <v>0</v>
      </c>
      <c r="N58" s="260"/>
      <c r="O58" s="254"/>
      <c r="P58" s="269"/>
      <c r="Q58" s="105">
        <v>5</v>
      </c>
      <c r="R58" s="106"/>
      <c r="S58" s="107" t="str">
        <f t="shared" si="80"/>
        <v/>
      </c>
      <c r="T58" s="108"/>
      <c r="U58" s="108"/>
      <c r="V58" s="109" t="str">
        <f t="shared" si="77"/>
        <v/>
      </c>
      <c r="W58" s="108"/>
      <c r="X58" s="108"/>
      <c r="Y58" s="108"/>
      <c r="Z58" s="110" t="str">
        <f t="shared" si="81"/>
        <v/>
      </c>
      <c r="AA58" s="111" t="str">
        <f t="shared" si="65"/>
        <v/>
      </c>
      <c r="AB58" s="112" t="str">
        <f t="shared" si="78"/>
        <v/>
      </c>
      <c r="AC58" s="111" t="str">
        <f t="shared" si="67"/>
        <v/>
      </c>
      <c r="AD58" s="112" t="str">
        <f t="shared" si="82"/>
        <v/>
      </c>
      <c r="AE58" s="113" t="str">
        <f t="shared" ref="AE58:AE59" si="83">IFERROR(IF(OR(AND(AA58="Muy Baja",AC58="Leve"),AND(AA58="Muy Baja",AC58="Menor"),AND(AA58="Baja",AC58="Leve")),"Bajo",IF(OR(AND(AA58="Muy baja",AC58="Moderado"),AND(AA58="Baja",AC58="Menor"),AND(AA58="Baja",AC58="Moderado"),AND(AA58="Media",AC58="Leve"),AND(AA58="Media",AC58="Menor"),AND(AA58="Media",AC58="Moderado"),AND(AA58="Alta",AC58="Leve"),AND(AA58="Alta",AC58="Menor")),"Moderado",IF(OR(AND(AA58="Muy Baja",AC58="Mayor"),AND(AA58="Baja",AC58="Mayor"),AND(AA58="Media",AC58="Mayor"),AND(AA58="Alta",AC58="Moderado"),AND(AA58="Alta",AC58="Mayor"),AND(AA58="Muy Alta",AC58="Leve"),AND(AA58="Muy Alta",AC58="Menor"),AND(AA58="Muy Alta",AC58="Moderado"),AND(AA58="Muy Alta",AC58="Mayor")),"Alto",IF(OR(AND(AA58="Muy Baja",AC58="Catastrófico"),AND(AA58="Baja",AC58="Catastrófico"),AND(AA58="Media",AC58="Catastrófico"),AND(AA58="Alta",AC58="Catastrófico"),AND(AA58="Muy Alta",AC58="Catastrófico")),"Extremo","")))),"")</f>
        <v/>
      </c>
      <c r="AF58" s="114"/>
      <c r="AG58" s="115"/>
      <c r="AH58" s="116"/>
      <c r="AI58" s="117"/>
      <c r="AJ58" s="117"/>
      <c r="AK58" s="115"/>
      <c r="AL58" s="116"/>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row>
    <row r="59" spans="1:70" ht="26.25" customHeight="1" x14ac:dyDescent="0.3">
      <c r="A59" s="271"/>
      <c r="B59" s="274"/>
      <c r="C59" s="274"/>
      <c r="D59" s="274"/>
      <c r="E59" s="131"/>
      <c r="F59" s="281"/>
      <c r="G59" s="134"/>
      <c r="H59" s="274"/>
      <c r="I59" s="267"/>
      <c r="J59" s="261"/>
      <c r="K59" s="255"/>
      <c r="L59" s="258"/>
      <c r="M59" s="255">
        <f ca="1">IF(NOT(ISERROR(MATCH(L59,_xlfn.ANCHORARRAY(F70),0))),K72&amp;"Por favor no seleccionar los criterios de impacto",L59)</f>
        <v>0</v>
      </c>
      <c r="N59" s="261"/>
      <c r="O59" s="255"/>
      <c r="P59" s="270"/>
      <c r="Q59" s="105">
        <v>6</v>
      </c>
      <c r="R59" s="106"/>
      <c r="S59" s="107" t="str">
        <f t="shared" si="80"/>
        <v/>
      </c>
      <c r="T59" s="108"/>
      <c r="U59" s="108"/>
      <c r="V59" s="109" t="str">
        <f t="shared" si="77"/>
        <v/>
      </c>
      <c r="W59" s="108"/>
      <c r="X59" s="108"/>
      <c r="Y59" s="108"/>
      <c r="Z59" s="110" t="str">
        <f t="shared" si="81"/>
        <v/>
      </c>
      <c r="AA59" s="111" t="str">
        <f t="shared" si="65"/>
        <v/>
      </c>
      <c r="AB59" s="112" t="str">
        <f t="shared" si="78"/>
        <v/>
      </c>
      <c r="AC59" s="111" t="str">
        <f t="shared" si="67"/>
        <v/>
      </c>
      <c r="AD59" s="112" t="str">
        <f t="shared" si="82"/>
        <v/>
      </c>
      <c r="AE59" s="113" t="str">
        <f t="shared" si="83"/>
        <v/>
      </c>
      <c r="AF59" s="114"/>
      <c r="AG59" s="115"/>
      <c r="AH59" s="116"/>
      <c r="AI59" s="117"/>
      <c r="AJ59" s="117"/>
      <c r="AK59" s="115"/>
      <c r="AL59" s="116"/>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row>
    <row r="60" spans="1:70" ht="19.5" customHeight="1" x14ac:dyDescent="0.3">
      <c r="A60" s="216">
        <v>10</v>
      </c>
      <c r="B60" s="272"/>
      <c r="C60" s="272"/>
      <c r="D60" s="272"/>
      <c r="E60" s="129"/>
      <c r="F60" s="279"/>
      <c r="G60" s="132"/>
      <c r="H60" s="272"/>
      <c r="I60" s="265"/>
      <c r="J60" s="259" t="str">
        <f t="shared" ref="J60" si="84">IF(I60&lt;=0,"",IF(I60&lt;=2,"Muy Baja",IF(I60&lt;=24,"Baja",IF(I60&lt;=500,"Media",IF(I60&lt;=5000,"Alta","Muy Alta")))))</f>
        <v/>
      </c>
      <c r="K60" s="253" t="str">
        <f t="shared" ref="K60" si="85">IF(J60="","",IF(J60="Muy Baja",0.2,IF(J60="Baja",0.4,IF(J60="Media",0.6,IF(J60="Alta",0.8,IF(J60="Muy Alta",1,))))))</f>
        <v/>
      </c>
      <c r="L60" s="256"/>
      <c r="M60" s="253">
        <f ca="1">IF(NOT(ISERROR(MATCH(L60,'Tabla Impacto'!$B$221:$B$223,0))),'Tabla Impacto'!$F$223&amp;"Por favor no seleccionar los criterios de impacto(Afectación Económica o presupuestal y Pérdida Reputacional)",L60)</f>
        <v>0</v>
      </c>
      <c r="N60" s="259" t="str">
        <f ca="1">IF(OR(M60='Tabla Impacto'!$C$11,M60='Tabla Impacto'!$D$11),"Leve",IF(OR(M60='Tabla Impacto'!$C$12,M60='Tabla Impacto'!$D$12),"Menor",IF(OR(M60='Tabla Impacto'!$C$13,M60='Tabla Impacto'!$D$13),"Moderado",IF(OR(M60='Tabla Impacto'!$C$14,M60='Tabla Impacto'!$D$14),"Mayor",IF(OR(M60='Tabla Impacto'!$C$15,M60='Tabla Impacto'!$D$15),"Catastrófico","")))))</f>
        <v/>
      </c>
      <c r="O60" s="253" t="str">
        <f t="shared" ref="O60" ca="1" si="86">IF(N60="","",IF(N60="Leve",0.2,IF(N60="Menor",0.4,IF(N60="Moderado",0.6,IF(N60="Mayor",0.8,IF(N60="Catastrófico",1,))))))</f>
        <v/>
      </c>
      <c r="P60" s="268" t="str">
        <f t="shared" ref="P60" ca="1" si="87">IF(OR(AND(J60="Muy Baja",N60="Leve"),AND(J60="Muy Baja",N60="Menor"),AND(J60="Baja",N60="Leve")),"Bajo",IF(OR(AND(J60="Muy baja",N60="Moderado"),AND(J60="Baja",N60="Menor"),AND(J60="Baja",N60="Moderado"),AND(J60="Media",N60="Leve"),AND(J60="Media",N60="Menor"),AND(J60="Media",N60="Moderado"),AND(J60="Alta",N60="Leve"),AND(J60="Alta",N60="Menor")),"Moderado",IF(OR(AND(J60="Muy Baja",N60="Mayor"),AND(J60="Baja",N60="Mayor"),AND(J60="Media",N60="Mayor"),AND(J60="Alta",N60="Moderado"),AND(J60="Alta",N60="Mayor"),AND(J60="Muy Alta",N60="Leve"),AND(J60="Muy Alta",N60="Menor"),AND(J60="Muy Alta",N60="Moderado"),AND(J60="Muy Alta",N60="Mayor")),"Alto",IF(OR(AND(J60="Muy Baja",N60="Catastrófico"),AND(J60="Baja",N60="Catastrófico"),AND(J60="Media",N60="Catastrófico"),AND(J60="Alta",N60="Catastrófico"),AND(J60="Muy Alta",N60="Catastrófico")),"Extremo",""))))</f>
        <v/>
      </c>
      <c r="Q60" s="105">
        <v>1</v>
      </c>
      <c r="R60" s="106"/>
      <c r="S60" s="107" t="str">
        <f>IF(OR(T60="Preventivo",T60="Detectivo"),"Probabilidad",IF(T60="Correctivo","Impacto",""))</f>
        <v/>
      </c>
      <c r="T60" s="108"/>
      <c r="U60" s="108"/>
      <c r="V60" s="109" t="str">
        <f>IF(AND(T60="Preventivo",U60="Automático"),"50%",IF(AND(T60="Preventivo",U60="Manual"),"40%",IF(AND(T60="Detectivo",U60="Automático"),"40%",IF(AND(T60="Detectivo",U60="Manual"),"30%",IF(AND(T60="Correctivo",U60="Automático"),"35%",IF(AND(T60="Correctivo",U60="Manual"),"25%",""))))))</f>
        <v/>
      </c>
      <c r="W60" s="108"/>
      <c r="X60" s="108"/>
      <c r="Y60" s="108"/>
      <c r="Z60" s="110" t="str">
        <f>IFERROR(IF(S60="Probabilidad",(K60-(+K60*V60)),IF(S60="Impacto",K60,"")),"")</f>
        <v/>
      </c>
      <c r="AA60" s="111" t="str">
        <f>IFERROR(IF(Z60="","",IF(Z60&lt;=0.2,"Muy Baja",IF(Z60&lt;=0.4,"Baja",IF(Z60&lt;=0.6,"Media",IF(Z60&lt;=0.8,"Alta","Muy Alta"))))),"")</f>
        <v/>
      </c>
      <c r="AB60" s="112" t="str">
        <f>+Z60</f>
        <v/>
      </c>
      <c r="AC60" s="111" t="str">
        <f>IFERROR(IF(AD60="","",IF(AD60&lt;=0.2,"Leve",IF(AD60&lt;=0.4,"Menor",IF(AD60&lt;=0.6,"Moderado",IF(AD60&lt;=0.8,"Mayor","Catastrófico"))))),"")</f>
        <v/>
      </c>
      <c r="AD60" s="112" t="str">
        <f>IFERROR(IF(S60="Impacto",(O60-(+O60*V60)),IF(S60="Probabilidad",O60,"")),"")</f>
        <v/>
      </c>
      <c r="AE60" s="113" t="str">
        <f>IFERROR(IF(OR(AND(AA60="Muy Baja",AC60="Leve"),AND(AA60="Muy Baja",AC60="Menor"),AND(AA60="Baja",AC60="Leve")),"Bajo",IF(OR(AND(AA60="Muy baja",AC60="Moderado"),AND(AA60="Baja",AC60="Menor"),AND(AA60="Baja",AC60="Moderado"),AND(AA60="Media",AC60="Leve"),AND(AA60="Media",AC60="Menor"),AND(AA60="Media",AC60="Moderado"),AND(AA60="Alta",AC60="Leve"),AND(AA60="Alta",AC60="Menor")),"Moderado",IF(OR(AND(AA60="Muy Baja",AC60="Mayor"),AND(AA60="Baja",AC60="Mayor"),AND(AA60="Media",AC60="Mayor"),AND(AA60="Alta",AC60="Moderado"),AND(AA60="Alta",AC60="Mayor"),AND(AA60="Muy Alta",AC60="Leve"),AND(AA60="Muy Alta",AC60="Menor"),AND(AA60="Muy Alta",AC60="Moderado"),AND(AA60="Muy Alta",AC60="Mayor")),"Alto",IF(OR(AND(AA60="Muy Baja",AC60="Catastrófico"),AND(AA60="Baja",AC60="Catastrófico"),AND(AA60="Media",AC60="Catastrófico"),AND(AA60="Alta",AC60="Catastrófico"),AND(AA60="Muy Alta",AC60="Catastrófico")),"Extremo","")))),"")</f>
        <v/>
      </c>
      <c r="AF60" s="114"/>
      <c r="AG60" s="115"/>
      <c r="AH60" s="116"/>
      <c r="AI60" s="117"/>
      <c r="AJ60" s="117"/>
      <c r="AK60" s="115"/>
      <c r="AL60" s="116"/>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row>
    <row r="61" spans="1:70" ht="19.5" customHeight="1" x14ac:dyDescent="0.3">
      <c r="A61" s="217"/>
      <c r="B61" s="273"/>
      <c r="C61" s="273"/>
      <c r="D61" s="273"/>
      <c r="E61" s="130"/>
      <c r="F61" s="280"/>
      <c r="G61" s="133"/>
      <c r="H61" s="273"/>
      <c r="I61" s="266"/>
      <c r="J61" s="260"/>
      <c r="K61" s="254"/>
      <c r="L61" s="257"/>
      <c r="M61" s="254">
        <f ca="1">IF(NOT(ISERROR(MATCH(L61,_xlfn.ANCHORARRAY(F72),0))),K74&amp;"Por favor no seleccionar los criterios de impacto",L61)</f>
        <v>0</v>
      </c>
      <c r="N61" s="260"/>
      <c r="O61" s="254"/>
      <c r="P61" s="269"/>
      <c r="Q61" s="105">
        <v>2</v>
      </c>
      <c r="R61" s="106"/>
      <c r="S61" s="107" t="str">
        <f>IF(OR(T61="Preventivo",T61="Detectivo"),"Probabilidad",IF(T61="Correctivo","Impacto",""))</f>
        <v/>
      </c>
      <c r="T61" s="108"/>
      <c r="U61" s="108"/>
      <c r="V61" s="109" t="str">
        <f t="shared" ref="V61:V65" si="88">IF(AND(T61="Preventivo",U61="Automático"),"50%",IF(AND(T61="Preventivo",U61="Manual"),"40%",IF(AND(T61="Detectivo",U61="Automático"),"40%",IF(AND(T61="Detectivo",U61="Manual"),"30%",IF(AND(T61="Correctivo",U61="Automático"),"35%",IF(AND(T61="Correctivo",U61="Manual"),"25%",""))))))</f>
        <v/>
      </c>
      <c r="W61" s="108"/>
      <c r="X61" s="108"/>
      <c r="Y61" s="108"/>
      <c r="Z61" s="110" t="str">
        <f>IFERROR(IF(AND(S60="Probabilidad",S61="Probabilidad"),(AB60-(+AB60*V61)),IF(S61="Probabilidad",(K60-(+K60*V61)),IF(S61="Impacto",AB60,""))),"")</f>
        <v/>
      </c>
      <c r="AA61" s="111" t="str">
        <f t="shared" si="65"/>
        <v/>
      </c>
      <c r="AB61" s="112" t="str">
        <f t="shared" ref="AB61:AB65" si="89">+Z61</f>
        <v/>
      </c>
      <c r="AC61" s="111" t="str">
        <f t="shared" si="67"/>
        <v/>
      </c>
      <c r="AD61" s="112" t="str">
        <f>IFERROR(IF(AND(S60="Impacto",S61="Impacto"),(AD60-(+AD60*V61)),IF(S61="Impacto",(O60-(+O60*V61)),IF(S61="Probabilidad",AD60,""))),"")</f>
        <v/>
      </c>
      <c r="AE61" s="113" t="str">
        <f t="shared" ref="AE61:AE62" si="90">IFERROR(IF(OR(AND(AA61="Muy Baja",AC61="Leve"),AND(AA61="Muy Baja",AC61="Menor"),AND(AA61="Baja",AC61="Leve")),"Bajo",IF(OR(AND(AA61="Muy baja",AC61="Moderado"),AND(AA61="Baja",AC61="Menor"),AND(AA61="Baja",AC61="Moderado"),AND(AA61="Media",AC61="Leve"),AND(AA61="Media",AC61="Menor"),AND(AA61="Media",AC61="Moderado"),AND(AA61="Alta",AC61="Leve"),AND(AA61="Alta",AC61="Menor")),"Moderado",IF(OR(AND(AA61="Muy Baja",AC61="Mayor"),AND(AA61="Baja",AC61="Mayor"),AND(AA61="Media",AC61="Mayor"),AND(AA61="Alta",AC61="Moderado"),AND(AA61="Alta",AC61="Mayor"),AND(AA61="Muy Alta",AC61="Leve"),AND(AA61="Muy Alta",AC61="Menor"),AND(AA61="Muy Alta",AC61="Moderado"),AND(AA61="Muy Alta",AC61="Mayor")),"Alto",IF(OR(AND(AA61="Muy Baja",AC61="Catastrófico"),AND(AA61="Baja",AC61="Catastrófico"),AND(AA61="Media",AC61="Catastrófico"),AND(AA61="Alta",AC61="Catastrófico"),AND(AA61="Muy Alta",AC61="Catastrófico")),"Extremo","")))),"")</f>
        <v/>
      </c>
      <c r="AF61" s="114"/>
      <c r="AG61" s="115"/>
      <c r="AH61" s="116"/>
      <c r="AI61" s="117"/>
      <c r="AJ61" s="117"/>
      <c r="AK61" s="115"/>
      <c r="AL61" s="116"/>
    </row>
    <row r="62" spans="1:70" ht="19.5" customHeight="1" x14ac:dyDescent="0.3">
      <c r="A62" s="217"/>
      <c r="B62" s="273"/>
      <c r="C62" s="273"/>
      <c r="D62" s="273"/>
      <c r="E62" s="130"/>
      <c r="F62" s="280"/>
      <c r="G62" s="133"/>
      <c r="H62" s="273"/>
      <c r="I62" s="266"/>
      <c r="J62" s="260"/>
      <c r="K62" s="254"/>
      <c r="L62" s="257"/>
      <c r="M62" s="254">
        <f ca="1">IF(NOT(ISERROR(MATCH(L62,_xlfn.ANCHORARRAY(F73),0))),K75&amp;"Por favor no seleccionar los criterios de impacto",L62)</f>
        <v>0</v>
      </c>
      <c r="N62" s="260"/>
      <c r="O62" s="254"/>
      <c r="P62" s="269"/>
      <c r="Q62" s="105">
        <v>3</v>
      </c>
      <c r="R62" s="118"/>
      <c r="S62" s="107" t="str">
        <f>IF(OR(T62="Preventivo",T62="Detectivo"),"Probabilidad",IF(T62="Correctivo","Impacto",""))</f>
        <v/>
      </c>
      <c r="T62" s="108"/>
      <c r="U62" s="108"/>
      <c r="V62" s="109" t="str">
        <f t="shared" si="88"/>
        <v/>
      </c>
      <c r="W62" s="108"/>
      <c r="X62" s="108"/>
      <c r="Y62" s="108"/>
      <c r="Z62" s="110" t="str">
        <f>IFERROR(IF(AND(S61="Probabilidad",S62="Probabilidad"),(AB61-(+AB61*V62)),IF(AND(S61="Impacto",S62="Probabilidad"),(AB60-(+AB60*V62)),IF(S62="Impacto",AB61,""))),"")</f>
        <v/>
      </c>
      <c r="AA62" s="111" t="str">
        <f t="shared" si="65"/>
        <v/>
      </c>
      <c r="AB62" s="112" t="str">
        <f t="shared" si="89"/>
        <v/>
      </c>
      <c r="AC62" s="111" t="str">
        <f t="shared" si="67"/>
        <v/>
      </c>
      <c r="AD62" s="112" t="str">
        <f>IFERROR(IF(AND(S61="Impacto",S62="Impacto"),(AD61-(+AD61*V62)),IF(AND(S61="Probabilidad",S62="Impacto"),(AD60-(+AD60*V62)),IF(S62="Probabilidad",AD61,""))),"")</f>
        <v/>
      </c>
      <c r="AE62" s="113" t="str">
        <f t="shared" si="90"/>
        <v/>
      </c>
      <c r="AF62" s="114"/>
      <c r="AG62" s="115"/>
      <c r="AH62" s="116"/>
      <c r="AI62" s="117"/>
      <c r="AJ62" s="117"/>
      <c r="AK62" s="115"/>
      <c r="AL62" s="116"/>
    </row>
    <row r="63" spans="1:70" ht="19.5" customHeight="1" x14ac:dyDescent="0.3">
      <c r="A63" s="217"/>
      <c r="B63" s="273"/>
      <c r="C63" s="273"/>
      <c r="D63" s="273"/>
      <c r="E63" s="130"/>
      <c r="F63" s="280"/>
      <c r="G63" s="133"/>
      <c r="H63" s="273"/>
      <c r="I63" s="266"/>
      <c r="J63" s="260"/>
      <c r="K63" s="254"/>
      <c r="L63" s="257"/>
      <c r="M63" s="254">
        <f ca="1">IF(NOT(ISERROR(MATCH(L63,_xlfn.ANCHORARRAY(F74),0))),K76&amp;"Por favor no seleccionar los criterios de impacto",L63)</f>
        <v>0</v>
      </c>
      <c r="N63" s="260"/>
      <c r="O63" s="254"/>
      <c r="P63" s="269"/>
      <c r="Q63" s="105">
        <v>4</v>
      </c>
      <c r="R63" s="106"/>
      <c r="S63" s="107" t="str">
        <f t="shared" ref="S63:S65" si="91">IF(OR(T63="Preventivo",T63="Detectivo"),"Probabilidad",IF(T63="Correctivo","Impacto",""))</f>
        <v/>
      </c>
      <c r="T63" s="108"/>
      <c r="U63" s="108"/>
      <c r="V63" s="109" t="str">
        <f t="shared" si="88"/>
        <v/>
      </c>
      <c r="W63" s="108"/>
      <c r="X63" s="108"/>
      <c r="Y63" s="108"/>
      <c r="Z63" s="110" t="str">
        <f t="shared" ref="Z63:Z65" si="92">IFERROR(IF(AND(S62="Probabilidad",S63="Probabilidad"),(AB62-(+AB62*V63)),IF(AND(S62="Impacto",S63="Probabilidad"),(AB61-(+AB61*V63)),IF(S63="Impacto",AB62,""))),"")</f>
        <v/>
      </c>
      <c r="AA63" s="111" t="str">
        <f t="shared" si="65"/>
        <v/>
      </c>
      <c r="AB63" s="112" t="str">
        <f t="shared" si="89"/>
        <v/>
      </c>
      <c r="AC63" s="111" t="str">
        <f t="shared" si="67"/>
        <v/>
      </c>
      <c r="AD63" s="112" t="str">
        <f t="shared" ref="AD63:AD65" si="93">IFERROR(IF(AND(S62="Impacto",S63="Impacto"),(AD62-(+AD62*V63)),IF(AND(S62="Probabilidad",S63="Impacto"),(AD61-(+AD61*V63)),IF(S63="Probabilidad",AD62,""))),"")</f>
        <v/>
      </c>
      <c r="AE63" s="113" t="str">
        <f>IFERROR(IF(OR(AND(AA63="Muy Baja",AC63="Leve"),AND(AA63="Muy Baja",AC63="Menor"),AND(AA63="Baja",AC63="Leve")),"Bajo",IF(OR(AND(AA63="Muy baja",AC63="Moderado"),AND(AA63="Baja",AC63="Menor"),AND(AA63="Baja",AC63="Moderado"),AND(AA63="Media",AC63="Leve"),AND(AA63="Media",AC63="Menor"),AND(AA63="Media",AC63="Moderado"),AND(AA63="Alta",AC63="Leve"),AND(AA63="Alta",AC63="Menor")),"Moderado",IF(OR(AND(AA63="Muy Baja",AC63="Mayor"),AND(AA63="Baja",AC63="Mayor"),AND(AA63="Media",AC63="Mayor"),AND(AA63="Alta",AC63="Moderado"),AND(AA63="Alta",AC63="Mayor"),AND(AA63="Muy Alta",AC63="Leve"),AND(AA63="Muy Alta",AC63="Menor"),AND(AA63="Muy Alta",AC63="Moderado"),AND(AA63="Muy Alta",AC63="Mayor")),"Alto",IF(OR(AND(AA63="Muy Baja",AC63="Catastrófico"),AND(AA63="Baja",AC63="Catastrófico"),AND(AA63="Media",AC63="Catastrófico"),AND(AA63="Alta",AC63="Catastrófico"),AND(AA63="Muy Alta",AC63="Catastrófico")),"Extremo","")))),"")</f>
        <v/>
      </c>
      <c r="AF63" s="114"/>
      <c r="AG63" s="115"/>
      <c r="AH63" s="116"/>
      <c r="AI63" s="117"/>
      <c r="AJ63" s="117"/>
      <c r="AK63" s="115"/>
      <c r="AL63" s="116"/>
    </row>
    <row r="64" spans="1:70" ht="19.5" customHeight="1" x14ac:dyDescent="0.3">
      <c r="A64" s="217"/>
      <c r="B64" s="273"/>
      <c r="C64" s="273"/>
      <c r="D64" s="273"/>
      <c r="E64" s="130"/>
      <c r="F64" s="280"/>
      <c r="G64" s="133"/>
      <c r="H64" s="273"/>
      <c r="I64" s="266"/>
      <c r="J64" s="260"/>
      <c r="K64" s="254"/>
      <c r="L64" s="257"/>
      <c r="M64" s="254">
        <f ca="1">IF(NOT(ISERROR(MATCH(L64,_xlfn.ANCHORARRAY(F75),0))),K77&amp;"Por favor no seleccionar los criterios de impacto",L64)</f>
        <v>0</v>
      </c>
      <c r="N64" s="260"/>
      <c r="O64" s="254"/>
      <c r="P64" s="269"/>
      <c r="Q64" s="105">
        <v>5</v>
      </c>
      <c r="R64" s="106"/>
      <c r="S64" s="107" t="str">
        <f t="shared" si="91"/>
        <v/>
      </c>
      <c r="T64" s="108"/>
      <c r="U64" s="108"/>
      <c r="V64" s="109" t="str">
        <f t="shared" si="88"/>
        <v/>
      </c>
      <c r="W64" s="108"/>
      <c r="X64" s="108"/>
      <c r="Y64" s="108"/>
      <c r="Z64" s="110" t="str">
        <f t="shared" si="92"/>
        <v/>
      </c>
      <c r="AA64" s="111" t="str">
        <f t="shared" si="65"/>
        <v/>
      </c>
      <c r="AB64" s="112" t="str">
        <f t="shared" si="89"/>
        <v/>
      </c>
      <c r="AC64" s="111" t="str">
        <f t="shared" si="67"/>
        <v/>
      </c>
      <c r="AD64" s="112" t="str">
        <f t="shared" si="93"/>
        <v/>
      </c>
      <c r="AE64" s="113" t="str">
        <f t="shared" ref="AE64:AE65" si="94">IFERROR(IF(OR(AND(AA64="Muy Baja",AC64="Leve"),AND(AA64="Muy Baja",AC64="Menor"),AND(AA64="Baja",AC64="Leve")),"Bajo",IF(OR(AND(AA64="Muy baja",AC64="Moderado"),AND(AA64="Baja",AC64="Menor"),AND(AA64="Baja",AC64="Moderado"),AND(AA64="Media",AC64="Leve"),AND(AA64="Media",AC64="Menor"),AND(AA64="Media",AC64="Moderado"),AND(AA64="Alta",AC64="Leve"),AND(AA64="Alta",AC64="Menor")),"Moderado",IF(OR(AND(AA64="Muy Baja",AC64="Mayor"),AND(AA64="Baja",AC64="Mayor"),AND(AA64="Media",AC64="Mayor"),AND(AA64="Alta",AC64="Moderado"),AND(AA64="Alta",AC64="Mayor"),AND(AA64="Muy Alta",AC64="Leve"),AND(AA64="Muy Alta",AC64="Menor"),AND(AA64="Muy Alta",AC64="Moderado"),AND(AA64="Muy Alta",AC64="Mayor")),"Alto",IF(OR(AND(AA64="Muy Baja",AC64="Catastrófico"),AND(AA64="Baja",AC64="Catastrófico"),AND(AA64="Media",AC64="Catastrófico"),AND(AA64="Alta",AC64="Catastrófico"),AND(AA64="Muy Alta",AC64="Catastrófico")),"Extremo","")))),"")</f>
        <v/>
      </c>
      <c r="AF64" s="114"/>
      <c r="AG64" s="115"/>
      <c r="AH64" s="116"/>
      <c r="AI64" s="117"/>
      <c r="AJ64" s="117"/>
      <c r="AK64" s="115"/>
      <c r="AL64" s="116"/>
    </row>
    <row r="65" spans="1:38" ht="19.5" customHeight="1" x14ac:dyDescent="0.3">
      <c r="A65" s="271"/>
      <c r="B65" s="274"/>
      <c r="C65" s="274"/>
      <c r="D65" s="274"/>
      <c r="E65" s="131"/>
      <c r="F65" s="281"/>
      <c r="G65" s="134"/>
      <c r="H65" s="274"/>
      <c r="I65" s="267"/>
      <c r="J65" s="261"/>
      <c r="K65" s="255"/>
      <c r="L65" s="258"/>
      <c r="M65" s="255">
        <f ca="1">IF(NOT(ISERROR(MATCH(L65,_xlfn.ANCHORARRAY(F76),0))),K78&amp;"Por favor no seleccionar los criterios de impacto",L65)</f>
        <v>0</v>
      </c>
      <c r="N65" s="261"/>
      <c r="O65" s="255"/>
      <c r="P65" s="270"/>
      <c r="Q65" s="105">
        <v>6</v>
      </c>
      <c r="R65" s="106"/>
      <c r="S65" s="107" t="str">
        <f t="shared" si="91"/>
        <v/>
      </c>
      <c r="T65" s="108"/>
      <c r="U65" s="108"/>
      <c r="V65" s="109" t="str">
        <f t="shared" si="88"/>
        <v/>
      </c>
      <c r="W65" s="108"/>
      <c r="X65" s="108"/>
      <c r="Y65" s="108"/>
      <c r="Z65" s="110" t="str">
        <f t="shared" si="92"/>
        <v/>
      </c>
      <c r="AA65" s="111" t="str">
        <f t="shared" si="65"/>
        <v/>
      </c>
      <c r="AB65" s="112" t="str">
        <f t="shared" si="89"/>
        <v/>
      </c>
      <c r="AC65" s="111" t="str">
        <f t="shared" si="67"/>
        <v/>
      </c>
      <c r="AD65" s="112" t="str">
        <f t="shared" si="93"/>
        <v/>
      </c>
      <c r="AE65" s="113" t="str">
        <f t="shared" si="94"/>
        <v/>
      </c>
      <c r="AF65" s="114"/>
      <c r="AG65" s="115"/>
      <c r="AH65" s="116"/>
      <c r="AI65" s="117"/>
      <c r="AJ65" s="117"/>
      <c r="AK65" s="115"/>
      <c r="AL65" s="116"/>
    </row>
    <row r="66" spans="1:38" ht="49.5" customHeight="1" x14ac:dyDescent="0.3">
      <c r="A66" s="6"/>
      <c r="B66" s="282" t="s">
        <v>125</v>
      </c>
      <c r="C66" s="283"/>
      <c r="D66" s="283"/>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283"/>
      <c r="AD66" s="283"/>
      <c r="AE66" s="283"/>
      <c r="AF66" s="283"/>
      <c r="AG66" s="283"/>
      <c r="AH66" s="283"/>
      <c r="AI66" s="283"/>
      <c r="AJ66" s="283"/>
      <c r="AK66" s="283"/>
      <c r="AL66" s="284"/>
    </row>
    <row r="68" spans="1:38" x14ac:dyDescent="0.3">
      <c r="A68" s="1"/>
      <c r="B68" s="24" t="s">
        <v>137</v>
      </c>
      <c r="C68" s="1"/>
      <c r="D68" s="1"/>
      <c r="E68" s="1"/>
      <c r="H68" s="1"/>
    </row>
  </sheetData>
  <dataConsolidate/>
  <mergeCells count="187">
    <mergeCell ref="G14:G15"/>
    <mergeCell ref="C4:AL4"/>
    <mergeCell ref="C5:AL5"/>
    <mergeCell ref="C6:AL6"/>
    <mergeCell ref="A1:AL2"/>
    <mergeCell ref="A7:I7"/>
    <mergeCell ref="J7:P7"/>
    <mergeCell ref="Q7:Y7"/>
    <mergeCell ref="Z7:AF7"/>
    <mergeCell ref="AG7:AL7"/>
    <mergeCell ref="M14:M17"/>
    <mergeCell ref="N14:N17"/>
    <mergeCell ref="O14:O17"/>
    <mergeCell ref="P14:P17"/>
    <mergeCell ref="A14:A17"/>
    <mergeCell ref="B14:B17"/>
    <mergeCell ref="C14:C17"/>
    <mergeCell ref="D14:D17"/>
    <mergeCell ref="F14:F17"/>
    <mergeCell ref="AG8:AG9"/>
    <mergeCell ref="AL8:AL9"/>
    <mergeCell ref="AK8:AK9"/>
    <mergeCell ref="AJ8:AJ9"/>
    <mergeCell ref="AI8:AI9"/>
    <mergeCell ref="B66:AL66"/>
    <mergeCell ref="O54:O59"/>
    <mergeCell ref="P54:P59"/>
    <mergeCell ref="A60:A65"/>
    <mergeCell ref="B60:B65"/>
    <mergeCell ref="C60:C65"/>
    <mergeCell ref="D60:D65"/>
    <mergeCell ref="F60:F65"/>
    <mergeCell ref="H60:H65"/>
    <mergeCell ref="I60:I65"/>
    <mergeCell ref="J60:J65"/>
    <mergeCell ref="K60:K65"/>
    <mergeCell ref="L60:L65"/>
    <mergeCell ref="M60:M65"/>
    <mergeCell ref="N60:N65"/>
    <mergeCell ref="O60:O65"/>
    <mergeCell ref="P60:P65"/>
    <mergeCell ref="L54:L59"/>
    <mergeCell ref="M54:M59"/>
    <mergeCell ref="N54:N59"/>
    <mergeCell ref="A54:A59"/>
    <mergeCell ref="B54:B59"/>
    <mergeCell ref="C54:C59"/>
    <mergeCell ref="D54:D59"/>
    <mergeCell ref="F54:F59"/>
    <mergeCell ref="H54:H59"/>
    <mergeCell ref="I54:I59"/>
    <mergeCell ref="J54:J59"/>
    <mergeCell ref="K54:K59"/>
    <mergeCell ref="O42:O47"/>
    <mergeCell ref="P42:P47"/>
    <mergeCell ref="H48:H53"/>
    <mergeCell ref="I48:I53"/>
    <mergeCell ref="J48:J53"/>
    <mergeCell ref="K48:K53"/>
    <mergeCell ref="L48:L53"/>
    <mergeCell ref="H42:H47"/>
    <mergeCell ref="I42:I47"/>
    <mergeCell ref="J42:J47"/>
    <mergeCell ref="K42:K47"/>
    <mergeCell ref="M48:M53"/>
    <mergeCell ref="N48:N53"/>
    <mergeCell ref="O48:O53"/>
    <mergeCell ref="P48:P53"/>
    <mergeCell ref="K30:K35"/>
    <mergeCell ref="L30:L35"/>
    <mergeCell ref="I36:I41"/>
    <mergeCell ref="J36:J41"/>
    <mergeCell ref="K36:K41"/>
    <mergeCell ref="M30:M35"/>
    <mergeCell ref="N30:N35"/>
    <mergeCell ref="A48:A53"/>
    <mergeCell ref="B48:B53"/>
    <mergeCell ref="C48:C53"/>
    <mergeCell ref="D48:D53"/>
    <mergeCell ref="F48:F53"/>
    <mergeCell ref="A42:A47"/>
    <mergeCell ref="B42:B47"/>
    <mergeCell ref="C42:C47"/>
    <mergeCell ref="D42:D47"/>
    <mergeCell ref="F42:F47"/>
    <mergeCell ref="O30:O35"/>
    <mergeCell ref="P30:P35"/>
    <mergeCell ref="O36:O41"/>
    <mergeCell ref="P36:P41"/>
    <mergeCell ref="L42:L47"/>
    <mergeCell ref="M42:M47"/>
    <mergeCell ref="N42:N47"/>
    <mergeCell ref="A30:A35"/>
    <mergeCell ref="B30:B35"/>
    <mergeCell ref="C30:C35"/>
    <mergeCell ref="A36:A41"/>
    <mergeCell ref="B36:B41"/>
    <mergeCell ref="C36:C41"/>
    <mergeCell ref="D36:D41"/>
    <mergeCell ref="F36:F41"/>
    <mergeCell ref="H36:H41"/>
    <mergeCell ref="D30:D35"/>
    <mergeCell ref="F30:F35"/>
    <mergeCell ref="L36:L41"/>
    <mergeCell ref="M36:M41"/>
    <mergeCell ref="N36:N41"/>
    <mergeCell ref="H30:H35"/>
    <mergeCell ref="I30:I35"/>
    <mergeCell ref="J30:J35"/>
    <mergeCell ref="O18:O23"/>
    <mergeCell ref="P18:P23"/>
    <mergeCell ref="A24:A29"/>
    <mergeCell ref="B24:B29"/>
    <mergeCell ref="C24:C29"/>
    <mergeCell ref="D24:D29"/>
    <mergeCell ref="F24:F29"/>
    <mergeCell ref="H24:H29"/>
    <mergeCell ref="I24:I29"/>
    <mergeCell ref="J24:J29"/>
    <mergeCell ref="K24:K29"/>
    <mergeCell ref="L24:L29"/>
    <mergeCell ref="M24:M29"/>
    <mergeCell ref="N24:N29"/>
    <mergeCell ref="O24:O29"/>
    <mergeCell ref="P24:P29"/>
    <mergeCell ref="A18:A23"/>
    <mergeCell ref="B18:B23"/>
    <mergeCell ref="C18:C23"/>
    <mergeCell ref="D18:D23"/>
    <mergeCell ref="F18:F23"/>
    <mergeCell ref="H18:H23"/>
    <mergeCell ref="I18:I23"/>
    <mergeCell ref="J18:J23"/>
    <mergeCell ref="K18:K23"/>
    <mergeCell ref="L18:L23"/>
    <mergeCell ref="M18:M23"/>
    <mergeCell ref="N18:N23"/>
    <mergeCell ref="H14:H17"/>
    <mergeCell ref="I14:I17"/>
    <mergeCell ref="J14:J17"/>
    <mergeCell ref="K14:K17"/>
    <mergeCell ref="L14:L17"/>
    <mergeCell ref="AH8:AH9"/>
    <mergeCell ref="A4:B4"/>
    <mergeCell ref="A5:B5"/>
    <mergeCell ref="A6:B6"/>
    <mergeCell ref="A8:A9"/>
    <mergeCell ref="H8:H9"/>
    <mergeCell ref="F8:F9"/>
    <mergeCell ref="D8:D9"/>
    <mergeCell ref="C8:C9"/>
    <mergeCell ref="AF8:AF9"/>
    <mergeCell ref="Q8:Q9"/>
    <mergeCell ref="AE8:AE9"/>
    <mergeCell ref="AD8:AD9"/>
    <mergeCell ref="Z8:Z9"/>
    <mergeCell ref="R8:R9"/>
    <mergeCell ref="AC8:AC9"/>
    <mergeCell ref="AA8:AA9"/>
    <mergeCell ref="AB8:AB9"/>
    <mergeCell ref="I8:I9"/>
    <mergeCell ref="J8:J9"/>
    <mergeCell ref="K8:K9"/>
    <mergeCell ref="N8:N9"/>
    <mergeCell ref="O8:O9"/>
    <mergeCell ref="B8:B9"/>
    <mergeCell ref="P8:P9"/>
    <mergeCell ref="L8:L9"/>
    <mergeCell ref="M8:M9"/>
    <mergeCell ref="S8:S9"/>
    <mergeCell ref="T8:Y8"/>
    <mergeCell ref="E8:E9"/>
    <mergeCell ref="H10:H12"/>
    <mergeCell ref="A10:A12"/>
    <mergeCell ref="B10:B12"/>
    <mergeCell ref="C10:C12"/>
    <mergeCell ref="D10:D12"/>
    <mergeCell ref="F10:F12"/>
    <mergeCell ref="M10:M12"/>
    <mergeCell ref="O10:O12"/>
    <mergeCell ref="J10:J13"/>
    <mergeCell ref="N10:N13"/>
    <mergeCell ref="P10:P13"/>
    <mergeCell ref="K10:K13"/>
    <mergeCell ref="I10:I13"/>
    <mergeCell ref="L10:L13"/>
    <mergeCell ref="G10:G13"/>
  </mergeCells>
  <conditionalFormatting sqref="J10 J14 J18 J24 J30 J36 J42 J48 J54 J60 AA11:AA12 AA15:AA17">
    <cfRule type="cellIs" dxfId="188" priority="375" operator="equal">
      <formula>"Muy Alta"</formula>
    </cfRule>
    <cfRule type="cellIs" dxfId="187" priority="376" operator="equal">
      <formula>"Alta"</formula>
    </cfRule>
    <cfRule type="cellIs" dxfId="186" priority="377" operator="equal">
      <formula>"Media"</formula>
    </cfRule>
    <cfRule type="cellIs" dxfId="185" priority="378" operator="equal">
      <formula>"Baja"</formula>
    </cfRule>
    <cfRule type="cellIs" dxfId="184" priority="379" operator="equal">
      <formula>"Muy Baja"</formula>
    </cfRule>
  </conditionalFormatting>
  <conditionalFormatting sqref="N10 N14 N18 N24 N30 N36 N42 N48 N54 N60 AC11:AC12 AC15:AC17">
    <cfRule type="cellIs" dxfId="183" priority="370" operator="equal">
      <formula>"Catastrófico"</formula>
    </cfRule>
    <cfRule type="cellIs" dxfId="182" priority="371" operator="equal">
      <formula>"Mayor"</formula>
    </cfRule>
    <cfRule type="cellIs" dxfId="181" priority="372" operator="equal">
      <formula>"Moderado"</formula>
    </cfRule>
    <cfRule type="cellIs" dxfId="180" priority="373" operator="equal">
      <formula>"Menor"</formula>
    </cfRule>
    <cfRule type="cellIs" dxfId="179" priority="374" operator="equal">
      <formula>"Leve"</formula>
    </cfRule>
  </conditionalFormatting>
  <conditionalFormatting sqref="P10 AE11:AE12 AE15:AE17">
    <cfRule type="cellIs" dxfId="178" priority="366" operator="equal">
      <formula>"Extremo"</formula>
    </cfRule>
    <cfRule type="cellIs" dxfId="177" priority="367" operator="equal">
      <formula>"Alto"</formula>
    </cfRule>
    <cfRule type="cellIs" dxfId="176" priority="368" operator="equal">
      <formula>"Moderado"</formula>
    </cfRule>
    <cfRule type="cellIs" dxfId="175" priority="369" operator="equal">
      <formula>"Bajo"</formula>
    </cfRule>
  </conditionalFormatting>
  <conditionalFormatting sqref="AA10">
    <cfRule type="cellIs" dxfId="174" priority="361" operator="equal">
      <formula>"Muy Alta"</formula>
    </cfRule>
    <cfRule type="cellIs" dxfId="173" priority="362" operator="equal">
      <formula>"Alta"</formula>
    </cfRule>
    <cfRule type="cellIs" dxfId="172" priority="363" operator="equal">
      <formula>"Media"</formula>
    </cfRule>
    <cfRule type="cellIs" dxfId="171" priority="364" operator="equal">
      <formula>"Baja"</formula>
    </cfRule>
    <cfRule type="cellIs" dxfId="170" priority="365" operator="equal">
      <formula>"Muy Baja"</formula>
    </cfRule>
  </conditionalFormatting>
  <conditionalFormatting sqref="AC10">
    <cfRule type="cellIs" dxfId="169" priority="356" operator="equal">
      <formula>"Catastrófico"</formula>
    </cfRule>
    <cfRule type="cellIs" dxfId="168" priority="357" operator="equal">
      <formula>"Mayor"</formula>
    </cfRule>
    <cfRule type="cellIs" dxfId="167" priority="358" operator="equal">
      <formula>"Moderado"</formula>
    </cfRule>
    <cfRule type="cellIs" dxfId="166" priority="359" operator="equal">
      <formula>"Menor"</formula>
    </cfRule>
    <cfRule type="cellIs" dxfId="165" priority="360" operator="equal">
      <formula>"Leve"</formula>
    </cfRule>
  </conditionalFormatting>
  <conditionalFormatting sqref="AE10">
    <cfRule type="cellIs" dxfId="164" priority="352" operator="equal">
      <formula>"Extremo"</formula>
    </cfRule>
    <cfRule type="cellIs" dxfId="163" priority="353" operator="equal">
      <formula>"Alto"</formula>
    </cfRule>
    <cfRule type="cellIs" dxfId="162" priority="354" operator="equal">
      <formula>"Moderado"</formula>
    </cfRule>
    <cfRule type="cellIs" dxfId="161" priority="355" operator="equal">
      <formula>"Bajo"</formula>
    </cfRule>
  </conditionalFormatting>
  <conditionalFormatting sqref="P14 P18 P24 P30 P36 P42 P48 P54 P60">
    <cfRule type="cellIs" dxfId="160" priority="296" operator="equal">
      <formula>"Extremo"</formula>
    </cfRule>
    <cfRule type="cellIs" dxfId="159" priority="297" operator="equal">
      <formula>"Alto"</formula>
    </cfRule>
    <cfRule type="cellIs" dxfId="158" priority="298" operator="equal">
      <formula>"Moderado"</formula>
    </cfRule>
    <cfRule type="cellIs" dxfId="157" priority="299" operator="equal">
      <formula>"Bajo"</formula>
    </cfRule>
  </conditionalFormatting>
  <conditionalFormatting sqref="AA18:AA23">
    <cfRule type="cellIs" dxfId="156" priority="263" operator="equal">
      <formula>"Muy Alta"</formula>
    </cfRule>
    <cfRule type="cellIs" dxfId="155" priority="264" operator="equal">
      <formula>"Alta"</formula>
    </cfRule>
    <cfRule type="cellIs" dxfId="154" priority="265" operator="equal">
      <formula>"Media"</formula>
    </cfRule>
    <cfRule type="cellIs" dxfId="153" priority="266" operator="equal">
      <formula>"Baja"</formula>
    </cfRule>
    <cfRule type="cellIs" dxfId="152" priority="267" operator="equal">
      <formula>"Muy Baja"</formula>
    </cfRule>
  </conditionalFormatting>
  <conditionalFormatting sqref="AC18:AC23">
    <cfRule type="cellIs" dxfId="151" priority="258" operator="equal">
      <formula>"Catastrófico"</formula>
    </cfRule>
    <cfRule type="cellIs" dxfId="150" priority="259" operator="equal">
      <formula>"Mayor"</formula>
    </cfRule>
    <cfRule type="cellIs" dxfId="149" priority="260" operator="equal">
      <formula>"Moderado"</formula>
    </cfRule>
    <cfRule type="cellIs" dxfId="148" priority="261" operator="equal">
      <formula>"Menor"</formula>
    </cfRule>
    <cfRule type="cellIs" dxfId="147" priority="262" operator="equal">
      <formula>"Leve"</formula>
    </cfRule>
  </conditionalFormatting>
  <conditionalFormatting sqref="AE18:AE23">
    <cfRule type="cellIs" dxfId="146" priority="254" operator="equal">
      <formula>"Extremo"</formula>
    </cfRule>
    <cfRule type="cellIs" dxfId="145" priority="255" operator="equal">
      <formula>"Alto"</formula>
    </cfRule>
    <cfRule type="cellIs" dxfId="144" priority="256" operator="equal">
      <formula>"Moderado"</formula>
    </cfRule>
    <cfRule type="cellIs" dxfId="143" priority="257" operator="equal">
      <formula>"Bajo"</formula>
    </cfRule>
  </conditionalFormatting>
  <conditionalFormatting sqref="AA24:AA29">
    <cfRule type="cellIs" dxfId="142" priority="235" operator="equal">
      <formula>"Muy Alta"</formula>
    </cfRule>
    <cfRule type="cellIs" dxfId="141" priority="236" operator="equal">
      <formula>"Alta"</formula>
    </cfRule>
    <cfRule type="cellIs" dxfId="140" priority="237" operator="equal">
      <formula>"Media"</formula>
    </cfRule>
    <cfRule type="cellIs" dxfId="139" priority="238" operator="equal">
      <formula>"Baja"</formula>
    </cfRule>
    <cfRule type="cellIs" dxfId="138" priority="239" operator="equal">
      <formula>"Muy Baja"</formula>
    </cfRule>
  </conditionalFormatting>
  <conditionalFormatting sqref="AC24:AC29">
    <cfRule type="cellIs" dxfId="137" priority="230" operator="equal">
      <formula>"Catastrófico"</formula>
    </cfRule>
    <cfRule type="cellIs" dxfId="136" priority="231" operator="equal">
      <formula>"Mayor"</formula>
    </cfRule>
    <cfRule type="cellIs" dxfId="135" priority="232" operator="equal">
      <formula>"Moderado"</formula>
    </cfRule>
    <cfRule type="cellIs" dxfId="134" priority="233" operator="equal">
      <formula>"Menor"</formula>
    </cfRule>
    <cfRule type="cellIs" dxfId="133" priority="234" operator="equal">
      <formula>"Leve"</formula>
    </cfRule>
  </conditionalFormatting>
  <conditionalFormatting sqref="AE24:AE29">
    <cfRule type="cellIs" dxfId="132" priority="226" operator="equal">
      <formula>"Extremo"</formula>
    </cfRule>
    <cfRule type="cellIs" dxfId="131" priority="227" operator="equal">
      <formula>"Alto"</formula>
    </cfRule>
    <cfRule type="cellIs" dxfId="130" priority="228" operator="equal">
      <formula>"Moderado"</formula>
    </cfRule>
    <cfRule type="cellIs" dxfId="129" priority="229" operator="equal">
      <formula>"Bajo"</formula>
    </cfRule>
  </conditionalFormatting>
  <conditionalFormatting sqref="AA30:AA35">
    <cfRule type="cellIs" dxfId="128" priority="207" operator="equal">
      <formula>"Muy Alta"</formula>
    </cfRule>
    <cfRule type="cellIs" dxfId="127" priority="208" operator="equal">
      <formula>"Alta"</formula>
    </cfRule>
    <cfRule type="cellIs" dxfId="126" priority="209" operator="equal">
      <formula>"Media"</formula>
    </cfRule>
    <cfRule type="cellIs" dxfId="125" priority="210" operator="equal">
      <formula>"Baja"</formula>
    </cfRule>
    <cfRule type="cellIs" dxfId="124" priority="211" operator="equal">
      <formula>"Muy Baja"</formula>
    </cfRule>
  </conditionalFormatting>
  <conditionalFormatting sqref="AC30:AC35">
    <cfRule type="cellIs" dxfId="123" priority="202" operator="equal">
      <formula>"Catastrófico"</formula>
    </cfRule>
    <cfRule type="cellIs" dxfId="122" priority="203" operator="equal">
      <formula>"Mayor"</formula>
    </cfRule>
    <cfRule type="cellIs" dxfId="121" priority="204" operator="equal">
      <formula>"Moderado"</formula>
    </cfRule>
    <cfRule type="cellIs" dxfId="120" priority="205" operator="equal">
      <formula>"Menor"</formula>
    </cfRule>
    <cfRule type="cellIs" dxfId="119" priority="206" operator="equal">
      <formula>"Leve"</formula>
    </cfRule>
  </conditionalFormatting>
  <conditionalFormatting sqref="AE30:AE35">
    <cfRule type="cellIs" dxfId="118" priority="198" operator="equal">
      <formula>"Extremo"</formula>
    </cfRule>
    <cfRule type="cellIs" dxfId="117" priority="199" operator="equal">
      <formula>"Alto"</formula>
    </cfRule>
    <cfRule type="cellIs" dxfId="116" priority="200" operator="equal">
      <formula>"Moderado"</formula>
    </cfRule>
    <cfRule type="cellIs" dxfId="115" priority="201" operator="equal">
      <formula>"Bajo"</formula>
    </cfRule>
  </conditionalFormatting>
  <conditionalFormatting sqref="AA36:AA41">
    <cfRule type="cellIs" dxfId="114" priority="179" operator="equal">
      <formula>"Muy Alta"</formula>
    </cfRule>
    <cfRule type="cellIs" dxfId="113" priority="180" operator="equal">
      <formula>"Alta"</formula>
    </cfRule>
    <cfRule type="cellIs" dxfId="112" priority="181" operator="equal">
      <formula>"Media"</formula>
    </cfRule>
    <cfRule type="cellIs" dxfId="111" priority="182" operator="equal">
      <formula>"Baja"</formula>
    </cfRule>
    <cfRule type="cellIs" dxfId="110" priority="183" operator="equal">
      <formula>"Muy Baja"</formula>
    </cfRule>
  </conditionalFormatting>
  <conditionalFormatting sqref="AC36:AC41">
    <cfRule type="cellIs" dxfId="109" priority="174" operator="equal">
      <formula>"Catastrófico"</formula>
    </cfRule>
    <cfRule type="cellIs" dxfId="108" priority="175" operator="equal">
      <formula>"Mayor"</formula>
    </cfRule>
    <cfRule type="cellIs" dxfId="107" priority="176" operator="equal">
      <formula>"Moderado"</formula>
    </cfRule>
    <cfRule type="cellIs" dxfId="106" priority="177" operator="equal">
      <formula>"Menor"</formula>
    </cfRule>
    <cfRule type="cellIs" dxfId="105" priority="178" operator="equal">
      <formula>"Leve"</formula>
    </cfRule>
  </conditionalFormatting>
  <conditionalFormatting sqref="AE36:AE41">
    <cfRule type="cellIs" dxfId="104" priority="170" operator="equal">
      <formula>"Extremo"</formula>
    </cfRule>
    <cfRule type="cellIs" dxfId="103" priority="171" operator="equal">
      <formula>"Alto"</formula>
    </cfRule>
    <cfRule type="cellIs" dxfId="102" priority="172" operator="equal">
      <formula>"Moderado"</formula>
    </cfRule>
    <cfRule type="cellIs" dxfId="101" priority="173" operator="equal">
      <formula>"Bajo"</formula>
    </cfRule>
  </conditionalFormatting>
  <conditionalFormatting sqref="AA42:AA47">
    <cfRule type="cellIs" dxfId="100" priority="151" operator="equal">
      <formula>"Muy Alta"</formula>
    </cfRule>
    <cfRule type="cellIs" dxfId="99" priority="152" operator="equal">
      <formula>"Alta"</formula>
    </cfRule>
    <cfRule type="cellIs" dxfId="98" priority="153" operator="equal">
      <formula>"Media"</formula>
    </cfRule>
    <cfRule type="cellIs" dxfId="97" priority="154" operator="equal">
      <formula>"Baja"</formula>
    </cfRule>
    <cfRule type="cellIs" dxfId="96" priority="155" operator="equal">
      <formula>"Muy Baja"</formula>
    </cfRule>
  </conditionalFormatting>
  <conditionalFormatting sqref="AC42:AC47">
    <cfRule type="cellIs" dxfId="95" priority="146" operator="equal">
      <formula>"Catastrófico"</formula>
    </cfRule>
    <cfRule type="cellIs" dxfId="94" priority="147" operator="equal">
      <formula>"Mayor"</formula>
    </cfRule>
    <cfRule type="cellIs" dxfId="93" priority="148" operator="equal">
      <formula>"Moderado"</formula>
    </cfRule>
    <cfRule type="cellIs" dxfId="92" priority="149" operator="equal">
      <formula>"Menor"</formula>
    </cfRule>
    <cfRule type="cellIs" dxfId="91" priority="150" operator="equal">
      <formula>"Leve"</formula>
    </cfRule>
  </conditionalFormatting>
  <conditionalFormatting sqref="AE42:AE47">
    <cfRule type="cellIs" dxfId="90" priority="142" operator="equal">
      <formula>"Extremo"</formula>
    </cfRule>
    <cfRule type="cellIs" dxfId="89" priority="143" operator="equal">
      <formula>"Alto"</formula>
    </cfRule>
    <cfRule type="cellIs" dxfId="88" priority="144" operator="equal">
      <formula>"Moderado"</formula>
    </cfRule>
    <cfRule type="cellIs" dxfId="87" priority="145" operator="equal">
      <formula>"Bajo"</formula>
    </cfRule>
  </conditionalFormatting>
  <conditionalFormatting sqref="AA48:AA53">
    <cfRule type="cellIs" dxfId="86" priority="123" operator="equal">
      <formula>"Muy Alta"</formula>
    </cfRule>
    <cfRule type="cellIs" dxfId="85" priority="124" operator="equal">
      <formula>"Alta"</formula>
    </cfRule>
    <cfRule type="cellIs" dxfId="84" priority="125" operator="equal">
      <formula>"Media"</formula>
    </cfRule>
    <cfRule type="cellIs" dxfId="83" priority="126" operator="equal">
      <formula>"Baja"</formula>
    </cfRule>
    <cfRule type="cellIs" dxfId="82" priority="127" operator="equal">
      <formula>"Muy Baja"</formula>
    </cfRule>
  </conditionalFormatting>
  <conditionalFormatting sqref="AC48:AC53">
    <cfRule type="cellIs" dxfId="81" priority="118" operator="equal">
      <formula>"Catastrófico"</formula>
    </cfRule>
    <cfRule type="cellIs" dxfId="80" priority="119" operator="equal">
      <formula>"Mayor"</formula>
    </cfRule>
    <cfRule type="cellIs" dxfId="79" priority="120" operator="equal">
      <formula>"Moderado"</formula>
    </cfRule>
    <cfRule type="cellIs" dxfId="78" priority="121" operator="equal">
      <formula>"Menor"</formula>
    </cfRule>
    <cfRule type="cellIs" dxfId="77" priority="122" operator="equal">
      <formula>"Leve"</formula>
    </cfRule>
  </conditionalFormatting>
  <conditionalFormatting sqref="AE48:AE53">
    <cfRule type="cellIs" dxfId="76" priority="114" operator="equal">
      <formula>"Extremo"</formula>
    </cfRule>
    <cfRule type="cellIs" dxfId="75" priority="115" operator="equal">
      <formula>"Alto"</formula>
    </cfRule>
    <cfRule type="cellIs" dxfId="74" priority="116" operator="equal">
      <formula>"Moderado"</formula>
    </cfRule>
    <cfRule type="cellIs" dxfId="73" priority="117" operator="equal">
      <formula>"Bajo"</formula>
    </cfRule>
  </conditionalFormatting>
  <conditionalFormatting sqref="AA54:AA59">
    <cfRule type="cellIs" dxfId="72" priority="95" operator="equal">
      <formula>"Muy Alta"</formula>
    </cfRule>
    <cfRule type="cellIs" dxfId="71" priority="96" operator="equal">
      <formula>"Alta"</formula>
    </cfRule>
    <cfRule type="cellIs" dxfId="70" priority="97" operator="equal">
      <formula>"Media"</formula>
    </cfRule>
    <cfRule type="cellIs" dxfId="69" priority="98" operator="equal">
      <formula>"Baja"</formula>
    </cfRule>
    <cfRule type="cellIs" dxfId="68" priority="99" operator="equal">
      <formula>"Muy Baja"</formula>
    </cfRule>
  </conditionalFormatting>
  <conditionalFormatting sqref="AC54:AC59">
    <cfRule type="cellIs" dxfId="67" priority="90" operator="equal">
      <formula>"Catastrófico"</formula>
    </cfRule>
    <cfRule type="cellIs" dxfId="66" priority="91" operator="equal">
      <formula>"Mayor"</formula>
    </cfRule>
    <cfRule type="cellIs" dxfId="65" priority="92" operator="equal">
      <formula>"Moderado"</formula>
    </cfRule>
    <cfRule type="cellIs" dxfId="64" priority="93" operator="equal">
      <formula>"Menor"</formula>
    </cfRule>
    <cfRule type="cellIs" dxfId="63" priority="94" operator="equal">
      <formula>"Leve"</formula>
    </cfRule>
  </conditionalFormatting>
  <conditionalFormatting sqref="AE54:AE59">
    <cfRule type="cellIs" dxfId="62" priority="86" operator="equal">
      <formula>"Extremo"</formula>
    </cfRule>
    <cfRule type="cellIs" dxfId="61" priority="87" operator="equal">
      <formula>"Alto"</formula>
    </cfRule>
    <cfRule type="cellIs" dxfId="60" priority="88" operator="equal">
      <formula>"Moderado"</formula>
    </cfRule>
    <cfRule type="cellIs" dxfId="59" priority="89" operator="equal">
      <formula>"Bajo"</formula>
    </cfRule>
  </conditionalFormatting>
  <conditionalFormatting sqref="AA60:AA65">
    <cfRule type="cellIs" dxfId="58" priority="67" operator="equal">
      <formula>"Muy Alta"</formula>
    </cfRule>
    <cfRule type="cellIs" dxfId="57" priority="68" operator="equal">
      <formula>"Alta"</formula>
    </cfRule>
    <cfRule type="cellIs" dxfId="56" priority="69" operator="equal">
      <formula>"Media"</formula>
    </cfRule>
    <cfRule type="cellIs" dxfId="55" priority="70" operator="equal">
      <formula>"Baja"</formula>
    </cfRule>
    <cfRule type="cellIs" dxfId="54" priority="71" operator="equal">
      <formula>"Muy Baja"</formula>
    </cfRule>
  </conditionalFormatting>
  <conditionalFormatting sqref="AC60:AC65">
    <cfRule type="cellIs" dxfId="53" priority="62" operator="equal">
      <formula>"Catastrófico"</formula>
    </cfRule>
    <cfRule type="cellIs" dxfId="52" priority="63" operator="equal">
      <formula>"Mayor"</formula>
    </cfRule>
    <cfRule type="cellIs" dxfId="51" priority="64" operator="equal">
      <formula>"Moderado"</formula>
    </cfRule>
    <cfRule type="cellIs" dxfId="50" priority="65" operator="equal">
      <formula>"Menor"</formula>
    </cfRule>
    <cfRule type="cellIs" dxfId="49" priority="66" operator="equal">
      <formula>"Leve"</formula>
    </cfRule>
  </conditionalFormatting>
  <conditionalFormatting sqref="AE60:AE65">
    <cfRule type="cellIs" dxfId="48" priority="58" operator="equal">
      <formula>"Extremo"</formula>
    </cfRule>
    <cfRule type="cellIs" dxfId="47" priority="59" operator="equal">
      <formula>"Alto"</formula>
    </cfRule>
    <cfRule type="cellIs" dxfId="46" priority="60" operator="equal">
      <formula>"Moderado"</formula>
    </cfRule>
    <cfRule type="cellIs" dxfId="45" priority="61" operator="equal">
      <formula>"Bajo"</formula>
    </cfRule>
  </conditionalFormatting>
  <conditionalFormatting sqref="M10:M65">
    <cfRule type="containsText" dxfId="44" priority="57" operator="containsText" text="❌">
      <formula>NOT(ISERROR(SEARCH("❌",M10)))</formula>
    </cfRule>
  </conditionalFormatting>
  <conditionalFormatting sqref="AA14">
    <cfRule type="cellIs" dxfId="43" priority="38" operator="equal">
      <formula>"Muy Alta"</formula>
    </cfRule>
    <cfRule type="cellIs" dxfId="42" priority="39" operator="equal">
      <formula>"Alta"</formula>
    </cfRule>
    <cfRule type="cellIs" dxfId="41" priority="40" operator="equal">
      <formula>"Media"</formula>
    </cfRule>
    <cfRule type="cellIs" dxfId="40" priority="41" operator="equal">
      <formula>"Baja"</formula>
    </cfRule>
    <cfRule type="cellIs" dxfId="39" priority="42" operator="equal">
      <formula>"Muy Baja"</formula>
    </cfRule>
  </conditionalFormatting>
  <conditionalFormatting sqref="AC14">
    <cfRule type="cellIs" dxfId="38" priority="33" operator="equal">
      <formula>"Catastrófico"</formula>
    </cfRule>
    <cfRule type="cellIs" dxfId="37" priority="34" operator="equal">
      <formula>"Mayor"</formula>
    </cfRule>
    <cfRule type="cellIs" dxfId="36" priority="35" operator="equal">
      <formula>"Moderado"</formula>
    </cfRule>
    <cfRule type="cellIs" dxfId="35" priority="36" operator="equal">
      <formula>"Menor"</formula>
    </cfRule>
    <cfRule type="cellIs" dxfId="34" priority="37" operator="equal">
      <formula>"Leve"</formula>
    </cfRule>
  </conditionalFormatting>
  <conditionalFormatting sqref="AE14">
    <cfRule type="cellIs" dxfId="33" priority="29" operator="equal">
      <formula>"Extremo"</formula>
    </cfRule>
    <cfRule type="cellIs" dxfId="32" priority="30" operator="equal">
      <formula>"Alto"</formula>
    </cfRule>
    <cfRule type="cellIs" dxfId="31" priority="31" operator="equal">
      <formula>"Moderado"</formula>
    </cfRule>
    <cfRule type="cellIs" dxfId="30" priority="32" operator="equal">
      <formula>"Bajo"</formula>
    </cfRule>
  </conditionalFormatting>
  <conditionalFormatting sqref="AA13">
    <cfRule type="cellIs" dxfId="29" priority="10" operator="equal">
      <formula>"Muy Alta"</formula>
    </cfRule>
    <cfRule type="cellIs" dxfId="28" priority="11" operator="equal">
      <formula>"Alta"</formula>
    </cfRule>
    <cfRule type="cellIs" dxfId="27" priority="12" operator="equal">
      <formula>"Media"</formula>
    </cfRule>
    <cfRule type="cellIs" dxfId="26" priority="13" operator="equal">
      <formula>"Baja"</formula>
    </cfRule>
    <cfRule type="cellIs" dxfId="25" priority="14" operator="equal">
      <formula>"Muy Baja"</formula>
    </cfRule>
  </conditionalFormatting>
  <conditionalFormatting sqref="AC13">
    <cfRule type="cellIs" dxfId="24" priority="5" operator="equal">
      <formula>"Catastrófico"</formula>
    </cfRule>
    <cfRule type="cellIs" dxfId="23" priority="6" operator="equal">
      <formula>"Mayor"</formula>
    </cfRule>
    <cfRule type="cellIs" dxfId="22" priority="7" operator="equal">
      <formula>"Moderado"</formula>
    </cfRule>
    <cfRule type="cellIs" dxfId="21" priority="8" operator="equal">
      <formula>"Menor"</formula>
    </cfRule>
    <cfRule type="cellIs" dxfId="20" priority="9" operator="equal">
      <formula>"Leve"</formula>
    </cfRule>
  </conditionalFormatting>
  <conditionalFormatting sqref="AE13">
    <cfRule type="cellIs" dxfId="19" priority="1" operator="equal">
      <formula>"Extremo"</formula>
    </cfRule>
    <cfRule type="cellIs" dxfId="18" priority="2" operator="equal">
      <formula>"Alto"</formula>
    </cfRule>
    <cfRule type="cellIs" dxfId="17" priority="3" operator="equal">
      <formula>"Moderado"</formula>
    </cfRule>
    <cfRule type="cellIs" dxfId="16" priority="4" operator="equal">
      <formula>"Bajo"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14:formula1>
            <xm:f>'Tabla Valoración controles'!$D$4:$D$6</xm:f>
          </x14:formula1>
          <xm:sqref>T18:T65 T10:T15</xm:sqref>
        </x14:dataValidation>
        <x14:dataValidation type="list" allowBlank="1" showInputMessage="1" showErrorMessage="1">
          <x14:formula1>
            <xm:f>'Tabla Valoración controles'!$D$7:$D$8</xm:f>
          </x14:formula1>
          <xm:sqref>U18:U65 U10:U15</xm:sqref>
        </x14:dataValidation>
        <x14:dataValidation type="list" allowBlank="1" showInputMessage="1" showErrorMessage="1">
          <x14:formula1>
            <xm:f>'Tabla Valoración controles'!$D$9:$D$10</xm:f>
          </x14:formula1>
          <xm:sqref>W18:W65 W10:W15</xm:sqref>
        </x14:dataValidation>
        <x14:dataValidation type="list" allowBlank="1" showInputMessage="1" showErrorMessage="1">
          <x14:formula1>
            <xm:f>'Tabla Valoración controles'!$D$11:$D$12</xm:f>
          </x14:formula1>
          <xm:sqref>X18:X65 X10:X15</xm:sqref>
        </x14:dataValidation>
        <x14:dataValidation type="list" allowBlank="1" showInputMessage="1" showErrorMessage="1">
          <x14:formula1>
            <xm:f>'Opciones Tratamiento'!$B$9:$B$10</xm:f>
          </x14:formula1>
          <xm:sqref>AL18:AL19 AL21:AL22 AL24:AL25 AL27:AL28 AL30:AL31 AL33:AL34 AL36:AL37 AL39:AL40 AL42:AL43 AL45:AL46 AL48:AL49 AL51:AL52 AL54:AL55 AL57:AL58 AL60:AL61 AL63:AL64 AL10:AL16</xm:sqref>
        </x14:dataValidation>
        <x14:dataValidation type="list" allowBlank="1" showInputMessage="1" showErrorMessage="1">
          <x14:formula1>
            <xm:f>'Tabla Valoración controles'!$D$13:$D$14</xm:f>
          </x14:formula1>
          <xm:sqref>Y18:Y65 Y10:Y15</xm:sqref>
        </x14:dataValidation>
        <x14:dataValidation type="list" allowBlank="1" showInputMessage="1" showErrorMessage="1">
          <x14:formula1>
            <xm:f>'C:\Users\HOME\Downloads\[Formato Matriz de Riesgos 2021 (1).xlsx]Tabla Valoración controles'!#REF!</xm:f>
          </x14:formula1>
          <xm:sqref>T16:U17 W16:Y17</xm:sqref>
        </x14:dataValidation>
        <x14:dataValidation type="list" allowBlank="1" showInputMessage="1" showErrorMessage="1">
          <x14:formula1>
            <xm:f>'Tabla Impacto'!$F$210:$F$221</xm:f>
          </x14:formula1>
          <xm:sqref>L10 L14:L65</xm:sqref>
        </x14:dataValidation>
        <x14:dataValidation type="list" allowBlank="1" showInputMessage="1" showErrorMessage="1">
          <x14:formula1>
            <xm:f>'Opciones Tratamiento'!$B$13:$B$19</xm:f>
          </x14:formula1>
          <xm:sqref>H10:H65</xm:sqref>
        </x14:dataValidation>
        <x14:dataValidation type="list" allowBlank="1" showInputMessage="1" showErrorMessage="1">
          <x14:formula1>
            <xm:f>'Opciones Tratamiento'!$E$2:$E$4</xm:f>
          </x14:formula1>
          <xm:sqref>B10:B65</xm:sqref>
        </x14:dataValidation>
        <x14:dataValidation type="list" allowBlank="1" showInputMessage="1" showErrorMessage="1">
          <x14:formula1>
            <xm:f>'Opciones Tratamiento'!$B$2:$B$5</xm:f>
          </x14:formula1>
          <xm:sqref>AF10:AF65</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AG10:AG65</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AH10:AH65</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AI10:AI65</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AJ10:AJ65</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AK10:AK65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topLeftCell="A17" zoomScale="70" zoomScaleNormal="70" workbookViewId="0">
      <selection activeCell="V22" sqref="V22:AA29"/>
    </sheetView>
  </sheetViews>
  <sheetFormatPr baseColWidth="10" defaultRowHeight="15" x14ac:dyDescent="0.25"/>
  <cols>
    <col min="2" max="39" width="5.7109375" customWidth="1"/>
    <col min="41" max="46" width="5.7109375" customWidth="1"/>
  </cols>
  <sheetData>
    <row r="1" spans="1:99"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25">
      <c r="A2" s="67"/>
      <c r="B2" s="299" t="s">
        <v>149</v>
      </c>
      <c r="C2" s="299"/>
      <c r="D2" s="299"/>
      <c r="E2" s="299"/>
      <c r="F2" s="299"/>
      <c r="G2" s="299"/>
      <c r="H2" s="299"/>
      <c r="I2" s="299"/>
      <c r="J2" s="336" t="s">
        <v>2</v>
      </c>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25">
      <c r="A3" s="67"/>
      <c r="B3" s="299"/>
      <c r="C3" s="299"/>
      <c r="D3" s="299"/>
      <c r="E3" s="299"/>
      <c r="F3" s="299"/>
      <c r="G3" s="299"/>
      <c r="H3" s="299"/>
      <c r="I3" s="299"/>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25">
      <c r="A4" s="67"/>
      <c r="B4" s="299"/>
      <c r="C4" s="299"/>
      <c r="D4" s="299"/>
      <c r="E4" s="299"/>
      <c r="F4" s="299"/>
      <c r="G4" s="299"/>
      <c r="H4" s="299"/>
      <c r="I4" s="299"/>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75" thickBot="1" x14ac:dyDescent="0.3">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25">
      <c r="A6" s="67"/>
      <c r="B6" s="347" t="s">
        <v>4</v>
      </c>
      <c r="C6" s="347"/>
      <c r="D6" s="348"/>
      <c r="E6" s="337" t="s">
        <v>110</v>
      </c>
      <c r="F6" s="338"/>
      <c r="G6" s="338"/>
      <c r="H6" s="338"/>
      <c r="I6" s="339"/>
      <c r="J6" s="333" t="str">
        <f ca="1">IF(AND('Mapa final'!$J$10="Muy Alta",'Mapa final'!$N$10="Leve"),CONCATENATE("R",'Mapa final'!$A$10),"")</f>
        <v/>
      </c>
      <c r="K6" s="334"/>
      <c r="L6" s="334" t="str">
        <f ca="1">IF(AND('Mapa final'!$J$14="Muy Alta",'Mapa final'!$N$14="Leve"),CONCATENATE("R",'Mapa final'!$A$14),"")</f>
        <v/>
      </c>
      <c r="M6" s="334"/>
      <c r="N6" s="334" t="str">
        <f ca="1">IF(AND('Mapa final'!$J$18="Muy Alta",'Mapa final'!$N$18="Leve"),CONCATENATE("R",'Mapa final'!$A$18),"")</f>
        <v/>
      </c>
      <c r="O6" s="335"/>
      <c r="P6" s="333" t="str">
        <f ca="1">IF(AND('Mapa final'!$J$10="Muy Alta",'Mapa final'!$N$10="Menor"),CONCATENATE("R",'Mapa final'!$A$10),"")</f>
        <v/>
      </c>
      <c r="Q6" s="334"/>
      <c r="R6" s="334" t="str">
        <f ca="1">IF(AND('Mapa final'!$J$14="Muy Alta",'Mapa final'!$N$14="Menor"),CONCATENATE("R",'Mapa final'!$A$14),"")</f>
        <v/>
      </c>
      <c r="S6" s="334"/>
      <c r="T6" s="334" t="str">
        <f ca="1">IF(AND('Mapa final'!$J$18="Muy Alta",'Mapa final'!$N$18="Menor"),CONCATENATE("R",'Mapa final'!$A$18),"")</f>
        <v/>
      </c>
      <c r="U6" s="335"/>
      <c r="V6" s="333" t="str">
        <f ca="1">IF(AND('Mapa final'!$J$10="Muy Alta",'Mapa final'!$N$10="Moderado"),CONCATENATE("R",'Mapa final'!$A$10),"")</f>
        <v/>
      </c>
      <c r="W6" s="334"/>
      <c r="X6" s="334" t="str">
        <f ca="1">IF(AND('Mapa final'!$J$14="Muy Alta",'Mapa final'!$N$14="Moderado"),CONCATENATE("R",'Mapa final'!$A$14),"")</f>
        <v/>
      </c>
      <c r="Y6" s="334"/>
      <c r="Z6" s="334" t="str">
        <f ca="1">IF(AND('Mapa final'!$J$18="Muy Alta",'Mapa final'!$N$18="Moderado"),CONCATENATE("R",'Mapa final'!$A$18),"")</f>
        <v/>
      </c>
      <c r="AA6" s="335"/>
      <c r="AB6" s="333" t="str">
        <f ca="1">IF(AND('Mapa final'!$J$10="Muy Alta",'Mapa final'!$N$10="Mayor"),CONCATENATE("R",'Mapa final'!$A$10),"")</f>
        <v>R1</v>
      </c>
      <c r="AC6" s="334"/>
      <c r="AD6" s="334" t="str">
        <f ca="1">IF(AND('Mapa final'!$J$14="Muy Alta",'Mapa final'!$N$14="Mayor"),CONCATENATE("R",'Mapa final'!$A$14),"")</f>
        <v/>
      </c>
      <c r="AE6" s="334"/>
      <c r="AF6" s="334" t="str">
        <f ca="1">IF(AND('Mapa final'!$J$18="Muy Alta",'Mapa final'!$N$18="Mayor"),CONCATENATE("R",'Mapa final'!$A$18),"")</f>
        <v/>
      </c>
      <c r="AG6" s="335"/>
      <c r="AH6" s="324" t="str">
        <f ca="1">IF(AND('Mapa final'!$J$10="Muy Alta",'Mapa final'!$N$10="Catastrófico"),CONCATENATE("R",'Mapa final'!$A$10),"")</f>
        <v/>
      </c>
      <c r="AI6" s="325"/>
      <c r="AJ6" s="325" t="str">
        <f ca="1">IF(AND('Mapa final'!$J$14="Muy Alta",'Mapa final'!$N$14="Catastrófico"),CONCATENATE("R",'Mapa final'!$A$14),"")</f>
        <v>R2</v>
      </c>
      <c r="AK6" s="325"/>
      <c r="AL6" s="325" t="str">
        <f ca="1">IF(AND('Mapa final'!$J$18="Muy Alta",'Mapa final'!$N$18="Catastrófico"),CONCATENATE("R",'Mapa final'!$A$18),"")</f>
        <v/>
      </c>
      <c r="AM6" s="326"/>
      <c r="AO6" s="349" t="s">
        <v>77</v>
      </c>
      <c r="AP6" s="350"/>
      <c r="AQ6" s="350"/>
      <c r="AR6" s="350"/>
      <c r="AS6" s="350"/>
      <c r="AT6" s="351"/>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25">
      <c r="A7" s="67"/>
      <c r="B7" s="347"/>
      <c r="C7" s="347"/>
      <c r="D7" s="348"/>
      <c r="E7" s="340"/>
      <c r="F7" s="341"/>
      <c r="G7" s="341"/>
      <c r="H7" s="341"/>
      <c r="I7" s="342"/>
      <c r="J7" s="327"/>
      <c r="K7" s="328"/>
      <c r="L7" s="328"/>
      <c r="M7" s="328"/>
      <c r="N7" s="328"/>
      <c r="O7" s="329"/>
      <c r="P7" s="327"/>
      <c r="Q7" s="328"/>
      <c r="R7" s="328"/>
      <c r="S7" s="328"/>
      <c r="T7" s="328"/>
      <c r="U7" s="329"/>
      <c r="V7" s="327"/>
      <c r="W7" s="328"/>
      <c r="X7" s="328"/>
      <c r="Y7" s="328"/>
      <c r="Z7" s="328"/>
      <c r="AA7" s="329"/>
      <c r="AB7" s="327"/>
      <c r="AC7" s="328"/>
      <c r="AD7" s="328"/>
      <c r="AE7" s="328"/>
      <c r="AF7" s="328"/>
      <c r="AG7" s="329"/>
      <c r="AH7" s="318"/>
      <c r="AI7" s="319"/>
      <c r="AJ7" s="319"/>
      <c r="AK7" s="319"/>
      <c r="AL7" s="319"/>
      <c r="AM7" s="320"/>
      <c r="AN7" s="67"/>
      <c r="AO7" s="352"/>
      <c r="AP7" s="353"/>
      <c r="AQ7" s="353"/>
      <c r="AR7" s="353"/>
      <c r="AS7" s="353"/>
      <c r="AT7" s="354"/>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25">
      <c r="A8" s="67"/>
      <c r="B8" s="347"/>
      <c r="C8" s="347"/>
      <c r="D8" s="348"/>
      <c r="E8" s="340"/>
      <c r="F8" s="341"/>
      <c r="G8" s="341"/>
      <c r="H8" s="341"/>
      <c r="I8" s="342"/>
      <c r="J8" s="327" t="str">
        <f ca="1">IF(AND('Mapa final'!$J$24="Muy Alta",'Mapa final'!$N$24="Leve"),CONCATENATE("R",'Mapa final'!$A$24),"")</f>
        <v/>
      </c>
      <c r="K8" s="328"/>
      <c r="L8" s="328" t="str">
        <f ca="1">IF(AND('Mapa final'!$J$30="Muy Alta",'Mapa final'!$N$30="Leve"),CONCATENATE("R",'Mapa final'!$A$30),"")</f>
        <v/>
      </c>
      <c r="M8" s="328"/>
      <c r="N8" s="328" t="str">
        <f ca="1">IF(AND('Mapa final'!$J$36="Muy Alta",'Mapa final'!$N$36="Leve"),CONCATENATE("R",'Mapa final'!$A$36),"")</f>
        <v/>
      </c>
      <c r="O8" s="329"/>
      <c r="P8" s="327" t="str">
        <f ca="1">IF(AND('Mapa final'!$J$24="Muy Alta",'Mapa final'!$N$24="Menor"),CONCATENATE("R",'Mapa final'!$A$24),"")</f>
        <v/>
      </c>
      <c r="Q8" s="328"/>
      <c r="R8" s="328" t="str">
        <f ca="1">IF(AND('Mapa final'!$J$30="Muy Alta",'Mapa final'!$N$30="Menor"),CONCATENATE("R",'Mapa final'!$A$30),"")</f>
        <v/>
      </c>
      <c r="S8" s="328"/>
      <c r="T8" s="328" t="str">
        <f ca="1">IF(AND('Mapa final'!$J$36="Muy Alta",'Mapa final'!$N$36="Menor"),CONCATENATE("R",'Mapa final'!$A$36),"")</f>
        <v/>
      </c>
      <c r="U8" s="329"/>
      <c r="V8" s="327" t="str">
        <f ca="1">IF(AND('Mapa final'!$J$24="Muy Alta",'Mapa final'!$N$24="Moderado"),CONCATENATE("R",'Mapa final'!$A$24),"")</f>
        <v/>
      </c>
      <c r="W8" s="328"/>
      <c r="X8" s="328" t="str">
        <f ca="1">IF(AND('Mapa final'!$J$30="Muy Alta",'Mapa final'!$N$30="Moderado"),CONCATENATE("R",'Mapa final'!$A$30),"")</f>
        <v/>
      </c>
      <c r="Y8" s="328"/>
      <c r="Z8" s="328" t="str">
        <f ca="1">IF(AND('Mapa final'!$J$36="Muy Alta",'Mapa final'!$N$36="Moderado"),CONCATENATE("R",'Mapa final'!$A$36),"")</f>
        <v/>
      </c>
      <c r="AA8" s="329"/>
      <c r="AB8" s="327" t="str">
        <f ca="1">IF(AND('Mapa final'!$J$24="Muy Alta",'Mapa final'!$N$24="Mayor"),CONCATENATE("R",'Mapa final'!$A$24),"")</f>
        <v/>
      </c>
      <c r="AC8" s="328"/>
      <c r="AD8" s="328" t="str">
        <f ca="1">IF(AND('Mapa final'!$J$30="Muy Alta",'Mapa final'!$N$30="Mayor"),CONCATENATE("R",'Mapa final'!$A$30),"")</f>
        <v/>
      </c>
      <c r="AE8" s="328"/>
      <c r="AF8" s="328" t="str">
        <f ca="1">IF(AND('Mapa final'!$J$36="Muy Alta",'Mapa final'!$N$36="Mayor"),CONCATENATE("R",'Mapa final'!$A$36),"")</f>
        <v/>
      </c>
      <c r="AG8" s="329"/>
      <c r="AH8" s="318" t="str">
        <f ca="1">IF(AND('Mapa final'!$J$24="Muy Alta",'Mapa final'!$N$24="Catastrófico"),CONCATENATE("R",'Mapa final'!$A$24),"")</f>
        <v/>
      </c>
      <c r="AI8" s="319"/>
      <c r="AJ8" s="319" t="str">
        <f ca="1">IF(AND('Mapa final'!$J$30="Muy Alta",'Mapa final'!$N$30="Catastrófico"),CONCATENATE("R",'Mapa final'!$A$30),"")</f>
        <v/>
      </c>
      <c r="AK8" s="319"/>
      <c r="AL8" s="319" t="str">
        <f ca="1">IF(AND('Mapa final'!$J$36="Muy Alta",'Mapa final'!$N$36="Catastrófico"),CONCATENATE("R",'Mapa final'!$A$36),"")</f>
        <v/>
      </c>
      <c r="AM8" s="320"/>
      <c r="AN8" s="67"/>
      <c r="AO8" s="352"/>
      <c r="AP8" s="353"/>
      <c r="AQ8" s="353"/>
      <c r="AR8" s="353"/>
      <c r="AS8" s="353"/>
      <c r="AT8" s="354"/>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25">
      <c r="A9" s="67"/>
      <c r="B9" s="347"/>
      <c r="C9" s="347"/>
      <c r="D9" s="348"/>
      <c r="E9" s="340"/>
      <c r="F9" s="341"/>
      <c r="G9" s="341"/>
      <c r="H9" s="341"/>
      <c r="I9" s="342"/>
      <c r="J9" s="327"/>
      <c r="K9" s="328"/>
      <c r="L9" s="328"/>
      <c r="M9" s="328"/>
      <c r="N9" s="328"/>
      <c r="O9" s="329"/>
      <c r="P9" s="327"/>
      <c r="Q9" s="328"/>
      <c r="R9" s="328"/>
      <c r="S9" s="328"/>
      <c r="T9" s="328"/>
      <c r="U9" s="329"/>
      <c r="V9" s="327"/>
      <c r="W9" s="328"/>
      <c r="X9" s="328"/>
      <c r="Y9" s="328"/>
      <c r="Z9" s="328"/>
      <c r="AA9" s="329"/>
      <c r="AB9" s="327"/>
      <c r="AC9" s="328"/>
      <c r="AD9" s="328"/>
      <c r="AE9" s="328"/>
      <c r="AF9" s="328"/>
      <c r="AG9" s="329"/>
      <c r="AH9" s="318"/>
      <c r="AI9" s="319"/>
      <c r="AJ9" s="319"/>
      <c r="AK9" s="319"/>
      <c r="AL9" s="319"/>
      <c r="AM9" s="320"/>
      <c r="AN9" s="67"/>
      <c r="AO9" s="352"/>
      <c r="AP9" s="353"/>
      <c r="AQ9" s="353"/>
      <c r="AR9" s="353"/>
      <c r="AS9" s="353"/>
      <c r="AT9" s="354"/>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25">
      <c r="A10" s="67"/>
      <c r="B10" s="347"/>
      <c r="C10" s="347"/>
      <c r="D10" s="348"/>
      <c r="E10" s="340"/>
      <c r="F10" s="341"/>
      <c r="G10" s="341"/>
      <c r="H10" s="341"/>
      <c r="I10" s="342"/>
      <c r="J10" s="327" t="str">
        <f ca="1">IF(AND('Mapa final'!$J$42="Muy Alta",'Mapa final'!$N$42="Leve"),CONCATENATE("R",'Mapa final'!$A$42),"")</f>
        <v/>
      </c>
      <c r="K10" s="328"/>
      <c r="L10" s="328" t="str">
        <f ca="1">IF(AND('Mapa final'!$J$48="Muy Alta",'Mapa final'!$N$48="Leve"),CONCATENATE("R",'Mapa final'!$A$48),"")</f>
        <v/>
      </c>
      <c r="M10" s="328"/>
      <c r="N10" s="328" t="str">
        <f ca="1">IF(AND('Mapa final'!$J$54="Muy Alta",'Mapa final'!$N$54="Leve"),CONCATENATE("R",'Mapa final'!$A$54),"")</f>
        <v/>
      </c>
      <c r="O10" s="329"/>
      <c r="P10" s="327" t="str">
        <f ca="1">IF(AND('Mapa final'!$J$42="Muy Alta",'Mapa final'!$N$42="Menor"),CONCATENATE("R",'Mapa final'!$A$42),"")</f>
        <v/>
      </c>
      <c r="Q10" s="328"/>
      <c r="R10" s="328" t="str">
        <f ca="1">IF(AND('Mapa final'!$J$48="Muy Alta",'Mapa final'!$N$48="Menor"),CONCATENATE("R",'Mapa final'!$A$48),"")</f>
        <v/>
      </c>
      <c r="S10" s="328"/>
      <c r="T10" s="328" t="str">
        <f ca="1">IF(AND('Mapa final'!$J$54="Muy Alta",'Mapa final'!$N$54="Menor"),CONCATENATE("R",'Mapa final'!$A$54),"")</f>
        <v/>
      </c>
      <c r="U10" s="329"/>
      <c r="V10" s="327" t="str">
        <f ca="1">IF(AND('Mapa final'!$J$42="Muy Alta",'Mapa final'!$N$42="Moderado"),CONCATENATE("R",'Mapa final'!$A$42),"")</f>
        <v/>
      </c>
      <c r="W10" s="328"/>
      <c r="X10" s="328" t="str">
        <f ca="1">IF(AND('Mapa final'!$J$48="Muy Alta",'Mapa final'!$N$48="Moderado"),CONCATENATE("R",'Mapa final'!$A$48),"")</f>
        <v/>
      </c>
      <c r="Y10" s="328"/>
      <c r="Z10" s="328" t="str">
        <f ca="1">IF(AND('Mapa final'!$J$54="Muy Alta",'Mapa final'!$N$54="Moderado"),CONCATENATE("R",'Mapa final'!$A$54),"")</f>
        <v/>
      </c>
      <c r="AA10" s="329"/>
      <c r="AB10" s="327" t="str">
        <f ca="1">IF(AND('Mapa final'!$J$42="Muy Alta",'Mapa final'!$N$42="Mayor"),CONCATENATE("R",'Mapa final'!$A$42),"")</f>
        <v/>
      </c>
      <c r="AC10" s="328"/>
      <c r="AD10" s="328" t="str">
        <f ca="1">IF(AND('Mapa final'!$J$48="Muy Alta",'Mapa final'!$N$48="Mayor"),CONCATENATE("R",'Mapa final'!$A$48),"")</f>
        <v/>
      </c>
      <c r="AE10" s="328"/>
      <c r="AF10" s="328" t="str">
        <f ca="1">IF(AND('Mapa final'!$J$54="Muy Alta",'Mapa final'!$N$54="Mayor"),CONCATENATE("R",'Mapa final'!$A$54),"")</f>
        <v/>
      </c>
      <c r="AG10" s="329"/>
      <c r="AH10" s="318" t="str">
        <f ca="1">IF(AND('Mapa final'!$J$42="Muy Alta",'Mapa final'!$N$42="Catastrófico"),CONCATENATE("R",'Mapa final'!$A$42),"")</f>
        <v/>
      </c>
      <c r="AI10" s="319"/>
      <c r="AJ10" s="319" t="str">
        <f ca="1">IF(AND('Mapa final'!$J$48="Muy Alta",'Mapa final'!$N$48="Catastrófico"),CONCATENATE("R",'Mapa final'!$A$48),"")</f>
        <v/>
      </c>
      <c r="AK10" s="319"/>
      <c r="AL10" s="319" t="str">
        <f ca="1">IF(AND('Mapa final'!$J$54="Muy Alta",'Mapa final'!$N$54="Catastrófico"),CONCATENATE("R",'Mapa final'!$A$54),"")</f>
        <v/>
      </c>
      <c r="AM10" s="320"/>
      <c r="AN10" s="67"/>
      <c r="AO10" s="352"/>
      <c r="AP10" s="353"/>
      <c r="AQ10" s="353"/>
      <c r="AR10" s="353"/>
      <c r="AS10" s="353"/>
      <c r="AT10" s="354"/>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25">
      <c r="A11" s="67"/>
      <c r="B11" s="347"/>
      <c r="C11" s="347"/>
      <c r="D11" s="348"/>
      <c r="E11" s="340"/>
      <c r="F11" s="341"/>
      <c r="G11" s="341"/>
      <c r="H11" s="341"/>
      <c r="I11" s="342"/>
      <c r="J11" s="327"/>
      <c r="K11" s="328"/>
      <c r="L11" s="328"/>
      <c r="M11" s="328"/>
      <c r="N11" s="328"/>
      <c r="O11" s="329"/>
      <c r="P11" s="327"/>
      <c r="Q11" s="328"/>
      <c r="R11" s="328"/>
      <c r="S11" s="328"/>
      <c r="T11" s="328"/>
      <c r="U11" s="329"/>
      <c r="V11" s="327"/>
      <c r="W11" s="328"/>
      <c r="X11" s="328"/>
      <c r="Y11" s="328"/>
      <c r="Z11" s="328"/>
      <c r="AA11" s="329"/>
      <c r="AB11" s="327"/>
      <c r="AC11" s="328"/>
      <c r="AD11" s="328"/>
      <c r="AE11" s="328"/>
      <c r="AF11" s="328"/>
      <c r="AG11" s="329"/>
      <c r="AH11" s="318"/>
      <c r="AI11" s="319"/>
      <c r="AJ11" s="319"/>
      <c r="AK11" s="319"/>
      <c r="AL11" s="319"/>
      <c r="AM11" s="320"/>
      <c r="AN11" s="67"/>
      <c r="AO11" s="352"/>
      <c r="AP11" s="353"/>
      <c r="AQ11" s="353"/>
      <c r="AR11" s="353"/>
      <c r="AS11" s="353"/>
      <c r="AT11" s="354"/>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25">
      <c r="A12" s="67"/>
      <c r="B12" s="347"/>
      <c r="C12" s="347"/>
      <c r="D12" s="348"/>
      <c r="E12" s="340"/>
      <c r="F12" s="341"/>
      <c r="G12" s="341"/>
      <c r="H12" s="341"/>
      <c r="I12" s="342"/>
      <c r="J12" s="327" t="str">
        <f ca="1">IF(AND('Mapa final'!$J$60="Muy Alta",'Mapa final'!$N$60="Leve"),CONCATENATE("R",'Mapa final'!$A$60),"")</f>
        <v/>
      </c>
      <c r="K12" s="328"/>
      <c r="L12" s="328" t="str">
        <f>IF(AND('Mapa final'!$J$66="Muy Alta",'Mapa final'!$N$66="Leve"),CONCATENATE("R",'Mapa final'!$A$66),"")</f>
        <v/>
      </c>
      <c r="M12" s="328"/>
      <c r="N12" s="328" t="str">
        <f>IF(AND('Mapa final'!$J$72="Muy Alta",'Mapa final'!$N$72="Leve"),CONCATENATE("R",'Mapa final'!$A$72),"")</f>
        <v/>
      </c>
      <c r="O12" s="329"/>
      <c r="P12" s="327" t="str">
        <f ca="1">IF(AND('Mapa final'!$J$60="Muy Alta",'Mapa final'!$N$60="Menor"),CONCATENATE("R",'Mapa final'!$A$60),"")</f>
        <v/>
      </c>
      <c r="Q12" s="328"/>
      <c r="R12" s="328" t="str">
        <f>IF(AND('Mapa final'!$J$66="Muy Alta",'Mapa final'!$N$66="Menor"),CONCATENATE("R",'Mapa final'!$A$66),"")</f>
        <v/>
      </c>
      <c r="S12" s="328"/>
      <c r="T12" s="328" t="str">
        <f>IF(AND('Mapa final'!$J$72="Muy Alta",'Mapa final'!$N$72="Menor"),CONCATENATE("R",'Mapa final'!$A$72),"")</f>
        <v/>
      </c>
      <c r="U12" s="329"/>
      <c r="V12" s="327" t="str">
        <f ca="1">IF(AND('Mapa final'!$J$60="Muy Alta",'Mapa final'!$N$60="Moderado"),CONCATENATE("R",'Mapa final'!$A$60),"")</f>
        <v/>
      </c>
      <c r="W12" s="328"/>
      <c r="X12" s="328" t="str">
        <f>IF(AND('Mapa final'!$J$66="Muy Alta",'Mapa final'!$N$66="Moderado"),CONCATENATE("R",'Mapa final'!$A$66),"")</f>
        <v/>
      </c>
      <c r="Y12" s="328"/>
      <c r="Z12" s="328" t="str">
        <f>IF(AND('Mapa final'!$J$72="Muy Alta",'Mapa final'!$N$72="Moderado"),CONCATENATE("R",'Mapa final'!$A$72),"")</f>
        <v/>
      </c>
      <c r="AA12" s="329"/>
      <c r="AB12" s="327" t="str">
        <f ca="1">IF(AND('Mapa final'!$J$60="Muy Alta",'Mapa final'!$N$60="Mayor"),CONCATENATE("R",'Mapa final'!$A$60),"")</f>
        <v/>
      </c>
      <c r="AC12" s="328"/>
      <c r="AD12" s="328" t="str">
        <f>IF(AND('Mapa final'!$J$66="Muy Alta",'Mapa final'!$N$66="Mayor"),CONCATENATE("R",'Mapa final'!$A$66),"")</f>
        <v/>
      </c>
      <c r="AE12" s="328"/>
      <c r="AF12" s="328" t="str">
        <f>IF(AND('Mapa final'!$J$72="Muy Alta",'Mapa final'!$N$72="Mayor"),CONCATENATE("R",'Mapa final'!$A$72),"")</f>
        <v/>
      </c>
      <c r="AG12" s="329"/>
      <c r="AH12" s="318" t="str">
        <f ca="1">IF(AND('Mapa final'!$J$60="Muy Alta",'Mapa final'!$N$60="Catastrófico"),CONCATENATE("R",'Mapa final'!$A$60),"")</f>
        <v/>
      </c>
      <c r="AI12" s="319"/>
      <c r="AJ12" s="319" t="str">
        <f>IF(AND('Mapa final'!$J$66="Muy Alta",'Mapa final'!$N$66="Catastrófico"),CONCATENATE("R",'Mapa final'!$A$66),"")</f>
        <v/>
      </c>
      <c r="AK12" s="319"/>
      <c r="AL12" s="319" t="str">
        <f>IF(AND('Mapa final'!$J$72="Muy Alta",'Mapa final'!$N$72="Catastrófico"),CONCATENATE("R",'Mapa final'!$A$72),"")</f>
        <v/>
      </c>
      <c r="AM12" s="320"/>
      <c r="AN12" s="67"/>
      <c r="AO12" s="352"/>
      <c r="AP12" s="353"/>
      <c r="AQ12" s="353"/>
      <c r="AR12" s="353"/>
      <c r="AS12" s="353"/>
      <c r="AT12" s="354"/>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
      <c r="A13" s="67"/>
      <c r="B13" s="347"/>
      <c r="C13" s="347"/>
      <c r="D13" s="348"/>
      <c r="E13" s="343"/>
      <c r="F13" s="344"/>
      <c r="G13" s="344"/>
      <c r="H13" s="344"/>
      <c r="I13" s="345"/>
      <c r="J13" s="327"/>
      <c r="K13" s="328"/>
      <c r="L13" s="328"/>
      <c r="M13" s="328"/>
      <c r="N13" s="328"/>
      <c r="O13" s="329"/>
      <c r="P13" s="327"/>
      <c r="Q13" s="328"/>
      <c r="R13" s="328"/>
      <c r="S13" s="328"/>
      <c r="T13" s="328"/>
      <c r="U13" s="329"/>
      <c r="V13" s="327"/>
      <c r="W13" s="328"/>
      <c r="X13" s="328"/>
      <c r="Y13" s="328"/>
      <c r="Z13" s="328"/>
      <c r="AA13" s="329"/>
      <c r="AB13" s="327"/>
      <c r="AC13" s="328"/>
      <c r="AD13" s="328"/>
      <c r="AE13" s="328"/>
      <c r="AF13" s="328"/>
      <c r="AG13" s="329"/>
      <c r="AH13" s="321"/>
      <c r="AI13" s="322"/>
      <c r="AJ13" s="322"/>
      <c r="AK13" s="322"/>
      <c r="AL13" s="322"/>
      <c r="AM13" s="323"/>
      <c r="AN13" s="67"/>
      <c r="AO13" s="355"/>
      <c r="AP13" s="356"/>
      <c r="AQ13" s="356"/>
      <c r="AR13" s="356"/>
      <c r="AS13" s="356"/>
      <c r="AT13" s="35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25">
      <c r="A14" s="67"/>
      <c r="B14" s="347"/>
      <c r="C14" s="347"/>
      <c r="D14" s="348"/>
      <c r="E14" s="337" t="s">
        <v>109</v>
      </c>
      <c r="F14" s="338"/>
      <c r="G14" s="338"/>
      <c r="H14" s="338"/>
      <c r="I14" s="338"/>
      <c r="J14" s="315" t="str">
        <f ca="1">IF(AND('Mapa final'!$J$10="Alta",'Mapa final'!$N$10="Leve"),CONCATENATE("R",'Mapa final'!$A$10),"")</f>
        <v/>
      </c>
      <c r="K14" s="316"/>
      <c r="L14" s="316" t="str">
        <f ca="1">IF(AND('Mapa final'!$J$14="Alta",'Mapa final'!$N$14="Leve"),CONCATENATE("R",'Mapa final'!$A$14),"")</f>
        <v/>
      </c>
      <c r="M14" s="316"/>
      <c r="N14" s="316" t="str">
        <f ca="1">IF(AND('Mapa final'!$J$18="Alta",'Mapa final'!$N$18="Leve"),CONCATENATE("R",'Mapa final'!$A$18),"")</f>
        <v/>
      </c>
      <c r="O14" s="317"/>
      <c r="P14" s="315" t="str">
        <f ca="1">IF(AND('Mapa final'!$J$10="Alta",'Mapa final'!$N$10="Menor"),CONCATENATE("R",'Mapa final'!$A$10),"")</f>
        <v/>
      </c>
      <c r="Q14" s="316"/>
      <c r="R14" s="316" t="str">
        <f ca="1">IF(AND('Mapa final'!$J$14="Alta",'Mapa final'!$N$14="Menor"),CONCATENATE("R",'Mapa final'!$A$14),"")</f>
        <v/>
      </c>
      <c r="S14" s="316"/>
      <c r="T14" s="316" t="str">
        <f ca="1">IF(AND('Mapa final'!$J$18="Alta",'Mapa final'!$N$18="Menor"),CONCATENATE("R",'Mapa final'!$A$18),"")</f>
        <v/>
      </c>
      <c r="U14" s="317"/>
      <c r="V14" s="333" t="str">
        <f ca="1">IF(AND('Mapa final'!$J$10="Alta",'Mapa final'!$N$10="Moderado"),CONCATENATE("R",'Mapa final'!$A$10),"")</f>
        <v/>
      </c>
      <c r="W14" s="334"/>
      <c r="X14" s="334" t="str">
        <f ca="1">IF(AND('Mapa final'!$J$14="Alta",'Mapa final'!$N$14="Moderado"),CONCATENATE("R",'Mapa final'!$A$14),"")</f>
        <v/>
      </c>
      <c r="Y14" s="334"/>
      <c r="Z14" s="334" t="str">
        <f ca="1">IF(AND('Mapa final'!$J$18="Alta",'Mapa final'!$N$18="Moderado"),CONCATENATE("R",'Mapa final'!$A$18),"")</f>
        <v/>
      </c>
      <c r="AA14" s="335"/>
      <c r="AB14" s="333" t="str">
        <f ca="1">IF(AND('Mapa final'!$J$10="Alta",'Mapa final'!$N$10="Mayor"),CONCATENATE("R",'Mapa final'!$A$10),"")</f>
        <v/>
      </c>
      <c r="AC14" s="334"/>
      <c r="AD14" s="334" t="str">
        <f ca="1">IF(AND('Mapa final'!$J$14="Alta",'Mapa final'!$N$14="Mayor"),CONCATENATE("R",'Mapa final'!$A$14),"")</f>
        <v/>
      </c>
      <c r="AE14" s="334"/>
      <c r="AF14" s="334" t="str">
        <f ca="1">IF(AND('Mapa final'!$J$18="Alta",'Mapa final'!$N$18="Mayor"),CONCATENATE("R",'Mapa final'!$A$18),"")</f>
        <v/>
      </c>
      <c r="AG14" s="335"/>
      <c r="AH14" s="324" t="str">
        <f ca="1">IF(AND('Mapa final'!$J$10="Alta",'Mapa final'!$N$10="Catastrófico"),CONCATENATE("R",'Mapa final'!$A$10),"")</f>
        <v/>
      </c>
      <c r="AI14" s="325"/>
      <c r="AJ14" s="325" t="str">
        <f ca="1">IF(AND('Mapa final'!$J$14="Alta",'Mapa final'!$N$14="Catastrófico"),CONCATENATE("R",'Mapa final'!$A$14),"")</f>
        <v/>
      </c>
      <c r="AK14" s="325"/>
      <c r="AL14" s="325" t="str">
        <f ca="1">IF(AND('Mapa final'!$J$18="Alta",'Mapa final'!$N$18="Catastrófico"),CONCATENATE("R",'Mapa final'!$A$18),"")</f>
        <v/>
      </c>
      <c r="AM14" s="326"/>
      <c r="AN14" s="67"/>
      <c r="AO14" s="358" t="s">
        <v>78</v>
      </c>
      <c r="AP14" s="359"/>
      <c r="AQ14" s="359"/>
      <c r="AR14" s="359"/>
      <c r="AS14" s="359"/>
      <c r="AT14" s="360"/>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25">
      <c r="A15" s="67"/>
      <c r="B15" s="347"/>
      <c r="C15" s="347"/>
      <c r="D15" s="348"/>
      <c r="E15" s="340"/>
      <c r="F15" s="341"/>
      <c r="G15" s="341"/>
      <c r="H15" s="341"/>
      <c r="I15" s="341"/>
      <c r="J15" s="309"/>
      <c r="K15" s="310"/>
      <c r="L15" s="310"/>
      <c r="M15" s="310"/>
      <c r="N15" s="310"/>
      <c r="O15" s="311"/>
      <c r="P15" s="309"/>
      <c r="Q15" s="310"/>
      <c r="R15" s="310"/>
      <c r="S15" s="310"/>
      <c r="T15" s="310"/>
      <c r="U15" s="311"/>
      <c r="V15" s="327"/>
      <c r="W15" s="328"/>
      <c r="X15" s="328"/>
      <c r="Y15" s="328"/>
      <c r="Z15" s="328"/>
      <c r="AA15" s="329"/>
      <c r="AB15" s="327"/>
      <c r="AC15" s="328"/>
      <c r="AD15" s="328"/>
      <c r="AE15" s="328"/>
      <c r="AF15" s="328"/>
      <c r="AG15" s="329"/>
      <c r="AH15" s="318"/>
      <c r="AI15" s="319"/>
      <c r="AJ15" s="319"/>
      <c r="AK15" s="319"/>
      <c r="AL15" s="319"/>
      <c r="AM15" s="320"/>
      <c r="AN15" s="67"/>
      <c r="AO15" s="361"/>
      <c r="AP15" s="362"/>
      <c r="AQ15" s="362"/>
      <c r="AR15" s="362"/>
      <c r="AS15" s="362"/>
      <c r="AT15" s="363"/>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25">
      <c r="A16" s="67"/>
      <c r="B16" s="347"/>
      <c r="C16" s="347"/>
      <c r="D16" s="348"/>
      <c r="E16" s="340"/>
      <c r="F16" s="341"/>
      <c r="G16" s="341"/>
      <c r="H16" s="341"/>
      <c r="I16" s="341"/>
      <c r="J16" s="309" t="str">
        <f ca="1">IF(AND('Mapa final'!$J$24="Alta",'Mapa final'!$N$24="Leve"),CONCATENATE("R",'Mapa final'!$A$24),"")</f>
        <v/>
      </c>
      <c r="K16" s="310"/>
      <c r="L16" s="310" t="str">
        <f ca="1">IF(AND('Mapa final'!$J$30="Alta",'Mapa final'!$N$30="Leve"),CONCATENATE("R",'Mapa final'!$A$30),"")</f>
        <v/>
      </c>
      <c r="M16" s="310"/>
      <c r="N16" s="310" t="str">
        <f ca="1">IF(AND('Mapa final'!$J$36="Alta",'Mapa final'!$N$36="Leve"),CONCATENATE("R",'Mapa final'!$A$36),"")</f>
        <v/>
      </c>
      <c r="O16" s="311"/>
      <c r="P16" s="309" t="str">
        <f ca="1">IF(AND('Mapa final'!$J$24="Alta",'Mapa final'!$N$24="Menor"),CONCATENATE("R",'Mapa final'!$A$24),"")</f>
        <v/>
      </c>
      <c r="Q16" s="310"/>
      <c r="R16" s="310" t="str">
        <f ca="1">IF(AND('Mapa final'!$J$30="Alta",'Mapa final'!$N$30="Menor"),CONCATENATE("R",'Mapa final'!$A$30),"")</f>
        <v/>
      </c>
      <c r="S16" s="310"/>
      <c r="T16" s="310" t="str">
        <f ca="1">IF(AND('Mapa final'!$J$36="Alta",'Mapa final'!$N$36="Menor"),CONCATENATE("R",'Mapa final'!$A$36),"")</f>
        <v/>
      </c>
      <c r="U16" s="311"/>
      <c r="V16" s="327" t="str">
        <f ca="1">IF(AND('Mapa final'!$J$24="Alta",'Mapa final'!$N$24="Moderado"),CONCATENATE("R",'Mapa final'!$A$24),"")</f>
        <v/>
      </c>
      <c r="W16" s="328"/>
      <c r="X16" s="328" t="str">
        <f ca="1">IF(AND('Mapa final'!$J$30="Alta",'Mapa final'!$N$30="Moderado"),CONCATENATE("R",'Mapa final'!$A$30),"")</f>
        <v/>
      </c>
      <c r="Y16" s="328"/>
      <c r="Z16" s="328" t="str">
        <f ca="1">IF(AND('Mapa final'!$J$36="Alta",'Mapa final'!$N$36="Moderado"),CONCATENATE("R",'Mapa final'!$A$36),"")</f>
        <v/>
      </c>
      <c r="AA16" s="329"/>
      <c r="AB16" s="327" t="str">
        <f ca="1">IF(AND('Mapa final'!$J$24="Alta",'Mapa final'!$N$24="Mayor"),CONCATENATE("R",'Mapa final'!$A$24),"")</f>
        <v/>
      </c>
      <c r="AC16" s="328"/>
      <c r="AD16" s="328" t="str">
        <f ca="1">IF(AND('Mapa final'!$J$30="Alta",'Mapa final'!$N$30="Mayor"),CONCATENATE("R",'Mapa final'!$A$30),"")</f>
        <v/>
      </c>
      <c r="AE16" s="328"/>
      <c r="AF16" s="328" t="str">
        <f ca="1">IF(AND('Mapa final'!$J$36="Alta",'Mapa final'!$N$36="Mayor"),CONCATENATE("R",'Mapa final'!$A$36),"")</f>
        <v/>
      </c>
      <c r="AG16" s="329"/>
      <c r="AH16" s="318" t="str">
        <f ca="1">IF(AND('Mapa final'!$J$24="Alta",'Mapa final'!$N$24="Catastrófico"),CONCATENATE("R",'Mapa final'!$A$24),"")</f>
        <v/>
      </c>
      <c r="AI16" s="319"/>
      <c r="AJ16" s="319" t="str">
        <f ca="1">IF(AND('Mapa final'!$J$30="Alta",'Mapa final'!$N$30="Catastrófico"),CONCATENATE("R",'Mapa final'!$A$30),"")</f>
        <v/>
      </c>
      <c r="AK16" s="319"/>
      <c r="AL16" s="319" t="str">
        <f ca="1">IF(AND('Mapa final'!$J$36="Alta",'Mapa final'!$N$36="Catastrófico"),CONCATENATE("R",'Mapa final'!$A$36),"")</f>
        <v/>
      </c>
      <c r="AM16" s="320"/>
      <c r="AN16" s="67"/>
      <c r="AO16" s="361"/>
      <c r="AP16" s="362"/>
      <c r="AQ16" s="362"/>
      <c r="AR16" s="362"/>
      <c r="AS16" s="362"/>
      <c r="AT16" s="363"/>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25">
      <c r="A17" s="67"/>
      <c r="B17" s="347"/>
      <c r="C17" s="347"/>
      <c r="D17" s="348"/>
      <c r="E17" s="340"/>
      <c r="F17" s="341"/>
      <c r="G17" s="341"/>
      <c r="H17" s="341"/>
      <c r="I17" s="341"/>
      <c r="J17" s="309"/>
      <c r="K17" s="310"/>
      <c r="L17" s="310"/>
      <c r="M17" s="310"/>
      <c r="N17" s="310"/>
      <c r="O17" s="311"/>
      <c r="P17" s="309"/>
      <c r="Q17" s="310"/>
      <c r="R17" s="310"/>
      <c r="S17" s="310"/>
      <c r="T17" s="310"/>
      <c r="U17" s="311"/>
      <c r="V17" s="327"/>
      <c r="W17" s="328"/>
      <c r="X17" s="328"/>
      <c r="Y17" s="328"/>
      <c r="Z17" s="328"/>
      <c r="AA17" s="329"/>
      <c r="AB17" s="327"/>
      <c r="AC17" s="328"/>
      <c r="AD17" s="328"/>
      <c r="AE17" s="328"/>
      <c r="AF17" s="328"/>
      <c r="AG17" s="329"/>
      <c r="AH17" s="318"/>
      <c r="AI17" s="319"/>
      <c r="AJ17" s="319"/>
      <c r="AK17" s="319"/>
      <c r="AL17" s="319"/>
      <c r="AM17" s="320"/>
      <c r="AN17" s="67"/>
      <c r="AO17" s="361"/>
      <c r="AP17" s="362"/>
      <c r="AQ17" s="362"/>
      <c r="AR17" s="362"/>
      <c r="AS17" s="362"/>
      <c r="AT17" s="363"/>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25">
      <c r="A18" s="67"/>
      <c r="B18" s="347"/>
      <c r="C18" s="347"/>
      <c r="D18" s="348"/>
      <c r="E18" s="340"/>
      <c r="F18" s="341"/>
      <c r="G18" s="341"/>
      <c r="H18" s="341"/>
      <c r="I18" s="341"/>
      <c r="J18" s="309" t="str">
        <f ca="1">IF(AND('Mapa final'!$J$42="Alta",'Mapa final'!$N$42="Leve"),CONCATENATE("R",'Mapa final'!$A$42),"")</f>
        <v/>
      </c>
      <c r="K18" s="310"/>
      <c r="L18" s="310" t="str">
        <f ca="1">IF(AND('Mapa final'!$J$48="Alta",'Mapa final'!$N$48="Leve"),CONCATENATE("R",'Mapa final'!$A$48),"")</f>
        <v/>
      </c>
      <c r="M18" s="310"/>
      <c r="N18" s="310" t="str">
        <f ca="1">IF(AND('Mapa final'!$J$54="Alta",'Mapa final'!$N$54="Leve"),CONCATENATE("R",'Mapa final'!$A$54),"")</f>
        <v/>
      </c>
      <c r="O18" s="311"/>
      <c r="P18" s="309" t="str">
        <f ca="1">IF(AND('Mapa final'!$J$42="Alta",'Mapa final'!$N$42="Menor"),CONCATENATE("R",'Mapa final'!$A$42),"")</f>
        <v/>
      </c>
      <c r="Q18" s="310"/>
      <c r="R18" s="310" t="str">
        <f ca="1">IF(AND('Mapa final'!$J$48="Alta",'Mapa final'!$N$48="Menor"),CONCATENATE("R",'Mapa final'!$A$48),"")</f>
        <v/>
      </c>
      <c r="S18" s="310"/>
      <c r="T18" s="310" t="str">
        <f ca="1">IF(AND('Mapa final'!$J$54="Alta",'Mapa final'!$N$54="Menor"),CONCATENATE("R",'Mapa final'!$A$54),"")</f>
        <v/>
      </c>
      <c r="U18" s="311"/>
      <c r="V18" s="327" t="str">
        <f ca="1">IF(AND('Mapa final'!$J$42="Alta",'Mapa final'!$N$42="Moderado"),CONCATENATE("R",'Mapa final'!$A$42),"")</f>
        <v/>
      </c>
      <c r="W18" s="328"/>
      <c r="X18" s="328" t="str">
        <f ca="1">IF(AND('Mapa final'!$J$48="Alta",'Mapa final'!$N$48="Moderado"),CONCATENATE("R",'Mapa final'!$A$48),"")</f>
        <v/>
      </c>
      <c r="Y18" s="328"/>
      <c r="Z18" s="328" t="str">
        <f ca="1">IF(AND('Mapa final'!$J$54="Alta",'Mapa final'!$N$54="Moderado"),CONCATENATE("R",'Mapa final'!$A$54),"")</f>
        <v/>
      </c>
      <c r="AA18" s="329"/>
      <c r="AB18" s="327" t="str">
        <f ca="1">IF(AND('Mapa final'!$J$42="Alta",'Mapa final'!$N$42="Mayor"),CONCATENATE("R",'Mapa final'!$A$42),"")</f>
        <v/>
      </c>
      <c r="AC18" s="328"/>
      <c r="AD18" s="328" t="str">
        <f ca="1">IF(AND('Mapa final'!$J$48="Alta",'Mapa final'!$N$48="Mayor"),CONCATENATE("R",'Mapa final'!$A$48),"")</f>
        <v/>
      </c>
      <c r="AE18" s="328"/>
      <c r="AF18" s="328" t="str">
        <f ca="1">IF(AND('Mapa final'!$J$54="Alta",'Mapa final'!$N$54="Mayor"),CONCATENATE("R",'Mapa final'!$A$54),"")</f>
        <v/>
      </c>
      <c r="AG18" s="329"/>
      <c r="AH18" s="318" t="str">
        <f ca="1">IF(AND('Mapa final'!$J$42="Alta",'Mapa final'!$N$42="Catastrófico"),CONCATENATE("R",'Mapa final'!$A$42),"")</f>
        <v/>
      </c>
      <c r="AI18" s="319"/>
      <c r="AJ18" s="319" t="str">
        <f ca="1">IF(AND('Mapa final'!$J$48="Alta",'Mapa final'!$N$48="Catastrófico"),CONCATENATE("R",'Mapa final'!$A$48),"")</f>
        <v/>
      </c>
      <c r="AK18" s="319"/>
      <c r="AL18" s="319" t="str">
        <f ca="1">IF(AND('Mapa final'!$J$54="Alta",'Mapa final'!$N$54="Catastrófico"),CONCATENATE("R",'Mapa final'!$A$54),"")</f>
        <v/>
      </c>
      <c r="AM18" s="320"/>
      <c r="AN18" s="67"/>
      <c r="AO18" s="361"/>
      <c r="AP18" s="362"/>
      <c r="AQ18" s="362"/>
      <c r="AR18" s="362"/>
      <c r="AS18" s="362"/>
      <c r="AT18" s="363"/>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25">
      <c r="A19" s="67"/>
      <c r="B19" s="347"/>
      <c r="C19" s="347"/>
      <c r="D19" s="348"/>
      <c r="E19" s="340"/>
      <c r="F19" s="341"/>
      <c r="G19" s="341"/>
      <c r="H19" s="341"/>
      <c r="I19" s="341"/>
      <c r="J19" s="309"/>
      <c r="K19" s="310"/>
      <c r="L19" s="310"/>
      <c r="M19" s="310"/>
      <c r="N19" s="310"/>
      <c r="O19" s="311"/>
      <c r="P19" s="309"/>
      <c r="Q19" s="310"/>
      <c r="R19" s="310"/>
      <c r="S19" s="310"/>
      <c r="T19" s="310"/>
      <c r="U19" s="311"/>
      <c r="V19" s="327"/>
      <c r="W19" s="328"/>
      <c r="X19" s="328"/>
      <c r="Y19" s="328"/>
      <c r="Z19" s="328"/>
      <c r="AA19" s="329"/>
      <c r="AB19" s="327"/>
      <c r="AC19" s="328"/>
      <c r="AD19" s="328"/>
      <c r="AE19" s="328"/>
      <c r="AF19" s="328"/>
      <c r="AG19" s="329"/>
      <c r="AH19" s="318"/>
      <c r="AI19" s="319"/>
      <c r="AJ19" s="319"/>
      <c r="AK19" s="319"/>
      <c r="AL19" s="319"/>
      <c r="AM19" s="320"/>
      <c r="AN19" s="67"/>
      <c r="AO19" s="361"/>
      <c r="AP19" s="362"/>
      <c r="AQ19" s="362"/>
      <c r="AR19" s="362"/>
      <c r="AS19" s="362"/>
      <c r="AT19" s="363"/>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25">
      <c r="A20" s="67"/>
      <c r="B20" s="347"/>
      <c r="C20" s="347"/>
      <c r="D20" s="348"/>
      <c r="E20" s="340"/>
      <c r="F20" s="341"/>
      <c r="G20" s="341"/>
      <c r="H20" s="341"/>
      <c r="I20" s="341"/>
      <c r="J20" s="309" t="str">
        <f ca="1">IF(AND('Mapa final'!$J$60="Alta",'Mapa final'!$N$60="Leve"),CONCATENATE("R",'Mapa final'!$A$60),"")</f>
        <v/>
      </c>
      <c r="K20" s="310"/>
      <c r="L20" s="310" t="str">
        <f>IF(AND('Mapa final'!$J$66="Alta",'Mapa final'!$N$66="Leve"),CONCATENATE("R",'Mapa final'!$A$66),"")</f>
        <v/>
      </c>
      <c r="M20" s="310"/>
      <c r="N20" s="310" t="str">
        <f>IF(AND('Mapa final'!$J$72="Alta",'Mapa final'!$N$72="Leve"),CONCATENATE("R",'Mapa final'!$A$72),"")</f>
        <v/>
      </c>
      <c r="O20" s="311"/>
      <c r="P20" s="309" t="str">
        <f ca="1">IF(AND('Mapa final'!$J$60="Alta",'Mapa final'!$N$60="Menor"),CONCATENATE("R",'Mapa final'!$A$60),"")</f>
        <v/>
      </c>
      <c r="Q20" s="310"/>
      <c r="R20" s="310" t="str">
        <f>IF(AND('Mapa final'!$J$66="Alta",'Mapa final'!$N$66="Menor"),CONCATENATE("R",'Mapa final'!$A$66),"")</f>
        <v/>
      </c>
      <c r="S20" s="310"/>
      <c r="T20" s="310" t="str">
        <f>IF(AND('Mapa final'!$J$72="Alta",'Mapa final'!$N$72="Menor"),CONCATENATE("R",'Mapa final'!$A$72),"")</f>
        <v/>
      </c>
      <c r="U20" s="311"/>
      <c r="V20" s="327" t="str">
        <f ca="1">IF(AND('Mapa final'!$J$60="Alta",'Mapa final'!$N$60="Moderado"),CONCATENATE("R",'Mapa final'!$A$60),"")</f>
        <v/>
      </c>
      <c r="W20" s="328"/>
      <c r="X20" s="328" t="str">
        <f>IF(AND('Mapa final'!$J$66="Alta",'Mapa final'!$N$66="Moderado"),CONCATENATE("R",'Mapa final'!$A$66),"")</f>
        <v/>
      </c>
      <c r="Y20" s="328"/>
      <c r="Z20" s="328" t="str">
        <f>IF(AND('Mapa final'!$J$72="Alta",'Mapa final'!$N$72="Moderado"),CONCATENATE("R",'Mapa final'!$A$72),"")</f>
        <v/>
      </c>
      <c r="AA20" s="329"/>
      <c r="AB20" s="327" t="str">
        <f ca="1">IF(AND('Mapa final'!$J$60="Alta",'Mapa final'!$N$60="Mayor"),CONCATENATE("R",'Mapa final'!$A$60),"")</f>
        <v/>
      </c>
      <c r="AC20" s="328"/>
      <c r="AD20" s="328" t="str">
        <f>IF(AND('Mapa final'!$J$66="Alta",'Mapa final'!$N$66="Mayor"),CONCATENATE("R",'Mapa final'!$A$66),"")</f>
        <v/>
      </c>
      <c r="AE20" s="328"/>
      <c r="AF20" s="328" t="str">
        <f>IF(AND('Mapa final'!$J$72="Alta",'Mapa final'!$N$72="Mayor"),CONCATENATE("R",'Mapa final'!$A$72),"")</f>
        <v/>
      </c>
      <c r="AG20" s="329"/>
      <c r="AH20" s="318" t="str">
        <f ca="1">IF(AND('Mapa final'!$J$60="Alta",'Mapa final'!$N$60="Catastrófico"),CONCATENATE("R",'Mapa final'!$A$60),"")</f>
        <v/>
      </c>
      <c r="AI20" s="319"/>
      <c r="AJ20" s="319" t="str">
        <f>IF(AND('Mapa final'!$J$66="Alta",'Mapa final'!$N$66="Catastrófico"),CONCATENATE("R",'Mapa final'!$A$66),"")</f>
        <v/>
      </c>
      <c r="AK20" s="319"/>
      <c r="AL20" s="319" t="str">
        <f>IF(AND('Mapa final'!$J$72="Alta",'Mapa final'!$N$72="Catastrófico"),CONCATENATE("R",'Mapa final'!$A$72),"")</f>
        <v/>
      </c>
      <c r="AM20" s="320"/>
      <c r="AN20" s="67"/>
      <c r="AO20" s="361"/>
      <c r="AP20" s="362"/>
      <c r="AQ20" s="362"/>
      <c r="AR20" s="362"/>
      <c r="AS20" s="362"/>
      <c r="AT20" s="363"/>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
      <c r="A21" s="67"/>
      <c r="B21" s="347"/>
      <c r="C21" s="347"/>
      <c r="D21" s="348"/>
      <c r="E21" s="343"/>
      <c r="F21" s="344"/>
      <c r="G21" s="344"/>
      <c r="H21" s="344"/>
      <c r="I21" s="344"/>
      <c r="J21" s="312"/>
      <c r="K21" s="313"/>
      <c r="L21" s="313"/>
      <c r="M21" s="313"/>
      <c r="N21" s="313"/>
      <c r="O21" s="314"/>
      <c r="P21" s="312"/>
      <c r="Q21" s="313"/>
      <c r="R21" s="313"/>
      <c r="S21" s="313"/>
      <c r="T21" s="313"/>
      <c r="U21" s="314"/>
      <c r="V21" s="330"/>
      <c r="W21" s="331"/>
      <c r="X21" s="331"/>
      <c r="Y21" s="331"/>
      <c r="Z21" s="331"/>
      <c r="AA21" s="332"/>
      <c r="AB21" s="330"/>
      <c r="AC21" s="331"/>
      <c r="AD21" s="331"/>
      <c r="AE21" s="331"/>
      <c r="AF21" s="331"/>
      <c r="AG21" s="332"/>
      <c r="AH21" s="321"/>
      <c r="AI21" s="322"/>
      <c r="AJ21" s="322"/>
      <c r="AK21" s="322"/>
      <c r="AL21" s="322"/>
      <c r="AM21" s="323"/>
      <c r="AN21" s="67"/>
      <c r="AO21" s="364"/>
      <c r="AP21" s="365"/>
      <c r="AQ21" s="365"/>
      <c r="AR21" s="365"/>
      <c r="AS21" s="365"/>
      <c r="AT21" s="366"/>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25">
      <c r="A22" s="67"/>
      <c r="B22" s="347"/>
      <c r="C22" s="347"/>
      <c r="D22" s="348"/>
      <c r="E22" s="337" t="s">
        <v>111</v>
      </c>
      <c r="F22" s="338"/>
      <c r="G22" s="338"/>
      <c r="H22" s="338"/>
      <c r="I22" s="339"/>
      <c r="J22" s="315" t="str">
        <f ca="1">IF(AND('Mapa final'!$J$10="Media",'Mapa final'!$N$10="Leve"),CONCATENATE("R",'Mapa final'!$A$10),"")</f>
        <v/>
      </c>
      <c r="K22" s="316"/>
      <c r="L22" s="316" t="str">
        <f ca="1">IF(AND('Mapa final'!$J$14="Media",'Mapa final'!$N$14="Leve"),CONCATENATE("R",'Mapa final'!$A$14),"")</f>
        <v/>
      </c>
      <c r="M22" s="316"/>
      <c r="N22" s="316" t="str">
        <f ca="1">IF(AND('Mapa final'!$J$18="Media",'Mapa final'!$N$18="Leve"),CONCATENATE("R",'Mapa final'!$A$18),"")</f>
        <v/>
      </c>
      <c r="O22" s="317"/>
      <c r="P22" s="315" t="str">
        <f ca="1">IF(AND('Mapa final'!$J$10="Media",'Mapa final'!$N$10="Menor"),CONCATENATE("R",'Mapa final'!$A$10),"")</f>
        <v/>
      </c>
      <c r="Q22" s="316"/>
      <c r="R22" s="316" t="str">
        <f ca="1">IF(AND('Mapa final'!$J$14="Media",'Mapa final'!$N$14="Menor"),CONCATENATE("R",'Mapa final'!$A$14),"")</f>
        <v/>
      </c>
      <c r="S22" s="316"/>
      <c r="T22" s="316" t="str">
        <f ca="1">IF(AND('Mapa final'!$J$18="Media",'Mapa final'!$N$18="Menor"),CONCATENATE("R",'Mapa final'!$A$18),"")</f>
        <v/>
      </c>
      <c r="U22" s="317"/>
      <c r="V22" s="315" t="str">
        <f ca="1">IF(AND('Mapa final'!$J$10="Media",'Mapa final'!$N$10="Moderado"),CONCATENATE("R",'Mapa final'!$A$10),"")</f>
        <v/>
      </c>
      <c r="W22" s="316"/>
      <c r="X22" s="316" t="str">
        <f ca="1">IF(AND('Mapa final'!$J$14="Media",'Mapa final'!$N$14="Moderado"),CONCATENATE("R",'Mapa final'!$A$14),"")</f>
        <v/>
      </c>
      <c r="Y22" s="316"/>
      <c r="Z22" s="316" t="str">
        <f ca="1">IF(AND('Mapa final'!$J$18="Media",'Mapa final'!$N$18="Moderado"),CONCATENATE("R",'Mapa final'!$A$18),"")</f>
        <v/>
      </c>
      <c r="AA22" s="317"/>
      <c r="AB22" s="333" t="str">
        <f ca="1">IF(AND('Mapa final'!$J$10="Media",'Mapa final'!$N$10="Mayor"),CONCATENATE("R",'Mapa final'!$A$10),"")</f>
        <v/>
      </c>
      <c r="AC22" s="334"/>
      <c r="AD22" s="334" t="str">
        <f ca="1">IF(AND('Mapa final'!$J$14="Media",'Mapa final'!$N$14="Mayor"),CONCATENATE("R",'Mapa final'!$A$14),"")</f>
        <v/>
      </c>
      <c r="AE22" s="334"/>
      <c r="AF22" s="334" t="str">
        <f ca="1">IF(AND('Mapa final'!$J$18="Media",'Mapa final'!$N$18="Mayor"),CONCATENATE("R",'Mapa final'!$A$18),"")</f>
        <v/>
      </c>
      <c r="AG22" s="335"/>
      <c r="AH22" s="324" t="str">
        <f ca="1">IF(AND('Mapa final'!$J$10="Media",'Mapa final'!$N$10="Catastrófico"),CONCATENATE("R",'Mapa final'!$A$10),"")</f>
        <v/>
      </c>
      <c r="AI22" s="325"/>
      <c r="AJ22" s="325" t="str">
        <f ca="1">IF(AND('Mapa final'!$J$14="Media",'Mapa final'!$N$14="Catastrófico"),CONCATENATE("R",'Mapa final'!$A$14),"")</f>
        <v/>
      </c>
      <c r="AK22" s="325"/>
      <c r="AL22" s="325" t="str">
        <f ca="1">IF(AND('Mapa final'!$J$18="Media",'Mapa final'!$N$18="Catastrófico"),CONCATENATE("R",'Mapa final'!$A$18),"")</f>
        <v/>
      </c>
      <c r="AM22" s="326"/>
      <c r="AN22" s="67"/>
      <c r="AO22" s="367" t="s">
        <v>79</v>
      </c>
      <c r="AP22" s="368"/>
      <c r="AQ22" s="368"/>
      <c r="AR22" s="368"/>
      <c r="AS22" s="368"/>
      <c r="AT22" s="369"/>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25">
      <c r="A23" s="67"/>
      <c r="B23" s="347"/>
      <c r="C23" s="347"/>
      <c r="D23" s="348"/>
      <c r="E23" s="340"/>
      <c r="F23" s="341"/>
      <c r="G23" s="341"/>
      <c r="H23" s="341"/>
      <c r="I23" s="342"/>
      <c r="J23" s="309"/>
      <c r="K23" s="310"/>
      <c r="L23" s="310"/>
      <c r="M23" s="310"/>
      <c r="N23" s="310"/>
      <c r="O23" s="311"/>
      <c r="P23" s="309"/>
      <c r="Q23" s="310"/>
      <c r="R23" s="310"/>
      <c r="S23" s="310"/>
      <c r="T23" s="310"/>
      <c r="U23" s="311"/>
      <c r="V23" s="309"/>
      <c r="W23" s="310"/>
      <c r="X23" s="310"/>
      <c r="Y23" s="310"/>
      <c r="Z23" s="310"/>
      <c r="AA23" s="311"/>
      <c r="AB23" s="327"/>
      <c r="AC23" s="328"/>
      <c r="AD23" s="328"/>
      <c r="AE23" s="328"/>
      <c r="AF23" s="328"/>
      <c r="AG23" s="329"/>
      <c r="AH23" s="318"/>
      <c r="AI23" s="319"/>
      <c r="AJ23" s="319"/>
      <c r="AK23" s="319"/>
      <c r="AL23" s="319"/>
      <c r="AM23" s="320"/>
      <c r="AN23" s="67"/>
      <c r="AO23" s="370"/>
      <c r="AP23" s="371"/>
      <c r="AQ23" s="371"/>
      <c r="AR23" s="371"/>
      <c r="AS23" s="371"/>
      <c r="AT23" s="372"/>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25">
      <c r="A24" s="67"/>
      <c r="B24" s="347"/>
      <c r="C24" s="347"/>
      <c r="D24" s="348"/>
      <c r="E24" s="340"/>
      <c r="F24" s="341"/>
      <c r="G24" s="341"/>
      <c r="H24" s="341"/>
      <c r="I24" s="342"/>
      <c r="J24" s="309" t="str">
        <f ca="1">IF(AND('Mapa final'!$J$24="Media",'Mapa final'!$N$24="Leve"),CONCATENATE("R",'Mapa final'!$A$24),"")</f>
        <v/>
      </c>
      <c r="K24" s="310"/>
      <c r="L24" s="310" t="str">
        <f ca="1">IF(AND('Mapa final'!$J$30="Media",'Mapa final'!$N$30="Leve"),CONCATENATE("R",'Mapa final'!$A$30),"")</f>
        <v/>
      </c>
      <c r="M24" s="310"/>
      <c r="N24" s="310" t="str">
        <f ca="1">IF(AND('Mapa final'!$J$36="Media",'Mapa final'!$N$36="Leve"),CONCATENATE("R",'Mapa final'!$A$36),"")</f>
        <v/>
      </c>
      <c r="O24" s="311"/>
      <c r="P24" s="309" t="str">
        <f ca="1">IF(AND('Mapa final'!$J$24="Media",'Mapa final'!$N$24="Menor"),CONCATENATE("R",'Mapa final'!$A$24),"")</f>
        <v/>
      </c>
      <c r="Q24" s="310"/>
      <c r="R24" s="310" t="str">
        <f ca="1">IF(AND('Mapa final'!$J$30="Media",'Mapa final'!$N$30="Menor"),CONCATENATE("R",'Mapa final'!$A$30),"")</f>
        <v/>
      </c>
      <c r="S24" s="310"/>
      <c r="T24" s="310" t="str">
        <f ca="1">IF(AND('Mapa final'!$J$36="Media",'Mapa final'!$N$36="Menor"),CONCATENATE("R",'Mapa final'!$A$36),"")</f>
        <v/>
      </c>
      <c r="U24" s="311"/>
      <c r="V24" s="309" t="str">
        <f ca="1">IF(AND('Mapa final'!$J$24="Media",'Mapa final'!$N$24="Moderado"),CONCATENATE("R",'Mapa final'!$A$24),"")</f>
        <v/>
      </c>
      <c r="W24" s="310"/>
      <c r="X24" s="310" t="str">
        <f ca="1">IF(AND('Mapa final'!$J$30="Media",'Mapa final'!$N$30="Moderado"),CONCATENATE("R",'Mapa final'!$A$30),"")</f>
        <v/>
      </c>
      <c r="Y24" s="310"/>
      <c r="Z24" s="310" t="str">
        <f ca="1">IF(AND('Mapa final'!$J$36="Media",'Mapa final'!$N$36="Moderado"),CONCATENATE("R",'Mapa final'!$A$36),"")</f>
        <v/>
      </c>
      <c r="AA24" s="311"/>
      <c r="AB24" s="327" t="str">
        <f ca="1">IF(AND('Mapa final'!$J$24="Media",'Mapa final'!$N$24="Mayor"),CONCATENATE("R",'Mapa final'!$A$24),"")</f>
        <v/>
      </c>
      <c r="AC24" s="328"/>
      <c r="AD24" s="328" t="str">
        <f ca="1">IF(AND('Mapa final'!$J$30="Media",'Mapa final'!$N$30="Mayor"),CONCATENATE("R",'Mapa final'!$A$30),"")</f>
        <v/>
      </c>
      <c r="AE24" s="328"/>
      <c r="AF24" s="328" t="str">
        <f ca="1">IF(AND('Mapa final'!$J$36="Media",'Mapa final'!$N$36="Mayor"),CONCATENATE("R",'Mapa final'!$A$36),"")</f>
        <v/>
      </c>
      <c r="AG24" s="329"/>
      <c r="AH24" s="318" t="str">
        <f ca="1">IF(AND('Mapa final'!$J$24="Media",'Mapa final'!$N$24="Catastrófico"),CONCATENATE("R",'Mapa final'!$A$24),"")</f>
        <v/>
      </c>
      <c r="AI24" s="319"/>
      <c r="AJ24" s="319" t="str">
        <f ca="1">IF(AND('Mapa final'!$J$30="Media",'Mapa final'!$N$30="Catastrófico"),CONCATENATE("R",'Mapa final'!$A$30),"")</f>
        <v/>
      </c>
      <c r="AK24" s="319"/>
      <c r="AL24" s="319" t="str">
        <f ca="1">IF(AND('Mapa final'!$J$36="Media",'Mapa final'!$N$36="Catastrófico"),CONCATENATE("R",'Mapa final'!$A$36),"")</f>
        <v/>
      </c>
      <c r="AM24" s="320"/>
      <c r="AN24" s="67"/>
      <c r="AO24" s="370"/>
      <c r="AP24" s="371"/>
      <c r="AQ24" s="371"/>
      <c r="AR24" s="371"/>
      <c r="AS24" s="371"/>
      <c r="AT24" s="372"/>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25">
      <c r="A25" s="67"/>
      <c r="B25" s="347"/>
      <c r="C25" s="347"/>
      <c r="D25" s="348"/>
      <c r="E25" s="340"/>
      <c r="F25" s="341"/>
      <c r="G25" s="341"/>
      <c r="H25" s="341"/>
      <c r="I25" s="342"/>
      <c r="J25" s="309"/>
      <c r="K25" s="310"/>
      <c r="L25" s="310"/>
      <c r="M25" s="310"/>
      <c r="N25" s="310"/>
      <c r="O25" s="311"/>
      <c r="P25" s="309"/>
      <c r="Q25" s="310"/>
      <c r="R25" s="310"/>
      <c r="S25" s="310"/>
      <c r="T25" s="310"/>
      <c r="U25" s="311"/>
      <c r="V25" s="309"/>
      <c r="W25" s="310"/>
      <c r="X25" s="310"/>
      <c r="Y25" s="310"/>
      <c r="Z25" s="310"/>
      <c r="AA25" s="311"/>
      <c r="AB25" s="327"/>
      <c r="AC25" s="328"/>
      <c r="AD25" s="328"/>
      <c r="AE25" s="328"/>
      <c r="AF25" s="328"/>
      <c r="AG25" s="329"/>
      <c r="AH25" s="318"/>
      <c r="AI25" s="319"/>
      <c r="AJ25" s="319"/>
      <c r="AK25" s="319"/>
      <c r="AL25" s="319"/>
      <c r="AM25" s="320"/>
      <c r="AN25" s="67"/>
      <c r="AO25" s="370"/>
      <c r="AP25" s="371"/>
      <c r="AQ25" s="371"/>
      <c r="AR25" s="371"/>
      <c r="AS25" s="371"/>
      <c r="AT25" s="372"/>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25">
      <c r="A26" s="67"/>
      <c r="B26" s="347"/>
      <c r="C26" s="347"/>
      <c r="D26" s="348"/>
      <c r="E26" s="340"/>
      <c r="F26" s="341"/>
      <c r="G26" s="341"/>
      <c r="H26" s="341"/>
      <c r="I26" s="342"/>
      <c r="J26" s="309" t="str">
        <f ca="1">IF(AND('Mapa final'!$J$42="Media",'Mapa final'!$N$42="Leve"),CONCATENATE("R",'Mapa final'!$A$42),"")</f>
        <v/>
      </c>
      <c r="K26" s="310"/>
      <c r="L26" s="310" t="str">
        <f ca="1">IF(AND('Mapa final'!$J$48="Media",'Mapa final'!$N$48="Leve"),CONCATENATE("R",'Mapa final'!$A$48),"")</f>
        <v/>
      </c>
      <c r="M26" s="310"/>
      <c r="N26" s="310" t="str">
        <f ca="1">IF(AND('Mapa final'!$J$54="Media",'Mapa final'!$N$54="Leve"),CONCATENATE("R",'Mapa final'!$A$54),"")</f>
        <v/>
      </c>
      <c r="O26" s="311"/>
      <c r="P26" s="309" t="str">
        <f ca="1">IF(AND('Mapa final'!$J$42="Media",'Mapa final'!$N$42="Menor"),CONCATENATE("R",'Mapa final'!$A$42),"")</f>
        <v/>
      </c>
      <c r="Q26" s="310"/>
      <c r="R26" s="310" t="str">
        <f ca="1">IF(AND('Mapa final'!$J$48="Media",'Mapa final'!$N$48="Menor"),CONCATENATE("R",'Mapa final'!$A$48),"")</f>
        <v/>
      </c>
      <c r="S26" s="310"/>
      <c r="T26" s="310" t="str">
        <f ca="1">IF(AND('Mapa final'!$J$54="Media",'Mapa final'!$N$54="Menor"),CONCATENATE("R",'Mapa final'!$A$54),"")</f>
        <v/>
      </c>
      <c r="U26" s="311"/>
      <c r="V26" s="309" t="str">
        <f ca="1">IF(AND('Mapa final'!$J$42="Media",'Mapa final'!$N$42="Moderado"),CONCATENATE("R",'Mapa final'!$A$42),"")</f>
        <v/>
      </c>
      <c r="W26" s="310"/>
      <c r="X26" s="310" t="str">
        <f ca="1">IF(AND('Mapa final'!$J$48="Media",'Mapa final'!$N$48="Moderado"),CONCATENATE("R",'Mapa final'!$A$48),"")</f>
        <v/>
      </c>
      <c r="Y26" s="310"/>
      <c r="Z26" s="310" t="str">
        <f ca="1">IF(AND('Mapa final'!$J$54="Media",'Mapa final'!$N$54="Moderado"),CONCATENATE("R",'Mapa final'!$A$54),"")</f>
        <v/>
      </c>
      <c r="AA26" s="311"/>
      <c r="AB26" s="327" t="str">
        <f ca="1">IF(AND('Mapa final'!$J$42="Media",'Mapa final'!$N$42="Mayor"),CONCATENATE("R",'Mapa final'!$A$42),"")</f>
        <v/>
      </c>
      <c r="AC26" s="328"/>
      <c r="AD26" s="328" t="str">
        <f ca="1">IF(AND('Mapa final'!$J$48="Media",'Mapa final'!$N$48="Mayor"),CONCATENATE("R",'Mapa final'!$A$48),"")</f>
        <v/>
      </c>
      <c r="AE26" s="328"/>
      <c r="AF26" s="328" t="str">
        <f ca="1">IF(AND('Mapa final'!$J$54="Media",'Mapa final'!$N$54="Mayor"),CONCATENATE("R",'Mapa final'!$A$54),"")</f>
        <v/>
      </c>
      <c r="AG26" s="329"/>
      <c r="AH26" s="318" t="str">
        <f ca="1">IF(AND('Mapa final'!$J$42="Media",'Mapa final'!$N$42="Catastrófico"),CONCATENATE("R",'Mapa final'!$A$42),"")</f>
        <v/>
      </c>
      <c r="AI26" s="319"/>
      <c r="AJ26" s="319" t="str">
        <f ca="1">IF(AND('Mapa final'!$J$48="Media",'Mapa final'!$N$48="Catastrófico"),CONCATENATE("R",'Mapa final'!$A$48),"")</f>
        <v/>
      </c>
      <c r="AK26" s="319"/>
      <c r="AL26" s="319" t="str">
        <f ca="1">IF(AND('Mapa final'!$J$54="Media",'Mapa final'!$N$54="Catastrófico"),CONCATENATE("R",'Mapa final'!$A$54),"")</f>
        <v/>
      </c>
      <c r="AM26" s="320"/>
      <c r="AN26" s="67"/>
      <c r="AO26" s="370"/>
      <c r="AP26" s="371"/>
      <c r="AQ26" s="371"/>
      <c r="AR26" s="371"/>
      <c r="AS26" s="371"/>
      <c r="AT26" s="372"/>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25">
      <c r="A27" s="67"/>
      <c r="B27" s="347"/>
      <c r="C27" s="347"/>
      <c r="D27" s="348"/>
      <c r="E27" s="340"/>
      <c r="F27" s="341"/>
      <c r="G27" s="341"/>
      <c r="H27" s="341"/>
      <c r="I27" s="342"/>
      <c r="J27" s="309"/>
      <c r="K27" s="310"/>
      <c r="L27" s="310"/>
      <c r="M27" s="310"/>
      <c r="N27" s="310"/>
      <c r="O27" s="311"/>
      <c r="P27" s="309"/>
      <c r="Q27" s="310"/>
      <c r="R27" s="310"/>
      <c r="S27" s="310"/>
      <c r="T27" s="310"/>
      <c r="U27" s="311"/>
      <c r="V27" s="309"/>
      <c r="W27" s="310"/>
      <c r="X27" s="310"/>
      <c r="Y27" s="310"/>
      <c r="Z27" s="310"/>
      <c r="AA27" s="311"/>
      <c r="AB27" s="327"/>
      <c r="AC27" s="328"/>
      <c r="AD27" s="328"/>
      <c r="AE27" s="328"/>
      <c r="AF27" s="328"/>
      <c r="AG27" s="329"/>
      <c r="AH27" s="318"/>
      <c r="AI27" s="319"/>
      <c r="AJ27" s="319"/>
      <c r="AK27" s="319"/>
      <c r="AL27" s="319"/>
      <c r="AM27" s="320"/>
      <c r="AN27" s="67"/>
      <c r="AO27" s="370"/>
      <c r="AP27" s="371"/>
      <c r="AQ27" s="371"/>
      <c r="AR27" s="371"/>
      <c r="AS27" s="371"/>
      <c r="AT27" s="372"/>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25">
      <c r="A28" s="67"/>
      <c r="B28" s="347"/>
      <c r="C28" s="347"/>
      <c r="D28" s="348"/>
      <c r="E28" s="340"/>
      <c r="F28" s="341"/>
      <c r="G28" s="341"/>
      <c r="H28" s="341"/>
      <c r="I28" s="342"/>
      <c r="J28" s="309" t="str">
        <f ca="1">IF(AND('Mapa final'!$J$60="Media",'Mapa final'!$N$60="Leve"),CONCATENATE("R",'Mapa final'!$A$60),"")</f>
        <v/>
      </c>
      <c r="K28" s="310"/>
      <c r="L28" s="310" t="str">
        <f>IF(AND('Mapa final'!$J$66="Media",'Mapa final'!$N$66="Leve"),CONCATENATE("R",'Mapa final'!$A$66),"")</f>
        <v/>
      </c>
      <c r="M28" s="310"/>
      <c r="N28" s="310" t="str">
        <f>IF(AND('Mapa final'!$J$72="Media",'Mapa final'!$N$72="Leve"),CONCATENATE("R",'Mapa final'!$A$72),"")</f>
        <v/>
      </c>
      <c r="O28" s="311"/>
      <c r="P28" s="309" t="str">
        <f ca="1">IF(AND('Mapa final'!$J$60="Media",'Mapa final'!$N$60="Menor"),CONCATENATE("R",'Mapa final'!$A$60),"")</f>
        <v/>
      </c>
      <c r="Q28" s="310"/>
      <c r="R28" s="310" t="str">
        <f>IF(AND('Mapa final'!$J$66="Media",'Mapa final'!$N$66="Menor"),CONCATENATE("R",'Mapa final'!$A$66),"")</f>
        <v/>
      </c>
      <c r="S28" s="310"/>
      <c r="T28" s="310" t="str">
        <f>IF(AND('Mapa final'!$J$72="Media",'Mapa final'!$N$72="Menor"),CONCATENATE("R",'Mapa final'!$A$72),"")</f>
        <v/>
      </c>
      <c r="U28" s="311"/>
      <c r="V28" s="309" t="str">
        <f ca="1">IF(AND('Mapa final'!$J$60="Media",'Mapa final'!$N$60="Moderado"),CONCATENATE("R",'Mapa final'!$A$60),"")</f>
        <v/>
      </c>
      <c r="W28" s="310"/>
      <c r="X28" s="310" t="str">
        <f>IF(AND('Mapa final'!$J$66="Media",'Mapa final'!$N$66="Moderado"),CONCATENATE("R",'Mapa final'!$A$66),"")</f>
        <v/>
      </c>
      <c r="Y28" s="310"/>
      <c r="Z28" s="310" t="str">
        <f>IF(AND('Mapa final'!$J$72="Media",'Mapa final'!$N$72="Moderado"),CONCATENATE("R",'Mapa final'!$A$72),"")</f>
        <v/>
      </c>
      <c r="AA28" s="311"/>
      <c r="AB28" s="327" t="str">
        <f ca="1">IF(AND('Mapa final'!$J$60="Media",'Mapa final'!$N$60="Mayor"),CONCATENATE("R",'Mapa final'!$A$60),"")</f>
        <v/>
      </c>
      <c r="AC28" s="328"/>
      <c r="AD28" s="328" t="str">
        <f>IF(AND('Mapa final'!$J$66="Media",'Mapa final'!$N$66="Mayor"),CONCATENATE("R",'Mapa final'!$A$66),"")</f>
        <v/>
      </c>
      <c r="AE28" s="328"/>
      <c r="AF28" s="328" t="str">
        <f>IF(AND('Mapa final'!$J$72="Media",'Mapa final'!$N$72="Mayor"),CONCATENATE("R",'Mapa final'!$A$72),"")</f>
        <v/>
      </c>
      <c r="AG28" s="329"/>
      <c r="AH28" s="318" t="str">
        <f ca="1">IF(AND('Mapa final'!$J$60="Media",'Mapa final'!$N$60="Catastrófico"),CONCATENATE("R",'Mapa final'!$A$60),"")</f>
        <v/>
      </c>
      <c r="AI28" s="319"/>
      <c r="AJ28" s="319" t="str">
        <f>IF(AND('Mapa final'!$J$66="Media",'Mapa final'!$N$66="Catastrófico"),CONCATENATE("R",'Mapa final'!$A$66),"")</f>
        <v/>
      </c>
      <c r="AK28" s="319"/>
      <c r="AL28" s="319" t="str">
        <f>IF(AND('Mapa final'!$J$72="Media",'Mapa final'!$N$72="Catastrófico"),CONCATENATE("R",'Mapa final'!$A$72),"")</f>
        <v/>
      </c>
      <c r="AM28" s="320"/>
      <c r="AN28" s="67"/>
      <c r="AO28" s="370"/>
      <c r="AP28" s="371"/>
      <c r="AQ28" s="371"/>
      <c r="AR28" s="371"/>
      <c r="AS28" s="371"/>
      <c r="AT28" s="372"/>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75" thickBot="1" x14ac:dyDescent="0.3">
      <c r="A29" s="67"/>
      <c r="B29" s="347"/>
      <c r="C29" s="347"/>
      <c r="D29" s="348"/>
      <c r="E29" s="343"/>
      <c r="F29" s="344"/>
      <c r="G29" s="344"/>
      <c r="H29" s="344"/>
      <c r="I29" s="345"/>
      <c r="J29" s="309"/>
      <c r="K29" s="310"/>
      <c r="L29" s="310"/>
      <c r="M29" s="310"/>
      <c r="N29" s="310"/>
      <c r="O29" s="311"/>
      <c r="P29" s="312"/>
      <c r="Q29" s="313"/>
      <c r="R29" s="313"/>
      <c r="S29" s="313"/>
      <c r="T29" s="313"/>
      <c r="U29" s="314"/>
      <c r="V29" s="312"/>
      <c r="W29" s="313"/>
      <c r="X29" s="313"/>
      <c r="Y29" s="313"/>
      <c r="Z29" s="313"/>
      <c r="AA29" s="314"/>
      <c r="AB29" s="330"/>
      <c r="AC29" s="331"/>
      <c r="AD29" s="331"/>
      <c r="AE29" s="331"/>
      <c r="AF29" s="331"/>
      <c r="AG29" s="332"/>
      <c r="AH29" s="321"/>
      <c r="AI29" s="322"/>
      <c r="AJ29" s="322"/>
      <c r="AK29" s="322"/>
      <c r="AL29" s="322"/>
      <c r="AM29" s="323"/>
      <c r="AN29" s="67"/>
      <c r="AO29" s="373"/>
      <c r="AP29" s="374"/>
      <c r="AQ29" s="374"/>
      <c r="AR29" s="374"/>
      <c r="AS29" s="374"/>
      <c r="AT29" s="375"/>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25">
      <c r="A30" s="67"/>
      <c r="B30" s="347"/>
      <c r="C30" s="347"/>
      <c r="D30" s="348"/>
      <c r="E30" s="337" t="s">
        <v>108</v>
      </c>
      <c r="F30" s="338"/>
      <c r="G30" s="338"/>
      <c r="H30" s="338"/>
      <c r="I30" s="338"/>
      <c r="J30" s="306" t="str">
        <f ca="1">IF(AND('Mapa final'!$J$10="Baja",'Mapa final'!$N$10="Leve"),CONCATENATE("R",'Mapa final'!$A$10),"")</f>
        <v/>
      </c>
      <c r="K30" s="307"/>
      <c r="L30" s="307" t="str">
        <f ca="1">IF(AND('Mapa final'!$J$14="Baja",'Mapa final'!$N$14="Leve"),CONCATENATE("R",'Mapa final'!$A$14),"")</f>
        <v/>
      </c>
      <c r="M30" s="307"/>
      <c r="N30" s="307" t="str">
        <f ca="1">IF(AND('Mapa final'!$J$18="Baja",'Mapa final'!$N$18="Leve"),CONCATENATE("R",'Mapa final'!$A$18),"")</f>
        <v/>
      </c>
      <c r="O30" s="308"/>
      <c r="P30" s="316" t="str">
        <f ca="1">IF(AND('Mapa final'!$J$10="Baja",'Mapa final'!$N$10="Menor"),CONCATENATE("R",'Mapa final'!$A$10),"")</f>
        <v/>
      </c>
      <c r="Q30" s="316"/>
      <c r="R30" s="316" t="str">
        <f ca="1">IF(AND('Mapa final'!$J$14="Baja",'Mapa final'!$N$14="Menor"),CONCATENATE("R",'Mapa final'!$A$14),"")</f>
        <v/>
      </c>
      <c r="S30" s="316"/>
      <c r="T30" s="316" t="str">
        <f ca="1">IF(AND('Mapa final'!$J$18="Baja",'Mapa final'!$N$18="Menor"),CONCATENATE("R",'Mapa final'!$A$18),"")</f>
        <v/>
      </c>
      <c r="U30" s="317"/>
      <c r="V30" s="315" t="str">
        <f ca="1">IF(AND('Mapa final'!$J$10="Baja",'Mapa final'!$N$10="Moderado"),CONCATENATE("R",'Mapa final'!$A$10),"")</f>
        <v/>
      </c>
      <c r="W30" s="316"/>
      <c r="X30" s="316" t="str">
        <f ca="1">IF(AND('Mapa final'!$J$14="Baja",'Mapa final'!$N$14="Moderado"),CONCATENATE("R",'Mapa final'!$A$14),"")</f>
        <v/>
      </c>
      <c r="Y30" s="316"/>
      <c r="Z30" s="316" t="str">
        <f ca="1">IF(AND('Mapa final'!$J$18="Baja",'Mapa final'!$N$18="Moderado"),CONCATENATE("R",'Mapa final'!$A$18),"")</f>
        <v/>
      </c>
      <c r="AA30" s="317"/>
      <c r="AB30" s="333" t="str">
        <f ca="1">IF(AND('Mapa final'!$J$10="Baja",'Mapa final'!$N$10="Mayor"),CONCATENATE("R",'Mapa final'!$A$10),"")</f>
        <v/>
      </c>
      <c r="AC30" s="334"/>
      <c r="AD30" s="334" t="str">
        <f ca="1">IF(AND('Mapa final'!$J$14="Baja",'Mapa final'!$N$14="Mayor"),CONCATENATE("R",'Mapa final'!$A$14),"")</f>
        <v/>
      </c>
      <c r="AE30" s="334"/>
      <c r="AF30" s="334" t="str">
        <f ca="1">IF(AND('Mapa final'!$J$18="Baja",'Mapa final'!$N$18="Mayor"),CONCATENATE("R",'Mapa final'!$A$18),"")</f>
        <v/>
      </c>
      <c r="AG30" s="335"/>
      <c r="AH30" s="324" t="str">
        <f ca="1">IF(AND('Mapa final'!$J$10="Baja",'Mapa final'!$N$10="Catastrófico"),CONCATENATE("R",'Mapa final'!$A$10),"")</f>
        <v/>
      </c>
      <c r="AI30" s="325"/>
      <c r="AJ30" s="325" t="str">
        <f ca="1">IF(AND('Mapa final'!$J$14="Baja",'Mapa final'!$N$14="Catastrófico"),CONCATENATE("R",'Mapa final'!$A$14),"")</f>
        <v/>
      </c>
      <c r="AK30" s="325"/>
      <c r="AL30" s="325" t="str">
        <f ca="1">IF(AND('Mapa final'!$J$18="Baja",'Mapa final'!$N$18="Catastrófico"),CONCATENATE("R",'Mapa final'!$A$18),"")</f>
        <v/>
      </c>
      <c r="AM30" s="326"/>
      <c r="AN30" s="67"/>
      <c r="AO30" s="376" t="s">
        <v>80</v>
      </c>
      <c r="AP30" s="377"/>
      <c r="AQ30" s="377"/>
      <c r="AR30" s="377"/>
      <c r="AS30" s="377"/>
      <c r="AT30" s="378"/>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25">
      <c r="A31" s="67"/>
      <c r="B31" s="347"/>
      <c r="C31" s="347"/>
      <c r="D31" s="348"/>
      <c r="E31" s="340"/>
      <c r="F31" s="341"/>
      <c r="G31" s="341"/>
      <c r="H31" s="341"/>
      <c r="I31" s="341"/>
      <c r="J31" s="300"/>
      <c r="K31" s="301"/>
      <c r="L31" s="301"/>
      <c r="M31" s="301"/>
      <c r="N31" s="301"/>
      <c r="O31" s="302"/>
      <c r="P31" s="310"/>
      <c r="Q31" s="310"/>
      <c r="R31" s="310"/>
      <c r="S31" s="310"/>
      <c r="T31" s="310"/>
      <c r="U31" s="311"/>
      <c r="V31" s="309"/>
      <c r="W31" s="310"/>
      <c r="X31" s="310"/>
      <c r="Y31" s="310"/>
      <c r="Z31" s="310"/>
      <c r="AA31" s="311"/>
      <c r="AB31" s="327"/>
      <c r="AC31" s="328"/>
      <c r="AD31" s="328"/>
      <c r="AE31" s="328"/>
      <c r="AF31" s="328"/>
      <c r="AG31" s="329"/>
      <c r="AH31" s="318"/>
      <c r="AI31" s="319"/>
      <c r="AJ31" s="319"/>
      <c r="AK31" s="319"/>
      <c r="AL31" s="319"/>
      <c r="AM31" s="320"/>
      <c r="AN31" s="67"/>
      <c r="AO31" s="379"/>
      <c r="AP31" s="380"/>
      <c r="AQ31" s="380"/>
      <c r="AR31" s="380"/>
      <c r="AS31" s="380"/>
      <c r="AT31" s="381"/>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25">
      <c r="A32" s="67"/>
      <c r="B32" s="347"/>
      <c r="C32" s="347"/>
      <c r="D32" s="348"/>
      <c r="E32" s="340"/>
      <c r="F32" s="341"/>
      <c r="G32" s="341"/>
      <c r="H32" s="341"/>
      <c r="I32" s="341"/>
      <c r="J32" s="300" t="str">
        <f ca="1">IF(AND('Mapa final'!$J$24="Baja",'Mapa final'!$N$24="Leve"),CONCATENATE("R",'Mapa final'!$A$24),"")</f>
        <v/>
      </c>
      <c r="K32" s="301"/>
      <c r="L32" s="301" t="str">
        <f ca="1">IF(AND('Mapa final'!$J$30="Baja",'Mapa final'!$N$30="Leve"),CONCATENATE("R",'Mapa final'!$A$30),"")</f>
        <v/>
      </c>
      <c r="M32" s="301"/>
      <c r="N32" s="301" t="str">
        <f ca="1">IF(AND('Mapa final'!$J$36="Baja",'Mapa final'!$N$36="Leve"),CONCATENATE("R",'Mapa final'!$A$36),"")</f>
        <v/>
      </c>
      <c r="O32" s="302"/>
      <c r="P32" s="310" t="str">
        <f ca="1">IF(AND('Mapa final'!$J$24="Baja",'Mapa final'!$N$24="Menor"),CONCATENATE("R",'Mapa final'!$A$24),"")</f>
        <v/>
      </c>
      <c r="Q32" s="310"/>
      <c r="R32" s="310" t="str">
        <f ca="1">IF(AND('Mapa final'!$J$30="Baja",'Mapa final'!$N$30="Menor"),CONCATENATE("R",'Mapa final'!$A$30),"")</f>
        <v/>
      </c>
      <c r="S32" s="310"/>
      <c r="T32" s="310" t="str">
        <f ca="1">IF(AND('Mapa final'!$J$36="Baja",'Mapa final'!$N$36="Menor"),CONCATENATE("R",'Mapa final'!$A$36),"")</f>
        <v/>
      </c>
      <c r="U32" s="311"/>
      <c r="V32" s="309" t="str">
        <f ca="1">IF(AND('Mapa final'!$J$24="Baja",'Mapa final'!$N$24="Moderado"),CONCATENATE("R",'Mapa final'!$A$24),"")</f>
        <v/>
      </c>
      <c r="W32" s="310"/>
      <c r="X32" s="310" t="str">
        <f ca="1">IF(AND('Mapa final'!$J$30="Baja",'Mapa final'!$N$30="Moderado"),CONCATENATE("R",'Mapa final'!$A$30),"")</f>
        <v/>
      </c>
      <c r="Y32" s="310"/>
      <c r="Z32" s="310" t="str">
        <f ca="1">IF(AND('Mapa final'!$J$36="Baja",'Mapa final'!$N$36="Moderado"),CONCATENATE("R",'Mapa final'!$A$36),"")</f>
        <v/>
      </c>
      <c r="AA32" s="311"/>
      <c r="AB32" s="327" t="str">
        <f ca="1">IF(AND('Mapa final'!$J$24="Baja",'Mapa final'!$N$24="Mayor"),CONCATENATE("R",'Mapa final'!$A$24),"")</f>
        <v/>
      </c>
      <c r="AC32" s="328"/>
      <c r="AD32" s="328" t="str">
        <f ca="1">IF(AND('Mapa final'!$J$30="Baja",'Mapa final'!$N$30="Mayor"),CONCATENATE("R",'Mapa final'!$A$30),"")</f>
        <v/>
      </c>
      <c r="AE32" s="328"/>
      <c r="AF32" s="328" t="str">
        <f ca="1">IF(AND('Mapa final'!$J$36="Baja",'Mapa final'!$N$36="Mayor"),CONCATENATE("R",'Mapa final'!$A$36),"")</f>
        <v/>
      </c>
      <c r="AG32" s="329"/>
      <c r="AH32" s="318" t="str">
        <f ca="1">IF(AND('Mapa final'!$J$24="Baja",'Mapa final'!$N$24="Catastrófico"),CONCATENATE("R",'Mapa final'!$A$24),"")</f>
        <v/>
      </c>
      <c r="AI32" s="319"/>
      <c r="AJ32" s="319" t="str">
        <f ca="1">IF(AND('Mapa final'!$J$30="Baja",'Mapa final'!$N$30="Catastrófico"),CONCATENATE("R",'Mapa final'!$A$30),"")</f>
        <v/>
      </c>
      <c r="AK32" s="319"/>
      <c r="AL32" s="319" t="str">
        <f ca="1">IF(AND('Mapa final'!$J$36="Baja",'Mapa final'!$N$36="Catastrófico"),CONCATENATE("R",'Mapa final'!$A$36),"")</f>
        <v/>
      </c>
      <c r="AM32" s="320"/>
      <c r="AN32" s="67"/>
      <c r="AO32" s="379"/>
      <c r="AP32" s="380"/>
      <c r="AQ32" s="380"/>
      <c r="AR32" s="380"/>
      <c r="AS32" s="380"/>
      <c r="AT32" s="381"/>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25">
      <c r="A33" s="67"/>
      <c r="B33" s="347"/>
      <c r="C33" s="347"/>
      <c r="D33" s="348"/>
      <c r="E33" s="340"/>
      <c r="F33" s="341"/>
      <c r="G33" s="341"/>
      <c r="H33" s="341"/>
      <c r="I33" s="341"/>
      <c r="J33" s="300"/>
      <c r="K33" s="301"/>
      <c r="L33" s="301"/>
      <c r="M33" s="301"/>
      <c r="N33" s="301"/>
      <c r="O33" s="302"/>
      <c r="P33" s="310"/>
      <c r="Q33" s="310"/>
      <c r="R33" s="310"/>
      <c r="S33" s="310"/>
      <c r="T33" s="310"/>
      <c r="U33" s="311"/>
      <c r="V33" s="309"/>
      <c r="W33" s="310"/>
      <c r="X33" s="310"/>
      <c r="Y33" s="310"/>
      <c r="Z33" s="310"/>
      <c r="AA33" s="311"/>
      <c r="AB33" s="327"/>
      <c r="AC33" s="328"/>
      <c r="AD33" s="328"/>
      <c r="AE33" s="328"/>
      <c r="AF33" s="328"/>
      <c r="AG33" s="329"/>
      <c r="AH33" s="318"/>
      <c r="AI33" s="319"/>
      <c r="AJ33" s="319"/>
      <c r="AK33" s="319"/>
      <c r="AL33" s="319"/>
      <c r="AM33" s="320"/>
      <c r="AN33" s="67"/>
      <c r="AO33" s="379"/>
      <c r="AP33" s="380"/>
      <c r="AQ33" s="380"/>
      <c r="AR33" s="380"/>
      <c r="AS33" s="380"/>
      <c r="AT33" s="381"/>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25">
      <c r="A34" s="67"/>
      <c r="B34" s="347"/>
      <c r="C34" s="347"/>
      <c r="D34" s="348"/>
      <c r="E34" s="340"/>
      <c r="F34" s="341"/>
      <c r="G34" s="341"/>
      <c r="H34" s="341"/>
      <c r="I34" s="341"/>
      <c r="J34" s="300" t="str">
        <f ca="1">IF(AND('Mapa final'!$J$42="Baja",'Mapa final'!$N$42="Leve"),CONCATENATE("R",'Mapa final'!$A$42),"")</f>
        <v/>
      </c>
      <c r="K34" s="301"/>
      <c r="L34" s="301" t="str">
        <f ca="1">IF(AND('Mapa final'!$J$48="Baja",'Mapa final'!$N$48="Leve"),CONCATENATE("R",'Mapa final'!$A$48),"")</f>
        <v/>
      </c>
      <c r="M34" s="301"/>
      <c r="N34" s="301" t="str">
        <f ca="1">IF(AND('Mapa final'!$J$54="Baja",'Mapa final'!$N$54="Leve"),CONCATENATE("R",'Mapa final'!$A$54),"")</f>
        <v/>
      </c>
      <c r="O34" s="302"/>
      <c r="P34" s="310" t="str">
        <f ca="1">IF(AND('Mapa final'!$J$42="Baja",'Mapa final'!$N$42="Menor"),CONCATENATE("R",'Mapa final'!$A$42),"")</f>
        <v/>
      </c>
      <c r="Q34" s="310"/>
      <c r="R34" s="310" t="str">
        <f ca="1">IF(AND('Mapa final'!$J$48="Baja",'Mapa final'!$N$48="Menor"),CONCATENATE("R",'Mapa final'!$A$48),"")</f>
        <v/>
      </c>
      <c r="S34" s="310"/>
      <c r="T34" s="310" t="str">
        <f ca="1">IF(AND('Mapa final'!$J$54="Baja",'Mapa final'!$N$54="Menor"),CONCATENATE("R",'Mapa final'!$A$54),"")</f>
        <v/>
      </c>
      <c r="U34" s="311"/>
      <c r="V34" s="309" t="str">
        <f ca="1">IF(AND('Mapa final'!$J$42="Baja",'Mapa final'!$N$42="Moderado"),CONCATENATE("R",'Mapa final'!$A$42),"")</f>
        <v/>
      </c>
      <c r="W34" s="310"/>
      <c r="X34" s="310" t="str">
        <f ca="1">IF(AND('Mapa final'!$J$48="Baja",'Mapa final'!$N$48="Moderado"),CONCATENATE("R",'Mapa final'!$A$48),"")</f>
        <v/>
      </c>
      <c r="Y34" s="310"/>
      <c r="Z34" s="310" t="str">
        <f ca="1">IF(AND('Mapa final'!$J$54="Baja",'Mapa final'!$N$54="Moderado"),CONCATENATE("R",'Mapa final'!$A$54),"")</f>
        <v/>
      </c>
      <c r="AA34" s="311"/>
      <c r="AB34" s="327" t="str">
        <f ca="1">IF(AND('Mapa final'!$J$42="Baja",'Mapa final'!$N$42="Mayor"),CONCATENATE("R",'Mapa final'!$A$42),"")</f>
        <v/>
      </c>
      <c r="AC34" s="328"/>
      <c r="AD34" s="328" t="str">
        <f ca="1">IF(AND('Mapa final'!$J$48="Baja",'Mapa final'!$N$48="Mayor"),CONCATENATE("R",'Mapa final'!$A$48),"")</f>
        <v/>
      </c>
      <c r="AE34" s="328"/>
      <c r="AF34" s="328" t="str">
        <f ca="1">IF(AND('Mapa final'!$J$54="Baja",'Mapa final'!$N$54="Mayor"),CONCATENATE("R",'Mapa final'!$A$54),"")</f>
        <v/>
      </c>
      <c r="AG34" s="329"/>
      <c r="AH34" s="318" t="str">
        <f ca="1">IF(AND('Mapa final'!$J$42="Baja",'Mapa final'!$N$42="Catastrófico"),CONCATENATE("R",'Mapa final'!$A$42),"")</f>
        <v/>
      </c>
      <c r="AI34" s="319"/>
      <c r="AJ34" s="319" t="str">
        <f ca="1">IF(AND('Mapa final'!$J$48="Baja",'Mapa final'!$N$48="Catastrófico"),CONCATENATE("R",'Mapa final'!$A$48),"")</f>
        <v/>
      </c>
      <c r="AK34" s="319"/>
      <c r="AL34" s="319" t="str">
        <f ca="1">IF(AND('Mapa final'!$J$54="Baja",'Mapa final'!$N$54="Catastrófico"),CONCATENATE("R",'Mapa final'!$A$54),"")</f>
        <v/>
      </c>
      <c r="AM34" s="320"/>
      <c r="AN34" s="67"/>
      <c r="AO34" s="379"/>
      <c r="AP34" s="380"/>
      <c r="AQ34" s="380"/>
      <c r="AR34" s="380"/>
      <c r="AS34" s="380"/>
      <c r="AT34" s="381"/>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25">
      <c r="A35" s="67"/>
      <c r="B35" s="347"/>
      <c r="C35" s="347"/>
      <c r="D35" s="348"/>
      <c r="E35" s="340"/>
      <c r="F35" s="341"/>
      <c r="G35" s="341"/>
      <c r="H35" s="341"/>
      <c r="I35" s="341"/>
      <c r="J35" s="300"/>
      <c r="K35" s="301"/>
      <c r="L35" s="301"/>
      <c r="M35" s="301"/>
      <c r="N35" s="301"/>
      <c r="O35" s="302"/>
      <c r="P35" s="310"/>
      <c r="Q35" s="310"/>
      <c r="R35" s="310"/>
      <c r="S35" s="310"/>
      <c r="T35" s="310"/>
      <c r="U35" s="311"/>
      <c r="V35" s="309"/>
      <c r="W35" s="310"/>
      <c r="X35" s="310"/>
      <c r="Y35" s="310"/>
      <c r="Z35" s="310"/>
      <c r="AA35" s="311"/>
      <c r="AB35" s="327"/>
      <c r="AC35" s="328"/>
      <c r="AD35" s="328"/>
      <c r="AE35" s="328"/>
      <c r="AF35" s="328"/>
      <c r="AG35" s="329"/>
      <c r="AH35" s="318"/>
      <c r="AI35" s="319"/>
      <c r="AJ35" s="319"/>
      <c r="AK35" s="319"/>
      <c r="AL35" s="319"/>
      <c r="AM35" s="320"/>
      <c r="AN35" s="67"/>
      <c r="AO35" s="379"/>
      <c r="AP35" s="380"/>
      <c r="AQ35" s="380"/>
      <c r="AR35" s="380"/>
      <c r="AS35" s="380"/>
      <c r="AT35" s="381"/>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25">
      <c r="A36" s="67"/>
      <c r="B36" s="347"/>
      <c r="C36" s="347"/>
      <c r="D36" s="348"/>
      <c r="E36" s="340"/>
      <c r="F36" s="341"/>
      <c r="G36" s="341"/>
      <c r="H36" s="341"/>
      <c r="I36" s="341"/>
      <c r="J36" s="300" t="str">
        <f ca="1">IF(AND('Mapa final'!$J$60="Baja",'Mapa final'!$N$60="Leve"),CONCATENATE("R",'Mapa final'!$A$60),"")</f>
        <v/>
      </c>
      <c r="K36" s="301"/>
      <c r="L36" s="301" t="str">
        <f>IF(AND('Mapa final'!$J$66="Baja",'Mapa final'!$N$66="Leve"),CONCATENATE("R",'Mapa final'!$A$66),"")</f>
        <v/>
      </c>
      <c r="M36" s="301"/>
      <c r="N36" s="301" t="str">
        <f>IF(AND('Mapa final'!$J$72="Baja",'Mapa final'!$N$72="Leve"),CONCATENATE("R",'Mapa final'!$A$72),"")</f>
        <v/>
      </c>
      <c r="O36" s="302"/>
      <c r="P36" s="310" t="str">
        <f ca="1">IF(AND('Mapa final'!$J$60="Baja",'Mapa final'!$N$60="Menor"),CONCATENATE("R",'Mapa final'!$A$60),"")</f>
        <v/>
      </c>
      <c r="Q36" s="310"/>
      <c r="R36" s="310" t="str">
        <f>IF(AND('Mapa final'!$J$66="Baja",'Mapa final'!$N$66="Menor"),CONCATENATE("R",'Mapa final'!$A$66),"")</f>
        <v/>
      </c>
      <c r="S36" s="310"/>
      <c r="T36" s="310" t="str">
        <f>IF(AND('Mapa final'!$J$72="Baja",'Mapa final'!$N$72="Menor"),CONCATENATE("R",'Mapa final'!$A$72),"")</f>
        <v/>
      </c>
      <c r="U36" s="311"/>
      <c r="V36" s="309" t="str">
        <f ca="1">IF(AND('Mapa final'!$J$60="Baja",'Mapa final'!$N$60="Moderado"),CONCATENATE("R",'Mapa final'!$A$60),"")</f>
        <v/>
      </c>
      <c r="W36" s="310"/>
      <c r="X36" s="310" t="str">
        <f>IF(AND('Mapa final'!$J$66="Baja",'Mapa final'!$N$66="Moderado"),CONCATENATE("R",'Mapa final'!$A$66),"")</f>
        <v/>
      </c>
      <c r="Y36" s="310"/>
      <c r="Z36" s="310" t="str">
        <f>IF(AND('Mapa final'!$J$72="Baja",'Mapa final'!$N$72="Moderado"),CONCATENATE("R",'Mapa final'!$A$72),"")</f>
        <v/>
      </c>
      <c r="AA36" s="311"/>
      <c r="AB36" s="327" t="str">
        <f ca="1">IF(AND('Mapa final'!$J$60="Baja",'Mapa final'!$N$60="Mayor"),CONCATENATE("R",'Mapa final'!$A$60),"")</f>
        <v/>
      </c>
      <c r="AC36" s="328"/>
      <c r="AD36" s="328" t="str">
        <f>IF(AND('Mapa final'!$J$66="Baja",'Mapa final'!$N$66="Mayor"),CONCATENATE("R",'Mapa final'!$A$66),"")</f>
        <v/>
      </c>
      <c r="AE36" s="328"/>
      <c r="AF36" s="328" t="str">
        <f>IF(AND('Mapa final'!$J$72="Baja",'Mapa final'!$N$72="Mayor"),CONCATENATE("R",'Mapa final'!$A$72),"")</f>
        <v/>
      </c>
      <c r="AG36" s="329"/>
      <c r="AH36" s="318" t="str">
        <f ca="1">IF(AND('Mapa final'!$J$60="Baja",'Mapa final'!$N$60="Catastrófico"),CONCATENATE("R",'Mapa final'!$A$60),"")</f>
        <v/>
      </c>
      <c r="AI36" s="319"/>
      <c r="AJ36" s="319" t="str">
        <f>IF(AND('Mapa final'!$J$66="Baja",'Mapa final'!$N$66="Catastrófico"),CONCATENATE("R",'Mapa final'!$A$66),"")</f>
        <v/>
      </c>
      <c r="AK36" s="319"/>
      <c r="AL36" s="319" t="str">
        <f>IF(AND('Mapa final'!$J$72="Baja",'Mapa final'!$N$72="Catastrófico"),CONCATENATE("R",'Mapa final'!$A$72),"")</f>
        <v/>
      </c>
      <c r="AM36" s="320"/>
      <c r="AN36" s="67"/>
      <c r="AO36" s="379"/>
      <c r="AP36" s="380"/>
      <c r="AQ36" s="380"/>
      <c r="AR36" s="380"/>
      <c r="AS36" s="380"/>
      <c r="AT36" s="381"/>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75" thickBot="1" x14ac:dyDescent="0.3">
      <c r="A37" s="67"/>
      <c r="B37" s="347"/>
      <c r="C37" s="347"/>
      <c r="D37" s="348"/>
      <c r="E37" s="343"/>
      <c r="F37" s="344"/>
      <c r="G37" s="344"/>
      <c r="H37" s="344"/>
      <c r="I37" s="344"/>
      <c r="J37" s="303"/>
      <c r="K37" s="304"/>
      <c r="L37" s="304"/>
      <c r="M37" s="304"/>
      <c r="N37" s="304"/>
      <c r="O37" s="305"/>
      <c r="P37" s="313"/>
      <c r="Q37" s="313"/>
      <c r="R37" s="313"/>
      <c r="S37" s="313"/>
      <c r="T37" s="313"/>
      <c r="U37" s="314"/>
      <c r="V37" s="312"/>
      <c r="W37" s="313"/>
      <c r="X37" s="313"/>
      <c r="Y37" s="313"/>
      <c r="Z37" s="313"/>
      <c r="AA37" s="314"/>
      <c r="AB37" s="330"/>
      <c r="AC37" s="331"/>
      <c r="AD37" s="331"/>
      <c r="AE37" s="331"/>
      <c r="AF37" s="331"/>
      <c r="AG37" s="332"/>
      <c r="AH37" s="321"/>
      <c r="AI37" s="322"/>
      <c r="AJ37" s="322"/>
      <c r="AK37" s="322"/>
      <c r="AL37" s="322"/>
      <c r="AM37" s="323"/>
      <c r="AN37" s="67"/>
      <c r="AO37" s="382"/>
      <c r="AP37" s="383"/>
      <c r="AQ37" s="383"/>
      <c r="AR37" s="383"/>
      <c r="AS37" s="383"/>
      <c r="AT37" s="384"/>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25">
      <c r="A38" s="67"/>
      <c r="B38" s="347"/>
      <c r="C38" s="347"/>
      <c r="D38" s="348"/>
      <c r="E38" s="337" t="s">
        <v>107</v>
      </c>
      <c r="F38" s="338"/>
      <c r="G38" s="338"/>
      <c r="H38" s="338"/>
      <c r="I38" s="339"/>
      <c r="J38" s="306" t="str">
        <f ca="1">IF(AND('Mapa final'!$J$10="Muy Baja",'Mapa final'!$N$10="Leve"),CONCATENATE("R",'Mapa final'!$A$10),"")</f>
        <v/>
      </c>
      <c r="K38" s="307"/>
      <c r="L38" s="307" t="str">
        <f ca="1">IF(AND('Mapa final'!$J$14="Muy Baja",'Mapa final'!$N$14="Leve"),CONCATENATE("R",'Mapa final'!$A$14),"")</f>
        <v/>
      </c>
      <c r="M38" s="307"/>
      <c r="N38" s="307" t="str">
        <f ca="1">IF(AND('Mapa final'!$J$18="Muy Baja",'Mapa final'!$N$18="Leve"),CONCATENATE("R",'Mapa final'!$A$18),"")</f>
        <v/>
      </c>
      <c r="O38" s="308"/>
      <c r="P38" s="306" t="str">
        <f ca="1">IF(AND('Mapa final'!$J$10="Muy Baja",'Mapa final'!$N$10="Menor"),CONCATENATE("R",'Mapa final'!$A$10),"")</f>
        <v/>
      </c>
      <c r="Q38" s="307"/>
      <c r="R38" s="307" t="str">
        <f ca="1">IF(AND('Mapa final'!$J$14="Muy Baja",'Mapa final'!$N$14="Menor"),CONCATENATE("R",'Mapa final'!$A$14),"")</f>
        <v/>
      </c>
      <c r="S38" s="307"/>
      <c r="T38" s="307" t="str">
        <f ca="1">IF(AND('Mapa final'!$J$18="Muy Baja",'Mapa final'!$N$18="Menor"),CONCATENATE("R",'Mapa final'!$A$18),"")</f>
        <v/>
      </c>
      <c r="U38" s="308"/>
      <c r="V38" s="315" t="str">
        <f ca="1">IF(AND('Mapa final'!$J$10="Muy Baja",'Mapa final'!$N$10="Moderado"),CONCATENATE("R",'Mapa final'!$A$10),"")</f>
        <v/>
      </c>
      <c r="W38" s="316"/>
      <c r="X38" s="316" t="str">
        <f ca="1">IF(AND('Mapa final'!$J$14="Muy Baja",'Mapa final'!$N$14="Moderado"),CONCATENATE("R",'Mapa final'!$A$14),"")</f>
        <v/>
      </c>
      <c r="Y38" s="316"/>
      <c r="Z38" s="316" t="str">
        <f ca="1">IF(AND('Mapa final'!$J$18="Muy Baja",'Mapa final'!$N$18="Moderado"),CONCATENATE("R",'Mapa final'!$A$18),"")</f>
        <v/>
      </c>
      <c r="AA38" s="317"/>
      <c r="AB38" s="333" t="str">
        <f ca="1">IF(AND('Mapa final'!$J$10="Muy Baja",'Mapa final'!$N$10="Mayor"),CONCATENATE("R",'Mapa final'!$A$10),"")</f>
        <v/>
      </c>
      <c r="AC38" s="334"/>
      <c r="AD38" s="334" t="str">
        <f ca="1">IF(AND('Mapa final'!$J$14="Muy Baja",'Mapa final'!$N$14="Mayor"),CONCATENATE("R",'Mapa final'!$A$14),"")</f>
        <v/>
      </c>
      <c r="AE38" s="334"/>
      <c r="AF38" s="334" t="str">
        <f ca="1">IF(AND('Mapa final'!$J$18="Muy Baja",'Mapa final'!$N$18="Mayor"),CONCATENATE("R",'Mapa final'!$A$18),"")</f>
        <v/>
      </c>
      <c r="AG38" s="335"/>
      <c r="AH38" s="324" t="str">
        <f ca="1">IF(AND('Mapa final'!$J$10="Muy Baja",'Mapa final'!$N$10="Catastrófico"),CONCATENATE("R",'Mapa final'!$A$10),"")</f>
        <v/>
      </c>
      <c r="AI38" s="325"/>
      <c r="AJ38" s="325" t="str">
        <f ca="1">IF(AND('Mapa final'!$J$14="Muy Baja",'Mapa final'!$N$14="Catastrófico"),CONCATENATE("R",'Mapa final'!$A$14),"")</f>
        <v/>
      </c>
      <c r="AK38" s="325"/>
      <c r="AL38" s="325" t="str">
        <f ca="1">IF(AND('Mapa final'!$J$18="Muy Baja",'Mapa final'!$N$18="Catastrófico"),CONCATENATE("R",'Mapa final'!$A$18),"")</f>
        <v/>
      </c>
      <c r="AM38" s="326"/>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25">
      <c r="A39" s="67"/>
      <c r="B39" s="347"/>
      <c r="C39" s="347"/>
      <c r="D39" s="348"/>
      <c r="E39" s="340"/>
      <c r="F39" s="341"/>
      <c r="G39" s="341"/>
      <c r="H39" s="341"/>
      <c r="I39" s="342"/>
      <c r="J39" s="300"/>
      <c r="K39" s="301"/>
      <c r="L39" s="301"/>
      <c r="M39" s="301"/>
      <c r="N39" s="301"/>
      <c r="O39" s="302"/>
      <c r="P39" s="300"/>
      <c r="Q39" s="301"/>
      <c r="R39" s="301"/>
      <c r="S39" s="301"/>
      <c r="T39" s="301"/>
      <c r="U39" s="302"/>
      <c r="V39" s="309"/>
      <c r="W39" s="310"/>
      <c r="X39" s="310"/>
      <c r="Y39" s="310"/>
      <c r="Z39" s="310"/>
      <c r="AA39" s="311"/>
      <c r="AB39" s="327"/>
      <c r="AC39" s="328"/>
      <c r="AD39" s="328"/>
      <c r="AE39" s="328"/>
      <c r="AF39" s="328"/>
      <c r="AG39" s="329"/>
      <c r="AH39" s="318"/>
      <c r="AI39" s="319"/>
      <c r="AJ39" s="319"/>
      <c r="AK39" s="319"/>
      <c r="AL39" s="319"/>
      <c r="AM39" s="320"/>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25">
      <c r="A40" s="67"/>
      <c r="B40" s="347"/>
      <c r="C40" s="347"/>
      <c r="D40" s="348"/>
      <c r="E40" s="340"/>
      <c r="F40" s="341"/>
      <c r="G40" s="341"/>
      <c r="H40" s="341"/>
      <c r="I40" s="342"/>
      <c r="J40" s="300" t="str">
        <f ca="1">IF(AND('Mapa final'!$J$24="Muy Baja",'Mapa final'!$N$24="Leve"),CONCATENATE("R",'Mapa final'!$A$24),"")</f>
        <v/>
      </c>
      <c r="K40" s="301"/>
      <c r="L40" s="301" t="str">
        <f ca="1">IF(AND('Mapa final'!$J$30="Muy Baja",'Mapa final'!$N$30="Leve"),CONCATENATE("R",'Mapa final'!$A$30),"")</f>
        <v/>
      </c>
      <c r="M40" s="301"/>
      <c r="N40" s="301" t="str">
        <f ca="1">IF(AND('Mapa final'!$J$36="Muy Baja",'Mapa final'!$N$36="Leve"),CONCATENATE("R",'Mapa final'!$A$36),"")</f>
        <v/>
      </c>
      <c r="O40" s="302"/>
      <c r="P40" s="300" t="str">
        <f ca="1">IF(AND('Mapa final'!$J$24="Muy Baja",'Mapa final'!$N$24="Menor"),CONCATENATE("R",'Mapa final'!$A$24),"")</f>
        <v/>
      </c>
      <c r="Q40" s="301"/>
      <c r="R40" s="301" t="str">
        <f ca="1">IF(AND('Mapa final'!$J$30="Muy Baja",'Mapa final'!$N$30="Menor"),CONCATENATE("R",'Mapa final'!$A$30),"")</f>
        <v/>
      </c>
      <c r="S40" s="301"/>
      <c r="T40" s="301" t="str">
        <f ca="1">IF(AND('Mapa final'!$J$36="Muy Baja",'Mapa final'!$N$36="Menor"),CONCATENATE("R",'Mapa final'!$A$36),"")</f>
        <v/>
      </c>
      <c r="U40" s="302"/>
      <c r="V40" s="309" t="str">
        <f ca="1">IF(AND('Mapa final'!$J$24="Muy Baja",'Mapa final'!$N$24="Moderado"),CONCATENATE("R",'Mapa final'!$A$24),"")</f>
        <v/>
      </c>
      <c r="W40" s="310"/>
      <c r="X40" s="310" t="str">
        <f ca="1">IF(AND('Mapa final'!$J$30="Muy Baja",'Mapa final'!$N$30="Moderado"),CONCATENATE("R",'Mapa final'!$A$30),"")</f>
        <v/>
      </c>
      <c r="Y40" s="310"/>
      <c r="Z40" s="310" t="str">
        <f ca="1">IF(AND('Mapa final'!$J$36="Muy Baja",'Mapa final'!$N$36="Moderado"),CONCATENATE("R",'Mapa final'!$A$36),"")</f>
        <v/>
      </c>
      <c r="AA40" s="311"/>
      <c r="AB40" s="327" t="str">
        <f ca="1">IF(AND('Mapa final'!$J$24="Muy Baja",'Mapa final'!$N$24="Mayor"),CONCATENATE("R",'Mapa final'!$A$24),"")</f>
        <v/>
      </c>
      <c r="AC40" s="328"/>
      <c r="AD40" s="328" t="str">
        <f ca="1">IF(AND('Mapa final'!$J$30="Muy Baja",'Mapa final'!$N$30="Mayor"),CONCATENATE("R",'Mapa final'!$A$30),"")</f>
        <v/>
      </c>
      <c r="AE40" s="328"/>
      <c r="AF40" s="328" t="str">
        <f ca="1">IF(AND('Mapa final'!$J$36="Muy Baja",'Mapa final'!$N$36="Mayor"),CONCATENATE("R",'Mapa final'!$A$36),"")</f>
        <v/>
      </c>
      <c r="AG40" s="329"/>
      <c r="AH40" s="318" t="str">
        <f ca="1">IF(AND('Mapa final'!$J$24="Muy Baja",'Mapa final'!$N$24="Catastrófico"),CONCATENATE("R",'Mapa final'!$A$24),"")</f>
        <v/>
      </c>
      <c r="AI40" s="319"/>
      <c r="AJ40" s="319" t="str">
        <f ca="1">IF(AND('Mapa final'!$J$30="Muy Baja",'Mapa final'!$N$30="Catastrófico"),CONCATENATE("R",'Mapa final'!$A$30),"")</f>
        <v/>
      </c>
      <c r="AK40" s="319"/>
      <c r="AL40" s="319" t="str">
        <f ca="1">IF(AND('Mapa final'!$J$36="Muy Baja",'Mapa final'!$N$36="Catastrófico"),CONCATENATE("R",'Mapa final'!$A$36),"")</f>
        <v/>
      </c>
      <c r="AM40" s="320"/>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25">
      <c r="A41" s="67"/>
      <c r="B41" s="347"/>
      <c r="C41" s="347"/>
      <c r="D41" s="348"/>
      <c r="E41" s="340"/>
      <c r="F41" s="341"/>
      <c r="G41" s="341"/>
      <c r="H41" s="341"/>
      <c r="I41" s="342"/>
      <c r="J41" s="300"/>
      <c r="K41" s="301"/>
      <c r="L41" s="301"/>
      <c r="M41" s="301"/>
      <c r="N41" s="301"/>
      <c r="O41" s="302"/>
      <c r="P41" s="300"/>
      <c r="Q41" s="301"/>
      <c r="R41" s="301"/>
      <c r="S41" s="301"/>
      <c r="T41" s="301"/>
      <c r="U41" s="302"/>
      <c r="V41" s="309"/>
      <c r="W41" s="310"/>
      <c r="X41" s="310"/>
      <c r="Y41" s="310"/>
      <c r="Z41" s="310"/>
      <c r="AA41" s="311"/>
      <c r="AB41" s="327"/>
      <c r="AC41" s="328"/>
      <c r="AD41" s="328"/>
      <c r="AE41" s="328"/>
      <c r="AF41" s="328"/>
      <c r="AG41" s="329"/>
      <c r="AH41" s="318"/>
      <c r="AI41" s="319"/>
      <c r="AJ41" s="319"/>
      <c r="AK41" s="319"/>
      <c r="AL41" s="319"/>
      <c r="AM41" s="320"/>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25">
      <c r="A42" s="67"/>
      <c r="B42" s="347"/>
      <c r="C42" s="347"/>
      <c r="D42" s="348"/>
      <c r="E42" s="340"/>
      <c r="F42" s="341"/>
      <c r="G42" s="341"/>
      <c r="H42" s="341"/>
      <c r="I42" s="342"/>
      <c r="J42" s="300" t="str">
        <f ca="1">IF(AND('Mapa final'!$J$42="Muy Baja",'Mapa final'!$N$42="Leve"),CONCATENATE("R",'Mapa final'!$A$42),"")</f>
        <v/>
      </c>
      <c r="K42" s="301"/>
      <c r="L42" s="301" t="str">
        <f ca="1">IF(AND('Mapa final'!$J$48="Muy Baja",'Mapa final'!$N$48="Leve"),CONCATENATE("R",'Mapa final'!$A$48),"")</f>
        <v/>
      </c>
      <c r="M42" s="301"/>
      <c r="N42" s="301" t="str">
        <f ca="1">IF(AND('Mapa final'!$J$54="Muy Baja",'Mapa final'!$N$54="Leve"),CONCATENATE("R",'Mapa final'!$A$54),"")</f>
        <v/>
      </c>
      <c r="O42" s="302"/>
      <c r="P42" s="300" t="str">
        <f ca="1">IF(AND('Mapa final'!$J$42="Muy Baja",'Mapa final'!$N$42="Menor"),CONCATENATE("R",'Mapa final'!$A$42),"")</f>
        <v/>
      </c>
      <c r="Q42" s="301"/>
      <c r="R42" s="301" t="str">
        <f ca="1">IF(AND('Mapa final'!$J$48="Muy Baja",'Mapa final'!$N$48="Menor"),CONCATENATE("R",'Mapa final'!$A$48),"")</f>
        <v/>
      </c>
      <c r="S42" s="301"/>
      <c r="T42" s="301" t="str">
        <f ca="1">IF(AND('Mapa final'!$J$54="Muy Baja",'Mapa final'!$N$54="Menor"),CONCATENATE("R",'Mapa final'!$A$54),"")</f>
        <v/>
      </c>
      <c r="U42" s="302"/>
      <c r="V42" s="309" t="str">
        <f ca="1">IF(AND('Mapa final'!$J$42="Muy Baja",'Mapa final'!$N$42="Moderado"),CONCATENATE("R",'Mapa final'!$A$42),"")</f>
        <v/>
      </c>
      <c r="W42" s="310"/>
      <c r="X42" s="310" t="str">
        <f ca="1">IF(AND('Mapa final'!$J$48="Muy Baja",'Mapa final'!$N$48="Moderado"),CONCATENATE("R",'Mapa final'!$A$48),"")</f>
        <v/>
      </c>
      <c r="Y42" s="310"/>
      <c r="Z42" s="310" t="str">
        <f ca="1">IF(AND('Mapa final'!$J$54="Muy Baja",'Mapa final'!$N$54="Moderado"),CONCATENATE("R",'Mapa final'!$A$54),"")</f>
        <v/>
      </c>
      <c r="AA42" s="311"/>
      <c r="AB42" s="327" t="str">
        <f ca="1">IF(AND('Mapa final'!$J$42="Muy Baja",'Mapa final'!$N$42="Mayor"),CONCATENATE("R",'Mapa final'!$A$42),"")</f>
        <v/>
      </c>
      <c r="AC42" s="328"/>
      <c r="AD42" s="328" t="str">
        <f ca="1">IF(AND('Mapa final'!$J$48="Muy Baja",'Mapa final'!$N$48="Mayor"),CONCATENATE("R",'Mapa final'!$A$48),"")</f>
        <v/>
      </c>
      <c r="AE42" s="328"/>
      <c r="AF42" s="328" t="str">
        <f ca="1">IF(AND('Mapa final'!$J$54="Muy Baja",'Mapa final'!$N$54="Mayor"),CONCATENATE("R",'Mapa final'!$A$54),"")</f>
        <v/>
      </c>
      <c r="AG42" s="329"/>
      <c r="AH42" s="318" t="str">
        <f ca="1">IF(AND('Mapa final'!$J$42="Muy Baja",'Mapa final'!$N$42="Catastrófico"),CONCATENATE("R",'Mapa final'!$A$42),"")</f>
        <v/>
      </c>
      <c r="AI42" s="319"/>
      <c r="AJ42" s="319" t="str">
        <f ca="1">IF(AND('Mapa final'!$J$48="Muy Baja",'Mapa final'!$N$48="Catastrófico"),CONCATENATE("R",'Mapa final'!$A$48),"")</f>
        <v/>
      </c>
      <c r="AK42" s="319"/>
      <c r="AL42" s="319" t="str">
        <f ca="1">IF(AND('Mapa final'!$J$54="Muy Baja",'Mapa final'!$N$54="Catastrófico"),CONCATENATE("R",'Mapa final'!$A$54),"")</f>
        <v/>
      </c>
      <c r="AM42" s="320"/>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25">
      <c r="A43" s="67"/>
      <c r="B43" s="347"/>
      <c r="C43" s="347"/>
      <c r="D43" s="348"/>
      <c r="E43" s="340"/>
      <c r="F43" s="341"/>
      <c r="G43" s="341"/>
      <c r="H43" s="341"/>
      <c r="I43" s="342"/>
      <c r="J43" s="300"/>
      <c r="K43" s="301"/>
      <c r="L43" s="301"/>
      <c r="M43" s="301"/>
      <c r="N43" s="301"/>
      <c r="O43" s="302"/>
      <c r="P43" s="300"/>
      <c r="Q43" s="301"/>
      <c r="R43" s="301"/>
      <c r="S43" s="301"/>
      <c r="T43" s="301"/>
      <c r="U43" s="302"/>
      <c r="V43" s="309"/>
      <c r="W43" s="310"/>
      <c r="X43" s="310"/>
      <c r="Y43" s="310"/>
      <c r="Z43" s="310"/>
      <c r="AA43" s="311"/>
      <c r="AB43" s="327"/>
      <c r="AC43" s="328"/>
      <c r="AD43" s="328"/>
      <c r="AE43" s="328"/>
      <c r="AF43" s="328"/>
      <c r="AG43" s="329"/>
      <c r="AH43" s="318"/>
      <c r="AI43" s="319"/>
      <c r="AJ43" s="319"/>
      <c r="AK43" s="319"/>
      <c r="AL43" s="319"/>
      <c r="AM43" s="320"/>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25">
      <c r="A44" s="67"/>
      <c r="B44" s="347"/>
      <c r="C44" s="347"/>
      <c r="D44" s="348"/>
      <c r="E44" s="340"/>
      <c r="F44" s="341"/>
      <c r="G44" s="341"/>
      <c r="H44" s="341"/>
      <c r="I44" s="342"/>
      <c r="J44" s="300" t="str">
        <f ca="1">IF(AND('Mapa final'!$J$60="Muy Baja",'Mapa final'!$N$60="Leve"),CONCATENATE("R",'Mapa final'!$A$60),"")</f>
        <v/>
      </c>
      <c r="K44" s="301"/>
      <c r="L44" s="301" t="str">
        <f>IF(AND('Mapa final'!$J$66="Muy Baja",'Mapa final'!$N$66="Leve"),CONCATENATE("R",'Mapa final'!$A$66),"")</f>
        <v/>
      </c>
      <c r="M44" s="301"/>
      <c r="N44" s="301" t="str">
        <f>IF(AND('Mapa final'!$J$72="Muy Baja",'Mapa final'!$N$72="Leve"),CONCATENATE("R",'Mapa final'!$A$72),"")</f>
        <v/>
      </c>
      <c r="O44" s="302"/>
      <c r="P44" s="300" t="str">
        <f ca="1">IF(AND('Mapa final'!$J$60="Muy Baja",'Mapa final'!$N$60="Menor"),CONCATENATE("R",'Mapa final'!$A$60),"")</f>
        <v/>
      </c>
      <c r="Q44" s="301"/>
      <c r="R44" s="301" t="str">
        <f>IF(AND('Mapa final'!$J$66="Muy Baja",'Mapa final'!$N$66="Menor"),CONCATENATE("R",'Mapa final'!$A$66),"")</f>
        <v/>
      </c>
      <c r="S44" s="301"/>
      <c r="T44" s="301" t="str">
        <f>IF(AND('Mapa final'!$J$72="Muy Baja",'Mapa final'!$N$72="Menor"),CONCATENATE("R",'Mapa final'!$A$72),"")</f>
        <v/>
      </c>
      <c r="U44" s="302"/>
      <c r="V44" s="309" t="str">
        <f ca="1">IF(AND('Mapa final'!$J$60="Muy Baja",'Mapa final'!$N$60="Moderado"),CONCATENATE("R",'Mapa final'!$A$60),"")</f>
        <v/>
      </c>
      <c r="W44" s="310"/>
      <c r="X44" s="310" t="str">
        <f>IF(AND('Mapa final'!$J$66="Muy Baja",'Mapa final'!$N$66="Moderado"),CONCATENATE("R",'Mapa final'!$A$66),"")</f>
        <v/>
      </c>
      <c r="Y44" s="310"/>
      <c r="Z44" s="310" t="str">
        <f>IF(AND('Mapa final'!$J$72="Muy Baja",'Mapa final'!$N$72="Moderado"),CONCATENATE("R",'Mapa final'!$A$72),"")</f>
        <v/>
      </c>
      <c r="AA44" s="311"/>
      <c r="AB44" s="327" t="str">
        <f ca="1">IF(AND('Mapa final'!$J$60="Muy Baja",'Mapa final'!$N$60="Mayor"),CONCATENATE("R",'Mapa final'!$A$60),"")</f>
        <v/>
      </c>
      <c r="AC44" s="328"/>
      <c r="AD44" s="328" t="str">
        <f>IF(AND('Mapa final'!$J$66="Muy Baja",'Mapa final'!$N$66="Mayor"),CONCATENATE("R",'Mapa final'!$A$66),"")</f>
        <v/>
      </c>
      <c r="AE44" s="328"/>
      <c r="AF44" s="328" t="str">
        <f>IF(AND('Mapa final'!$J$72="Muy Baja",'Mapa final'!$N$72="Mayor"),CONCATENATE("R",'Mapa final'!$A$72),"")</f>
        <v/>
      </c>
      <c r="AG44" s="329"/>
      <c r="AH44" s="318" t="str">
        <f ca="1">IF(AND('Mapa final'!$J$60="Muy Baja",'Mapa final'!$N$60="Catastrófico"),CONCATENATE("R",'Mapa final'!$A$60),"")</f>
        <v/>
      </c>
      <c r="AI44" s="319"/>
      <c r="AJ44" s="319" t="str">
        <f>IF(AND('Mapa final'!$J$66="Muy Baja",'Mapa final'!$N$66="Catastrófico"),CONCATENATE("R",'Mapa final'!$A$66),"")</f>
        <v/>
      </c>
      <c r="AK44" s="319"/>
      <c r="AL44" s="319" t="str">
        <f>IF(AND('Mapa final'!$J$72="Muy Baja",'Mapa final'!$N$72="Catastrófico"),CONCATENATE("R",'Mapa final'!$A$72),"")</f>
        <v/>
      </c>
      <c r="AM44" s="320"/>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75" thickBot="1" x14ac:dyDescent="0.3">
      <c r="A45" s="67"/>
      <c r="B45" s="347"/>
      <c r="C45" s="347"/>
      <c r="D45" s="348"/>
      <c r="E45" s="343"/>
      <c r="F45" s="344"/>
      <c r="G45" s="344"/>
      <c r="H45" s="344"/>
      <c r="I45" s="345"/>
      <c r="J45" s="303"/>
      <c r="K45" s="304"/>
      <c r="L45" s="304"/>
      <c r="M45" s="304"/>
      <c r="N45" s="304"/>
      <c r="O45" s="305"/>
      <c r="P45" s="303"/>
      <c r="Q45" s="304"/>
      <c r="R45" s="304"/>
      <c r="S45" s="304"/>
      <c r="T45" s="304"/>
      <c r="U45" s="305"/>
      <c r="V45" s="312"/>
      <c r="W45" s="313"/>
      <c r="X45" s="313"/>
      <c r="Y45" s="313"/>
      <c r="Z45" s="313"/>
      <c r="AA45" s="314"/>
      <c r="AB45" s="330"/>
      <c r="AC45" s="331"/>
      <c r="AD45" s="331"/>
      <c r="AE45" s="331"/>
      <c r="AF45" s="331"/>
      <c r="AG45" s="332"/>
      <c r="AH45" s="321"/>
      <c r="AI45" s="322"/>
      <c r="AJ45" s="322"/>
      <c r="AK45" s="322"/>
      <c r="AL45" s="322"/>
      <c r="AM45" s="323"/>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25">
      <c r="A46" s="67"/>
      <c r="B46" s="67"/>
      <c r="C46" s="67"/>
      <c r="D46" s="67"/>
      <c r="E46" s="67"/>
      <c r="F46" s="67"/>
      <c r="G46" s="67"/>
      <c r="H46" s="67"/>
      <c r="I46" s="67"/>
      <c r="J46" s="337" t="s">
        <v>106</v>
      </c>
      <c r="K46" s="338"/>
      <c r="L46" s="338"/>
      <c r="M46" s="338"/>
      <c r="N46" s="338"/>
      <c r="O46" s="339"/>
      <c r="P46" s="337" t="s">
        <v>105</v>
      </c>
      <c r="Q46" s="338"/>
      <c r="R46" s="338"/>
      <c r="S46" s="338"/>
      <c r="T46" s="338"/>
      <c r="U46" s="339"/>
      <c r="V46" s="337" t="s">
        <v>104</v>
      </c>
      <c r="W46" s="338"/>
      <c r="X46" s="338"/>
      <c r="Y46" s="338"/>
      <c r="Z46" s="338"/>
      <c r="AA46" s="339"/>
      <c r="AB46" s="337" t="s">
        <v>103</v>
      </c>
      <c r="AC46" s="346"/>
      <c r="AD46" s="338"/>
      <c r="AE46" s="338"/>
      <c r="AF46" s="338"/>
      <c r="AG46" s="339"/>
      <c r="AH46" s="337" t="s">
        <v>102</v>
      </c>
      <c r="AI46" s="338"/>
      <c r="AJ46" s="338"/>
      <c r="AK46" s="338"/>
      <c r="AL46" s="338"/>
      <c r="AM46" s="339"/>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25">
      <c r="A47" s="67"/>
      <c r="B47" s="67"/>
      <c r="C47" s="67"/>
      <c r="D47" s="67"/>
      <c r="E47" s="67"/>
      <c r="F47" s="67"/>
      <c r="G47" s="67"/>
      <c r="H47" s="67"/>
      <c r="I47" s="67"/>
      <c r="J47" s="340"/>
      <c r="K47" s="341"/>
      <c r="L47" s="341"/>
      <c r="M47" s="341"/>
      <c r="N47" s="341"/>
      <c r="O47" s="342"/>
      <c r="P47" s="340"/>
      <c r="Q47" s="341"/>
      <c r="R47" s="341"/>
      <c r="S47" s="341"/>
      <c r="T47" s="341"/>
      <c r="U47" s="342"/>
      <c r="V47" s="340"/>
      <c r="W47" s="341"/>
      <c r="X47" s="341"/>
      <c r="Y47" s="341"/>
      <c r="Z47" s="341"/>
      <c r="AA47" s="342"/>
      <c r="AB47" s="340"/>
      <c r="AC47" s="341"/>
      <c r="AD47" s="341"/>
      <c r="AE47" s="341"/>
      <c r="AF47" s="341"/>
      <c r="AG47" s="342"/>
      <c r="AH47" s="340"/>
      <c r="AI47" s="341"/>
      <c r="AJ47" s="341"/>
      <c r="AK47" s="341"/>
      <c r="AL47" s="341"/>
      <c r="AM47" s="342"/>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25">
      <c r="A48" s="67"/>
      <c r="B48" s="67"/>
      <c r="C48" s="67"/>
      <c r="D48" s="67"/>
      <c r="E48" s="67"/>
      <c r="F48" s="67"/>
      <c r="G48" s="67"/>
      <c r="H48" s="67"/>
      <c r="I48" s="67"/>
      <c r="J48" s="340"/>
      <c r="K48" s="341"/>
      <c r="L48" s="341"/>
      <c r="M48" s="341"/>
      <c r="N48" s="341"/>
      <c r="O48" s="342"/>
      <c r="P48" s="340"/>
      <c r="Q48" s="341"/>
      <c r="R48" s="341"/>
      <c r="S48" s="341"/>
      <c r="T48" s="341"/>
      <c r="U48" s="342"/>
      <c r="V48" s="340"/>
      <c r="W48" s="341"/>
      <c r="X48" s="341"/>
      <c r="Y48" s="341"/>
      <c r="Z48" s="341"/>
      <c r="AA48" s="342"/>
      <c r="AB48" s="340"/>
      <c r="AC48" s="341"/>
      <c r="AD48" s="341"/>
      <c r="AE48" s="341"/>
      <c r="AF48" s="341"/>
      <c r="AG48" s="342"/>
      <c r="AH48" s="340"/>
      <c r="AI48" s="341"/>
      <c r="AJ48" s="341"/>
      <c r="AK48" s="341"/>
      <c r="AL48" s="341"/>
      <c r="AM48" s="342"/>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25">
      <c r="A49" s="67"/>
      <c r="B49" s="67"/>
      <c r="C49" s="67"/>
      <c r="D49" s="67"/>
      <c r="E49" s="67"/>
      <c r="F49" s="67"/>
      <c r="G49" s="67"/>
      <c r="H49" s="67"/>
      <c r="I49" s="67"/>
      <c r="J49" s="340"/>
      <c r="K49" s="341"/>
      <c r="L49" s="341"/>
      <c r="M49" s="341"/>
      <c r="N49" s="341"/>
      <c r="O49" s="342"/>
      <c r="P49" s="340"/>
      <c r="Q49" s="341"/>
      <c r="R49" s="341"/>
      <c r="S49" s="341"/>
      <c r="T49" s="341"/>
      <c r="U49" s="342"/>
      <c r="V49" s="340"/>
      <c r="W49" s="341"/>
      <c r="X49" s="341"/>
      <c r="Y49" s="341"/>
      <c r="Z49" s="341"/>
      <c r="AA49" s="342"/>
      <c r="AB49" s="340"/>
      <c r="AC49" s="341"/>
      <c r="AD49" s="341"/>
      <c r="AE49" s="341"/>
      <c r="AF49" s="341"/>
      <c r="AG49" s="342"/>
      <c r="AH49" s="340"/>
      <c r="AI49" s="341"/>
      <c r="AJ49" s="341"/>
      <c r="AK49" s="341"/>
      <c r="AL49" s="341"/>
      <c r="AM49" s="342"/>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25">
      <c r="A50" s="67"/>
      <c r="B50" s="67"/>
      <c r="C50" s="67"/>
      <c r="D50" s="67"/>
      <c r="E50" s="67"/>
      <c r="F50" s="67"/>
      <c r="G50" s="67"/>
      <c r="H50" s="67"/>
      <c r="I50" s="67"/>
      <c r="J50" s="340"/>
      <c r="K50" s="341"/>
      <c r="L50" s="341"/>
      <c r="M50" s="341"/>
      <c r="N50" s="341"/>
      <c r="O50" s="342"/>
      <c r="P50" s="340"/>
      <c r="Q50" s="341"/>
      <c r="R50" s="341"/>
      <c r="S50" s="341"/>
      <c r="T50" s="341"/>
      <c r="U50" s="342"/>
      <c r="V50" s="340"/>
      <c r="W50" s="341"/>
      <c r="X50" s="341"/>
      <c r="Y50" s="341"/>
      <c r="Z50" s="341"/>
      <c r="AA50" s="342"/>
      <c r="AB50" s="340"/>
      <c r="AC50" s="341"/>
      <c r="AD50" s="341"/>
      <c r="AE50" s="341"/>
      <c r="AF50" s="341"/>
      <c r="AG50" s="342"/>
      <c r="AH50" s="340"/>
      <c r="AI50" s="341"/>
      <c r="AJ50" s="341"/>
      <c r="AK50" s="341"/>
      <c r="AL50" s="341"/>
      <c r="AM50" s="342"/>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75" thickBot="1" x14ac:dyDescent="0.3">
      <c r="A51" s="67"/>
      <c r="B51" s="67"/>
      <c r="C51" s="67"/>
      <c r="D51" s="67"/>
      <c r="E51" s="67"/>
      <c r="F51" s="67"/>
      <c r="G51" s="67"/>
      <c r="H51" s="67"/>
      <c r="I51" s="67"/>
      <c r="J51" s="343"/>
      <c r="K51" s="344"/>
      <c r="L51" s="344"/>
      <c r="M51" s="344"/>
      <c r="N51" s="344"/>
      <c r="O51" s="345"/>
      <c r="P51" s="343"/>
      <c r="Q51" s="344"/>
      <c r="R51" s="344"/>
      <c r="S51" s="344"/>
      <c r="T51" s="344"/>
      <c r="U51" s="345"/>
      <c r="V51" s="343"/>
      <c r="W51" s="344"/>
      <c r="X51" s="344"/>
      <c r="Y51" s="344"/>
      <c r="Z51" s="344"/>
      <c r="AA51" s="345"/>
      <c r="AB51" s="343"/>
      <c r="AC51" s="344"/>
      <c r="AD51" s="344"/>
      <c r="AE51" s="344"/>
      <c r="AF51" s="344"/>
      <c r="AG51" s="345"/>
      <c r="AH51" s="343"/>
      <c r="AI51" s="344"/>
      <c r="AJ51" s="344"/>
      <c r="AK51" s="344"/>
      <c r="AL51" s="344"/>
      <c r="AM51" s="345"/>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25">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25">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25">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2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25">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25">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25">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25">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25">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25">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25">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25">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25">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25">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25">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25">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25">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25">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25">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25">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25">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25">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25">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25">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25">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25">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25">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25">
      <c r="B137" s="67"/>
      <c r="C137" s="67"/>
      <c r="D137" s="67"/>
      <c r="E137" s="67"/>
      <c r="F137" s="67"/>
      <c r="G137" s="67"/>
      <c r="H137" s="67"/>
      <c r="I137" s="67"/>
    </row>
    <row r="138" spans="2:63" x14ac:dyDescent="0.25">
      <c r="B138" s="67"/>
      <c r="C138" s="67"/>
      <c r="D138" s="67"/>
      <c r="E138" s="67"/>
      <c r="F138" s="67"/>
      <c r="G138" s="67"/>
      <c r="H138" s="67"/>
      <c r="I138" s="67"/>
    </row>
    <row r="139" spans="2:63" x14ac:dyDescent="0.25">
      <c r="B139" s="67"/>
      <c r="C139" s="67"/>
      <c r="D139" s="67"/>
      <c r="E139" s="67"/>
      <c r="F139" s="67"/>
      <c r="G139" s="67"/>
      <c r="H139" s="67"/>
      <c r="I139" s="67"/>
    </row>
    <row r="140" spans="2:63" x14ac:dyDescent="0.25">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40" zoomScaleNormal="40" workbookViewId="0"/>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25">
      <c r="A2" s="67"/>
      <c r="B2" s="414" t="s">
        <v>148</v>
      </c>
      <c r="C2" s="415"/>
      <c r="D2" s="415"/>
      <c r="E2" s="415"/>
      <c r="F2" s="415"/>
      <c r="G2" s="415"/>
      <c r="H2" s="415"/>
      <c r="I2" s="415"/>
      <c r="J2" s="336" t="s">
        <v>2</v>
      </c>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25">
      <c r="A3" s="67"/>
      <c r="B3" s="415"/>
      <c r="C3" s="415"/>
      <c r="D3" s="415"/>
      <c r="E3" s="415"/>
      <c r="F3" s="415"/>
      <c r="G3" s="415"/>
      <c r="H3" s="415"/>
      <c r="I3" s="415"/>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25">
      <c r="A4" s="67"/>
      <c r="B4" s="415"/>
      <c r="C4" s="415"/>
      <c r="D4" s="415"/>
      <c r="E4" s="415"/>
      <c r="F4" s="415"/>
      <c r="G4" s="415"/>
      <c r="H4" s="415"/>
      <c r="I4" s="415"/>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75" thickBot="1" x14ac:dyDescent="0.3">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25">
      <c r="A6" s="67"/>
      <c r="B6" s="347" t="s">
        <v>4</v>
      </c>
      <c r="C6" s="347"/>
      <c r="D6" s="348"/>
      <c r="E6" s="385" t="s">
        <v>110</v>
      </c>
      <c r="F6" s="386"/>
      <c r="G6" s="386"/>
      <c r="H6" s="386"/>
      <c r="I6" s="387"/>
      <c r="J6" s="30" t="str">
        <f ca="1">IF(AND('Mapa final'!$AA$10="Muy Alta",'Mapa final'!$AC$10="Leve"),CONCATENATE("R1C",'Mapa final'!$Q$10),"")</f>
        <v/>
      </c>
      <c r="K6" s="31" t="str">
        <f ca="1">IF(AND('Mapa final'!$AA$11="Muy Alta",'Mapa final'!$AC$11="Leve"),CONCATENATE("R1C",'Mapa final'!$Q$11),"")</f>
        <v/>
      </c>
      <c r="L6" s="31" t="str">
        <f ca="1">IF(AND('Mapa final'!$AA$12="Muy Alta",'Mapa final'!$AC$12="Leve"),CONCATENATE("R1C",'Mapa final'!$Q$12),"")</f>
        <v/>
      </c>
      <c r="M6" s="31" t="e">
        <f>IF(AND('Mapa final'!#REF!="Muy Alta",'Mapa final'!#REF!="Leve"),CONCATENATE("R1C",'Mapa final'!#REF!),"")</f>
        <v>#REF!</v>
      </c>
      <c r="N6" s="31" t="e">
        <f>IF(AND('Mapa final'!#REF!="Muy Alta",'Mapa final'!#REF!="Leve"),CONCATENATE("R1C",'Mapa final'!#REF!),"")</f>
        <v>#REF!</v>
      </c>
      <c r="O6" s="32" t="e">
        <f>IF(AND('Mapa final'!#REF!="Muy Alta",'Mapa final'!#REF!="Leve"),CONCATENATE("R1C",'Mapa final'!#REF!),"")</f>
        <v>#REF!</v>
      </c>
      <c r="P6" s="30" t="str">
        <f ca="1">IF(AND('Mapa final'!$AA$10="Muy Alta",'Mapa final'!$AC$10="Menor"),CONCATENATE("R1C",'Mapa final'!$Q$10),"")</f>
        <v/>
      </c>
      <c r="Q6" s="31" t="str">
        <f ca="1">IF(AND('Mapa final'!$AA$11="Muy Alta",'Mapa final'!$AC$11="Menor"),CONCATENATE("R1C",'Mapa final'!$Q$11),"")</f>
        <v/>
      </c>
      <c r="R6" s="31" t="str">
        <f ca="1">IF(AND('Mapa final'!$AA$12="Muy Alta",'Mapa final'!$AC$12="Menor"),CONCATENATE("R1C",'Mapa final'!$Q$12),"")</f>
        <v/>
      </c>
      <c r="S6" s="31" t="e">
        <f>IF(AND('Mapa final'!#REF!="Muy Alta",'Mapa final'!#REF!="Menor"),CONCATENATE("R1C",'Mapa final'!#REF!),"")</f>
        <v>#REF!</v>
      </c>
      <c r="T6" s="31" t="e">
        <f>IF(AND('Mapa final'!#REF!="Muy Alta",'Mapa final'!#REF!="Menor"),CONCATENATE("R1C",'Mapa final'!#REF!),"")</f>
        <v>#REF!</v>
      </c>
      <c r="U6" s="32" t="e">
        <f>IF(AND('Mapa final'!#REF!="Muy Alta",'Mapa final'!#REF!="Menor"),CONCATENATE("R1C",'Mapa final'!#REF!),"")</f>
        <v>#REF!</v>
      </c>
      <c r="V6" s="30" t="str">
        <f ca="1">IF(AND('Mapa final'!$AA$10="Muy Alta",'Mapa final'!$AC$10="Moderado"),CONCATENATE("R1C",'Mapa final'!$Q$10),"")</f>
        <v/>
      </c>
      <c r="W6" s="31" t="str">
        <f ca="1">IF(AND('Mapa final'!$AA$11="Muy Alta",'Mapa final'!$AC$11="Moderado"),CONCATENATE("R1C",'Mapa final'!$Q$11),"")</f>
        <v/>
      </c>
      <c r="X6" s="31" t="str">
        <f ca="1">IF(AND('Mapa final'!$AA$12="Muy Alta",'Mapa final'!$AC$12="Moderado"),CONCATENATE("R1C",'Mapa final'!$Q$12),"")</f>
        <v/>
      </c>
      <c r="Y6" s="31" t="e">
        <f>IF(AND('Mapa final'!#REF!="Muy Alta",'Mapa final'!#REF!="Moderado"),CONCATENATE("R1C",'Mapa final'!#REF!),"")</f>
        <v>#REF!</v>
      </c>
      <c r="Z6" s="31" t="e">
        <f>IF(AND('Mapa final'!#REF!="Muy Alta",'Mapa final'!#REF!="Moderado"),CONCATENATE("R1C",'Mapa final'!#REF!),"")</f>
        <v>#REF!</v>
      </c>
      <c r="AA6" s="32" t="e">
        <f>IF(AND('Mapa final'!#REF!="Muy Alta",'Mapa final'!#REF!="Moderado"),CONCATENATE("R1C",'Mapa final'!#REF!),"")</f>
        <v>#REF!</v>
      </c>
      <c r="AB6" s="30" t="str">
        <f ca="1">IF(AND('Mapa final'!$AA$10="Muy Alta",'Mapa final'!$AC$10="Mayor"),CONCATENATE("R1C",'Mapa final'!$Q$10),"")</f>
        <v/>
      </c>
      <c r="AC6" s="31" t="str">
        <f ca="1">IF(AND('Mapa final'!$AA$11="Muy Alta",'Mapa final'!$AC$11="Mayor"),CONCATENATE("R1C",'Mapa final'!$Q$11),"")</f>
        <v/>
      </c>
      <c r="AD6" s="31" t="str">
        <f ca="1">IF(AND('Mapa final'!$AA$12="Muy Alta",'Mapa final'!$AC$12="Mayor"),CONCATENATE("R1C",'Mapa final'!$Q$12),"")</f>
        <v/>
      </c>
      <c r="AE6" s="31" t="e">
        <f>IF(AND('Mapa final'!#REF!="Muy Alta",'Mapa final'!#REF!="Mayor"),CONCATENATE("R1C",'Mapa final'!#REF!),"")</f>
        <v>#REF!</v>
      </c>
      <c r="AF6" s="31" t="e">
        <f>IF(AND('Mapa final'!#REF!="Muy Alta",'Mapa final'!#REF!="Mayor"),CONCATENATE("R1C",'Mapa final'!#REF!),"")</f>
        <v>#REF!</v>
      </c>
      <c r="AG6" s="32" t="e">
        <f>IF(AND('Mapa final'!#REF!="Muy Alta",'Mapa final'!#REF!="Mayor"),CONCATENATE("R1C",'Mapa final'!#REF!),"")</f>
        <v>#REF!</v>
      </c>
      <c r="AH6" s="33" t="str">
        <f ca="1">IF(AND('Mapa final'!$AA$10="Muy Alta",'Mapa final'!$AC$10="Catastrófico"),CONCATENATE("R1C",'Mapa final'!$Q$10),"")</f>
        <v/>
      </c>
      <c r="AI6" s="34" t="str">
        <f ca="1">IF(AND('Mapa final'!$AA$11="Muy Alta",'Mapa final'!$AC$11="Catastrófico"),CONCATENATE("R1C",'Mapa final'!$Q$11),"")</f>
        <v/>
      </c>
      <c r="AJ6" s="34" t="str">
        <f ca="1">IF(AND('Mapa final'!$AA$12="Muy Alta",'Mapa final'!$AC$12="Catastrófico"),CONCATENATE("R1C",'Mapa final'!$Q$12),"")</f>
        <v/>
      </c>
      <c r="AK6" s="34" t="e">
        <f>IF(AND('Mapa final'!#REF!="Muy Alta",'Mapa final'!#REF!="Catastrófico"),CONCATENATE("R1C",'Mapa final'!#REF!),"")</f>
        <v>#REF!</v>
      </c>
      <c r="AL6" s="34" t="e">
        <f>IF(AND('Mapa final'!#REF!="Muy Alta",'Mapa final'!#REF!="Catastrófico"),CONCATENATE("R1C",'Mapa final'!#REF!),"")</f>
        <v>#REF!</v>
      </c>
      <c r="AM6" s="35" t="e">
        <f>IF(AND('Mapa final'!#REF!="Muy Alta",'Mapa final'!#REF!="Catastrófico"),CONCATENATE("R1C",'Mapa final'!#REF!),"")</f>
        <v>#REF!</v>
      </c>
      <c r="AN6" s="67"/>
      <c r="AO6" s="405" t="s">
        <v>77</v>
      </c>
      <c r="AP6" s="406"/>
      <c r="AQ6" s="406"/>
      <c r="AR6" s="406"/>
      <c r="AS6" s="406"/>
      <c r="AT6" s="40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25">
      <c r="A7" s="67"/>
      <c r="B7" s="347"/>
      <c r="C7" s="347"/>
      <c r="D7" s="348"/>
      <c r="E7" s="388"/>
      <c r="F7" s="389"/>
      <c r="G7" s="389"/>
      <c r="H7" s="389"/>
      <c r="I7" s="390"/>
      <c r="J7" s="36" t="str">
        <f ca="1">IF(AND('Mapa final'!$AA$14="Muy Alta",'Mapa final'!$AC$14="Leve"),CONCATENATE("R2C",'Mapa final'!$Q$14),"")</f>
        <v/>
      </c>
      <c r="K7" s="37" t="str">
        <f ca="1">IF(AND('Mapa final'!$AA$15="Muy Alta",'Mapa final'!$AC$15="Leve"),CONCATENATE("R2C",'Mapa final'!$Q$15),"")</f>
        <v/>
      </c>
      <c r="L7" s="37" t="e">
        <f>IF(AND('Mapa final'!#REF!="Muy Alta",'Mapa final'!#REF!="Leve"),CONCATENATE("R2C",'Mapa final'!#REF!),"")</f>
        <v>#REF!</v>
      </c>
      <c r="M7" s="37" t="e">
        <f>IF(AND('Mapa final'!#REF!="Muy Alta",'Mapa final'!#REF!="Leve"),CONCATENATE("R2C",'Mapa final'!#REF!),"")</f>
        <v>#REF!</v>
      </c>
      <c r="N7" s="37" t="str">
        <f>IF(AND('Mapa final'!$AA$16="Muy Alta",'Mapa final'!$AC$16="Leve"),CONCATENATE("R2C",'Mapa final'!$Q$16),"")</f>
        <v/>
      </c>
      <c r="O7" s="38" t="str">
        <f>IF(AND('Mapa final'!$AA$17="Muy Alta",'Mapa final'!$AC$17="Leve"),CONCATENATE("R2C",'Mapa final'!$Q$17),"")</f>
        <v/>
      </c>
      <c r="P7" s="36" t="str">
        <f ca="1">IF(AND('Mapa final'!$AA$14="Muy Alta",'Mapa final'!$AC$14="Menor"),CONCATENATE("R2C",'Mapa final'!$Q$14),"")</f>
        <v/>
      </c>
      <c r="Q7" s="37" t="str">
        <f ca="1">IF(AND('Mapa final'!$AA$15="Muy Alta",'Mapa final'!$AC$15="Menor"),CONCATENATE("R2C",'Mapa final'!$Q$15),"")</f>
        <v/>
      </c>
      <c r="R7" s="37" t="e">
        <f>IF(AND('Mapa final'!#REF!="Muy Alta",'Mapa final'!#REF!="Menor"),CONCATENATE("R2C",'Mapa final'!#REF!),"")</f>
        <v>#REF!</v>
      </c>
      <c r="S7" s="37" t="e">
        <f>IF(AND('Mapa final'!#REF!="Muy Alta",'Mapa final'!#REF!="Menor"),CONCATENATE("R2C",'Mapa final'!#REF!),"")</f>
        <v>#REF!</v>
      </c>
      <c r="T7" s="37" t="str">
        <f>IF(AND('Mapa final'!$AA$16="Muy Alta",'Mapa final'!$AC$16="Menor"),CONCATENATE("R2C",'Mapa final'!$Q$16),"")</f>
        <v/>
      </c>
      <c r="U7" s="38" t="str">
        <f>IF(AND('Mapa final'!$AA$17="Muy Alta",'Mapa final'!$AC$17="Menor"),CONCATENATE("R2C",'Mapa final'!$Q$17),"")</f>
        <v/>
      </c>
      <c r="V7" s="36" t="str">
        <f ca="1">IF(AND('Mapa final'!$AA$14="Muy Alta",'Mapa final'!$AC$14="Moderado"),CONCATENATE("R2C",'Mapa final'!$Q$14),"")</f>
        <v/>
      </c>
      <c r="W7" s="37" t="str">
        <f ca="1">IF(AND('Mapa final'!$AA$15="Muy Alta",'Mapa final'!$AC$15="Moderado"),CONCATENATE("R2C",'Mapa final'!$Q$15),"")</f>
        <v/>
      </c>
      <c r="X7" s="37" t="e">
        <f>IF(AND('Mapa final'!#REF!="Muy Alta",'Mapa final'!#REF!="Moderado"),CONCATENATE("R2C",'Mapa final'!#REF!),"")</f>
        <v>#REF!</v>
      </c>
      <c r="Y7" s="37" t="e">
        <f>IF(AND('Mapa final'!#REF!="Muy Alta",'Mapa final'!#REF!="Moderado"),CONCATENATE("R2C",'Mapa final'!#REF!),"")</f>
        <v>#REF!</v>
      </c>
      <c r="Z7" s="37" t="str">
        <f>IF(AND('Mapa final'!$AA$16="Muy Alta",'Mapa final'!$AC$16="Moderado"),CONCATENATE("R2C",'Mapa final'!$Q$16),"")</f>
        <v/>
      </c>
      <c r="AA7" s="38" t="str">
        <f>IF(AND('Mapa final'!$AA$17="Muy Alta",'Mapa final'!$AC$17="Moderado"),CONCATENATE("R2C",'Mapa final'!$Q$17),"")</f>
        <v/>
      </c>
      <c r="AB7" s="36" t="str">
        <f ca="1">IF(AND('Mapa final'!$AA$14="Muy Alta",'Mapa final'!$AC$14="Mayor"),CONCATENATE("R2C",'Mapa final'!$Q$14),"")</f>
        <v/>
      </c>
      <c r="AC7" s="37" t="str">
        <f ca="1">IF(AND('Mapa final'!$AA$15="Muy Alta",'Mapa final'!$AC$15="Mayor"),CONCATENATE("R2C",'Mapa final'!$Q$15),"")</f>
        <v/>
      </c>
      <c r="AD7" s="37" t="e">
        <f>IF(AND('Mapa final'!#REF!="Muy Alta",'Mapa final'!#REF!="Mayor"),CONCATENATE("R2C",'Mapa final'!#REF!),"")</f>
        <v>#REF!</v>
      </c>
      <c r="AE7" s="37" t="e">
        <f>IF(AND('Mapa final'!#REF!="Muy Alta",'Mapa final'!#REF!="Mayor"),CONCATENATE("R2C",'Mapa final'!#REF!),"")</f>
        <v>#REF!</v>
      </c>
      <c r="AF7" s="37" t="str">
        <f>IF(AND('Mapa final'!$AA$16="Muy Alta",'Mapa final'!$AC$16="Mayor"),CONCATENATE("R2C",'Mapa final'!$Q$16),"")</f>
        <v/>
      </c>
      <c r="AG7" s="38" t="str">
        <f>IF(AND('Mapa final'!$AA$17="Muy Alta",'Mapa final'!$AC$17="Mayor"),CONCATENATE("R2C",'Mapa final'!$Q$17),"")</f>
        <v/>
      </c>
      <c r="AH7" s="39" t="str">
        <f ca="1">IF(AND('Mapa final'!$AA$14="Muy Alta",'Mapa final'!$AC$14="Catastrófico"),CONCATENATE("R2C",'Mapa final'!$Q$14),"")</f>
        <v/>
      </c>
      <c r="AI7" s="40" t="str">
        <f ca="1">IF(AND('Mapa final'!$AA$15="Muy Alta",'Mapa final'!$AC$15="Catastrófico"),CONCATENATE("R2C",'Mapa final'!$Q$15),"")</f>
        <v/>
      </c>
      <c r="AJ7" s="40" t="e">
        <f>IF(AND('Mapa final'!#REF!="Muy Alta",'Mapa final'!#REF!="Catastrófico"),CONCATENATE("R2C",'Mapa final'!#REF!),"")</f>
        <v>#REF!</v>
      </c>
      <c r="AK7" s="40" t="e">
        <f>IF(AND('Mapa final'!#REF!="Muy Alta",'Mapa final'!#REF!="Catastrófico"),CONCATENATE("R2C",'Mapa final'!#REF!),"")</f>
        <v>#REF!</v>
      </c>
      <c r="AL7" s="40" t="str">
        <f>IF(AND('Mapa final'!$AA$16="Muy Alta",'Mapa final'!$AC$16="Catastrófico"),CONCATENATE("R2C",'Mapa final'!$Q$16),"")</f>
        <v/>
      </c>
      <c r="AM7" s="41" t="str">
        <f>IF(AND('Mapa final'!$AA$17="Muy Alta",'Mapa final'!$AC$17="Catastrófico"),CONCATENATE("R2C",'Mapa final'!$Q$17),"")</f>
        <v/>
      </c>
      <c r="AN7" s="67"/>
      <c r="AO7" s="408"/>
      <c r="AP7" s="409"/>
      <c r="AQ7" s="409"/>
      <c r="AR7" s="409"/>
      <c r="AS7" s="409"/>
      <c r="AT7" s="410"/>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25">
      <c r="A8" s="67"/>
      <c r="B8" s="347"/>
      <c r="C8" s="347"/>
      <c r="D8" s="348"/>
      <c r="E8" s="388"/>
      <c r="F8" s="389"/>
      <c r="G8" s="389"/>
      <c r="H8" s="389"/>
      <c r="I8" s="390"/>
      <c r="J8" s="36" t="str">
        <f>IF(AND('Mapa final'!$AA$18="Muy Alta",'Mapa final'!$AC$18="Leve"),CONCATENATE("R3C",'Mapa final'!$Q$18),"")</f>
        <v/>
      </c>
      <c r="K8" s="37" t="str">
        <f>IF(AND('Mapa final'!$AA$19="Muy Alta",'Mapa final'!$AC$19="Leve"),CONCATENATE("R3C",'Mapa final'!$Q$19),"")</f>
        <v/>
      </c>
      <c r="L8" s="37" t="str">
        <f>IF(AND('Mapa final'!$AA$20="Muy Alta",'Mapa final'!$AC$20="Leve"),CONCATENATE("R3C",'Mapa final'!$Q$20),"")</f>
        <v/>
      </c>
      <c r="M8" s="37" t="str">
        <f>IF(AND('Mapa final'!$AA$21="Muy Alta",'Mapa final'!$AC$21="Leve"),CONCATENATE("R3C",'Mapa final'!$Q$21),"")</f>
        <v/>
      </c>
      <c r="N8" s="37" t="str">
        <f>IF(AND('Mapa final'!$AA$22="Muy Alta",'Mapa final'!$AC$22="Leve"),CONCATENATE("R3C",'Mapa final'!$Q$22),"")</f>
        <v/>
      </c>
      <c r="O8" s="38" t="str">
        <f>IF(AND('Mapa final'!$AA$23="Muy Alta",'Mapa final'!$AC$23="Leve"),CONCATENATE("R3C",'Mapa final'!$Q$23),"")</f>
        <v/>
      </c>
      <c r="P8" s="36" t="str">
        <f>IF(AND('Mapa final'!$AA$18="Muy Alta",'Mapa final'!$AC$18="Menor"),CONCATENATE("R3C",'Mapa final'!$Q$18),"")</f>
        <v/>
      </c>
      <c r="Q8" s="37" t="str">
        <f>IF(AND('Mapa final'!$AA$19="Muy Alta",'Mapa final'!$AC$19="Menor"),CONCATENATE("R3C",'Mapa final'!$Q$19),"")</f>
        <v/>
      </c>
      <c r="R8" s="37" t="str">
        <f>IF(AND('Mapa final'!$AA$20="Muy Alta",'Mapa final'!$AC$20="Menor"),CONCATENATE("R3C",'Mapa final'!$Q$20),"")</f>
        <v/>
      </c>
      <c r="S8" s="37" t="str">
        <f>IF(AND('Mapa final'!$AA$21="Muy Alta",'Mapa final'!$AC$21="Menor"),CONCATENATE("R3C",'Mapa final'!$Q$21),"")</f>
        <v/>
      </c>
      <c r="T8" s="37" t="str">
        <f>IF(AND('Mapa final'!$AA$22="Muy Alta",'Mapa final'!$AC$22="Menor"),CONCATENATE("R3C",'Mapa final'!$Q$22),"")</f>
        <v/>
      </c>
      <c r="U8" s="38" t="str">
        <f>IF(AND('Mapa final'!$AA$23="Muy Alta",'Mapa final'!$AC$23="Menor"),CONCATENATE("R3C",'Mapa final'!$Q$23),"")</f>
        <v/>
      </c>
      <c r="V8" s="36" t="str">
        <f>IF(AND('Mapa final'!$AA$18="Muy Alta",'Mapa final'!$AC$18="Moderado"),CONCATENATE("R3C",'Mapa final'!$Q$18),"")</f>
        <v/>
      </c>
      <c r="W8" s="37" t="str">
        <f>IF(AND('Mapa final'!$AA$19="Muy Alta",'Mapa final'!$AC$19="Moderado"),CONCATENATE("R3C",'Mapa final'!$Q$19),"")</f>
        <v/>
      </c>
      <c r="X8" s="37" t="str">
        <f>IF(AND('Mapa final'!$AA$20="Muy Alta",'Mapa final'!$AC$20="Moderado"),CONCATENATE("R3C",'Mapa final'!$Q$20),"")</f>
        <v/>
      </c>
      <c r="Y8" s="37" t="str">
        <f>IF(AND('Mapa final'!$AA$21="Muy Alta",'Mapa final'!$AC$21="Moderado"),CONCATENATE("R3C",'Mapa final'!$Q$21),"")</f>
        <v/>
      </c>
      <c r="Z8" s="37" t="str">
        <f>IF(AND('Mapa final'!$AA$22="Muy Alta",'Mapa final'!$AC$22="Moderado"),CONCATENATE("R3C",'Mapa final'!$Q$22),"")</f>
        <v/>
      </c>
      <c r="AA8" s="38" t="str">
        <f>IF(AND('Mapa final'!$AA$23="Muy Alta",'Mapa final'!$AC$23="Moderado"),CONCATENATE("R3C",'Mapa final'!$Q$23),"")</f>
        <v/>
      </c>
      <c r="AB8" s="36" t="str">
        <f>IF(AND('Mapa final'!$AA$18="Muy Alta",'Mapa final'!$AC$18="Mayor"),CONCATENATE("R3C",'Mapa final'!$Q$18),"")</f>
        <v/>
      </c>
      <c r="AC8" s="37" t="str">
        <f>IF(AND('Mapa final'!$AA$19="Muy Alta",'Mapa final'!$AC$19="Mayor"),CONCATENATE("R3C",'Mapa final'!$Q$19),"")</f>
        <v/>
      </c>
      <c r="AD8" s="37" t="str">
        <f>IF(AND('Mapa final'!$AA$20="Muy Alta",'Mapa final'!$AC$20="Mayor"),CONCATENATE("R3C",'Mapa final'!$Q$20),"")</f>
        <v/>
      </c>
      <c r="AE8" s="37" t="str">
        <f>IF(AND('Mapa final'!$AA$21="Muy Alta",'Mapa final'!$AC$21="Mayor"),CONCATENATE("R3C",'Mapa final'!$Q$21),"")</f>
        <v/>
      </c>
      <c r="AF8" s="37" t="str">
        <f>IF(AND('Mapa final'!$AA$22="Muy Alta",'Mapa final'!$AC$22="Mayor"),CONCATENATE("R3C",'Mapa final'!$Q$22),"")</f>
        <v/>
      </c>
      <c r="AG8" s="38" t="str">
        <f>IF(AND('Mapa final'!$AA$23="Muy Alta",'Mapa final'!$AC$23="Mayor"),CONCATENATE("R3C",'Mapa final'!$Q$23),"")</f>
        <v/>
      </c>
      <c r="AH8" s="39" t="str">
        <f>IF(AND('Mapa final'!$AA$18="Muy Alta",'Mapa final'!$AC$18="Catastrófico"),CONCATENATE("R3C",'Mapa final'!$Q$18),"")</f>
        <v/>
      </c>
      <c r="AI8" s="40" t="str">
        <f>IF(AND('Mapa final'!$AA$19="Muy Alta",'Mapa final'!$AC$19="Catastrófico"),CONCATENATE("R3C",'Mapa final'!$Q$19),"")</f>
        <v/>
      </c>
      <c r="AJ8" s="40" t="str">
        <f>IF(AND('Mapa final'!$AA$20="Muy Alta",'Mapa final'!$AC$20="Catastrófico"),CONCATENATE("R3C",'Mapa final'!$Q$20),"")</f>
        <v/>
      </c>
      <c r="AK8" s="40" t="str">
        <f>IF(AND('Mapa final'!$AA$21="Muy Alta",'Mapa final'!$AC$21="Catastrófico"),CONCATENATE("R3C",'Mapa final'!$Q$21),"")</f>
        <v/>
      </c>
      <c r="AL8" s="40" t="str">
        <f>IF(AND('Mapa final'!$AA$22="Muy Alta",'Mapa final'!$AC$22="Catastrófico"),CONCATENATE("R3C",'Mapa final'!$Q$22),"")</f>
        <v/>
      </c>
      <c r="AM8" s="41" t="str">
        <f>IF(AND('Mapa final'!$AA$23="Muy Alta",'Mapa final'!$AC$23="Catastrófico"),CONCATENATE("R3C",'Mapa final'!$Q$23),"")</f>
        <v/>
      </c>
      <c r="AN8" s="67"/>
      <c r="AO8" s="408"/>
      <c r="AP8" s="409"/>
      <c r="AQ8" s="409"/>
      <c r="AR8" s="409"/>
      <c r="AS8" s="409"/>
      <c r="AT8" s="410"/>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25">
      <c r="A9" s="67"/>
      <c r="B9" s="347"/>
      <c r="C9" s="347"/>
      <c r="D9" s="348"/>
      <c r="E9" s="388"/>
      <c r="F9" s="389"/>
      <c r="G9" s="389"/>
      <c r="H9" s="389"/>
      <c r="I9" s="390"/>
      <c r="J9" s="36" t="str">
        <f>IF(AND('Mapa final'!$AA$24="Muy Alta",'Mapa final'!$AC$24="Leve"),CONCATENATE("R4C",'Mapa final'!$Q$24),"")</f>
        <v/>
      </c>
      <c r="K9" s="37" t="str">
        <f>IF(AND('Mapa final'!$AA$25="Muy Alta",'Mapa final'!$AC$25="Leve"),CONCATENATE("R4C",'Mapa final'!$Q$25),"")</f>
        <v/>
      </c>
      <c r="L9" s="37" t="str">
        <f>IF(AND('Mapa final'!$AA$26="Muy Alta",'Mapa final'!$AC$26="Leve"),CONCATENATE("R4C",'Mapa final'!$Q$26),"")</f>
        <v/>
      </c>
      <c r="M9" s="37" t="str">
        <f>IF(AND('Mapa final'!$AA$27="Muy Alta",'Mapa final'!$AC$27="Leve"),CONCATENATE("R4C",'Mapa final'!$Q$27),"")</f>
        <v/>
      </c>
      <c r="N9" s="37" t="str">
        <f>IF(AND('Mapa final'!$AA$28="Muy Alta",'Mapa final'!$AC$28="Leve"),CONCATENATE("R4C",'Mapa final'!$Q$28),"")</f>
        <v/>
      </c>
      <c r="O9" s="38" t="str">
        <f>IF(AND('Mapa final'!$AA$29="Muy Alta",'Mapa final'!$AC$29="Leve"),CONCATENATE("R4C",'Mapa final'!$Q$29),"")</f>
        <v/>
      </c>
      <c r="P9" s="36" t="str">
        <f>IF(AND('Mapa final'!$AA$24="Muy Alta",'Mapa final'!$AC$24="Menor"),CONCATENATE("R4C",'Mapa final'!$Q$24),"")</f>
        <v/>
      </c>
      <c r="Q9" s="37" t="str">
        <f>IF(AND('Mapa final'!$AA$25="Muy Alta",'Mapa final'!$AC$25="Menor"),CONCATENATE("R4C",'Mapa final'!$Q$25),"")</f>
        <v/>
      </c>
      <c r="R9" s="37" t="str">
        <f>IF(AND('Mapa final'!$AA$26="Muy Alta",'Mapa final'!$AC$26="Menor"),CONCATENATE("R4C",'Mapa final'!$Q$26),"")</f>
        <v/>
      </c>
      <c r="S9" s="37" t="str">
        <f>IF(AND('Mapa final'!$AA$27="Muy Alta",'Mapa final'!$AC$27="Menor"),CONCATENATE("R4C",'Mapa final'!$Q$27),"")</f>
        <v/>
      </c>
      <c r="T9" s="37" t="str">
        <f>IF(AND('Mapa final'!$AA$28="Muy Alta",'Mapa final'!$AC$28="Menor"),CONCATENATE("R4C",'Mapa final'!$Q$28),"")</f>
        <v/>
      </c>
      <c r="U9" s="38" t="str">
        <f>IF(AND('Mapa final'!$AA$29="Muy Alta",'Mapa final'!$AC$29="Menor"),CONCATENATE("R4C",'Mapa final'!$Q$29),"")</f>
        <v/>
      </c>
      <c r="V9" s="36" t="str">
        <f>IF(AND('Mapa final'!$AA$24="Muy Alta",'Mapa final'!$AC$24="Moderado"),CONCATENATE("R4C",'Mapa final'!$Q$24),"")</f>
        <v/>
      </c>
      <c r="W9" s="37" t="str">
        <f>IF(AND('Mapa final'!$AA$25="Muy Alta",'Mapa final'!$AC$25="Moderado"),CONCATENATE("R4C",'Mapa final'!$Q$25),"")</f>
        <v/>
      </c>
      <c r="X9" s="37" t="str">
        <f>IF(AND('Mapa final'!$AA$26="Muy Alta",'Mapa final'!$AC$26="Moderado"),CONCATENATE("R4C",'Mapa final'!$Q$26),"")</f>
        <v/>
      </c>
      <c r="Y9" s="37" t="str">
        <f>IF(AND('Mapa final'!$AA$27="Muy Alta",'Mapa final'!$AC$27="Moderado"),CONCATENATE("R4C",'Mapa final'!$Q$27),"")</f>
        <v/>
      </c>
      <c r="Z9" s="37" t="str">
        <f>IF(AND('Mapa final'!$AA$28="Muy Alta",'Mapa final'!$AC$28="Moderado"),CONCATENATE("R4C",'Mapa final'!$Q$28),"")</f>
        <v/>
      </c>
      <c r="AA9" s="38" t="str">
        <f>IF(AND('Mapa final'!$AA$29="Muy Alta",'Mapa final'!$AC$29="Moderado"),CONCATENATE("R4C",'Mapa final'!$Q$29),"")</f>
        <v/>
      </c>
      <c r="AB9" s="36" t="str">
        <f>IF(AND('Mapa final'!$AA$24="Muy Alta",'Mapa final'!$AC$24="Mayor"),CONCATENATE("R4C",'Mapa final'!$Q$24),"")</f>
        <v/>
      </c>
      <c r="AC9" s="37" t="str">
        <f>IF(AND('Mapa final'!$AA$25="Muy Alta",'Mapa final'!$AC$25="Mayor"),CONCATENATE("R4C",'Mapa final'!$Q$25),"")</f>
        <v/>
      </c>
      <c r="AD9" s="37" t="str">
        <f>IF(AND('Mapa final'!$AA$26="Muy Alta",'Mapa final'!$AC$26="Mayor"),CONCATENATE("R4C",'Mapa final'!$Q$26),"")</f>
        <v/>
      </c>
      <c r="AE9" s="37" t="str">
        <f>IF(AND('Mapa final'!$AA$27="Muy Alta",'Mapa final'!$AC$27="Mayor"),CONCATENATE("R4C",'Mapa final'!$Q$27),"")</f>
        <v/>
      </c>
      <c r="AF9" s="37" t="str">
        <f>IF(AND('Mapa final'!$AA$28="Muy Alta",'Mapa final'!$AC$28="Mayor"),CONCATENATE("R4C",'Mapa final'!$Q$28),"")</f>
        <v/>
      </c>
      <c r="AG9" s="38" t="str">
        <f>IF(AND('Mapa final'!$AA$29="Muy Alta",'Mapa final'!$AC$29="Mayor"),CONCATENATE("R4C",'Mapa final'!$Q$29),"")</f>
        <v/>
      </c>
      <c r="AH9" s="39" t="str">
        <f>IF(AND('Mapa final'!$AA$24="Muy Alta",'Mapa final'!$AC$24="Catastrófico"),CONCATENATE("R4C",'Mapa final'!$Q$24),"")</f>
        <v/>
      </c>
      <c r="AI9" s="40" t="str">
        <f>IF(AND('Mapa final'!$AA$25="Muy Alta",'Mapa final'!$AC$25="Catastrófico"),CONCATENATE("R4C",'Mapa final'!$Q$25),"")</f>
        <v/>
      </c>
      <c r="AJ9" s="40" t="str">
        <f>IF(AND('Mapa final'!$AA$26="Muy Alta",'Mapa final'!$AC$26="Catastrófico"),CONCATENATE("R4C",'Mapa final'!$Q$26),"")</f>
        <v/>
      </c>
      <c r="AK9" s="40" t="str">
        <f>IF(AND('Mapa final'!$AA$27="Muy Alta",'Mapa final'!$AC$27="Catastrófico"),CONCATENATE("R4C",'Mapa final'!$Q$27),"")</f>
        <v/>
      </c>
      <c r="AL9" s="40" t="str">
        <f>IF(AND('Mapa final'!$AA$28="Muy Alta",'Mapa final'!$AC$28="Catastrófico"),CONCATENATE("R4C",'Mapa final'!$Q$28),"")</f>
        <v/>
      </c>
      <c r="AM9" s="41" t="str">
        <f>IF(AND('Mapa final'!$AA$29="Muy Alta",'Mapa final'!$AC$29="Catastrófico"),CONCATENATE("R4C",'Mapa final'!$Q$29),"")</f>
        <v/>
      </c>
      <c r="AN9" s="67"/>
      <c r="AO9" s="408"/>
      <c r="AP9" s="409"/>
      <c r="AQ9" s="409"/>
      <c r="AR9" s="409"/>
      <c r="AS9" s="409"/>
      <c r="AT9" s="410"/>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25">
      <c r="A10" s="67"/>
      <c r="B10" s="347"/>
      <c r="C10" s="347"/>
      <c r="D10" s="348"/>
      <c r="E10" s="388"/>
      <c r="F10" s="389"/>
      <c r="G10" s="389"/>
      <c r="H10" s="389"/>
      <c r="I10" s="390"/>
      <c r="J10" s="36" t="str">
        <f>IF(AND('Mapa final'!$AA$30="Muy Alta",'Mapa final'!$AC$30="Leve"),CONCATENATE("R5C",'Mapa final'!$Q$30),"")</f>
        <v/>
      </c>
      <c r="K10" s="37" t="str">
        <f>IF(AND('Mapa final'!$AA$31="Muy Alta",'Mapa final'!$AC$31="Leve"),CONCATENATE("R5C",'Mapa final'!$Q$31),"")</f>
        <v/>
      </c>
      <c r="L10" s="37" t="str">
        <f>IF(AND('Mapa final'!$AA$32="Muy Alta",'Mapa final'!$AC$32="Leve"),CONCATENATE("R5C",'Mapa final'!$Q$32),"")</f>
        <v/>
      </c>
      <c r="M10" s="37" t="str">
        <f>IF(AND('Mapa final'!$AA$33="Muy Alta",'Mapa final'!$AC$33="Leve"),CONCATENATE("R5C",'Mapa final'!$Q$33),"")</f>
        <v/>
      </c>
      <c r="N10" s="37" t="str">
        <f>IF(AND('Mapa final'!$AA$34="Muy Alta",'Mapa final'!$AC$34="Leve"),CONCATENATE("R5C",'Mapa final'!$Q$34),"")</f>
        <v/>
      </c>
      <c r="O10" s="38" t="str">
        <f>IF(AND('Mapa final'!$AA$35="Muy Alta",'Mapa final'!$AC$35="Leve"),CONCATENATE("R5C",'Mapa final'!$Q$35),"")</f>
        <v/>
      </c>
      <c r="P10" s="36" t="str">
        <f>IF(AND('Mapa final'!$AA$30="Muy Alta",'Mapa final'!$AC$30="Menor"),CONCATENATE("R5C",'Mapa final'!$Q$30),"")</f>
        <v/>
      </c>
      <c r="Q10" s="37" t="str">
        <f>IF(AND('Mapa final'!$AA$31="Muy Alta",'Mapa final'!$AC$31="Menor"),CONCATENATE("R5C",'Mapa final'!$Q$31),"")</f>
        <v/>
      </c>
      <c r="R10" s="37" t="str">
        <f>IF(AND('Mapa final'!$AA$32="Muy Alta",'Mapa final'!$AC$32="Menor"),CONCATENATE("R5C",'Mapa final'!$Q$32),"")</f>
        <v/>
      </c>
      <c r="S10" s="37" t="str">
        <f>IF(AND('Mapa final'!$AA$33="Muy Alta",'Mapa final'!$AC$33="Menor"),CONCATENATE("R5C",'Mapa final'!$Q$33),"")</f>
        <v/>
      </c>
      <c r="T10" s="37" t="str">
        <f>IF(AND('Mapa final'!$AA$34="Muy Alta",'Mapa final'!$AC$34="Menor"),CONCATENATE("R5C",'Mapa final'!$Q$34),"")</f>
        <v/>
      </c>
      <c r="U10" s="38" t="str">
        <f>IF(AND('Mapa final'!$AA$35="Muy Alta",'Mapa final'!$AC$35="Menor"),CONCATENATE("R5C",'Mapa final'!$Q$35),"")</f>
        <v/>
      </c>
      <c r="V10" s="36" t="str">
        <f>IF(AND('Mapa final'!$AA$30="Muy Alta",'Mapa final'!$AC$30="Moderado"),CONCATENATE("R5C",'Mapa final'!$Q$30),"")</f>
        <v/>
      </c>
      <c r="W10" s="37" t="str">
        <f>IF(AND('Mapa final'!$AA$31="Muy Alta",'Mapa final'!$AC$31="Moderado"),CONCATENATE("R5C",'Mapa final'!$Q$31),"")</f>
        <v/>
      </c>
      <c r="X10" s="37" t="str">
        <f>IF(AND('Mapa final'!$AA$32="Muy Alta",'Mapa final'!$AC$32="Moderado"),CONCATENATE("R5C",'Mapa final'!$Q$32),"")</f>
        <v/>
      </c>
      <c r="Y10" s="37" t="str">
        <f>IF(AND('Mapa final'!$AA$33="Muy Alta",'Mapa final'!$AC$33="Moderado"),CONCATENATE("R5C",'Mapa final'!$Q$33),"")</f>
        <v/>
      </c>
      <c r="Z10" s="37" t="str">
        <f>IF(AND('Mapa final'!$AA$34="Muy Alta",'Mapa final'!$AC$34="Moderado"),CONCATENATE("R5C",'Mapa final'!$Q$34),"")</f>
        <v/>
      </c>
      <c r="AA10" s="38" t="str">
        <f>IF(AND('Mapa final'!$AA$35="Muy Alta",'Mapa final'!$AC$35="Moderado"),CONCATENATE("R5C",'Mapa final'!$Q$35),"")</f>
        <v/>
      </c>
      <c r="AB10" s="36" t="str">
        <f>IF(AND('Mapa final'!$AA$30="Muy Alta",'Mapa final'!$AC$30="Mayor"),CONCATENATE("R5C",'Mapa final'!$Q$30),"")</f>
        <v/>
      </c>
      <c r="AC10" s="37" t="str">
        <f>IF(AND('Mapa final'!$AA$31="Muy Alta",'Mapa final'!$AC$31="Mayor"),CONCATENATE("R5C",'Mapa final'!$Q$31),"")</f>
        <v/>
      </c>
      <c r="AD10" s="37" t="str">
        <f>IF(AND('Mapa final'!$AA$32="Muy Alta",'Mapa final'!$AC$32="Mayor"),CONCATENATE("R5C",'Mapa final'!$Q$32),"")</f>
        <v/>
      </c>
      <c r="AE10" s="37" t="str">
        <f>IF(AND('Mapa final'!$AA$33="Muy Alta",'Mapa final'!$AC$33="Mayor"),CONCATENATE("R5C",'Mapa final'!$Q$33),"")</f>
        <v/>
      </c>
      <c r="AF10" s="37" t="str">
        <f>IF(AND('Mapa final'!$AA$34="Muy Alta",'Mapa final'!$AC$34="Mayor"),CONCATENATE("R5C",'Mapa final'!$Q$34),"")</f>
        <v/>
      </c>
      <c r="AG10" s="38" t="str">
        <f>IF(AND('Mapa final'!$AA$35="Muy Alta",'Mapa final'!$AC$35="Mayor"),CONCATENATE("R5C",'Mapa final'!$Q$35),"")</f>
        <v/>
      </c>
      <c r="AH10" s="39" t="str">
        <f>IF(AND('Mapa final'!$AA$30="Muy Alta",'Mapa final'!$AC$30="Catastrófico"),CONCATENATE("R5C",'Mapa final'!$Q$30),"")</f>
        <v/>
      </c>
      <c r="AI10" s="40" t="str">
        <f>IF(AND('Mapa final'!$AA$31="Muy Alta",'Mapa final'!$AC$31="Catastrófico"),CONCATENATE("R5C",'Mapa final'!$Q$31),"")</f>
        <v/>
      </c>
      <c r="AJ10" s="40" t="str">
        <f>IF(AND('Mapa final'!$AA$32="Muy Alta",'Mapa final'!$AC$32="Catastrófico"),CONCATENATE("R5C",'Mapa final'!$Q$32),"")</f>
        <v/>
      </c>
      <c r="AK10" s="40" t="str">
        <f>IF(AND('Mapa final'!$AA$33="Muy Alta",'Mapa final'!$AC$33="Catastrófico"),CONCATENATE("R5C",'Mapa final'!$Q$33),"")</f>
        <v/>
      </c>
      <c r="AL10" s="40" t="str">
        <f>IF(AND('Mapa final'!$AA$34="Muy Alta",'Mapa final'!$AC$34="Catastrófico"),CONCATENATE("R5C",'Mapa final'!$Q$34),"")</f>
        <v/>
      </c>
      <c r="AM10" s="41" t="str">
        <f>IF(AND('Mapa final'!$AA$35="Muy Alta",'Mapa final'!$AC$35="Catastrófico"),CONCATENATE("R5C",'Mapa final'!$Q$35),"")</f>
        <v/>
      </c>
      <c r="AN10" s="67"/>
      <c r="AO10" s="408"/>
      <c r="AP10" s="409"/>
      <c r="AQ10" s="409"/>
      <c r="AR10" s="409"/>
      <c r="AS10" s="409"/>
      <c r="AT10" s="410"/>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25">
      <c r="A11" s="67"/>
      <c r="B11" s="347"/>
      <c r="C11" s="347"/>
      <c r="D11" s="348"/>
      <c r="E11" s="388"/>
      <c r="F11" s="389"/>
      <c r="G11" s="389"/>
      <c r="H11" s="389"/>
      <c r="I11" s="390"/>
      <c r="J11" s="36" t="str">
        <f>IF(AND('Mapa final'!$AA$36="Muy Alta",'Mapa final'!$AC$36="Leve"),CONCATENATE("R6C",'Mapa final'!$Q$36),"")</f>
        <v/>
      </c>
      <c r="K11" s="37" t="str">
        <f>IF(AND('Mapa final'!$AA$37="Muy Alta",'Mapa final'!$AC$37="Leve"),CONCATENATE("R6C",'Mapa final'!$Q$37),"")</f>
        <v/>
      </c>
      <c r="L11" s="37" t="str">
        <f>IF(AND('Mapa final'!$AA$38="Muy Alta",'Mapa final'!$AC$38="Leve"),CONCATENATE("R6C",'Mapa final'!$Q$38),"")</f>
        <v/>
      </c>
      <c r="M11" s="37" t="str">
        <f>IF(AND('Mapa final'!$AA$39="Muy Alta",'Mapa final'!$AC$39="Leve"),CONCATENATE("R6C",'Mapa final'!$Q$39),"")</f>
        <v/>
      </c>
      <c r="N11" s="37" t="str">
        <f>IF(AND('Mapa final'!$AA$40="Muy Alta",'Mapa final'!$AC$40="Leve"),CONCATENATE("R6C",'Mapa final'!$Q$40),"")</f>
        <v/>
      </c>
      <c r="O11" s="38" t="str">
        <f>IF(AND('Mapa final'!$AA$41="Muy Alta",'Mapa final'!$AC$41="Leve"),CONCATENATE("R6C",'Mapa final'!$Q$41),"")</f>
        <v/>
      </c>
      <c r="P11" s="36" t="str">
        <f>IF(AND('Mapa final'!$AA$36="Muy Alta",'Mapa final'!$AC$36="Menor"),CONCATENATE("R6C",'Mapa final'!$Q$36),"")</f>
        <v/>
      </c>
      <c r="Q11" s="37" t="str">
        <f>IF(AND('Mapa final'!$AA$37="Muy Alta",'Mapa final'!$AC$37="Menor"),CONCATENATE("R6C",'Mapa final'!$Q$37),"")</f>
        <v/>
      </c>
      <c r="R11" s="37" t="str">
        <f>IF(AND('Mapa final'!$AA$38="Muy Alta",'Mapa final'!$AC$38="Menor"),CONCATENATE("R6C",'Mapa final'!$Q$38),"")</f>
        <v/>
      </c>
      <c r="S11" s="37" t="str">
        <f>IF(AND('Mapa final'!$AA$39="Muy Alta",'Mapa final'!$AC$39="Menor"),CONCATENATE("R6C",'Mapa final'!$Q$39),"")</f>
        <v/>
      </c>
      <c r="T11" s="37" t="str">
        <f>IF(AND('Mapa final'!$AA$40="Muy Alta",'Mapa final'!$AC$40="Menor"),CONCATENATE("R6C",'Mapa final'!$Q$40),"")</f>
        <v/>
      </c>
      <c r="U11" s="38" t="str">
        <f>IF(AND('Mapa final'!$AA$41="Muy Alta",'Mapa final'!$AC$41="Menor"),CONCATENATE("R6C",'Mapa final'!$Q$41),"")</f>
        <v/>
      </c>
      <c r="V11" s="36" t="str">
        <f>IF(AND('Mapa final'!$AA$36="Muy Alta",'Mapa final'!$AC$36="Moderado"),CONCATENATE("R6C",'Mapa final'!$Q$36),"")</f>
        <v/>
      </c>
      <c r="W11" s="37" t="str">
        <f>IF(AND('Mapa final'!$AA$37="Muy Alta",'Mapa final'!$AC$37="Moderado"),CONCATENATE("R6C",'Mapa final'!$Q$37),"")</f>
        <v/>
      </c>
      <c r="X11" s="37" t="str">
        <f>IF(AND('Mapa final'!$AA$38="Muy Alta",'Mapa final'!$AC$38="Moderado"),CONCATENATE("R6C",'Mapa final'!$Q$38),"")</f>
        <v/>
      </c>
      <c r="Y11" s="37" t="str">
        <f>IF(AND('Mapa final'!$AA$39="Muy Alta",'Mapa final'!$AC$39="Moderado"),CONCATENATE("R6C",'Mapa final'!$Q$39),"")</f>
        <v/>
      </c>
      <c r="Z11" s="37" t="str">
        <f>IF(AND('Mapa final'!$AA$40="Muy Alta",'Mapa final'!$AC$40="Moderado"),CONCATENATE("R6C",'Mapa final'!$Q$40),"")</f>
        <v/>
      </c>
      <c r="AA11" s="38" t="str">
        <f>IF(AND('Mapa final'!$AA$41="Muy Alta",'Mapa final'!$AC$41="Moderado"),CONCATENATE("R6C",'Mapa final'!$Q$41),"")</f>
        <v/>
      </c>
      <c r="AB11" s="36" t="str">
        <f>IF(AND('Mapa final'!$AA$36="Muy Alta",'Mapa final'!$AC$36="Mayor"),CONCATENATE("R6C",'Mapa final'!$Q$36),"")</f>
        <v/>
      </c>
      <c r="AC11" s="37" t="str">
        <f>IF(AND('Mapa final'!$AA$37="Muy Alta",'Mapa final'!$AC$37="Mayor"),CONCATENATE("R6C",'Mapa final'!$Q$37),"")</f>
        <v/>
      </c>
      <c r="AD11" s="37" t="str">
        <f>IF(AND('Mapa final'!$AA$38="Muy Alta",'Mapa final'!$AC$38="Mayor"),CONCATENATE("R6C",'Mapa final'!$Q$38),"")</f>
        <v/>
      </c>
      <c r="AE11" s="37" t="str">
        <f>IF(AND('Mapa final'!$AA$39="Muy Alta",'Mapa final'!$AC$39="Mayor"),CONCATENATE("R6C",'Mapa final'!$Q$39),"")</f>
        <v/>
      </c>
      <c r="AF11" s="37" t="str">
        <f>IF(AND('Mapa final'!$AA$40="Muy Alta",'Mapa final'!$AC$40="Mayor"),CONCATENATE("R6C",'Mapa final'!$Q$40),"")</f>
        <v/>
      </c>
      <c r="AG11" s="38" t="str">
        <f>IF(AND('Mapa final'!$AA$41="Muy Alta",'Mapa final'!$AC$41="Mayor"),CONCATENATE("R6C",'Mapa final'!$Q$41),"")</f>
        <v/>
      </c>
      <c r="AH11" s="39" t="str">
        <f>IF(AND('Mapa final'!$AA$36="Muy Alta",'Mapa final'!$AC$36="Catastrófico"),CONCATENATE("R6C",'Mapa final'!$Q$36),"")</f>
        <v/>
      </c>
      <c r="AI11" s="40" t="str">
        <f>IF(AND('Mapa final'!$AA$37="Muy Alta",'Mapa final'!$AC$37="Catastrófico"),CONCATENATE("R6C",'Mapa final'!$Q$37),"")</f>
        <v/>
      </c>
      <c r="AJ11" s="40" t="str">
        <f>IF(AND('Mapa final'!$AA$38="Muy Alta",'Mapa final'!$AC$38="Catastrófico"),CONCATENATE("R6C",'Mapa final'!$Q$38),"")</f>
        <v/>
      </c>
      <c r="AK11" s="40" t="str">
        <f>IF(AND('Mapa final'!$AA$39="Muy Alta",'Mapa final'!$AC$39="Catastrófico"),CONCATENATE("R6C",'Mapa final'!$Q$39),"")</f>
        <v/>
      </c>
      <c r="AL11" s="40" t="str">
        <f>IF(AND('Mapa final'!$AA$40="Muy Alta",'Mapa final'!$AC$40="Catastrófico"),CONCATENATE("R6C",'Mapa final'!$Q$40),"")</f>
        <v/>
      </c>
      <c r="AM11" s="41" t="str">
        <f>IF(AND('Mapa final'!$AA$41="Muy Alta",'Mapa final'!$AC$41="Catastrófico"),CONCATENATE("R6C",'Mapa final'!$Q$41),"")</f>
        <v/>
      </c>
      <c r="AN11" s="67"/>
      <c r="AO11" s="408"/>
      <c r="AP11" s="409"/>
      <c r="AQ11" s="409"/>
      <c r="AR11" s="409"/>
      <c r="AS11" s="409"/>
      <c r="AT11" s="410"/>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25">
      <c r="A12" s="67"/>
      <c r="B12" s="347"/>
      <c r="C12" s="347"/>
      <c r="D12" s="348"/>
      <c r="E12" s="388"/>
      <c r="F12" s="389"/>
      <c r="G12" s="389"/>
      <c r="H12" s="389"/>
      <c r="I12" s="390"/>
      <c r="J12" s="36" t="str">
        <f>IF(AND('Mapa final'!$AA$42="Muy Alta",'Mapa final'!$AC$42="Leve"),CONCATENATE("R7C",'Mapa final'!$Q$42),"")</f>
        <v/>
      </c>
      <c r="K12" s="37" t="str">
        <f>IF(AND('Mapa final'!$AA$43="Muy Alta",'Mapa final'!$AC$43="Leve"),CONCATENATE("R7C",'Mapa final'!$Q$43),"")</f>
        <v/>
      </c>
      <c r="L12" s="37" t="str">
        <f>IF(AND('Mapa final'!$AA$44="Muy Alta",'Mapa final'!$AC$44="Leve"),CONCATENATE("R7C",'Mapa final'!$Q$44),"")</f>
        <v/>
      </c>
      <c r="M12" s="37" t="str">
        <f>IF(AND('Mapa final'!$AA$45="Muy Alta",'Mapa final'!$AC$45="Leve"),CONCATENATE("R7C",'Mapa final'!$Q$45),"")</f>
        <v/>
      </c>
      <c r="N12" s="37" t="str">
        <f>IF(AND('Mapa final'!$AA$46="Muy Alta",'Mapa final'!$AC$46="Leve"),CONCATENATE("R7C",'Mapa final'!$Q$46),"")</f>
        <v/>
      </c>
      <c r="O12" s="38" t="str">
        <f>IF(AND('Mapa final'!$AA$47="Muy Alta",'Mapa final'!$AC$47="Leve"),CONCATENATE("R7C",'Mapa final'!$Q$47),"")</f>
        <v/>
      </c>
      <c r="P12" s="36" t="str">
        <f>IF(AND('Mapa final'!$AA$42="Muy Alta",'Mapa final'!$AC$42="Menor"),CONCATENATE("R7C",'Mapa final'!$Q$42),"")</f>
        <v/>
      </c>
      <c r="Q12" s="37" t="str">
        <f>IF(AND('Mapa final'!$AA$43="Muy Alta",'Mapa final'!$AC$43="Menor"),CONCATENATE("R7C",'Mapa final'!$Q$43),"")</f>
        <v/>
      </c>
      <c r="R12" s="37" t="str">
        <f>IF(AND('Mapa final'!$AA$44="Muy Alta",'Mapa final'!$AC$44="Menor"),CONCATENATE("R7C",'Mapa final'!$Q$44),"")</f>
        <v/>
      </c>
      <c r="S12" s="37" t="str">
        <f>IF(AND('Mapa final'!$AA$45="Muy Alta",'Mapa final'!$AC$45="Menor"),CONCATENATE("R7C",'Mapa final'!$Q$45),"")</f>
        <v/>
      </c>
      <c r="T12" s="37" t="str">
        <f>IF(AND('Mapa final'!$AA$46="Muy Alta",'Mapa final'!$AC$46="Menor"),CONCATENATE("R7C",'Mapa final'!$Q$46),"")</f>
        <v/>
      </c>
      <c r="U12" s="38" t="str">
        <f>IF(AND('Mapa final'!$AA$47="Muy Alta",'Mapa final'!$AC$47="Menor"),CONCATENATE("R7C",'Mapa final'!$Q$47),"")</f>
        <v/>
      </c>
      <c r="V12" s="36" t="str">
        <f>IF(AND('Mapa final'!$AA$42="Muy Alta",'Mapa final'!$AC$42="Moderado"),CONCATENATE("R7C",'Mapa final'!$Q$42),"")</f>
        <v/>
      </c>
      <c r="W12" s="37" t="str">
        <f>IF(AND('Mapa final'!$AA$43="Muy Alta",'Mapa final'!$AC$43="Moderado"),CONCATENATE("R7C",'Mapa final'!$Q$43),"")</f>
        <v/>
      </c>
      <c r="X12" s="37" t="str">
        <f>IF(AND('Mapa final'!$AA$44="Muy Alta",'Mapa final'!$AC$44="Moderado"),CONCATENATE("R7C",'Mapa final'!$Q$44),"")</f>
        <v/>
      </c>
      <c r="Y12" s="37" t="str">
        <f>IF(AND('Mapa final'!$AA$45="Muy Alta",'Mapa final'!$AC$45="Moderado"),CONCATENATE("R7C",'Mapa final'!$Q$45),"")</f>
        <v/>
      </c>
      <c r="Z12" s="37" t="str">
        <f>IF(AND('Mapa final'!$AA$46="Muy Alta",'Mapa final'!$AC$46="Moderado"),CONCATENATE("R7C",'Mapa final'!$Q$46),"")</f>
        <v/>
      </c>
      <c r="AA12" s="38" t="str">
        <f>IF(AND('Mapa final'!$AA$47="Muy Alta",'Mapa final'!$AC$47="Moderado"),CONCATENATE("R7C",'Mapa final'!$Q$47),"")</f>
        <v/>
      </c>
      <c r="AB12" s="36" t="str">
        <f>IF(AND('Mapa final'!$AA$42="Muy Alta",'Mapa final'!$AC$42="Mayor"),CONCATENATE("R7C",'Mapa final'!$Q$42),"")</f>
        <v/>
      </c>
      <c r="AC12" s="37" t="str">
        <f>IF(AND('Mapa final'!$AA$43="Muy Alta",'Mapa final'!$AC$43="Mayor"),CONCATENATE("R7C",'Mapa final'!$Q$43),"")</f>
        <v/>
      </c>
      <c r="AD12" s="37" t="str">
        <f>IF(AND('Mapa final'!$AA$44="Muy Alta",'Mapa final'!$AC$44="Mayor"),CONCATENATE("R7C",'Mapa final'!$Q$44),"")</f>
        <v/>
      </c>
      <c r="AE12" s="37" t="str">
        <f>IF(AND('Mapa final'!$AA$45="Muy Alta",'Mapa final'!$AC$45="Mayor"),CONCATENATE("R7C",'Mapa final'!$Q$45),"")</f>
        <v/>
      </c>
      <c r="AF12" s="37" t="str">
        <f>IF(AND('Mapa final'!$AA$46="Muy Alta",'Mapa final'!$AC$46="Mayor"),CONCATENATE("R7C",'Mapa final'!$Q$46),"")</f>
        <v/>
      </c>
      <c r="AG12" s="38" t="str">
        <f>IF(AND('Mapa final'!$AA$47="Muy Alta",'Mapa final'!$AC$47="Mayor"),CONCATENATE("R7C",'Mapa final'!$Q$47),"")</f>
        <v/>
      </c>
      <c r="AH12" s="39" t="str">
        <f>IF(AND('Mapa final'!$AA$42="Muy Alta",'Mapa final'!$AC$42="Catastrófico"),CONCATENATE("R7C",'Mapa final'!$Q$42),"")</f>
        <v/>
      </c>
      <c r="AI12" s="40" t="str">
        <f>IF(AND('Mapa final'!$AA$43="Muy Alta",'Mapa final'!$AC$43="Catastrófico"),CONCATENATE("R7C",'Mapa final'!$Q$43),"")</f>
        <v/>
      </c>
      <c r="AJ12" s="40" t="str">
        <f>IF(AND('Mapa final'!$AA$44="Muy Alta",'Mapa final'!$AC$44="Catastrófico"),CONCATENATE("R7C",'Mapa final'!$Q$44),"")</f>
        <v/>
      </c>
      <c r="AK12" s="40" t="str">
        <f>IF(AND('Mapa final'!$AA$45="Muy Alta",'Mapa final'!$AC$45="Catastrófico"),CONCATENATE("R7C",'Mapa final'!$Q$45),"")</f>
        <v/>
      </c>
      <c r="AL12" s="40" t="str">
        <f>IF(AND('Mapa final'!$AA$46="Muy Alta",'Mapa final'!$AC$46="Catastrófico"),CONCATENATE("R7C",'Mapa final'!$Q$46),"")</f>
        <v/>
      </c>
      <c r="AM12" s="41" t="str">
        <f>IF(AND('Mapa final'!$AA$47="Muy Alta",'Mapa final'!$AC$47="Catastrófico"),CONCATENATE("R7C",'Mapa final'!$Q$47),"")</f>
        <v/>
      </c>
      <c r="AN12" s="67"/>
      <c r="AO12" s="408"/>
      <c r="AP12" s="409"/>
      <c r="AQ12" s="409"/>
      <c r="AR12" s="409"/>
      <c r="AS12" s="409"/>
      <c r="AT12" s="410"/>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25">
      <c r="A13" s="67"/>
      <c r="B13" s="347"/>
      <c r="C13" s="347"/>
      <c r="D13" s="348"/>
      <c r="E13" s="388"/>
      <c r="F13" s="389"/>
      <c r="G13" s="389"/>
      <c r="H13" s="389"/>
      <c r="I13" s="390"/>
      <c r="J13" s="36" t="str">
        <f>IF(AND('Mapa final'!$AA$48="Muy Alta",'Mapa final'!$AC$48="Leve"),CONCATENATE("R8C",'Mapa final'!$Q$48),"")</f>
        <v/>
      </c>
      <c r="K13" s="37" t="str">
        <f>IF(AND('Mapa final'!$AA$49="Muy Alta",'Mapa final'!$AC$49="Leve"),CONCATENATE("R8C",'Mapa final'!$Q$49),"")</f>
        <v/>
      </c>
      <c r="L13" s="37" t="str">
        <f>IF(AND('Mapa final'!$AA$50="Muy Alta",'Mapa final'!$AC$50="Leve"),CONCATENATE("R8C",'Mapa final'!$Q$50),"")</f>
        <v/>
      </c>
      <c r="M13" s="37" t="str">
        <f>IF(AND('Mapa final'!$AA$51="Muy Alta",'Mapa final'!$AC$51="Leve"),CONCATENATE("R8C",'Mapa final'!$Q$51),"")</f>
        <v/>
      </c>
      <c r="N13" s="37" t="str">
        <f>IF(AND('Mapa final'!$AA$52="Muy Alta",'Mapa final'!$AC$52="Leve"),CONCATENATE("R8C",'Mapa final'!$Q$52),"")</f>
        <v/>
      </c>
      <c r="O13" s="38" t="str">
        <f>IF(AND('Mapa final'!$AA$53="Muy Alta",'Mapa final'!$AC$53="Leve"),CONCATENATE("R8C",'Mapa final'!$Q$53),"")</f>
        <v/>
      </c>
      <c r="P13" s="36" t="str">
        <f>IF(AND('Mapa final'!$AA$48="Muy Alta",'Mapa final'!$AC$48="Menor"),CONCATENATE("R8C",'Mapa final'!$Q$48),"")</f>
        <v/>
      </c>
      <c r="Q13" s="37" t="str">
        <f>IF(AND('Mapa final'!$AA$49="Muy Alta",'Mapa final'!$AC$49="Menor"),CONCATENATE("R8C",'Mapa final'!$Q$49),"")</f>
        <v/>
      </c>
      <c r="R13" s="37" t="str">
        <f>IF(AND('Mapa final'!$AA$50="Muy Alta",'Mapa final'!$AC$50="Menor"),CONCATENATE("R8C",'Mapa final'!$Q$50),"")</f>
        <v/>
      </c>
      <c r="S13" s="37" t="str">
        <f>IF(AND('Mapa final'!$AA$51="Muy Alta",'Mapa final'!$AC$51="Menor"),CONCATENATE("R8C",'Mapa final'!$Q$51),"")</f>
        <v/>
      </c>
      <c r="T13" s="37" t="str">
        <f>IF(AND('Mapa final'!$AA$52="Muy Alta",'Mapa final'!$AC$52="Menor"),CONCATENATE("R8C",'Mapa final'!$Q$52),"")</f>
        <v/>
      </c>
      <c r="U13" s="38" t="str">
        <f>IF(AND('Mapa final'!$AA$53="Muy Alta",'Mapa final'!$AC$53="Menor"),CONCATENATE("R8C",'Mapa final'!$Q$53),"")</f>
        <v/>
      </c>
      <c r="V13" s="36" t="str">
        <f>IF(AND('Mapa final'!$AA$48="Muy Alta",'Mapa final'!$AC$48="Moderado"),CONCATENATE("R8C",'Mapa final'!$Q$48),"")</f>
        <v/>
      </c>
      <c r="W13" s="37" t="str">
        <f>IF(AND('Mapa final'!$AA$49="Muy Alta",'Mapa final'!$AC$49="Moderado"),CONCATENATE("R8C",'Mapa final'!$Q$49),"")</f>
        <v/>
      </c>
      <c r="X13" s="37" t="str">
        <f>IF(AND('Mapa final'!$AA$50="Muy Alta",'Mapa final'!$AC$50="Moderado"),CONCATENATE("R8C",'Mapa final'!$Q$50),"")</f>
        <v/>
      </c>
      <c r="Y13" s="37" t="str">
        <f>IF(AND('Mapa final'!$AA$51="Muy Alta",'Mapa final'!$AC$51="Moderado"),CONCATENATE("R8C",'Mapa final'!$Q$51),"")</f>
        <v/>
      </c>
      <c r="Z13" s="37" t="str">
        <f>IF(AND('Mapa final'!$AA$52="Muy Alta",'Mapa final'!$AC$52="Moderado"),CONCATENATE("R8C",'Mapa final'!$Q$52),"")</f>
        <v/>
      </c>
      <c r="AA13" s="38" t="str">
        <f>IF(AND('Mapa final'!$AA$53="Muy Alta",'Mapa final'!$AC$53="Moderado"),CONCATENATE("R8C",'Mapa final'!$Q$53),"")</f>
        <v/>
      </c>
      <c r="AB13" s="36" t="str">
        <f>IF(AND('Mapa final'!$AA$48="Muy Alta",'Mapa final'!$AC$48="Mayor"),CONCATENATE("R8C",'Mapa final'!$Q$48),"")</f>
        <v/>
      </c>
      <c r="AC13" s="37" t="str">
        <f>IF(AND('Mapa final'!$AA$49="Muy Alta",'Mapa final'!$AC$49="Mayor"),CONCATENATE("R8C",'Mapa final'!$Q$49),"")</f>
        <v/>
      </c>
      <c r="AD13" s="37" t="str">
        <f>IF(AND('Mapa final'!$AA$50="Muy Alta",'Mapa final'!$AC$50="Mayor"),CONCATENATE("R8C",'Mapa final'!$Q$50),"")</f>
        <v/>
      </c>
      <c r="AE13" s="37" t="str">
        <f>IF(AND('Mapa final'!$AA$51="Muy Alta",'Mapa final'!$AC$51="Mayor"),CONCATENATE("R8C",'Mapa final'!$Q$51),"")</f>
        <v/>
      </c>
      <c r="AF13" s="37" t="str">
        <f>IF(AND('Mapa final'!$AA$52="Muy Alta",'Mapa final'!$AC$52="Mayor"),CONCATENATE("R8C",'Mapa final'!$Q$52),"")</f>
        <v/>
      </c>
      <c r="AG13" s="38" t="str">
        <f>IF(AND('Mapa final'!$AA$53="Muy Alta",'Mapa final'!$AC$53="Mayor"),CONCATENATE("R8C",'Mapa final'!$Q$53),"")</f>
        <v/>
      </c>
      <c r="AH13" s="39" t="str">
        <f>IF(AND('Mapa final'!$AA$48="Muy Alta",'Mapa final'!$AC$48="Catastrófico"),CONCATENATE("R8C",'Mapa final'!$Q$48),"")</f>
        <v/>
      </c>
      <c r="AI13" s="40" t="str">
        <f>IF(AND('Mapa final'!$AA$49="Muy Alta",'Mapa final'!$AC$49="Catastrófico"),CONCATENATE("R8C",'Mapa final'!$Q$49),"")</f>
        <v/>
      </c>
      <c r="AJ13" s="40" t="str">
        <f>IF(AND('Mapa final'!$AA$50="Muy Alta",'Mapa final'!$AC$50="Catastrófico"),CONCATENATE("R8C",'Mapa final'!$Q$50),"")</f>
        <v/>
      </c>
      <c r="AK13" s="40" t="str">
        <f>IF(AND('Mapa final'!$AA$51="Muy Alta",'Mapa final'!$AC$51="Catastrófico"),CONCATENATE("R8C",'Mapa final'!$Q$51),"")</f>
        <v/>
      </c>
      <c r="AL13" s="40" t="str">
        <f>IF(AND('Mapa final'!$AA$52="Muy Alta",'Mapa final'!$AC$52="Catastrófico"),CONCATENATE("R8C",'Mapa final'!$Q$52),"")</f>
        <v/>
      </c>
      <c r="AM13" s="41" t="str">
        <f>IF(AND('Mapa final'!$AA$53="Muy Alta",'Mapa final'!$AC$53="Catastrófico"),CONCATENATE("R8C",'Mapa final'!$Q$53),"")</f>
        <v/>
      </c>
      <c r="AN13" s="67"/>
      <c r="AO13" s="408"/>
      <c r="AP13" s="409"/>
      <c r="AQ13" s="409"/>
      <c r="AR13" s="409"/>
      <c r="AS13" s="409"/>
      <c r="AT13" s="410"/>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25">
      <c r="A14" s="67"/>
      <c r="B14" s="347"/>
      <c r="C14" s="347"/>
      <c r="D14" s="348"/>
      <c r="E14" s="388"/>
      <c r="F14" s="389"/>
      <c r="G14" s="389"/>
      <c r="H14" s="389"/>
      <c r="I14" s="390"/>
      <c r="J14" s="36" t="str">
        <f>IF(AND('Mapa final'!$AA$54="Muy Alta",'Mapa final'!$AC$54="Leve"),CONCATENATE("R9C",'Mapa final'!$Q$54),"")</f>
        <v/>
      </c>
      <c r="K14" s="37" t="str">
        <f>IF(AND('Mapa final'!$AA$55="Muy Alta",'Mapa final'!$AC$55="Leve"),CONCATENATE("R9C",'Mapa final'!$Q$55),"")</f>
        <v/>
      </c>
      <c r="L14" s="37" t="str">
        <f>IF(AND('Mapa final'!$AA$56="Muy Alta",'Mapa final'!$AC$56="Leve"),CONCATENATE("R9C",'Mapa final'!$Q$56),"")</f>
        <v/>
      </c>
      <c r="M14" s="37" t="str">
        <f>IF(AND('Mapa final'!$AA$57="Muy Alta",'Mapa final'!$AC$57="Leve"),CONCATENATE("R9C",'Mapa final'!$Q$57),"")</f>
        <v/>
      </c>
      <c r="N14" s="37" t="str">
        <f>IF(AND('Mapa final'!$AA$58="Muy Alta",'Mapa final'!$AC$58="Leve"),CONCATENATE("R9C",'Mapa final'!$Q$58),"")</f>
        <v/>
      </c>
      <c r="O14" s="38" t="str">
        <f>IF(AND('Mapa final'!$AA$59="Muy Alta",'Mapa final'!$AC$59="Leve"),CONCATENATE("R9C",'Mapa final'!$Q$59),"")</f>
        <v/>
      </c>
      <c r="P14" s="36" t="str">
        <f>IF(AND('Mapa final'!$AA$54="Muy Alta",'Mapa final'!$AC$54="Menor"),CONCATENATE("R9C",'Mapa final'!$Q$54),"")</f>
        <v/>
      </c>
      <c r="Q14" s="37" t="str">
        <f>IF(AND('Mapa final'!$AA$55="Muy Alta",'Mapa final'!$AC$55="Menor"),CONCATENATE("R9C",'Mapa final'!$Q$55),"")</f>
        <v/>
      </c>
      <c r="R14" s="37" t="str">
        <f>IF(AND('Mapa final'!$AA$56="Muy Alta",'Mapa final'!$AC$56="Menor"),CONCATENATE("R9C",'Mapa final'!$Q$56),"")</f>
        <v/>
      </c>
      <c r="S14" s="37" t="str">
        <f>IF(AND('Mapa final'!$AA$57="Muy Alta",'Mapa final'!$AC$57="Menor"),CONCATENATE("R9C",'Mapa final'!$Q$57),"")</f>
        <v/>
      </c>
      <c r="T14" s="37" t="str">
        <f>IF(AND('Mapa final'!$AA$58="Muy Alta",'Mapa final'!$AC$58="Menor"),CONCATENATE("R9C",'Mapa final'!$Q$58),"")</f>
        <v/>
      </c>
      <c r="U14" s="38" t="str">
        <f>IF(AND('Mapa final'!$AA$59="Muy Alta",'Mapa final'!$AC$59="Menor"),CONCATENATE("R9C",'Mapa final'!$Q$59),"")</f>
        <v/>
      </c>
      <c r="V14" s="36" t="str">
        <f>IF(AND('Mapa final'!$AA$54="Muy Alta",'Mapa final'!$AC$54="Moderado"),CONCATENATE("R9C",'Mapa final'!$Q$54),"")</f>
        <v/>
      </c>
      <c r="W14" s="37" t="str">
        <f>IF(AND('Mapa final'!$AA$55="Muy Alta",'Mapa final'!$AC$55="Moderado"),CONCATENATE("R9C",'Mapa final'!$Q$55),"")</f>
        <v/>
      </c>
      <c r="X14" s="37" t="str">
        <f>IF(AND('Mapa final'!$AA$56="Muy Alta",'Mapa final'!$AC$56="Moderado"),CONCATENATE("R9C",'Mapa final'!$Q$56),"")</f>
        <v/>
      </c>
      <c r="Y14" s="37" t="str">
        <f>IF(AND('Mapa final'!$AA$57="Muy Alta",'Mapa final'!$AC$57="Moderado"),CONCATENATE("R9C",'Mapa final'!$Q$57),"")</f>
        <v/>
      </c>
      <c r="Z14" s="37" t="str">
        <f>IF(AND('Mapa final'!$AA$58="Muy Alta",'Mapa final'!$AC$58="Moderado"),CONCATENATE("R9C",'Mapa final'!$Q$58),"")</f>
        <v/>
      </c>
      <c r="AA14" s="38" t="str">
        <f>IF(AND('Mapa final'!$AA$59="Muy Alta",'Mapa final'!$AC$59="Moderado"),CONCATENATE("R9C",'Mapa final'!$Q$59),"")</f>
        <v/>
      </c>
      <c r="AB14" s="36" t="str">
        <f>IF(AND('Mapa final'!$AA$54="Muy Alta",'Mapa final'!$AC$54="Mayor"),CONCATENATE("R9C",'Mapa final'!$Q$54),"")</f>
        <v/>
      </c>
      <c r="AC14" s="37" t="str">
        <f>IF(AND('Mapa final'!$AA$55="Muy Alta",'Mapa final'!$AC$55="Mayor"),CONCATENATE("R9C",'Mapa final'!$Q$55),"")</f>
        <v/>
      </c>
      <c r="AD14" s="37" t="str">
        <f>IF(AND('Mapa final'!$AA$56="Muy Alta",'Mapa final'!$AC$56="Mayor"),CONCATENATE("R9C",'Mapa final'!$Q$56),"")</f>
        <v/>
      </c>
      <c r="AE14" s="37" t="str">
        <f>IF(AND('Mapa final'!$AA$57="Muy Alta",'Mapa final'!$AC$57="Mayor"),CONCATENATE("R9C",'Mapa final'!$Q$57),"")</f>
        <v/>
      </c>
      <c r="AF14" s="37" t="str">
        <f>IF(AND('Mapa final'!$AA$58="Muy Alta",'Mapa final'!$AC$58="Mayor"),CONCATENATE("R9C",'Mapa final'!$Q$58),"")</f>
        <v/>
      </c>
      <c r="AG14" s="38" t="str">
        <f>IF(AND('Mapa final'!$AA$59="Muy Alta",'Mapa final'!$AC$59="Mayor"),CONCATENATE("R9C",'Mapa final'!$Q$59),"")</f>
        <v/>
      </c>
      <c r="AH14" s="39" t="str">
        <f>IF(AND('Mapa final'!$AA$54="Muy Alta",'Mapa final'!$AC$54="Catastrófico"),CONCATENATE("R9C",'Mapa final'!$Q$54),"")</f>
        <v/>
      </c>
      <c r="AI14" s="40" t="str">
        <f>IF(AND('Mapa final'!$AA$55="Muy Alta",'Mapa final'!$AC$55="Catastrófico"),CONCATENATE("R9C",'Mapa final'!$Q$55),"")</f>
        <v/>
      </c>
      <c r="AJ14" s="40" t="str">
        <f>IF(AND('Mapa final'!$AA$56="Muy Alta",'Mapa final'!$AC$56="Catastrófico"),CONCATENATE("R9C",'Mapa final'!$Q$56),"")</f>
        <v/>
      </c>
      <c r="AK14" s="40" t="str">
        <f>IF(AND('Mapa final'!$AA$57="Muy Alta",'Mapa final'!$AC$57="Catastrófico"),CONCATENATE("R9C",'Mapa final'!$Q$57),"")</f>
        <v/>
      </c>
      <c r="AL14" s="40" t="str">
        <f>IF(AND('Mapa final'!$AA$58="Muy Alta",'Mapa final'!$AC$58="Catastrófico"),CONCATENATE("R9C",'Mapa final'!$Q$58),"")</f>
        <v/>
      </c>
      <c r="AM14" s="41" t="str">
        <f>IF(AND('Mapa final'!$AA$59="Muy Alta",'Mapa final'!$AC$59="Catastrófico"),CONCATENATE("R9C",'Mapa final'!$Q$59),"")</f>
        <v/>
      </c>
      <c r="AN14" s="67"/>
      <c r="AO14" s="408"/>
      <c r="AP14" s="409"/>
      <c r="AQ14" s="409"/>
      <c r="AR14" s="409"/>
      <c r="AS14" s="409"/>
      <c r="AT14" s="410"/>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
      <c r="A15" s="67"/>
      <c r="B15" s="347"/>
      <c r="C15" s="347"/>
      <c r="D15" s="348"/>
      <c r="E15" s="391"/>
      <c r="F15" s="392"/>
      <c r="G15" s="392"/>
      <c r="H15" s="392"/>
      <c r="I15" s="393"/>
      <c r="J15" s="42" t="str">
        <f>IF(AND('Mapa final'!$AA$60="Muy Alta",'Mapa final'!$AC$60="Leve"),CONCATENATE("R10C",'Mapa final'!$Q$60),"")</f>
        <v/>
      </c>
      <c r="K15" s="43" t="str">
        <f>IF(AND('Mapa final'!$AA$61="Muy Alta",'Mapa final'!$AC$61="Leve"),CONCATENATE("R10C",'Mapa final'!$Q$61),"")</f>
        <v/>
      </c>
      <c r="L15" s="43" t="str">
        <f>IF(AND('Mapa final'!$AA$62="Muy Alta",'Mapa final'!$AC$62="Leve"),CONCATENATE("R10C",'Mapa final'!$Q$62),"")</f>
        <v/>
      </c>
      <c r="M15" s="43" t="str">
        <f>IF(AND('Mapa final'!$AA$63="Muy Alta",'Mapa final'!$AC$63="Leve"),CONCATENATE("R10C",'Mapa final'!$Q$63),"")</f>
        <v/>
      </c>
      <c r="N15" s="43" t="str">
        <f>IF(AND('Mapa final'!$AA$64="Muy Alta",'Mapa final'!$AC$64="Leve"),CONCATENATE("R10C",'Mapa final'!$Q$64),"")</f>
        <v/>
      </c>
      <c r="O15" s="44" t="str">
        <f>IF(AND('Mapa final'!$AA$65="Muy Alta",'Mapa final'!$AC$65="Leve"),CONCATENATE("R10C",'Mapa final'!$Q$65),"")</f>
        <v/>
      </c>
      <c r="P15" s="36" t="str">
        <f>IF(AND('Mapa final'!$AA$60="Muy Alta",'Mapa final'!$AC$60="Menor"),CONCATENATE("R10C",'Mapa final'!$Q$60),"")</f>
        <v/>
      </c>
      <c r="Q15" s="37" t="str">
        <f>IF(AND('Mapa final'!$AA$61="Muy Alta",'Mapa final'!$AC$61="Menor"),CONCATENATE("R10C",'Mapa final'!$Q$61),"")</f>
        <v/>
      </c>
      <c r="R15" s="37" t="str">
        <f>IF(AND('Mapa final'!$AA$62="Muy Alta",'Mapa final'!$AC$62="Menor"),CONCATENATE("R10C",'Mapa final'!$Q$62),"")</f>
        <v/>
      </c>
      <c r="S15" s="37" t="str">
        <f>IF(AND('Mapa final'!$AA$63="Muy Alta",'Mapa final'!$AC$63="Menor"),CONCATENATE("R10C",'Mapa final'!$Q$63),"")</f>
        <v/>
      </c>
      <c r="T15" s="37" t="str">
        <f>IF(AND('Mapa final'!$AA$64="Muy Alta",'Mapa final'!$AC$64="Menor"),CONCATENATE("R10C",'Mapa final'!$Q$64),"")</f>
        <v/>
      </c>
      <c r="U15" s="38" t="str">
        <f>IF(AND('Mapa final'!$AA$65="Muy Alta",'Mapa final'!$AC$65="Menor"),CONCATENATE("R10C",'Mapa final'!$Q$65),"")</f>
        <v/>
      </c>
      <c r="V15" s="42" t="str">
        <f>IF(AND('Mapa final'!$AA$60="Muy Alta",'Mapa final'!$AC$60="Moderado"),CONCATENATE("R10C",'Mapa final'!$Q$60),"")</f>
        <v/>
      </c>
      <c r="W15" s="43" t="str">
        <f>IF(AND('Mapa final'!$AA$61="Muy Alta",'Mapa final'!$AC$61="Moderado"),CONCATENATE("R10C",'Mapa final'!$Q$61),"")</f>
        <v/>
      </c>
      <c r="X15" s="43" t="str">
        <f>IF(AND('Mapa final'!$AA$62="Muy Alta",'Mapa final'!$AC$62="Moderado"),CONCATENATE("R10C",'Mapa final'!$Q$62),"")</f>
        <v/>
      </c>
      <c r="Y15" s="43" t="str">
        <f>IF(AND('Mapa final'!$AA$63="Muy Alta",'Mapa final'!$AC$63="Moderado"),CONCATENATE("R10C",'Mapa final'!$Q$63),"")</f>
        <v/>
      </c>
      <c r="Z15" s="43" t="str">
        <f>IF(AND('Mapa final'!$AA$64="Muy Alta",'Mapa final'!$AC$64="Moderado"),CONCATENATE("R10C",'Mapa final'!$Q$64),"")</f>
        <v/>
      </c>
      <c r="AA15" s="44" t="str">
        <f>IF(AND('Mapa final'!$AA$65="Muy Alta",'Mapa final'!$AC$65="Moderado"),CONCATENATE("R10C",'Mapa final'!$Q$65),"")</f>
        <v/>
      </c>
      <c r="AB15" s="36" t="str">
        <f>IF(AND('Mapa final'!$AA$60="Muy Alta",'Mapa final'!$AC$60="Mayor"),CONCATENATE("R10C",'Mapa final'!$Q$60),"")</f>
        <v/>
      </c>
      <c r="AC15" s="37" t="str">
        <f>IF(AND('Mapa final'!$AA$61="Muy Alta",'Mapa final'!$AC$61="Mayor"),CONCATENATE("R10C",'Mapa final'!$Q$61),"")</f>
        <v/>
      </c>
      <c r="AD15" s="37" t="str">
        <f>IF(AND('Mapa final'!$AA$62="Muy Alta",'Mapa final'!$AC$62="Mayor"),CONCATENATE("R10C",'Mapa final'!$Q$62),"")</f>
        <v/>
      </c>
      <c r="AE15" s="37" t="str">
        <f>IF(AND('Mapa final'!$AA$63="Muy Alta",'Mapa final'!$AC$63="Mayor"),CONCATENATE("R10C",'Mapa final'!$Q$63),"")</f>
        <v/>
      </c>
      <c r="AF15" s="37" t="str">
        <f>IF(AND('Mapa final'!$AA$64="Muy Alta",'Mapa final'!$AC$64="Mayor"),CONCATENATE("R10C",'Mapa final'!$Q$64),"")</f>
        <v/>
      </c>
      <c r="AG15" s="38" t="str">
        <f>IF(AND('Mapa final'!$AA$65="Muy Alta",'Mapa final'!$AC$65="Mayor"),CONCATENATE("R10C",'Mapa final'!$Q$65),"")</f>
        <v/>
      </c>
      <c r="AH15" s="45" t="str">
        <f>IF(AND('Mapa final'!$AA$60="Muy Alta",'Mapa final'!$AC$60="Catastrófico"),CONCATENATE("R10C",'Mapa final'!$Q$60),"")</f>
        <v/>
      </c>
      <c r="AI15" s="46" t="str">
        <f>IF(AND('Mapa final'!$AA$61="Muy Alta",'Mapa final'!$AC$61="Catastrófico"),CONCATENATE("R10C",'Mapa final'!$Q$61),"")</f>
        <v/>
      </c>
      <c r="AJ15" s="46" t="str">
        <f>IF(AND('Mapa final'!$AA$62="Muy Alta",'Mapa final'!$AC$62="Catastrófico"),CONCATENATE("R10C",'Mapa final'!$Q$62),"")</f>
        <v/>
      </c>
      <c r="AK15" s="46" t="str">
        <f>IF(AND('Mapa final'!$AA$63="Muy Alta",'Mapa final'!$AC$63="Catastrófico"),CONCATENATE("R10C",'Mapa final'!$Q$63),"")</f>
        <v/>
      </c>
      <c r="AL15" s="46" t="str">
        <f>IF(AND('Mapa final'!$AA$64="Muy Alta",'Mapa final'!$AC$64="Catastrófico"),CONCATENATE("R10C",'Mapa final'!$Q$64),"")</f>
        <v/>
      </c>
      <c r="AM15" s="47" t="str">
        <f>IF(AND('Mapa final'!$AA$65="Muy Alta",'Mapa final'!$AC$65="Catastrófico"),CONCATENATE("R10C",'Mapa final'!$Q$65),"")</f>
        <v/>
      </c>
      <c r="AN15" s="67"/>
      <c r="AO15" s="411"/>
      <c r="AP15" s="412"/>
      <c r="AQ15" s="412"/>
      <c r="AR15" s="412"/>
      <c r="AS15" s="412"/>
      <c r="AT15" s="413"/>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25">
      <c r="A16" s="67"/>
      <c r="B16" s="347"/>
      <c r="C16" s="347"/>
      <c r="D16" s="348"/>
      <c r="E16" s="385" t="s">
        <v>109</v>
      </c>
      <c r="F16" s="386"/>
      <c r="G16" s="386"/>
      <c r="H16" s="386"/>
      <c r="I16" s="386"/>
      <c r="J16" s="48" t="str">
        <f ca="1">IF(AND('Mapa final'!$AA$10="Alta",'Mapa final'!$AC$10="Leve"),CONCATENATE("R1C",'Mapa final'!$Q$10),"")</f>
        <v/>
      </c>
      <c r="K16" s="49" t="str">
        <f ca="1">IF(AND('Mapa final'!$AA$11="Alta",'Mapa final'!$AC$11="Leve"),CONCATENATE("R1C",'Mapa final'!$Q$11),"")</f>
        <v/>
      </c>
      <c r="L16" s="49" t="str">
        <f ca="1">IF(AND('Mapa final'!$AA$12="Alta",'Mapa final'!$AC$12="Leve"),CONCATENATE("R1C",'Mapa final'!$Q$12),"")</f>
        <v/>
      </c>
      <c r="M16" s="49" t="e">
        <f>IF(AND('Mapa final'!#REF!="Alta",'Mapa final'!#REF!="Leve"),CONCATENATE("R1C",'Mapa final'!#REF!),"")</f>
        <v>#REF!</v>
      </c>
      <c r="N16" s="49" t="e">
        <f>IF(AND('Mapa final'!#REF!="Alta",'Mapa final'!#REF!="Leve"),CONCATENATE("R1C",'Mapa final'!#REF!),"")</f>
        <v>#REF!</v>
      </c>
      <c r="O16" s="50" t="e">
        <f>IF(AND('Mapa final'!#REF!="Alta",'Mapa final'!#REF!="Leve"),CONCATENATE("R1C",'Mapa final'!#REF!),"")</f>
        <v>#REF!</v>
      </c>
      <c r="P16" s="48" t="str">
        <f ca="1">IF(AND('Mapa final'!$AA$10="Alta",'Mapa final'!$AC$10="Menor"),CONCATENATE("R1C",'Mapa final'!$Q$10),"")</f>
        <v/>
      </c>
      <c r="Q16" s="49" t="str">
        <f ca="1">IF(AND('Mapa final'!$AA$11="Alta",'Mapa final'!$AC$11="Menor"),CONCATENATE("R1C",'Mapa final'!$Q$11),"")</f>
        <v/>
      </c>
      <c r="R16" s="49" t="str">
        <f ca="1">IF(AND('Mapa final'!$AA$12="Alta",'Mapa final'!$AC$12="Menor"),CONCATENATE("R1C",'Mapa final'!$Q$12),"")</f>
        <v/>
      </c>
      <c r="S16" s="49" t="e">
        <f>IF(AND('Mapa final'!#REF!="Alta",'Mapa final'!#REF!="Menor"),CONCATENATE("R1C",'Mapa final'!#REF!),"")</f>
        <v>#REF!</v>
      </c>
      <c r="T16" s="49" t="e">
        <f>IF(AND('Mapa final'!#REF!="Alta",'Mapa final'!#REF!="Menor"),CONCATENATE("R1C",'Mapa final'!#REF!),"")</f>
        <v>#REF!</v>
      </c>
      <c r="U16" s="50" t="e">
        <f>IF(AND('Mapa final'!#REF!="Alta",'Mapa final'!#REF!="Menor"),CONCATENATE("R1C",'Mapa final'!#REF!),"")</f>
        <v>#REF!</v>
      </c>
      <c r="V16" s="30" t="str">
        <f ca="1">IF(AND('Mapa final'!$AA$10="Alta",'Mapa final'!$AC$10="Moderado"),CONCATENATE("R1C",'Mapa final'!$Q$10),"")</f>
        <v/>
      </c>
      <c r="W16" s="31" t="str">
        <f ca="1">IF(AND('Mapa final'!$AA$11="Alta",'Mapa final'!$AC$11="Moderado"),CONCATENATE("R1C",'Mapa final'!$Q$11),"")</f>
        <v/>
      </c>
      <c r="X16" s="31" t="str">
        <f ca="1">IF(AND('Mapa final'!$AA$12="Alta",'Mapa final'!$AC$12="Moderado"),CONCATENATE("R1C",'Mapa final'!$Q$12),"")</f>
        <v/>
      </c>
      <c r="Y16" s="31" t="e">
        <f>IF(AND('Mapa final'!#REF!="Alta",'Mapa final'!#REF!="Moderado"),CONCATENATE("R1C",'Mapa final'!#REF!),"")</f>
        <v>#REF!</v>
      </c>
      <c r="Z16" s="31" t="e">
        <f>IF(AND('Mapa final'!#REF!="Alta",'Mapa final'!#REF!="Moderado"),CONCATENATE("R1C",'Mapa final'!#REF!),"")</f>
        <v>#REF!</v>
      </c>
      <c r="AA16" s="32" t="e">
        <f>IF(AND('Mapa final'!#REF!="Alta",'Mapa final'!#REF!="Moderado"),CONCATENATE("R1C",'Mapa final'!#REF!),"")</f>
        <v>#REF!</v>
      </c>
      <c r="AB16" s="30" t="str">
        <f ca="1">IF(AND('Mapa final'!$AA$10="Alta",'Mapa final'!$AC$10="Mayor"),CONCATENATE("R1C",'Mapa final'!$Q$10),"")</f>
        <v/>
      </c>
      <c r="AC16" s="31" t="str">
        <f ca="1">IF(AND('Mapa final'!$AA$11="Alta",'Mapa final'!$AC$11="Mayor"),CONCATENATE("R1C",'Mapa final'!$Q$11),"")</f>
        <v/>
      </c>
      <c r="AD16" s="31" t="str">
        <f ca="1">IF(AND('Mapa final'!$AA$12="Alta",'Mapa final'!$AC$12="Mayor"),CONCATENATE("R1C",'Mapa final'!$Q$12),"")</f>
        <v/>
      </c>
      <c r="AE16" s="31" t="e">
        <f>IF(AND('Mapa final'!#REF!="Alta",'Mapa final'!#REF!="Mayor"),CONCATENATE("R1C",'Mapa final'!#REF!),"")</f>
        <v>#REF!</v>
      </c>
      <c r="AF16" s="31" t="e">
        <f>IF(AND('Mapa final'!#REF!="Alta",'Mapa final'!#REF!="Mayor"),CONCATENATE("R1C",'Mapa final'!#REF!),"")</f>
        <v>#REF!</v>
      </c>
      <c r="AG16" s="32" t="e">
        <f>IF(AND('Mapa final'!#REF!="Alta",'Mapa final'!#REF!="Mayor"),CONCATENATE("R1C",'Mapa final'!#REF!),"")</f>
        <v>#REF!</v>
      </c>
      <c r="AH16" s="33" t="str">
        <f ca="1">IF(AND('Mapa final'!$AA$10="Alta",'Mapa final'!$AC$10="Catastrófico"),CONCATENATE("R1C",'Mapa final'!$Q$10),"")</f>
        <v/>
      </c>
      <c r="AI16" s="34" t="str">
        <f ca="1">IF(AND('Mapa final'!$AA$11="Alta",'Mapa final'!$AC$11="Catastrófico"),CONCATENATE("R1C",'Mapa final'!$Q$11),"")</f>
        <v/>
      </c>
      <c r="AJ16" s="34" t="str">
        <f ca="1">IF(AND('Mapa final'!$AA$12="Alta",'Mapa final'!$AC$12="Catastrófico"),CONCATENATE("R1C",'Mapa final'!$Q$12),"")</f>
        <v/>
      </c>
      <c r="AK16" s="34" t="e">
        <f>IF(AND('Mapa final'!#REF!="Alta",'Mapa final'!#REF!="Catastrófico"),CONCATENATE("R1C",'Mapa final'!#REF!),"")</f>
        <v>#REF!</v>
      </c>
      <c r="AL16" s="34" t="e">
        <f>IF(AND('Mapa final'!#REF!="Alta",'Mapa final'!#REF!="Catastrófico"),CONCATENATE("R1C",'Mapa final'!#REF!),"")</f>
        <v>#REF!</v>
      </c>
      <c r="AM16" s="35" t="e">
        <f>IF(AND('Mapa final'!#REF!="Alta",'Mapa final'!#REF!="Catastrófico"),CONCATENATE("R1C",'Mapa final'!#REF!),"")</f>
        <v>#REF!</v>
      </c>
      <c r="AN16" s="67"/>
      <c r="AO16" s="395" t="s">
        <v>78</v>
      </c>
      <c r="AP16" s="396"/>
      <c r="AQ16" s="396"/>
      <c r="AR16" s="396"/>
      <c r="AS16" s="396"/>
      <c r="AT16" s="39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25">
      <c r="A17" s="67"/>
      <c r="B17" s="347"/>
      <c r="C17" s="347"/>
      <c r="D17" s="348"/>
      <c r="E17" s="404"/>
      <c r="F17" s="389"/>
      <c r="G17" s="389"/>
      <c r="H17" s="389"/>
      <c r="I17" s="389"/>
      <c r="J17" s="51" t="str">
        <f ca="1">IF(AND('Mapa final'!$AA$14="Alta",'Mapa final'!$AC$14="Leve"),CONCATENATE("R2C",'Mapa final'!$Q$14),"")</f>
        <v/>
      </c>
      <c r="K17" s="52" t="str">
        <f ca="1">IF(AND('Mapa final'!$AA$15="Alta",'Mapa final'!$AC$15="Leve"),CONCATENATE("R2C",'Mapa final'!$Q$15),"")</f>
        <v/>
      </c>
      <c r="L17" s="52" t="e">
        <f>IF(AND('Mapa final'!#REF!="Alta",'Mapa final'!#REF!="Leve"),CONCATENATE("R2C",'Mapa final'!#REF!),"")</f>
        <v>#REF!</v>
      </c>
      <c r="M17" s="52" t="e">
        <f>IF(AND('Mapa final'!#REF!="Alta",'Mapa final'!#REF!="Leve"),CONCATENATE("R2C",'Mapa final'!#REF!),"")</f>
        <v>#REF!</v>
      </c>
      <c r="N17" s="52" t="str">
        <f>IF(AND('Mapa final'!$AA$16="Alta",'Mapa final'!$AC$16="Leve"),CONCATENATE("R2C",'Mapa final'!$Q$16),"")</f>
        <v/>
      </c>
      <c r="O17" s="53" t="str">
        <f>IF(AND('Mapa final'!$AA$17="Alta",'Mapa final'!$AC$17="Leve"),CONCATENATE("R2C",'Mapa final'!$Q$17),"")</f>
        <v/>
      </c>
      <c r="P17" s="51" t="str">
        <f ca="1">IF(AND('Mapa final'!$AA$14="Alta",'Mapa final'!$AC$14="Menor"),CONCATENATE("R2C",'Mapa final'!$Q$14),"")</f>
        <v/>
      </c>
      <c r="Q17" s="52" t="str">
        <f ca="1">IF(AND('Mapa final'!$AA$15="Alta",'Mapa final'!$AC$15="Menor"),CONCATENATE("R2C",'Mapa final'!$Q$15),"")</f>
        <v/>
      </c>
      <c r="R17" s="52" t="e">
        <f>IF(AND('Mapa final'!#REF!="Alta",'Mapa final'!#REF!="Menor"),CONCATENATE("R2C",'Mapa final'!#REF!),"")</f>
        <v>#REF!</v>
      </c>
      <c r="S17" s="52" t="e">
        <f>IF(AND('Mapa final'!#REF!="Alta",'Mapa final'!#REF!="Menor"),CONCATENATE("R2C",'Mapa final'!#REF!),"")</f>
        <v>#REF!</v>
      </c>
      <c r="T17" s="52" t="str">
        <f>IF(AND('Mapa final'!$AA$16="Alta",'Mapa final'!$AC$16="Menor"),CONCATENATE("R2C",'Mapa final'!$Q$16),"")</f>
        <v/>
      </c>
      <c r="U17" s="53" t="str">
        <f>IF(AND('Mapa final'!$AA$17="Alta",'Mapa final'!$AC$17="Menor"),CONCATENATE("R2C",'Mapa final'!$Q$17),"")</f>
        <v/>
      </c>
      <c r="V17" s="36" t="str">
        <f ca="1">IF(AND('Mapa final'!$AA$14="Alta",'Mapa final'!$AC$14="Moderado"),CONCATENATE("R2C",'Mapa final'!$Q$14),"")</f>
        <v/>
      </c>
      <c r="W17" s="37" t="str">
        <f ca="1">IF(AND('Mapa final'!$AA$15="Alta",'Mapa final'!$AC$15="Moderado"),CONCATENATE("R2C",'Mapa final'!$Q$15),"")</f>
        <v/>
      </c>
      <c r="X17" s="37" t="e">
        <f>IF(AND('Mapa final'!#REF!="Alta",'Mapa final'!#REF!="Moderado"),CONCATENATE("R2C",'Mapa final'!#REF!),"")</f>
        <v>#REF!</v>
      </c>
      <c r="Y17" s="37" t="e">
        <f>IF(AND('Mapa final'!#REF!="Alta",'Mapa final'!#REF!="Moderado"),CONCATENATE("R2C",'Mapa final'!#REF!),"")</f>
        <v>#REF!</v>
      </c>
      <c r="Z17" s="37" t="str">
        <f>IF(AND('Mapa final'!$AA$16="Alta",'Mapa final'!$AC$16="Moderado"),CONCATENATE("R2C",'Mapa final'!$Q$16),"")</f>
        <v/>
      </c>
      <c r="AA17" s="38" t="str">
        <f>IF(AND('Mapa final'!$AA$17="Alta",'Mapa final'!$AC$17="Moderado"),CONCATENATE("R2C",'Mapa final'!$Q$17),"")</f>
        <v/>
      </c>
      <c r="AB17" s="36" t="str">
        <f ca="1">IF(AND('Mapa final'!$AA$14="Alta",'Mapa final'!$AC$14="Mayor"),CONCATENATE("R2C",'Mapa final'!$Q$14),"")</f>
        <v/>
      </c>
      <c r="AC17" s="37" t="str">
        <f ca="1">IF(AND('Mapa final'!$AA$15="Alta",'Mapa final'!$AC$15="Mayor"),CONCATENATE("R2C",'Mapa final'!$Q$15),"")</f>
        <v/>
      </c>
      <c r="AD17" s="37" t="e">
        <f>IF(AND('Mapa final'!#REF!="Alta",'Mapa final'!#REF!="Mayor"),CONCATENATE("R2C",'Mapa final'!#REF!),"")</f>
        <v>#REF!</v>
      </c>
      <c r="AE17" s="37" t="e">
        <f>IF(AND('Mapa final'!#REF!="Alta",'Mapa final'!#REF!="Mayor"),CONCATENATE("R2C",'Mapa final'!#REF!),"")</f>
        <v>#REF!</v>
      </c>
      <c r="AF17" s="37" t="str">
        <f>IF(AND('Mapa final'!$AA$16="Alta",'Mapa final'!$AC$16="Mayor"),CONCATENATE("R2C",'Mapa final'!$Q$16),"")</f>
        <v/>
      </c>
      <c r="AG17" s="38" t="str">
        <f>IF(AND('Mapa final'!$AA$17="Alta",'Mapa final'!$AC$17="Mayor"),CONCATENATE("R2C",'Mapa final'!$Q$17),"")</f>
        <v/>
      </c>
      <c r="AH17" s="39" t="str">
        <f ca="1">IF(AND('Mapa final'!$AA$14="Alta",'Mapa final'!$AC$14="Catastrófico"),CONCATENATE("R2C",'Mapa final'!$Q$14),"")</f>
        <v/>
      </c>
      <c r="AI17" s="40" t="str">
        <f ca="1">IF(AND('Mapa final'!$AA$15="Alta",'Mapa final'!$AC$15="Catastrófico"),CONCATENATE("R2C",'Mapa final'!$Q$15),"")</f>
        <v/>
      </c>
      <c r="AJ17" s="40" t="e">
        <f>IF(AND('Mapa final'!#REF!="Alta",'Mapa final'!#REF!="Catastrófico"),CONCATENATE("R2C",'Mapa final'!#REF!),"")</f>
        <v>#REF!</v>
      </c>
      <c r="AK17" s="40" t="e">
        <f>IF(AND('Mapa final'!#REF!="Alta",'Mapa final'!#REF!="Catastrófico"),CONCATENATE("R2C",'Mapa final'!#REF!),"")</f>
        <v>#REF!</v>
      </c>
      <c r="AL17" s="40" t="str">
        <f>IF(AND('Mapa final'!$AA$16="Alta",'Mapa final'!$AC$16="Catastrófico"),CONCATENATE("R2C",'Mapa final'!$Q$16),"")</f>
        <v/>
      </c>
      <c r="AM17" s="41" t="str">
        <f>IF(AND('Mapa final'!$AA$17="Alta",'Mapa final'!$AC$17="Catastrófico"),CONCATENATE("R2C",'Mapa final'!$Q$17),"")</f>
        <v/>
      </c>
      <c r="AN17" s="67"/>
      <c r="AO17" s="398"/>
      <c r="AP17" s="399"/>
      <c r="AQ17" s="399"/>
      <c r="AR17" s="399"/>
      <c r="AS17" s="399"/>
      <c r="AT17" s="400"/>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25">
      <c r="A18" s="67"/>
      <c r="B18" s="347"/>
      <c r="C18" s="347"/>
      <c r="D18" s="348"/>
      <c r="E18" s="388"/>
      <c r="F18" s="389"/>
      <c r="G18" s="389"/>
      <c r="H18" s="389"/>
      <c r="I18" s="389"/>
      <c r="J18" s="51" t="str">
        <f>IF(AND('Mapa final'!$AA$18="Alta",'Mapa final'!$AC$18="Leve"),CONCATENATE("R3C",'Mapa final'!$Q$18),"")</f>
        <v/>
      </c>
      <c r="K18" s="52" t="str">
        <f>IF(AND('Mapa final'!$AA$19="Alta",'Mapa final'!$AC$19="Leve"),CONCATENATE("R3C",'Mapa final'!$Q$19),"")</f>
        <v/>
      </c>
      <c r="L18" s="52" t="str">
        <f>IF(AND('Mapa final'!$AA$20="Alta",'Mapa final'!$AC$20="Leve"),CONCATENATE("R3C",'Mapa final'!$Q$20),"")</f>
        <v/>
      </c>
      <c r="M18" s="52" t="str">
        <f>IF(AND('Mapa final'!$AA$21="Alta",'Mapa final'!$AC$21="Leve"),CONCATENATE("R3C",'Mapa final'!$Q$21),"")</f>
        <v/>
      </c>
      <c r="N18" s="52" t="str">
        <f>IF(AND('Mapa final'!$AA$22="Alta",'Mapa final'!$AC$22="Leve"),CONCATENATE("R3C",'Mapa final'!$Q$22),"")</f>
        <v/>
      </c>
      <c r="O18" s="53" t="str">
        <f>IF(AND('Mapa final'!$AA$23="Alta",'Mapa final'!$AC$23="Leve"),CONCATENATE("R3C",'Mapa final'!$Q$23),"")</f>
        <v/>
      </c>
      <c r="P18" s="51" t="str">
        <f>IF(AND('Mapa final'!$AA$18="Alta",'Mapa final'!$AC$18="Menor"),CONCATENATE("R3C",'Mapa final'!$Q$18),"")</f>
        <v/>
      </c>
      <c r="Q18" s="52" t="str">
        <f>IF(AND('Mapa final'!$AA$19="Alta",'Mapa final'!$AC$19="Menor"),CONCATENATE("R3C",'Mapa final'!$Q$19),"")</f>
        <v/>
      </c>
      <c r="R18" s="52" t="str">
        <f>IF(AND('Mapa final'!$AA$20="Alta",'Mapa final'!$AC$20="Menor"),CONCATENATE("R3C",'Mapa final'!$Q$20),"")</f>
        <v/>
      </c>
      <c r="S18" s="52" t="str">
        <f>IF(AND('Mapa final'!$AA$21="Alta",'Mapa final'!$AC$21="Menor"),CONCATENATE("R3C",'Mapa final'!$Q$21),"")</f>
        <v/>
      </c>
      <c r="T18" s="52" t="str">
        <f>IF(AND('Mapa final'!$AA$22="Alta",'Mapa final'!$AC$22="Menor"),CONCATENATE("R3C",'Mapa final'!$Q$22),"")</f>
        <v/>
      </c>
      <c r="U18" s="53" t="str">
        <f>IF(AND('Mapa final'!$AA$23="Alta",'Mapa final'!$AC$23="Menor"),CONCATENATE("R3C",'Mapa final'!$Q$23),"")</f>
        <v/>
      </c>
      <c r="V18" s="36" t="str">
        <f>IF(AND('Mapa final'!$AA$18="Alta",'Mapa final'!$AC$18="Moderado"),CONCATENATE("R3C",'Mapa final'!$Q$18),"")</f>
        <v/>
      </c>
      <c r="W18" s="37" t="str">
        <f>IF(AND('Mapa final'!$AA$19="Alta",'Mapa final'!$AC$19="Moderado"),CONCATENATE("R3C",'Mapa final'!$Q$19),"")</f>
        <v/>
      </c>
      <c r="X18" s="37" t="str">
        <f>IF(AND('Mapa final'!$AA$20="Alta",'Mapa final'!$AC$20="Moderado"),CONCATENATE("R3C",'Mapa final'!$Q$20),"")</f>
        <v/>
      </c>
      <c r="Y18" s="37" t="str">
        <f>IF(AND('Mapa final'!$AA$21="Alta",'Mapa final'!$AC$21="Moderado"),CONCATENATE("R3C",'Mapa final'!$Q$21),"")</f>
        <v/>
      </c>
      <c r="Z18" s="37" t="str">
        <f>IF(AND('Mapa final'!$AA$22="Alta",'Mapa final'!$AC$22="Moderado"),CONCATENATE("R3C",'Mapa final'!$Q$22),"")</f>
        <v/>
      </c>
      <c r="AA18" s="38" t="str">
        <f>IF(AND('Mapa final'!$AA$23="Alta",'Mapa final'!$AC$23="Moderado"),CONCATENATE("R3C",'Mapa final'!$Q$23),"")</f>
        <v/>
      </c>
      <c r="AB18" s="36" t="str">
        <f>IF(AND('Mapa final'!$AA$18="Alta",'Mapa final'!$AC$18="Mayor"),CONCATENATE("R3C",'Mapa final'!$Q$18),"")</f>
        <v/>
      </c>
      <c r="AC18" s="37" t="str">
        <f>IF(AND('Mapa final'!$AA$19="Alta",'Mapa final'!$AC$19="Mayor"),CONCATENATE("R3C",'Mapa final'!$Q$19),"")</f>
        <v/>
      </c>
      <c r="AD18" s="37" t="str">
        <f>IF(AND('Mapa final'!$AA$20="Alta",'Mapa final'!$AC$20="Mayor"),CONCATENATE("R3C",'Mapa final'!$Q$20),"")</f>
        <v/>
      </c>
      <c r="AE18" s="37" t="str">
        <f>IF(AND('Mapa final'!$AA$21="Alta",'Mapa final'!$AC$21="Mayor"),CONCATENATE("R3C",'Mapa final'!$Q$21),"")</f>
        <v/>
      </c>
      <c r="AF18" s="37" t="str">
        <f>IF(AND('Mapa final'!$AA$22="Alta",'Mapa final'!$AC$22="Mayor"),CONCATENATE("R3C",'Mapa final'!$Q$22),"")</f>
        <v/>
      </c>
      <c r="AG18" s="38" t="str">
        <f>IF(AND('Mapa final'!$AA$23="Alta",'Mapa final'!$AC$23="Mayor"),CONCATENATE("R3C",'Mapa final'!$Q$23),"")</f>
        <v/>
      </c>
      <c r="AH18" s="39" t="str">
        <f>IF(AND('Mapa final'!$AA$18="Alta",'Mapa final'!$AC$18="Catastrófico"),CONCATENATE("R3C",'Mapa final'!$Q$18),"")</f>
        <v/>
      </c>
      <c r="AI18" s="40" t="str">
        <f>IF(AND('Mapa final'!$AA$19="Alta",'Mapa final'!$AC$19="Catastrófico"),CONCATENATE("R3C",'Mapa final'!$Q$19),"")</f>
        <v/>
      </c>
      <c r="AJ18" s="40" t="str">
        <f>IF(AND('Mapa final'!$AA$20="Alta",'Mapa final'!$AC$20="Catastrófico"),CONCATENATE("R3C",'Mapa final'!$Q$20),"")</f>
        <v/>
      </c>
      <c r="AK18" s="40" t="str">
        <f>IF(AND('Mapa final'!$AA$21="Alta",'Mapa final'!$AC$21="Catastrófico"),CONCATENATE("R3C",'Mapa final'!$Q$21),"")</f>
        <v/>
      </c>
      <c r="AL18" s="40" t="str">
        <f>IF(AND('Mapa final'!$AA$22="Alta",'Mapa final'!$AC$22="Catastrófico"),CONCATENATE("R3C",'Mapa final'!$Q$22),"")</f>
        <v/>
      </c>
      <c r="AM18" s="41" t="str">
        <f>IF(AND('Mapa final'!$AA$23="Alta",'Mapa final'!$AC$23="Catastrófico"),CONCATENATE("R3C",'Mapa final'!$Q$23),"")</f>
        <v/>
      </c>
      <c r="AN18" s="67"/>
      <c r="AO18" s="398"/>
      <c r="AP18" s="399"/>
      <c r="AQ18" s="399"/>
      <c r="AR18" s="399"/>
      <c r="AS18" s="399"/>
      <c r="AT18" s="400"/>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25">
      <c r="A19" s="67"/>
      <c r="B19" s="347"/>
      <c r="C19" s="347"/>
      <c r="D19" s="348"/>
      <c r="E19" s="388"/>
      <c r="F19" s="389"/>
      <c r="G19" s="389"/>
      <c r="H19" s="389"/>
      <c r="I19" s="389"/>
      <c r="J19" s="51" t="str">
        <f>IF(AND('Mapa final'!$AA$24="Alta",'Mapa final'!$AC$24="Leve"),CONCATENATE("R4C",'Mapa final'!$Q$24),"")</f>
        <v/>
      </c>
      <c r="K19" s="52" t="str">
        <f>IF(AND('Mapa final'!$AA$25="Alta",'Mapa final'!$AC$25="Leve"),CONCATENATE("R4C",'Mapa final'!$Q$25),"")</f>
        <v/>
      </c>
      <c r="L19" s="52" t="str">
        <f>IF(AND('Mapa final'!$AA$26="Alta",'Mapa final'!$AC$26="Leve"),CONCATENATE("R4C",'Mapa final'!$Q$26),"")</f>
        <v/>
      </c>
      <c r="M19" s="52" t="str">
        <f>IF(AND('Mapa final'!$AA$27="Alta",'Mapa final'!$AC$27="Leve"),CONCATENATE("R4C",'Mapa final'!$Q$27),"")</f>
        <v/>
      </c>
      <c r="N19" s="52" t="str">
        <f>IF(AND('Mapa final'!$AA$28="Alta",'Mapa final'!$AC$28="Leve"),CONCATENATE("R4C",'Mapa final'!$Q$28),"")</f>
        <v/>
      </c>
      <c r="O19" s="53" t="str">
        <f>IF(AND('Mapa final'!$AA$29="Alta",'Mapa final'!$AC$29="Leve"),CONCATENATE("R4C",'Mapa final'!$Q$29),"")</f>
        <v/>
      </c>
      <c r="P19" s="51" t="str">
        <f>IF(AND('Mapa final'!$AA$24="Alta",'Mapa final'!$AC$24="Menor"),CONCATENATE("R4C",'Mapa final'!$Q$24),"")</f>
        <v/>
      </c>
      <c r="Q19" s="52" t="str">
        <f>IF(AND('Mapa final'!$AA$25="Alta",'Mapa final'!$AC$25="Menor"),CONCATENATE("R4C",'Mapa final'!$Q$25),"")</f>
        <v/>
      </c>
      <c r="R19" s="52" t="str">
        <f>IF(AND('Mapa final'!$AA$26="Alta",'Mapa final'!$AC$26="Menor"),CONCATENATE("R4C",'Mapa final'!$Q$26),"")</f>
        <v/>
      </c>
      <c r="S19" s="52" t="str">
        <f>IF(AND('Mapa final'!$AA$27="Alta",'Mapa final'!$AC$27="Menor"),CONCATENATE("R4C",'Mapa final'!$Q$27),"")</f>
        <v/>
      </c>
      <c r="T19" s="52" t="str">
        <f>IF(AND('Mapa final'!$AA$28="Alta",'Mapa final'!$AC$28="Menor"),CONCATENATE("R4C",'Mapa final'!$Q$28),"")</f>
        <v/>
      </c>
      <c r="U19" s="53" t="str">
        <f>IF(AND('Mapa final'!$AA$29="Alta",'Mapa final'!$AC$29="Menor"),CONCATENATE("R4C",'Mapa final'!$Q$29),"")</f>
        <v/>
      </c>
      <c r="V19" s="36" t="str">
        <f>IF(AND('Mapa final'!$AA$24="Alta",'Mapa final'!$AC$24="Moderado"),CONCATENATE("R4C",'Mapa final'!$Q$24),"")</f>
        <v/>
      </c>
      <c r="W19" s="37" t="str">
        <f>IF(AND('Mapa final'!$AA$25="Alta",'Mapa final'!$AC$25="Moderado"),CONCATENATE("R4C",'Mapa final'!$Q$25),"")</f>
        <v/>
      </c>
      <c r="X19" s="37" t="str">
        <f>IF(AND('Mapa final'!$AA$26="Alta",'Mapa final'!$AC$26="Moderado"),CONCATENATE("R4C",'Mapa final'!$Q$26),"")</f>
        <v/>
      </c>
      <c r="Y19" s="37" t="str">
        <f>IF(AND('Mapa final'!$AA$27="Alta",'Mapa final'!$AC$27="Moderado"),CONCATENATE("R4C",'Mapa final'!$Q$27),"")</f>
        <v/>
      </c>
      <c r="Z19" s="37" t="str">
        <f>IF(AND('Mapa final'!$AA$28="Alta",'Mapa final'!$AC$28="Moderado"),CONCATENATE("R4C",'Mapa final'!$Q$28),"")</f>
        <v/>
      </c>
      <c r="AA19" s="38" t="str">
        <f>IF(AND('Mapa final'!$AA$29="Alta",'Mapa final'!$AC$29="Moderado"),CONCATENATE("R4C",'Mapa final'!$Q$29),"")</f>
        <v/>
      </c>
      <c r="AB19" s="36" t="str">
        <f>IF(AND('Mapa final'!$AA$24="Alta",'Mapa final'!$AC$24="Mayor"),CONCATENATE("R4C",'Mapa final'!$Q$24),"")</f>
        <v/>
      </c>
      <c r="AC19" s="37" t="str">
        <f>IF(AND('Mapa final'!$AA$25="Alta",'Mapa final'!$AC$25="Mayor"),CONCATENATE("R4C",'Mapa final'!$Q$25),"")</f>
        <v/>
      </c>
      <c r="AD19" s="37" t="str">
        <f>IF(AND('Mapa final'!$AA$26="Alta",'Mapa final'!$AC$26="Mayor"),CONCATENATE("R4C",'Mapa final'!$Q$26),"")</f>
        <v/>
      </c>
      <c r="AE19" s="37" t="str">
        <f>IF(AND('Mapa final'!$AA$27="Alta",'Mapa final'!$AC$27="Mayor"),CONCATENATE("R4C",'Mapa final'!$Q$27),"")</f>
        <v/>
      </c>
      <c r="AF19" s="37" t="str">
        <f>IF(AND('Mapa final'!$AA$28="Alta",'Mapa final'!$AC$28="Mayor"),CONCATENATE("R4C",'Mapa final'!$Q$28),"")</f>
        <v/>
      </c>
      <c r="AG19" s="38" t="str">
        <f>IF(AND('Mapa final'!$AA$29="Alta",'Mapa final'!$AC$29="Mayor"),CONCATENATE("R4C",'Mapa final'!$Q$29),"")</f>
        <v/>
      </c>
      <c r="AH19" s="39" t="str">
        <f>IF(AND('Mapa final'!$AA$24="Alta",'Mapa final'!$AC$24="Catastrófico"),CONCATENATE("R4C",'Mapa final'!$Q$24),"")</f>
        <v/>
      </c>
      <c r="AI19" s="40" t="str">
        <f>IF(AND('Mapa final'!$AA$25="Alta",'Mapa final'!$AC$25="Catastrófico"),CONCATENATE("R4C",'Mapa final'!$Q$25),"")</f>
        <v/>
      </c>
      <c r="AJ19" s="40" t="str">
        <f>IF(AND('Mapa final'!$AA$26="Alta",'Mapa final'!$AC$26="Catastrófico"),CONCATENATE("R4C",'Mapa final'!$Q$26),"")</f>
        <v/>
      </c>
      <c r="AK19" s="40" t="str">
        <f>IF(AND('Mapa final'!$AA$27="Alta",'Mapa final'!$AC$27="Catastrófico"),CONCATENATE("R4C",'Mapa final'!$Q$27),"")</f>
        <v/>
      </c>
      <c r="AL19" s="40" t="str">
        <f>IF(AND('Mapa final'!$AA$28="Alta",'Mapa final'!$AC$28="Catastrófico"),CONCATENATE("R4C",'Mapa final'!$Q$28),"")</f>
        <v/>
      </c>
      <c r="AM19" s="41" t="str">
        <f>IF(AND('Mapa final'!$AA$29="Alta",'Mapa final'!$AC$29="Catastrófico"),CONCATENATE("R4C",'Mapa final'!$Q$29),"")</f>
        <v/>
      </c>
      <c r="AN19" s="67"/>
      <c r="AO19" s="398"/>
      <c r="AP19" s="399"/>
      <c r="AQ19" s="399"/>
      <c r="AR19" s="399"/>
      <c r="AS19" s="399"/>
      <c r="AT19" s="400"/>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25">
      <c r="A20" s="67"/>
      <c r="B20" s="347"/>
      <c r="C20" s="347"/>
      <c r="D20" s="348"/>
      <c r="E20" s="388"/>
      <c r="F20" s="389"/>
      <c r="G20" s="389"/>
      <c r="H20" s="389"/>
      <c r="I20" s="389"/>
      <c r="J20" s="51" t="str">
        <f>IF(AND('Mapa final'!$AA$30="Alta",'Mapa final'!$AC$30="Leve"),CONCATENATE("R5C",'Mapa final'!$Q$30),"")</f>
        <v/>
      </c>
      <c r="K20" s="52" t="str">
        <f>IF(AND('Mapa final'!$AA$31="Alta",'Mapa final'!$AC$31="Leve"),CONCATENATE("R5C",'Mapa final'!$Q$31),"")</f>
        <v/>
      </c>
      <c r="L20" s="52" t="str">
        <f>IF(AND('Mapa final'!$AA$32="Alta",'Mapa final'!$AC$32="Leve"),CONCATENATE("R5C",'Mapa final'!$Q$32),"")</f>
        <v/>
      </c>
      <c r="M20" s="52" t="str">
        <f>IF(AND('Mapa final'!$AA$33="Alta",'Mapa final'!$AC$33="Leve"),CONCATENATE("R5C",'Mapa final'!$Q$33),"")</f>
        <v/>
      </c>
      <c r="N20" s="52" t="str">
        <f>IF(AND('Mapa final'!$AA$34="Alta",'Mapa final'!$AC$34="Leve"),CONCATENATE("R5C",'Mapa final'!$Q$34),"")</f>
        <v/>
      </c>
      <c r="O20" s="53" t="str">
        <f>IF(AND('Mapa final'!$AA$35="Alta",'Mapa final'!$AC$35="Leve"),CONCATENATE("R5C",'Mapa final'!$Q$35),"")</f>
        <v/>
      </c>
      <c r="P20" s="51" t="str">
        <f>IF(AND('Mapa final'!$AA$30="Alta",'Mapa final'!$AC$30="Menor"),CONCATENATE("R5C",'Mapa final'!$Q$30),"")</f>
        <v/>
      </c>
      <c r="Q20" s="52" t="str">
        <f>IF(AND('Mapa final'!$AA$31="Alta",'Mapa final'!$AC$31="Menor"),CONCATENATE("R5C",'Mapa final'!$Q$31),"")</f>
        <v/>
      </c>
      <c r="R20" s="52" t="str">
        <f>IF(AND('Mapa final'!$AA$32="Alta",'Mapa final'!$AC$32="Menor"),CONCATENATE("R5C",'Mapa final'!$Q$32),"")</f>
        <v/>
      </c>
      <c r="S20" s="52" t="str">
        <f>IF(AND('Mapa final'!$AA$33="Alta",'Mapa final'!$AC$33="Menor"),CONCATENATE("R5C",'Mapa final'!$Q$33),"")</f>
        <v/>
      </c>
      <c r="T20" s="52" t="str">
        <f>IF(AND('Mapa final'!$AA$34="Alta",'Mapa final'!$AC$34="Menor"),CONCATENATE("R5C",'Mapa final'!$Q$34),"")</f>
        <v/>
      </c>
      <c r="U20" s="53" t="str">
        <f>IF(AND('Mapa final'!$AA$35="Alta",'Mapa final'!$AC$35="Menor"),CONCATENATE("R5C",'Mapa final'!$Q$35),"")</f>
        <v/>
      </c>
      <c r="V20" s="36" t="str">
        <f>IF(AND('Mapa final'!$AA$30="Alta",'Mapa final'!$AC$30="Moderado"),CONCATENATE("R5C",'Mapa final'!$Q$30),"")</f>
        <v/>
      </c>
      <c r="W20" s="37" t="str">
        <f>IF(AND('Mapa final'!$AA$31="Alta",'Mapa final'!$AC$31="Moderado"),CONCATENATE("R5C",'Mapa final'!$Q$31),"")</f>
        <v/>
      </c>
      <c r="X20" s="37" t="str">
        <f>IF(AND('Mapa final'!$AA$32="Alta",'Mapa final'!$AC$32="Moderado"),CONCATENATE("R5C",'Mapa final'!$Q$32),"")</f>
        <v/>
      </c>
      <c r="Y20" s="37" t="str">
        <f>IF(AND('Mapa final'!$AA$33="Alta",'Mapa final'!$AC$33="Moderado"),CONCATENATE("R5C",'Mapa final'!$Q$33),"")</f>
        <v/>
      </c>
      <c r="Z20" s="37" t="str">
        <f>IF(AND('Mapa final'!$AA$34="Alta",'Mapa final'!$AC$34="Moderado"),CONCATENATE("R5C",'Mapa final'!$Q$34),"")</f>
        <v/>
      </c>
      <c r="AA20" s="38" t="str">
        <f>IF(AND('Mapa final'!$AA$35="Alta",'Mapa final'!$AC$35="Moderado"),CONCATENATE("R5C",'Mapa final'!$Q$35),"")</f>
        <v/>
      </c>
      <c r="AB20" s="36" t="str">
        <f>IF(AND('Mapa final'!$AA$30="Alta",'Mapa final'!$AC$30="Mayor"),CONCATENATE("R5C",'Mapa final'!$Q$30),"")</f>
        <v/>
      </c>
      <c r="AC20" s="37" t="str">
        <f>IF(AND('Mapa final'!$AA$31="Alta",'Mapa final'!$AC$31="Mayor"),CONCATENATE("R5C",'Mapa final'!$Q$31),"")</f>
        <v/>
      </c>
      <c r="AD20" s="37" t="str">
        <f>IF(AND('Mapa final'!$AA$32="Alta",'Mapa final'!$AC$32="Mayor"),CONCATENATE("R5C",'Mapa final'!$Q$32),"")</f>
        <v/>
      </c>
      <c r="AE20" s="37" t="str">
        <f>IF(AND('Mapa final'!$AA$33="Alta",'Mapa final'!$AC$33="Mayor"),CONCATENATE("R5C",'Mapa final'!$Q$33),"")</f>
        <v/>
      </c>
      <c r="AF20" s="37" t="str">
        <f>IF(AND('Mapa final'!$AA$34="Alta",'Mapa final'!$AC$34="Mayor"),CONCATENATE("R5C",'Mapa final'!$Q$34),"")</f>
        <v/>
      </c>
      <c r="AG20" s="38" t="str">
        <f>IF(AND('Mapa final'!$AA$35="Alta",'Mapa final'!$AC$35="Mayor"),CONCATENATE("R5C",'Mapa final'!$Q$35),"")</f>
        <v/>
      </c>
      <c r="AH20" s="39" t="str">
        <f>IF(AND('Mapa final'!$AA$30="Alta",'Mapa final'!$AC$30="Catastrófico"),CONCATENATE("R5C",'Mapa final'!$Q$30),"")</f>
        <v/>
      </c>
      <c r="AI20" s="40" t="str">
        <f>IF(AND('Mapa final'!$AA$31="Alta",'Mapa final'!$AC$31="Catastrófico"),CONCATENATE("R5C",'Mapa final'!$Q$31),"")</f>
        <v/>
      </c>
      <c r="AJ20" s="40" t="str">
        <f>IF(AND('Mapa final'!$AA$32="Alta",'Mapa final'!$AC$32="Catastrófico"),CONCATENATE("R5C",'Mapa final'!$Q$32),"")</f>
        <v/>
      </c>
      <c r="AK20" s="40" t="str">
        <f>IF(AND('Mapa final'!$AA$33="Alta",'Mapa final'!$AC$33="Catastrófico"),CONCATENATE("R5C",'Mapa final'!$Q$33),"")</f>
        <v/>
      </c>
      <c r="AL20" s="40" t="str">
        <f>IF(AND('Mapa final'!$AA$34="Alta",'Mapa final'!$AC$34="Catastrófico"),CONCATENATE("R5C",'Mapa final'!$Q$34),"")</f>
        <v/>
      </c>
      <c r="AM20" s="41" t="str">
        <f>IF(AND('Mapa final'!$AA$35="Alta",'Mapa final'!$AC$35="Catastrófico"),CONCATENATE("R5C",'Mapa final'!$Q$35),"")</f>
        <v/>
      </c>
      <c r="AN20" s="67"/>
      <c r="AO20" s="398"/>
      <c r="AP20" s="399"/>
      <c r="AQ20" s="399"/>
      <c r="AR20" s="399"/>
      <c r="AS20" s="399"/>
      <c r="AT20" s="400"/>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25">
      <c r="A21" s="67"/>
      <c r="B21" s="347"/>
      <c r="C21" s="347"/>
      <c r="D21" s="348"/>
      <c r="E21" s="388"/>
      <c r="F21" s="389"/>
      <c r="G21" s="389"/>
      <c r="H21" s="389"/>
      <c r="I21" s="389"/>
      <c r="J21" s="51" t="str">
        <f>IF(AND('Mapa final'!$AA$36="Alta",'Mapa final'!$AC$36="Leve"),CONCATENATE("R6C",'Mapa final'!$Q$36),"")</f>
        <v/>
      </c>
      <c r="K21" s="52" t="str">
        <f>IF(AND('Mapa final'!$AA$37="Alta",'Mapa final'!$AC$37="Leve"),CONCATENATE("R6C",'Mapa final'!$Q$37),"")</f>
        <v/>
      </c>
      <c r="L21" s="52" t="str">
        <f>IF(AND('Mapa final'!$AA$38="Alta",'Mapa final'!$AC$38="Leve"),CONCATENATE("R6C",'Mapa final'!$Q$38),"")</f>
        <v/>
      </c>
      <c r="M21" s="52" t="str">
        <f>IF(AND('Mapa final'!$AA$39="Alta",'Mapa final'!$AC$39="Leve"),CONCATENATE("R6C",'Mapa final'!$Q$39),"")</f>
        <v/>
      </c>
      <c r="N21" s="52" t="str">
        <f>IF(AND('Mapa final'!$AA$40="Alta",'Mapa final'!$AC$40="Leve"),CONCATENATE("R6C",'Mapa final'!$Q$40),"")</f>
        <v/>
      </c>
      <c r="O21" s="53" t="str">
        <f>IF(AND('Mapa final'!$AA$41="Alta",'Mapa final'!$AC$41="Leve"),CONCATENATE("R6C",'Mapa final'!$Q$41),"")</f>
        <v/>
      </c>
      <c r="P21" s="51" t="str">
        <f>IF(AND('Mapa final'!$AA$36="Alta",'Mapa final'!$AC$36="Menor"),CONCATENATE("R6C",'Mapa final'!$Q$36),"")</f>
        <v/>
      </c>
      <c r="Q21" s="52" t="str">
        <f>IF(AND('Mapa final'!$AA$37="Alta",'Mapa final'!$AC$37="Menor"),CONCATENATE("R6C",'Mapa final'!$Q$37),"")</f>
        <v/>
      </c>
      <c r="R21" s="52" t="str">
        <f>IF(AND('Mapa final'!$AA$38="Alta",'Mapa final'!$AC$38="Menor"),CONCATENATE("R6C",'Mapa final'!$Q$38),"")</f>
        <v/>
      </c>
      <c r="S21" s="52" t="str">
        <f>IF(AND('Mapa final'!$AA$39="Alta",'Mapa final'!$AC$39="Menor"),CONCATENATE("R6C",'Mapa final'!$Q$39),"")</f>
        <v/>
      </c>
      <c r="T21" s="52" t="str">
        <f>IF(AND('Mapa final'!$AA$40="Alta",'Mapa final'!$AC$40="Menor"),CONCATENATE("R6C",'Mapa final'!$Q$40),"")</f>
        <v/>
      </c>
      <c r="U21" s="53" t="str">
        <f>IF(AND('Mapa final'!$AA$41="Alta",'Mapa final'!$AC$41="Menor"),CONCATENATE("R6C",'Mapa final'!$Q$41),"")</f>
        <v/>
      </c>
      <c r="V21" s="36" t="str">
        <f>IF(AND('Mapa final'!$AA$36="Alta",'Mapa final'!$AC$36="Moderado"),CONCATENATE("R6C",'Mapa final'!$Q$36),"")</f>
        <v/>
      </c>
      <c r="W21" s="37" t="str">
        <f>IF(AND('Mapa final'!$AA$37="Alta",'Mapa final'!$AC$37="Moderado"),CONCATENATE("R6C",'Mapa final'!$Q$37),"")</f>
        <v/>
      </c>
      <c r="X21" s="37" t="str">
        <f>IF(AND('Mapa final'!$AA$38="Alta",'Mapa final'!$AC$38="Moderado"),CONCATENATE("R6C",'Mapa final'!$Q$38),"")</f>
        <v/>
      </c>
      <c r="Y21" s="37" t="str">
        <f>IF(AND('Mapa final'!$AA$39="Alta",'Mapa final'!$AC$39="Moderado"),CONCATENATE("R6C",'Mapa final'!$Q$39),"")</f>
        <v/>
      </c>
      <c r="Z21" s="37" t="str">
        <f>IF(AND('Mapa final'!$AA$40="Alta",'Mapa final'!$AC$40="Moderado"),CONCATENATE("R6C",'Mapa final'!$Q$40),"")</f>
        <v/>
      </c>
      <c r="AA21" s="38" t="str">
        <f>IF(AND('Mapa final'!$AA$41="Alta",'Mapa final'!$AC$41="Moderado"),CONCATENATE("R6C",'Mapa final'!$Q$41),"")</f>
        <v/>
      </c>
      <c r="AB21" s="36" t="str">
        <f>IF(AND('Mapa final'!$AA$36="Alta",'Mapa final'!$AC$36="Mayor"),CONCATENATE("R6C",'Mapa final'!$Q$36),"")</f>
        <v/>
      </c>
      <c r="AC21" s="37" t="str">
        <f>IF(AND('Mapa final'!$AA$37="Alta",'Mapa final'!$AC$37="Mayor"),CONCATENATE("R6C",'Mapa final'!$Q$37),"")</f>
        <v/>
      </c>
      <c r="AD21" s="37" t="str">
        <f>IF(AND('Mapa final'!$AA$38="Alta",'Mapa final'!$AC$38="Mayor"),CONCATENATE("R6C",'Mapa final'!$Q$38),"")</f>
        <v/>
      </c>
      <c r="AE21" s="37" t="str">
        <f>IF(AND('Mapa final'!$AA$39="Alta",'Mapa final'!$AC$39="Mayor"),CONCATENATE("R6C",'Mapa final'!$Q$39),"")</f>
        <v/>
      </c>
      <c r="AF21" s="37" t="str">
        <f>IF(AND('Mapa final'!$AA$40="Alta",'Mapa final'!$AC$40="Mayor"),CONCATENATE("R6C",'Mapa final'!$Q$40),"")</f>
        <v/>
      </c>
      <c r="AG21" s="38" t="str">
        <f>IF(AND('Mapa final'!$AA$41="Alta",'Mapa final'!$AC$41="Mayor"),CONCATENATE("R6C",'Mapa final'!$Q$41),"")</f>
        <v/>
      </c>
      <c r="AH21" s="39" t="str">
        <f>IF(AND('Mapa final'!$AA$36="Alta",'Mapa final'!$AC$36="Catastrófico"),CONCATENATE("R6C",'Mapa final'!$Q$36),"")</f>
        <v/>
      </c>
      <c r="AI21" s="40" t="str">
        <f>IF(AND('Mapa final'!$AA$37="Alta",'Mapa final'!$AC$37="Catastrófico"),CONCATENATE("R6C",'Mapa final'!$Q$37),"")</f>
        <v/>
      </c>
      <c r="AJ21" s="40" t="str">
        <f>IF(AND('Mapa final'!$AA$38="Alta",'Mapa final'!$AC$38="Catastrófico"),CONCATENATE("R6C",'Mapa final'!$Q$38),"")</f>
        <v/>
      </c>
      <c r="AK21" s="40" t="str">
        <f>IF(AND('Mapa final'!$AA$39="Alta",'Mapa final'!$AC$39="Catastrófico"),CONCATENATE("R6C",'Mapa final'!$Q$39),"")</f>
        <v/>
      </c>
      <c r="AL21" s="40" t="str">
        <f>IF(AND('Mapa final'!$AA$40="Alta",'Mapa final'!$AC$40="Catastrófico"),CONCATENATE("R6C",'Mapa final'!$Q$40),"")</f>
        <v/>
      </c>
      <c r="AM21" s="41" t="str">
        <f>IF(AND('Mapa final'!$AA$41="Alta",'Mapa final'!$AC$41="Catastrófico"),CONCATENATE("R6C",'Mapa final'!$Q$41),"")</f>
        <v/>
      </c>
      <c r="AN21" s="67"/>
      <c r="AO21" s="398"/>
      <c r="AP21" s="399"/>
      <c r="AQ21" s="399"/>
      <c r="AR21" s="399"/>
      <c r="AS21" s="399"/>
      <c r="AT21" s="400"/>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25">
      <c r="A22" s="67"/>
      <c r="B22" s="347"/>
      <c r="C22" s="347"/>
      <c r="D22" s="348"/>
      <c r="E22" s="388"/>
      <c r="F22" s="389"/>
      <c r="G22" s="389"/>
      <c r="H22" s="389"/>
      <c r="I22" s="389"/>
      <c r="J22" s="51" t="str">
        <f>IF(AND('Mapa final'!$AA$42="Alta",'Mapa final'!$AC$42="Leve"),CONCATENATE("R7C",'Mapa final'!$Q$42),"")</f>
        <v/>
      </c>
      <c r="K22" s="52" t="str">
        <f>IF(AND('Mapa final'!$AA$43="Alta",'Mapa final'!$AC$43="Leve"),CONCATENATE("R7C",'Mapa final'!$Q$43),"")</f>
        <v/>
      </c>
      <c r="L22" s="52" t="str">
        <f>IF(AND('Mapa final'!$AA$44="Alta",'Mapa final'!$AC$44="Leve"),CONCATENATE("R7C",'Mapa final'!$Q$44),"")</f>
        <v/>
      </c>
      <c r="M22" s="52" t="str">
        <f>IF(AND('Mapa final'!$AA$45="Alta",'Mapa final'!$AC$45="Leve"),CONCATENATE("R7C",'Mapa final'!$Q$45),"")</f>
        <v/>
      </c>
      <c r="N22" s="52" t="str">
        <f>IF(AND('Mapa final'!$AA$46="Alta",'Mapa final'!$AC$46="Leve"),CONCATENATE("R7C",'Mapa final'!$Q$46),"")</f>
        <v/>
      </c>
      <c r="O22" s="53" t="str">
        <f>IF(AND('Mapa final'!$AA$47="Alta",'Mapa final'!$AC$47="Leve"),CONCATENATE("R7C",'Mapa final'!$Q$47),"")</f>
        <v/>
      </c>
      <c r="P22" s="51" t="str">
        <f>IF(AND('Mapa final'!$AA$42="Alta",'Mapa final'!$AC$42="Menor"),CONCATENATE("R7C",'Mapa final'!$Q$42),"")</f>
        <v/>
      </c>
      <c r="Q22" s="52" t="str">
        <f>IF(AND('Mapa final'!$AA$43="Alta",'Mapa final'!$AC$43="Menor"),CONCATENATE("R7C",'Mapa final'!$Q$43),"")</f>
        <v/>
      </c>
      <c r="R22" s="52" t="str">
        <f>IF(AND('Mapa final'!$AA$44="Alta",'Mapa final'!$AC$44="Menor"),CONCATENATE("R7C",'Mapa final'!$Q$44),"")</f>
        <v/>
      </c>
      <c r="S22" s="52" t="str">
        <f>IF(AND('Mapa final'!$AA$45="Alta",'Mapa final'!$AC$45="Menor"),CONCATENATE("R7C",'Mapa final'!$Q$45),"")</f>
        <v/>
      </c>
      <c r="T22" s="52" t="str">
        <f>IF(AND('Mapa final'!$AA$46="Alta",'Mapa final'!$AC$46="Menor"),CONCATENATE("R7C",'Mapa final'!$Q$46),"")</f>
        <v/>
      </c>
      <c r="U22" s="53" t="str">
        <f>IF(AND('Mapa final'!$AA$47="Alta",'Mapa final'!$AC$47="Menor"),CONCATENATE("R7C",'Mapa final'!$Q$47),"")</f>
        <v/>
      </c>
      <c r="V22" s="36" t="str">
        <f>IF(AND('Mapa final'!$AA$42="Alta",'Mapa final'!$AC$42="Moderado"),CONCATENATE("R7C",'Mapa final'!$Q$42),"")</f>
        <v/>
      </c>
      <c r="W22" s="37" t="str">
        <f>IF(AND('Mapa final'!$AA$43="Alta",'Mapa final'!$AC$43="Moderado"),CONCATENATE("R7C",'Mapa final'!$Q$43),"")</f>
        <v/>
      </c>
      <c r="X22" s="37" t="str">
        <f>IF(AND('Mapa final'!$AA$44="Alta",'Mapa final'!$AC$44="Moderado"),CONCATENATE("R7C",'Mapa final'!$Q$44),"")</f>
        <v/>
      </c>
      <c r="Y22" s="37" t="str">
        <f>IF(AND('Mapa final'!$AA$45="Alta",'Mapa final'!$AC$45="Moderado"),CONCATENATE("R7C",'Mapa final'!$Q$45),"")</f>
        <v/>
      </c>
      <c r="Z22" s="37" t="str">
        <f>IF(AND('Mapa final'!$AA$46="Alta",'Mapa final'!$AC$46="Moderado"),CONCATENATE("R7C",'Mapa final'!$Q$46),"")</f>
        <v/>
      </c>
      <c r="AA22" s="38" t="str">
        <f>IF(AND('Mapa final'!$AA$47="Alta",'Mapa final'!$AC$47="Moderado"),CONCATENATE("R7C",'Mapa final'!$Q$47),"")</f>
        <v/>
      </c>
      <c r="AB22" s="36" t="str">
        <f>IF(AND('Mapa final'!$AA$42="Alta",'Mapa final'!$AC$42="Mayor"),CONCATENATE("R7C",'Mapa final'!$Q$42),"")</f>
        <v/>
      </c>
      <c r="AC22" s="37" t="str">
        <f>IF(AND('Mapa final'!$AA$43="Alta",'Mapa final'!$AC$43="Mayor"),CONCATENATE("R7C",'Mapa final'!$Q$43),"")</f>
        <v/>
      </c>
      <c r="AD22" s="37" t="str">
        <f>IF(AND('Mapa final'!$AA$44="Alta",'Mapa final'!$AC$44="Mayor"),CONCATENATE("R7C",'Mapa final'!$Q$44),"")</f>
        <v/>
      </c>
      <c r="AE22" s="37" t="str">
        <f>IF(AND('Mapa final'!$AA$45="Alta",'Mapa final'!$AC$45="Mayor"),CONCATENATE("R7C",'Mapa final'!$Q$45),"")</f>
        <v/>
      </c>
      <c r="AF22" s="37" t="str">
        <f>IF(AND('Mapa final'!$AA$46="Alta",'Mapa final'!$AC$46="Mayor"),CONCATENATE("R7C",'Mapa final'!$Q$46),"")</f>
        <v/>
      </c>
      <c r="AG22" s="38" t="str">
        <f>IF(AND('Mapa final'!$AA$47="Alta",'Mapa final'!$AC$47="Mayor"),CONCATENATE("R7C",'Mapa final'!$Q$47),"")</f>
        <v/>
      </c>
      <c r="AH22" s="39" t="str">
        <f>IF(AND('Mapa final'!$AA$42="Alta",'Mapa final'!$AC$42="Catastrófico"),CONCATENATE("R7C",'Mapa final'!$Q$42),"")</f>
        <v/>
      </c>
      <c r="AI22" s="40" t="str">
        <f>IF(AND('Mapa final'!$AA$43="Alta",'Mapa final'!$AC$43="Catastrófico"),CONCATENATE("R7C",'Mapa final'!$Q$43),"")</f>
        <v/>
      </c>
      <c r="AJ22" s="40" t="str">
        <f>IF(AND('Mapa final'!$AA$44="Alta",'Mapa final'!$AC$44="Catastrófico"),CONCATENATE("R7C",'Mapa final'!$Q$44),"")</f>
        <v/>
      </c>
      <c r="AK22" s="40" t="str">
        <f>IF(AND('Mapa final'!$AA$45="Alta",'Mapa final'!$AC$45="Catastrófico"),CONCATENATE("R7C",'Mapa final'!$Q$45),"")</f>
        <v/>
      </c>
      <c r="AL22" s="40" t="str">
        <f>IF(AND('Mapa final'!$AA$46="Alta",'Mapa final'!$AC$46="Catastrófico"),CONCATENATE("R7C",'Mapa final'!$Q$46),"")</f>
        <v/>
      </c>
      <c r="AM22" s="41" t="str">
        <f>IF(AND('Mapa final'!$AA$47="Alta",'Mapa final'!$AC$47="Catastrófico"),CONCATENATE("R7C",'Mapa final'!$Q$47),"")</f>
        <v/>
      </c>
      <c r="AN22" s="67"/>
      <c r="AO22" s="398"/>
      <c r="AP22" s="399"/>
      <c r="AQ22" s="399"/>
      <c r="AR22" s="399"/>
      <c r="AS22" s="399"/>
      <c r="AT22" s="400"/>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25">
      <c r="A23" s="67"/>
      <c r="B23" s="347"/>
      <c r="C23" s="347"/>
      <c r="D23" s="348"/>
      <c r="E23" s="388"/>
      <c r="F23" s="389"/>
      <c r="G23" s="389"/>
      <c r="H23" s="389"/>
      <c r="I23" s="389"/>
      <c r="J23" s="51" t="str">
        <f>IF(AND('Mapa final'!$AA$48="Alta",'Mapa final'!$AC$48="Leve"),CONCATENATE("R8C",'Mapa final'!$Q$48),"")</f>
        <v/>
      </c>
      <c r="K23" s="52" t="str">
        <f>IF(AND('Mapa final'!$AA$49="Alta",'Mapa final'!$AC$49="Leve"),CONCATENATE("R8C",'Mapa final'!$Q$49),"")</f>
        <v/>
      </c>
      <c r="L23" s="52" t="str">
        <f>IF(AND('Mapa final'!$AA$50="Alta",'Mapa final'!$AC$50="Leve"),CONCATENATE("R8C",'Mapa final'!$Q$50),"")</f>
        <v/>
      </c>
      <c r="M23" s="52" t="str">
        <f>IF(AND('Mapa final'!$AA$51="Alta",'Mapa final'!$AC$51="Leve"),CONCATENATE("R8C",'Mapa final'!$Q$51),"")</f>
        <v/>
      </c>
      <c r="N23" s="52" t="str">
        <f>IF(AND('Mapa final'!$AA$52="Alta",'Mapa final'!$AC$52="Leve"),CONCATENATE("R8C",'Mapa final'!$Q$52),"")</f>
        <v/>
      </c>
      <c r="O23" s="53" t="str">
        <f>IF(AND('Mapa final'!$AA$53="Alta",'Mapa final'!$AC$53="Leve"),CONCATENATE("R8C",'Mapa final'!$Q$53),"")</f>
        <v/>
      </c>
      <c r="P23" s="51" t="str">
        <f>IF(AND('Mapa final'!$AA$48="Alta",'Mapa final'!$AC$48="Menor"),CONCATENATE("R8C",'Mapa final'!$Q$48),"")</f>
        <v/>
      </c>
      <c r="Q23" s="52" t="str">
        <f>IF(AND('Mapa final'!$AA$49="Alta",'Mapa final'!$AC$49="Menor"),CONCATENATE("R8C",'Mapa final'!$Q$49),"")</f>
        <v/>
      </c>
      <c r="R23" s="52" t="str">
        <f>IF(AND('Mapa final'!$AA$50="Alta",'Mapa final'!$AC$50="Menor"),CONCATENATE("R8C",'Mapa final'!$Q$50),"")</f>
        <v/>
      </c>
      <c r="S23" s="52" t="str">
        <f>IF(AND('Mapa final'!$AA$51="Alta",'Mapa final'!$AC$51="Menor"),CONCATENATE("R8C",'Mapa final'!$Q$51),"")</f>
        <v/>
      </c>
      <c r="T23" s="52" t="str">
        <f>IF(AND('Mapa final'!$AA$52="Alta",'Mapa final'!$AC$52="Menor"),CONCATENATE("R8C",'Mapa final'!$Q$52),"")</f>
        <v/>
      </c>
      <c r="U23" s="53" t="str">
        <f>IF(AND('Mapa final'!$AA$53="Alta",'Mapa final'!$AC$53="Menor"),CONCATENATE("R8C",'Mapa final'!$Q$53),"")</f>
        <v/>
      </c>
      <c r="V23" s="36" t="str">
        <f>IF(AND('Mapa final'!$AA$48="Alta",'Mapa final'!$AC$48="Moderado"),CONCATENATE("R8C",'Mapa final'!$Q$48),"")</f>
        <v/>
      </c>
      <c r="W23" s="37" t="str">
        <f>IF(AND('Mapa final'!$AA$49="Alta",'Mapa final'!$AC$49="Moderado"),CONCATENATE("R8C",'Mapa final'!$Q$49),"")</f>
        <v/>
      </c>
      <c r="X23" s="37" t="str">
        <f>IF(AND('Mapa final'!$AA$50="Alta",'Mapa final'!$AC$50="Moderado"),CONCATENATE("R8C",'Mapa final'!$Q$50),"")</f>
        <v/>
      </c>
      <c r="Y23" s="37" t="str">
        <f>IF(AND('Mapa final'!$AA$51="Alta",'Mapa final'!$AC$51="Moderado"),CONCATENATE("R8C",'Mapa final'!$Q$51),"")</f>
        <v/>
      </c>
      <c r="Z23" s="37" t="str">
        <f>IF(AND('Mapa final'!$AA$52="Alta",'Mapa final'!$AC$52="Moderado"),CONCATENATE("R8C",'Mapa final'!$Q$52),"")</f>
        <v/>
      </c>
      <c r="AA23" s="38" t="str">
        <f>IF(AND('Mapa final'!$AA$53="Alta",'Mapa final'!$AC$53="Moderado"),CONCATENATE("R8C",'Mapa final'!$Q$53),"")</f>
        <v/>
      </c>
      <c r="AB23" s="36" t="str">
        <f>IF(AND('Mapa final'!$AA$48="Alta",'Mapa final'!$AC$48="Mayor"),CONCATENATE("R8C",'Mapa final'!$Q$48),"")</f>
        <v/>
      </c>
      <c r="AC23" s="37" t="str">
        <f>IF(AND('Mapa final'!$AA$49="Alta",'Mapa final'!$AC$49="Mayor"),CONCATENATE("R8C",'Mapa final'!$Q$49),"")</f>
        <v/>
      </c>
      <c r="AD23" s="37" t="str">
        <f>IF(AND('Mapa final'!$AA$50="Alta",'Mapa final'!$AC$50="Mayor"),CONCATENATE("R8C",'Mapa final'!$Q$50),"")</f>
        <v/>
      </c>
      <c r="AE23" s="37" t="str">
        <f>IF(AND('Mapa final'!$AA$51="Alta",'Mapa final'!$AC$51="Mayor"),CONCATENATE("R8C",'Mapa final'!$Q$51),"")</f>
        <v/>
      </c>
      <c r="AF23" s="37" t="str">
        <f>IF(AND('Mapa final'!$AA$52="Alta",'Mapa final'!$AC$52="Mayor"),CONCATENATE("R8C",'Mapa final'!$Q$52),"")</f>
        <v/>
      </c>
      <c r="AG23" s="38" t="str">
        <f>IF(AND('Mapa final'!$AA$53="Alta",'Mapa final'!$AC$53="Mayor"),CONCATENATE("R8C",'Mapa final'!$Q$53),"")</f>
        <v/>
      </c>
      <c r="AH23" s="39" t="str">
        <f>IF(AND('Mapa final'!$AA$48="Alta",'Mapa final'!$AC$48="Catastrófico"),CONCATENATE("R8C",'Mapa final'!$Q$48),"")</f>
        <v/>
      </c>
      <c r="AI23" s="40" t="str">
        <f>IF(AND('Mapa final'!$AA$49="Alta",'Mapa final'!$AC$49="Catastrófico"),CONCATENATE("R8C",'Mapa final'!$Q$49),"")</f>
        <v/>
      </c>
      <c r="AJ23" s="40" t="str">
        <f>IF(AND('Mapa final'!$AA$50="Alta",'Mapa final'!$AC$50="Catastrófico"),CONCATENATE("R8C",'Mapa final'!$Q$50),"")</f>
        <v/>
      </c>
      <c r="AK23" s="40" t="str">
        <f>IF(AND('Mapa final'!$AA$51="Alta",'Mapa final'!$AC$51="Catastrófico"),CONCATENATE("R8C",'Mapa final'!$Q$51),"")</f>
        <v/>
      </c>
      <c r="AL23" s="40" t="str">
        <f>IF(AND('Mapa final'!$AA$52="Alta",'Mapa final'!$AC$52="Catastrófico"),CONCATENATE("R8C",'Mapa final'!$Q$52),"")</f>
        <v/>
      </c>
      <c r="AM23" s="41" t="str">
        <f>IF(AND('Mapa final'!$AA$53="Alta",'Mapa final'!$AC$53="Catastrófico"),CONCATENATE("R8C",'Mapa final'!$Q$53),"")</f>
        <v/>
      </c>
      <c r="AN23" s="67"/>
      <c r="AO23" s="398"/>
      <c r="AP23" s="399"/>
      <c r="AQ23" s="399"/>
      <c r="AR23" s="399"/>
      <c r="AS23" s="399"/>
      <c r="AT23" s="400"/>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25">
      <c r="A24" s="67"/>
      <c r="B24" s="347"/>
      <c r="C24" s="347"/>
      <c r="D24" s="348"/>
      <c r="E24" s="388"/>
      <c r="F24" s="389"/>
      <c r="G24" s="389"/>
      <c r="H24" s="389"/>
      <c r="I24" s="389"/>
      <c r="J24" s="51" t="str">
        <f>IF(AND('Mapa final'!$AA$54="Alta",'Mapa final'!$AC$54="Leve"),CONCATENATE("R9C",'Mapa final'!$Q$54),"")</f>
        <v/>
      </c>
      <c r="K24" s="52" t="str">
        <f>IF(AND('Mapa final'!$AA$55="Alta",'Mapa final'!$AC$55="Leve"),CONCATENATE("R9C",'Mapa final'!$Q$55),"")</f>
        <v/>
      </c>
      <c r="L24" s="52" t="str">
        <f>IF(AND('Mapa final'!$AA$56="Alta",'Mapa final'!$AC$56="Leve"),CONCATENATE("R9C",'Mapa final'!$Q$56),"")</f>
        <v/>
      </c>
      <c r="M24" s="52" t="str">
        <f>IF(AND('Mapa final'!$AA$57="Alta",'Mapa final'!$AC$57="Leve"),CONCATENATE("R9C",'Mapa final'!$Q$57),"")</f>
        <v/>
      </c>
      <c r="N24" s="52" t="str">
        <f>IF(AND('Mapa final'!$AA$58="Alta",'Mapa final'!$AC$58="Leve"),CONCATENATE("R9C",'Mapa final'!$Q$58),"")</f>
        <v/>
      </c>
      <c r="O24" s="53" t="str">
        <f>IF(AND('Mapa final'!$AA$59="Alta",'Mapa final'!$AC$59="Leve"),CONCATENATE("R9C",'Mapa final'!$Q$59),"")</f>
        <v/>
      </c>
      <c r="P24" s="51" t="str">
        <f>IF(AND('Mapa final'!$AA$54="Alta",'Mapa final'!$AC$54="Menor"),CONCATENATE("R9C",'Mapa final'!$Q$54),"")</f>
        <v/>
      </c>
      <c r="Q24" s="52" t="str">
        <f>IF(AND('Mapa final'!$AA$55="Alta",'Mapa final'!$AC$55="Menor"),CONCATENATE("R9C",'Mapa final'!$Q$55),"")</f>
        <v/>
      </c>
      <c r="R24" s="52" t="str">
        <f>IF(AND('Mapa final'!$AA$56="Alta",'Mapa final'!$AC$56="Menor"),CONCATENATE("R9C",'Mapa final'!$Q$56),"")</f>
        <v/>
      </c>
      <c r="S24" s="52" t="str">
        <f>IF(AND('Mapa final'!$AA$57="Alta",'Mapa final'!$AC$57="Menor"),CONCATENATE("R9C",'Mapa final'!$Q$57),"")</f>
        <v/>
      </c>
      <c r="T24" s="52" t="str">
        <f>IF(AND('Mapa final'!$AA$58="Alta",'Mapa final'!$AC$58="Menor"),CONCATENATE("R9C",'Mapa final'!$Q$58),"")</f>
        <v/>
      </c>
      <c r="U24" s="53" t="str">
        <f>IF(AND('Mapa final'!$AA$59="Alta",'Mapa final'!$AC$59="Menor"),CONCATENATE("R9C",'Mapa final'!$Q$59),"")</f>
        <v/>
      </c>
      <c r="V24" s="36" t="str">
        <f>IF(AND('Mapa final'!$AA$54="Alta",'Mapa final'!$AC$54="Moderado"),CONCATENATE("R9C",'Mapa final'!$Q$54),"")</f>
        <v/>
      </c>
      <c r="W24" s="37" t="str">
        <f>IF(AND('Mapa final'!$AA$55="Alta",'Mapa final'!$AC$55="Moderado"),CONCATENATE("R9C",'Mapa final'!$Q$55),"")</f>
        <v/>
      </c>
      <c r="X24" s="37" t="str">
        <f>IF(AND('Mapa final'!$AA$56="Alta",'Mapa final'!$AC$56="Moderado"),CONCATENATE("R9C",'Mapa final'!$Q$56),"")</f>
        <v/>
      </c>
      <c r="Y24" s="37" t="str">
        <f>IF(AND('Mapa final'!$AA$57="Alta",'Mapa final'!$AC$57="Moderado"),CONCATENATE("R9C",'Mapa final'!$Q$57),"")</f>
        <v/>
      </c>
      <c r="Z24" s="37" t="str">
        <f>IF(AND('Mapa final'!$AA$58="Alta",'Mapa final'!$AC$58="Moderado"),CONCATENATE("R9C",'Mapa final'!$Q$58),"")</f>
        <v/>
      </c>
      <c r="AA24" s="38" t="str">
        <f>IF(AND('Mapa final'!$AA$59="Alta",'Mapa final'!$AC$59="Moderado"),CONCATENATE("R9C",'Mapa final'!$Q$59),"")</f>
        <v/>
      </c>
      <c r="AB24" s="36" t="str">
        <f>IF(AND('Mapa final'!$AA$54="Alta",'Mapa final'!$AC$54="Mayor"),CONCATENATE("R9C",'Mapa final'!$Q$54),"")</f>
        <v/>
      </c>
      <c r="AC24" s="37" t="str">
        <f>IF(AND('Mapa final'!$AA$55="Alta",'Mapa final'!$AC$55="Mayor"),CONCATENATE("R9C",'Mapa final'!$Q$55),"")</f>
        <v/>
      </c>
      <c r="AD24" s="37" t="str">
        <f>IF(AND('Mapa final'!$AA$56="Alta",'Mapa final'!$AC$56="Mayor"),CONCATENATE("R9C",'Mapa final'!$Q$56),"")</f>
        <v/>
      </c>
      <c r="AE24" s="37" t="str">
        <f>IF(AND('Mapa final'!$AA$57="Alta",'Mapa final'!$AC$57="Mayor"),CONCATENATE("R9C",'Mapa final'!$Q$57),"")</f>
        <v/>
      </c>
      <c r="AF24" s="37" t="str">
        <f>IF(AND('Mapa final'!$AA$58="Alta",'Mapa final'!$AC$58="Mayor"),CONCATENATE("R9C",'Mapa final'!$Q$58),"")</f>
        <v/>
      </c>
      <c r="AG24" s="38" t="str">
        <f>IF(AND('Mapa final'!$AA$59="Alta",'Mapa final'!$AC$59="Mayor"),CONCATENATE("R9C",'Mapa final'!$Q$59),"")</f>
        <v/>
      </c>
      <c r="AH24" s="39" t="str">
        <f>IF(AND('Mapa final'!$AA$54="Alta",'Mapa final'!$AC$54="Catastrófico"),CONCATENATE("R9C",'Mapa final'!$Q$54),"")</f>
        <v/>
      </c>
      <c r="AI24" s="40" t="str">
        <f>IF(AND('Mapa final'!$AA$55="Alta",'Mapa final'!$AC$55="Catastrófico"),CONCATENATE("R9C",'Mapa final'!$Q$55),"")</f>
        <v/>
      </c>
      <c r="AJ24" s="40" t="str">
        <f>IF(AND('Mapa final'!$AA$56="Alta",'Mapa final'!$AC$56="Catastrófico"),CONCATENATE("R9C",'Mapa final'!$Q$56),"")</f>
        <v/>
      </c>
      <c r="AK24" s="40" t="str">
        <f>IF(AND('Mapa final'!$AA$57="Alta",'Mapa final'!$AC$57="Catastrófico"),CONCATENATE("R9C",'Mapa final'!$Q$57),"")</f>
        <v/>
      </c>
      <c r="AL24" s="40" t="str">
        <f>IF(AND('Mapa final'!$AA$58="Alta",'Mapa final'!$AC$58="Catastrófico"),CONCATENATE("R9C",'Mapa final'!$Q$58),"")</f>
        <v/>
      </c>
      <c r="AM24" s="41" t="str">
        <f>IF(AND('Mapa final'!$AA$59="Alta",'Mapa final'!$AC$59="Catastrófico"),CONCATENATE("R9C",'Mapa final'!$Q$59),"")</f>
        <v/>
      </c>
      <c r="AN24" s="67"/>
      <c r="AO24" s="398"/>
      <c r="AP24" s="399"/>
      <c r="AQ24" s="399"/>
      <c r="AR24" s="399"/>
      <c r="AS24" s="399"/>
      <c r="AT24" s="400"/>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
      <c r="A25" s="67"/>
      <c r="B25" s="347"/>
      <c r="C25" s="347"/>
      <c r="D25" s="348"/>
      <c r="E25" s="391"/>
      <c r="F25" s="392"/>
      <c r="G25" s="392"/>
      <c r="H25" s="392"/>
      <c r="I25" s="392"/>
      <c r="J25" s="54" t="str">
        <f>IF(AND('Mapa final'!$AA$60="Alta",'Mapa final'!$AC$60="Leve"),CONCATENATE("R10C",'Mapa final'!$Q$60),"")</f>
        <v/>
      </c>
      <c r="K25" s="55" t="str">
        <f>IF(AND('Mapa final'!$AA$61="Alta",'Mapa final'!$AC$61="Leve"),CONCATENATE("R10C",'Mapa final'!$Q$61),"")</f>
        <v/>
      </c>
      <c r="L25" s="55" t="str">
        <f>IF(AND('Mapa final'!$AA$62="Alta",'Mapa final'!$AC$62="Leve"),CONCATENATE("R10C",'Mapa final'!$Q$62),"")</f>
        <v/>
      </c>
      <c r="M25" s="55" t="str">
        <f>IF(AND('Mapa final'!$AA$63="Alta",'Mapa final'!$AC$63="Leve"),CONCATENATE("R10C",'Mapa final'!$Q$63),"")</f>
        <v/>
      </c>
      <c r="N25" s="55" t="str">
        <f>IF(AND('Mapa final'!$AA$64="Alta",'Mapa final'!$AC$64="Leve"),CONCATENATE("R10C",'Mapa final'!$Q$64),"")</f>
        <v/>
      </c>
      <c r="O25" s="56" t="str">
        <f>IF(AND('Mapa final'!$AA$65="Alta",'Mapa final'!$AC$65="Leve"),CONCATENATE("R10C",'Mapa final'!$Q$65),"")</f>
        <v/>
      </c>
      <c r="P25" s="54" t="str">
        <f>IF(AND('Mapa final'!$AA$60="Alta",'Mapa final'!$AC$60="Menor"),CONCATENATE("R10C",'Mapa final'!$Q$60),"")</f>
        <v/>
      </c>
      <c r="Q25" s="55" t="str">
        <f>IF(AND('Mapa final'!$AA$61="Alta",'Mapa final'!$AC$61="Menor"),CONCATENATE("R10C",'Mapa final'!$Q$61),"")</f>
        <v/>
      </c>
      <c r="R25" s="55" t="str">
        <f>IF(AND('Mapa final'!$AA$62="Alta",'Mapa final'!$AC$62="Menor"),CONCATENATE("R10C",'Mapa final'!$Q$62),"")</f>
        <v/>
      </c>
      <c r="S25" s="55" t="str">
        <f>IF(AND('Mapa final'!$AA$63="Alta",'Mapa final'!$AC$63="Menor"),CONCATENATE("R10C",'Mapa final'!$Q$63),"")</f>
        <v/>
      </c>
      <c r="T25" s="55" t="str">
        <f>IF(AND('Mapa final'!$AA$64="Alta",'Mapa final'!$AC$64="Menor"),CONCATENATE("R10C",'Mapa final'!$Q$64),"")</f>
        <v/>
      </c>
      <c r="U25" s="56" t="str">
        <f>IF(AND('Mapa final'!$AA$65="Alta",'Mapa final'!$AC$65="Menor"),CONCATENATE("R10C",'Mapa final'!$Q$65),"")</f>
        <v/>
      </c>
      <c r="V25" s="42" t="str">
        <f>IF(AND('Mapa final'!$AA$60="Alta",'Mapa final'!$AC$60="Moderado"),CONCATENATE("R10C",'Mapa final'!$Q$60),"")</f>
        <v/>
      </c>
      <c r="W25" s="43" t="str">
        <f>IF(AND('Mapa final'!$AA$61="Alta",'Mapa final'!$AC$61="Moderado"),CONCATENATE("R10C",'Mapa final'!$Q$61),"")</f>
        <v/>
      </c>
      <c r="X25" s="43" t="str">
        <f>IF(AND('Mapa final'!$AA$62="Alta",'Mapa final'!$AC$62="Moderado"),CONCATENATE("R10C",'Mapa final'!$Q$62),"")</f>
        <v/>
      </c>
      <c r="Y25" s="43" t="str">
        <f>IF(AND('Mapa final'!$AA$63="Alta",'Mapa final'!$AC$63="Moderado"),CONCATENATE("R10C",'Mapa final'!$Q$63),"")</f>
        <v/>
      </c>
      <c r="Z25" s="43" t="str">
        <f>IF(AND('Mapa final'!$AA$64="Alta",'Mapa final'!$AC$64="Moderado"),CONCATENATE("R10C",'Mapa final'!$Q$64),"")</f>
        <v/>
      </c>
      <c r="AA25" s="44" t="str">
        <f>IF(AND('Mapa final'!$AA$65="Alta",'Mapa final'!$AC$65="Moderado"),CONCATENATE("R10C",'Mapa final'!$Q$65),"")</f>
        <v/>
      </c>
      <c r="AB25" s="42" t="str">
        <f>IF(AND('Mapa final'!$AA$60="Alta",'Mapa final'!$AC$60="Mayor"),CONCATENATE("R10C",'Mapa final'!$Q$60),"")</f>
        <v/>
      </c>
      <c r="AC25" s="43" t="str">
        <f>IF(AND('Mapa final'!$AA$61="Alta",'Mapa final'!$AC$61="Mayor"),CONCATENATE("R10C",'Mapa final'!$Q$61),"")</f>
        <v/>
      </c>
      <c r="AD25" s="43" t="str">
        <f>IF(AND('Mapa final'!$AA$62="Alta",'Mapa final'!$AC$62="Mayor"),CONCATENATE("R10C",'Mapa final'!$Q$62),"")</f>
        <v/>
      </c>
      <c r="AE25" s="43" t="str">
        <f>IF(AND('Mapa final'!$AA$63="Alta",'Mapa final'!$AC$63="Mayor"),CONCATENATE("R10C",'Mapa final'!$Q$63),"")</f>
        <v/>
      </c>
      <c r="AF25" s="43" t="str">
        <f>IF(AND('Mapa final'!$AA$64="Alta",'Mapa final'!$AC$64="Mayor"),CONCATENATE("R10C",'Mapa final'!$Q$64),"")</f>
        <v/>
      </c>
      <c r="AG25" s="44" t="str">
        <f>IF(AND('Mapa final'!$AA$65="Alta",'Mapa final'!$AC$65="Mayor"),CONCATENATE("R10C",'Mapa final'!$Q$65),"")</f>
        <v/>
      </c>
      <c r="AH25" s="45" t="str">
        <f>IF(AND('Mapa final'!$AA$60="Alta",'Mapa final'!$AC$60="Catastrófico"),CONCATENATE("R10C",'Mapa final'!$Q$60),"")</f>
        <v/>
      </c>
      <c r="AI25" s="46" t="str">
        <f>IF(AND('Mapa final'!$AA$61="Alta",'Mapa final'!$AC$61="Catastrófico"),CONCATENATE("R10C",'Mapa final'!$Q$61),"")</f>
        <v/>
      </c>
      <c r="AJ25" s="46" t="str">
        <f>IF(AND('Mapa final'!$AA$62="Alta",'Mapa final'!$AC$62="Catastrófico"),CONCATENATE("R10C",'Mapa final'!$Q$62),"")</f>
        <v/>
      </c>
      <c r="AK25" s="46" t="str">
        <f>IF(AND('Mapa final'!$AA$63="Alta",'Mapa final'!$AC$63="Catastrófico"),CONCATENATE("R10C",'Mapa final'!$Q$63),"")</f>
        <v/>
      </c>
      <c r="AL25" s="46" t="str">
        <f>IF(AND('Mapa final'!$AA$64="Alta",'Mapa final'!$AC$64="Catastrófico"),CONCATENATE("R10C",'Mapa final'!$Q$64),"")</f>
        <v/>
      </c>
      <c r="AM25" s="47" t="str">
        <f>IF(AND('Mapa final'!$AA$65="Alta",'Mapa final'!$AC$65="Catastrófico"),CONCATENATE("R10C",'Mapa final'!$Q$65),"")</f>
        <v/>
      </c>
      <c r="AN25" s="67"/>
      <c r="AO25" s="401"/>
      <c r="AP25" s="402"/>
      <c r="AQ25" s="402"/>
      <c r="AR25" s="402"/>
      <c r="AS25" s="402"/>
      <c r="AT25" s="403"/>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25">
      <c r="A26" s="67"/>
      <c r="B26" s="347"/>
      <c r="C26" s="347"/>
      <c r="D26" s="348"/>
      <c r="E26" s="385" t="s">
        <v>111</v>
      </c>
      <c r="F26" s="386"/>
      <c r="G26" s="386"/>
      <c r="H26" s="386"/>
      <c r="I26" s="387"/>
      <c r="J26" s="48" t="str">
        <f ca="1">IF(AND('Mapa final'!$AA$10="Media",'Mapa final'!$AC$10="Leve"),CONCATENATE("R1C",'Mapa final'!$Q$10),"")</f>
        <v/>
      </c>
      <c r="K26" s="49" t="str">
        <f ca="1">IF(AND('Mapa final'!$AA$11="Media",'Mapa final'!$AC$11="Leve"),CONCATENATE("R1C",'Mapa final'!$Q$11),"")</f>
        <v/>
      </c>
      <c r="L26" s="49" t="str">
        <f ca="1">IF(AND('Mapa final'!$AA$12="Media",'Mapa final'!$AC$12="Leve"),CONCATENATE("R1C",'Mapa final'!$Q$12),"")</f>
        <v/>
      </c>
      <c r="M26" s="49" t="e">
        <f>IF(AND('Mapa final'!#REF!="Media",'Mapa final'!#REF!="Leve"),CONCATENATE("R1C",'Mapa final'!#REF!),"")</f>
        <v>#REF!</v>
      </c>
      <c r="N26" s="49" t="e">
        <f>IF(AND('Mapa final'!#REF!="Media",'Mapa final'!#REF!="Leve"),CONCATENATE("R1C",'Mapa final'!#REF!),"")</f>
        <v>#REF!</v>
      </c>
      <c r="O26" s="50" t="e">
        <f>IF(AND('Mapa final'!#REF!="Media",'Mapa final'!#REF!="Leve"),CONCATENATE("R1C",'Mapa final'!#REF!),"")</f>
        <v>#REF!</v>
      </c>
      <c r="P26" s="48" t="str">
        <f ca="1">IF(AND('Mapa final'!$AA$10="Media",'Mapa final'!$AC$10="Menor"),CONCATENATE("R1C",'Mapa final'!$Q$10),"")</f>
        <v/>
      </c>
      <c r="Q26" s="49" t="str">
        <f ca="1">IF(AND('Mapa final'!$AA$11="Media",'Mapa final'!$AC$11="Menor"),CONCATENATE("R1C",'Mapa final'!$Q$11),"")</f>
        <v/>
      </c>
      <c r="R26" s="49" t="str">
        <f ca="1">IF(AND('Mapa final'!$AA$12="Media",'Mapa final'!$AC$12="Menor"),CONCATENATE("R1C",'Mapa final'!$Q$12),"")</f>
        <v/>
      </c>
      <c r="S26" s="49" t="e">
        <f>IF(AND('Mapa final'!#REF!="Media",'Mapa final'!#REF!="Menor"),CONCATENATE("R1C",'Mapa final'!#REF!),"")</f>
        <v>#REF!</v>
      </c>
      <c r="T26" s="49" t="e">
        <f>IF(AND('Mapa final'!#REF!="Media",'Mapa final'!#REF!="Menor"),CONCATENATE("R1C",'Mapa final'!#REF!),"")</f>
        <v>#REF!</v>
      </c>
      <c r="U26" s="50" t="e">
        <f>IF(AND('Mapa final'!#REF!="Media",'Mapa final'!#REF!="Menor"),CONCATENATE("R1C",'Mapa final'!#REF!),"")</f>
        <v>#REF!</v>
      </c>
      <c r="V26" s="48" t="str">
        <f ca="1">IF(AND('Mapa final'!$AA$10="Media",'Mapa final'!$AC$10="Moderado"),CONCATENATE("R1C",'Mapa final'!$Q$10),"")</f>
        <v/>
      </c>
      <c r="W26" s="49" t="str">
        <f ca="1">IF(AND('Mapa final'!$AA$11="Media",'Mapa final'!$AC$11="Moderado"),CONCATENATE("R1C",'Mapa final'!$Q$11),"")</f>
        <v/>
      </c>
      <c r="X26" s="49" t="str">
        <f ca="1">IF(AND('Mapa final'!$AA$12="Media",'Mapa final'!$AC$12="Moderado"),CONCATENATE("R1C",'Mapa final'!$Q$12),"")</f>
        <v/>
      </c>
      <c r="Y26" s="49" t="e">
        <f>IF(AND('Mapa final'!#REF!="Media",'Mapa final'!#REF!="Moderado"),CONCATENATE("R1C",'Mapa final'!#REF!),"")</f>
        <v>#REF!</v>
      </c>
      <c r="Z26" s="49" t="e">
        <f>IF(AND('Mapa final'!#REF!="Media",'Mapa final'!#REF!="Moderado"),CONCATENATE("R1C",'Mapa final'!#REF!),"")</f>
        <v>#REF!</v>
      </c>
      <c r="AA26" s="50" t="e">
        <f>IF(AND('Mapa final'!#REF!="Media",'Mapa final'!#REF!="Moderado"),CONCATENATE("R1C",'Mapa final'!#REF!),"")</f>
        <v>#REF!</v>
      </c>
      <c r="AB26" s="30" t="str">
        <f ca="1">IF(AND('Mapa final'!$AA$10="Media",'Mapa final'!$AC$10="Mayor"),CONCATENATE("R1C",'Mapa final'!$Q$10),"")</f>
        <v>R1C1</v>
      </c>
      <c r="AC26" s="31" t="str">
        <f ca="1">IF(AND('Mapa final'!$AA$11="Media",'Mapa final'!$AC$11="Mayor"),CONCATENATE("R1C",'Mapa final'!$Q$11),"")</f>
        <v/>
      </c>
      <c r="AD26" s="31" t="str">
        <f ca="1">IF(AND('Mapa final'!$AA$12="Media",'Mapa final'!$AC$12="Mayor"),CONCATENATE("R1C",'Mapa final'!$Q$12),"")</f>
        <v/>
      </c>
      <c r="AE26" s="31" t="e">
        <f>IF(AND('Mapa final'!#REF!="Media",'Mapa final'!#REF!="Mayor"),CONCATENATE("R1C",'Mapa final'!#REF!),"")</f>
        <v>#REF!</v>
      </c>
      <c r="AF26" s="31" t="e">
        <f>IF(AND('Mapa final'!#REF!="Media",'Mapa final'!#REF!="Mayor"),CONCATENATE("R1C",'Mapa final'!#REF!),"")</f>
        <v>#REF!</v>
      </c>
      <c r="AG26" s="32" t="e">
        <f>IF(AND('Mapa final'!#REF!="Media",'Mapa final'!#REF!="Mayor"),CONCATENATE("R1C",'Mapa final'!#REF!),"")</f>
        <v>#REF!</v>
      </c>
      <c r="AH26" s="33" t="str">
        <f ca="1">IF(AND('Mapa final'!$AA$10="Media",'Mapa final'!$AC$10="Catastrófico"),CONCATENATE("R1C",'Mapa final'!$Q$10),"")</f>
        <v/>
      </c>
      <c r="AI26" s="34" t="str">
        <f ca="1">IF(AND('Mapa final'!$AA$11="Media",'Mapa final'!$AC$11="Catastrófico"),CONCATENATE("R1C",'Mapa final'!$Q$11),"")</f>
        <v/>
      </c>
      <c r="AJ26" s="34" t="str">
        <f ca="1">IF(AND('Mapa final'!$AA$12="Media",'Mapa final'!$AC$12="Catastrófico"),CONCATENATE("R1C",'Mapa final'!$Q$12),"")</f>
        <v/>
      </c>
      <c r="AK26" s="34" t="e">
        <f>IF(AND('Mapa final'!#REF!="Media",'Mapa final'!#REF!="Catastrófico"),CONCATENATE("R1C",'Mapa final'!#REF!),"")</f>
        <v>#REF!</v>
      </c>
      <c r="AL26" s="34" t="e">
        <f>IF(AND('Mapa final'!#REF!="Media",'Mapa final'!#REF!="Catastrófico"),CONCATENATE("R1C",'Mapa final'!#REF!),"")</f>
        <v>#REF!</v>
      </c>
      <c r="AM26" s="35" t="e">
        <f>IF(AND('Mapa final'!#REF!="Media",'Mapa final'!#REF!="Catastrófico"),CONCATENATE("R1C",'Mapa final'!#REF!),"")</f>
        <v>#REF!</v>
      </c>
      <c r="AN26" s="67"/>
      <c r="AO26" s="425" t="s">
        <v>79</v>
      </c>
      <c r="AP26" s="426"/>
      <c r="AQ26" s="426"/>
      <c r="AR26" s="426"/>
      <c r="AS26" s="426"/>
      <c r="AT26" s="42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25">
      <c r="A27" s="67"/>
      <c r="B27" s="347"/>
      <c r="C27" s="347"/>
      <c r="D27" s="348"/>
      <c r="E27" s="404"/>
      <c r="F27" s="389"/>
      <c r="G27" s="389"/>
      <c r="H27" s="389"/>
      <c r="I27" s="390"/>
      <c r="J27" s="51" t="str">
        <f ca="1">IF(AND('Mapa final'!$AA$14="Media",'Mapa final'!$AC$14="Leve"),CONCATENATE("R2C",'Mapa final'!$Q$14),"")</f>
        <v/>
      </c>
      <c r="K27" s="52" t="str">
        <f ca="1">IF(AND('Mapa final'!$AA$15="Media",'Mapa final'!$AC$15="Leve"),CONCATENATE("R2C",'Mapa final'!$Q$15),"")</f>
        <v/>
      </c>
      <c r="L27" s="52" t="e">
        <f>IF(AND('Mapa final'!#REF!="Media",'Mapa final'!#REF!="Leve"),CONCATENATE("R2C",'Mapa final'!#REF!),"")</f>
        <v>#REF!</v>
      </c>
      <c r="M27" s="52" t="e">
        <f>IF(AND('Mapa final'!#REF!="Media",'Mapa final'!#REF!="Leve"),CONCATENATE("R2C",'Mapa final'!#REF!),"")</f>
        <v>#REF!</v>
      </c>
      <c r="N27" s="52" t="str">
        <f>IF(AND('Mapa final'!$AA$16="Media",'Mapa final'!$AC$16="Leve"),CONCATENATE("R2C",'Mapa final'!$Q$16),"")</f>
        <v/>
      </c>
      <c r="O27" s="53" t="str">
        <f>IF(AND('Mapa final'!$AA$17="Media",'Mapa final'!$AC$17="Leve"),CONCATENATE("R2C",'Mapa final'!$Q$17),"")</f>
        <v/>
      </c>
      <c r="P27" s="51" t="str">
        <f ca="1">IF(AND('Mapa final'!$AA$14="Media",'Mapa final'!$AC$14="Menor"),CONCATENATE("R2C",'Mapa final'!$Q$14),"")</f>
        <v/>
      </c>
      <c r="Q27" s="52" t="str">
        <f ca="1">IF(AND('Mapa final'!$AA$15="Media",'Mapa final'!$AC$15="Menor"),CONCATENATE("R2C",'Mapa final'!$Q$15),"")</f>
        <v/>
      </c>
      <c r="R27" s="52" t="e">
        <f>IF(AND('Mapa final'!#REF!="Media",'Mapa final'!#REF!="Menor"),CONCATENATE("R2C",'Mapa final'!#REF!),"")</f>
        <v>#REF!</v>
      </c>
      <c r="S27" s="52" t="e">
        <f>IF(AND('Mapa final'!#REF!="Media",'Mapa final'!#REF!="Menor"),CONCATENATE("R2C",'Mapa final'!#REF!),"")</f>
        <v>#REF!</v>
      </c>
      <c r="T27" s="52" t="str">
        <f>IF(AND('Mapa final'!$AA$16="Media",'Mapa final'!$AC$16="Menor"),CONCATENATE("R2C",'Mapa final'!$Q$16),"")</f>
        <v/>
      </c>
      <c r="U27" s="53" t="str">
        <f>IF(AND('Mapa final'!$AA$17="Media",'Mapa final'!$AC$17="Menor"),CONCATENATE("R2C",'Mapa final'!$Q$17),"")</f>
        <v/>
      </c>
      <c r="V27" s="51" t="str">
        <f ca="1">IF(AND('Mapa final'!$AA$14="Media",'Mapa final'!$AC$14="Moderado"),CONCATENATE("R2C",'Mapa final'!$Q$14),"")</f>
        <v/>
      </c>
      <c r="W27" s="52" t="str">
        <f ca="1">IF(AND('Mapa final'!$AA$15="Media",'Mapa final'!$AC$15="Moderado"),CONCATENATE("R2C",'Mapa final'!$Q$15),"")</f>
        <v/>
      </c>
      <c r="X27" s="52" t="e">
        <f>IF(AND('Mapa final'!#REF!="Media",'Mapa final'!#REF!="Moderado"),CONCATENATE("R2C",'Mapa final'!#REF!),"")</f>
        <v>#REF!</v>
      </c>
      <c r="Y27" s="52" t="e">
        <f>IF(AND('Mapa final'!#REF!="Media",'Mapa final'!#REF!="Moderado"),CONCATENATE("R2C",'Mapa final'!#REF!),"")</f>
        <v>#REF!</v>
      </c>
      <c r="Z27" s="52" t="str">
        <f>IF(AND('Mapa final'!$AA$16="Media",'Mapa final'!$AC$16="Moderado"),CONCATENATE("R2C",'Mapa final'!$Q$16),"")</f>
        <v/>
      </c>
      <c r="AA27" s="53" t="str">
        <f>IF(AND('Mapa final'!$AA$17="Media",'Mapa final'!$AC$17="Moderado"),CONCATENATE("R2C",'Mapa final'!$Q$17),"")</f>
        <v/>
      </c>
      <c r="AB27" s="36" t="str">
        <f ca="1">IF(AND('Mapa final'!$AA$14="Media",'Mapa final'!$AC$14="Mayor"),CONCATENATE("R2C",'Mapa final'!$Q$14),"")</f>
        <v/>
      </c>
      <c r="AC27" s="37" t="str">
        <f ca="1">IF(AND('Mapa final'!$AA$15="Media",'Mapa final'!$AC$15="Mayor"),CONCATENATE("R2C",'Mapa final'!$Q$15),"")</f>
        <v/>
      </c>
      <c r="AD27" s="37" t="e">
        <f>IF(AND('Mapa final'!#REF!="Media",'Mapa final'!#REF!="Mayor"),CONCATENATE("R2C",'Mapa final'!#REF!),"")</f>
        <v>#REF!</v>
      </c>
      <c r="AE27" s="37" t="e">
        <f>IF(AND('Mapa final'!#REF!="Media",'Mapa final'!#REF!="Mayor"),CONCATENATE("R2C",'Mapa final'!#REF!),"")</f>
        <v>#REF!</v>
      </c>
      <c r="AF27" s="37" t="str">
        <f>IF(AND('Mapa final'!$AA$16="Media",'Mapa final'!$AC$16="Mayor"),CONCATENATE("R2C",'Mapa final'!$Q$16),"")</f>
        <v/>
      </c>
      <c r="AG27" s="38" t="str">
        <f>IF(AND('Mapa final'!$AA$17="Media",'Mapa final'!$AC$17="Mayor"),CONCATENATE("R2C",'Mapa final'!$Q$17),"")</f>
        <v/>
      </c>
      <c r="AH27" s="39" t="str">
        <f ca="1">IF(AND('Mapa final'!$AA$14="Media",'Mapa final'!$AC$14="Catastrófico"),CONCATENATE("R2C",'Mapa final'!$Q$14),"")</f>
        <v>R2C1</v>
      </c>
      <c r="AI27" s="40" t="str">
        <f ca="1">IF(AND('Mapa final'!$AA$15="Media",'Mapa final'!$AC$15="Catastrófico"),CONCATENATE("R2C",'Mapa final'!$Q$15),"")</f>
        <v/>
      </c>
      <c r="AJ27" s="40" t="e">
        <f>IF(AND('Mapa final'!#REF!="Media",'Mapa final'!#REF!="Catastrófico"),CONCATENATE("R2C",'Mapa final'!#REF!),"")</f>
        <v>#REF!</v>
      </c>
      <c r="AK27" s="40" t="e">
        <f>IF(AND('Mapa final'!#REF!="Media",'Mapa final'!#REF!="Catastrófico"),CONCATENATE("R2C",'Mapa final'!#REF!),"")</f>
        <v>#REF!</v>
      </c>
      <c r="AL27" s="40" t="str">
        <f>IF(AND('Mapa final'!$AA$16="Media",'Mapa final'!$AC$16="Catastrófico"),CONCATENATE("R2C",'Mapa final'!$Q$16),"")</f>
        <v/>
      </c>
      <c r="AM27" s="41" t="str">
        <f>IF(AND('Mapa final'!$AA$17="Media",'Mapa final'!$AC$17="Catastrófico"),CONCATENATE("R2C",'Mapa final'!$Q$17),"")</f>
        <v/>
      </c>
      <c r="AN27" s="67"/>
      <c r="AO27" s="428"/>
      <c r="AP27" s="429"/>
      <c r="AQ27" s="429"/>
      <c r="AR27" s="429"/>
      <c r="AS27" s="429"/>
      <c r="AT27" s="430"/>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25">
      <c r="A28" s="67"/>
      <c r="B28" s="347"/>
      <c r="C28" s="347"/>
      <c r="D28" s="348"/>
      <c r="E28" s="388"/>
      <c r="F28" s="389"/>
      <c r="G28" s="389"/>
      <c r="H28" s="389"/>
      <c r="I28" s="390"/>
      <c r="J28" s="51" t="str">
        <f>IF(AND('Mapa final'!$AA$18="Media",'Mapa final'!$AC$18="Leve"),CONCATENATE("R3C",'Mapa final'!$Q$18),"")</f>
        <v/>
      </c>
      <c r="K28" s="52" t="str">
        <f>IF(AND('Mapa final'!$AA$19="Media",'Mapa final'!$AC$19="Leve"),CONCATENATE("R3C",'Mapa final'!$Q$19),"")</f>
        <v/>
      </c>
      <c r="L28" s="52" t="str">
        <f>IF(AND('Mapa final'!$AA$20="Media",'Mapa final'!$AC$20="Leve"),CONCATENATE("R3C",'Mapa final'!$Q$20),"")</f>
        <v/>
      </c>
      <c r="M28" s="52" t="str">
        <f>IF(AND('Mapa final'!$AA$21="Media",'Mapa final'!$AC$21="Leve"),CONCATENATE("R3C",'Mapa final'!$Q$21),"")</f>
        <v/>
      </c>
      <c r="N28" s="52" t="str">
        <f>IF(AND('Mapa final'!$AA$22="Media",'Mapa final'!$AC$22="Leve"),CONCATENATE("R3C",'Mapa final'!$Q$22),"")</f>
        <v/>
      </c>
      <c r="O28" s="53" t="str">
        <f>IF(AND('Mapa final'!$AA$23="Media",'Mapa final'!$AC$23="Leve"),CONCATENATE("R3C",'Mapa final'!$Q$23),"")</f>
        <v/>
      </c>
      <c r="P28" s="51" t="str">
        <f>IF(AND('Mapa final'!$AA$18="Media",'Mapa final'!$AC$18="Menor"),CONCATENATE("R3C",'Mapa final'!$Q$18),"")</f>
        <v/>
      </c>
      <c r="Q28" s="52" t="str">
        <f>IF(AND('Mapa final'!$AA$19="Media",'Mapa final'!$AC$19="Menor"),CONCATENATE("R3C",'Mapa final'!$Q$19),"")</f>
        <v/>
      </c>
      <c r="R28" s="52" t="str">
        <f>IF(AND('Mapa final'!$AA$20="Media",'Mapa final'!$AC$20="Menor"),CONCATENATE("R3C",'Mapa final'!$Q$20),"")</f>
        <v/>
      </c>
      <c r="S28" s="52" t="str">
        <f>IF(AND('Mapa final'!$AA$21="Media",'Mapa final'!$AC$21="Menor"),CONCATENATE("R3C",'Mapa final'!$Q$21),"")</f>
        <v/>
      </c>
      <c r="T28" s="52" t="str">
        <f>IF(AND('Mapa final'!$AA$22="Media",'Mapa final'!$AC$22="Menor"),CONCATENATE("R3C",'Mapa final'!$Q$22),"")</f>
        <v/>
      </c>
      <c r="U28" s="53" t="str">
        <f>IF(AND('Mapa final'!$AA$23="Media",'Mapa final'!$AC$23="Menor"),CONCATENATE("R3C",'Mapa final'!$Q$23),"")</f>
        <v/>
      </c>
      <c r="V28" s="51" t="str">
        <f>IF(AND('Mapa final'!$AA$18="Media",'Mapa final'!$AC$18="Moderado"),CONCATENATE("R3C",'Mapa final'!$Q$18),"")</f>
        <v/>
      </c>
      <c r="W28" s="52" t="str">
        <f>IF(AND('Mapa final'!$AA$19="Media",'Mapa final'!$AC$19="Moderado"),CONCATENATE("R3C",'Mapa final'!$Q$19),"")</f>
        <v/>
      </c>
      <c r="X28" s="52" t="str">
        <f>IF(AND('Mapa final'!$AA$20="Media",'Mapa final'!$AC$20="Moderado"),CONCATENATE("R3C",'Mapa final'!$Q$20),"")</f>
        <v/>
      </c>
      <c r="Y28" s="52" t="str">
        <f>IF(AND('Mapa final'!$AA$21="Media",'Mapa final'!$AC$21="Moderado"),CONCATENATE("R3C",'Mapa final'!$Q$21),"")</f>
        <v/>
      </c>
      <c r="Z28" s="52" t="str">
        <f>IF(AND('Mapa final'!$AA$22="Media",'Mapa final'!$AC$22="Moderado"),CONCATENATE("R3C",'Mapa final'!$Q$22),"")</f>
        <v/>
      </c>
      <c r="AA28" s="53" t="str">
        <f>IF(AND('Mapa final'!$AA$23="Media",'Mapa final'!$AC$23="Moderado"),CONCATENATE("R3C",'Mapa final'!$Q$23),"")</f>
        <v/>
      </c>
      <c r="AB28" s="36" t="str">
        <f>IF(AND('Mapa final'!$AA$18="Media",'Mapa final'!$AC$18="Mayor"),CONCATENATE("R3C",'Mapa final'!$Q$18),"")</f>
        <v/>
      </c>
      <c r="AC28" s="37" t="str">
        <f>IF(AND('Mapa final'!$AA$19="Media",'Mapa final'!$AC$19="Mayor"),CONCATENATE("R3C",'Mapa final'!$Q$19),"")</f>
        <v/>
      </c>
      <c r="AD28" s="37" t="str">
        <f>IF(AND('Mapa final'!$AA$20="Media",'Mapa final'!$AC$20="Mayor"),CONCATENATE("R3C",'Mapa final'!$Q$20),"")</f>
        <v/>
      </c>
      <c r="AE28" s="37" t="str">
        <f>IF(AND('Mapa final'!$AA$21="Media",'Mapa final'!$AC$21="Mayor"),CONCATENATE("R3C",'Mapa final'!$Q$21),"")</f>
        <v/>
      </c>
      <c r="AF28" s="37" t="str">
        <f>IF(AND('Mapa final'!$AA$22="Media",'Mapa final'!$AC$22="Mayor"),CONCATENATE("R3C",'Mapa final'!$Q$22),"")</f>
        <v/>
      </c>
      <c r="AG28" s="38" t="str">
        <f>IF(AND('Mapa final'!$AA$23="Media",'Mapa final'!$AC$23="Mayor"),CONCATENATE("R3C",'Mapa final'!$Q$23),"")</f>
        <v/>
      </c>
      <c r="AH28" s="39" t="str">
        <f>IF(AND('Mapa final'!$AA$18="Media",'Mapa final'!$AC$18="Catastrófico"),CONCATENATE("R3C",'Mapa final'!$Q$18),"")</f>
        <v/>
      </c>
      <c r="AI28" s="40" t="str">
        <f>IF(AND('Mapa final'!$AA$19="Media",'Mapa final'!$AC$19="Catastrófico"),CONCATENATE("R3C",'Mapa final'!$Q$19),"")</f>
        <v/>
      </c>
      <c r="AJ28" s="40" t="str">
        <f>IF(AND('Mapa final'!$AA$20="Media",'Mapa final'!$AC$20="Catastrófico"),CONCATENATE("R3C",'Mapa final'!$Q$20),"")</f>
        <v/>
      </c>
      <c r="AK28" s="40" t="str">
        <f>IF(AND('Mapa final'!$AA$21="Media",'Mapa final'!$AC$21="Catastrófico"),CONCATENATE("R3C",'Mapa final'!$Q$21),"")</f>
        <v/>
      </c>
      <c r="AL28" s="40" t="str">
        <f>IF(AND('Mapa final'!$AA$22="Media",'Mapa final'!$AC$22="Catastrófico"),CONCATENATE("R3C",'Mapa final'!$Q$22),"")</f>
        <v/>
      </c>
      <c r="AM28" s="41" t="str">
        <f>IF(AND('Mapa final'!$AA$23="Media",'Mapa final'!$AC$23="Catastrófico"),CONCATENATE("R3C",'Mapa final'!$Q$23),"")</f>
        <v/>
      </c>
      <c r="AN28" s="67"/>
      <c r="AO28" s="428"/>
      <c r="AP28" s="429"/>
      <c r="AQ28" s="429"/>
      <c r="AR28" s="429"/>
      <c r="AS28" s="429"/>
      <c r="AT28" s="430"/>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25">
      <c r="A29" s="67"/>
      <c r="B29" s="347"/>
      <c r="C29" s="347"/>
      <c r="D29" s="348"/>
      <c r="E29" s="388"/>
      <c r="F29" s="389"/>
      <c r="G29" s="389"/>
      <c r="H29" s="389"/>
      <c r="I29" s="390"/>
      <c r="J29" s="51" t="str">
        <f>IF(AND('Mapa final'!$AA$24="Media",'Mapa final'!$AC$24="Leve"),CONCATENATE("R4C",'Mapa final'!$Q$24),"")</f>
        <v/>
      </c>
      <c r="K29" s="52" t="str">
        <f>IF(AND('Mapa final'!$AA$25="Media",'Mapa final'!$AC$25="Leve"),CONCATENATE("R4C",'Mapa final'!$Q$25),"")</f>
        <v/>
      </c>
      <c r="L29" s="52" t="str">
        <f>IF(AND('Mapa final'!$AA$26="Media",'Mapa final'!$AC$26="Leve"),CONCATENATE("R4C",'Mapa final'!$Q$26),"")</f>
        <v/>
      </c>
      <c r="M29" s="52" t="str">
        <f>IF(AND('Mapa final'!$AA$27="Media",'Mapa final'!$AC$27="Leve"),CONCATENATE("R4C",'Mapa final'!$Q$27),"")</f>
        <v/>
      </c>
      <c r="N29" s="52" t="str">
        <f>IF(AND('Mapa final'!$AA$28="Media",'Mapa final'!$AC$28="Leve"),CONCATENATE("R4C",'Mapa final'!$Q$28),"")</f>
        <v/>
      </c>
      <c r="O29" s="53" t="str">
        <f>IF(AND('Mapa final'!$AA$29="Media",'Mapa final'!$AC$29="Leve"),CONCATENATE("R4C",'Mapa final'!$Q$29),"")</f>
        <v/>
      </c>
      <c r="P29" s="51" t="str">
        <f>IF(AND('Mapa final'!$AA$24="Media",'Mapa final'!$AC$24="Menor"),CONCATENATE("R4C",'Mapa final'!$Q$24),"")</f>
        <v/>
      </c>
      <c r="Q29" s="52" t="str">
        <f>IF(AND('Mapa final'!$AA$25="Media",'Mapa final'!$AC$25="Menor"),CONCATENATE("R4C",'Mapa final'!$Q$25),"")</f>
        <v/>
      </c>
      <c r="R29" s="52" t="str">
        <f>IF(AND('Mapa final'!$AA$26="Media",'Mapa final'!$AC$26="Menor"),CONCATENATE("R4C",'Mapa final'!$Q$26),"")</f>
        <v/>
      </c>
      <c r="S29" s="52" t="str">
        <f>IF(AND('Mapa final'!$AA$27="Media",'Mapa final'!$AC$27="Menor"),CONCATENATE("R4C",'Mapa final'!$Q$27),"")</f>
        <v/>
      </c>
      <c r="T29" s="52" t="str">
        <f>IF(AND('Mapa final'!$AA$28="Media",'Mapa final'!$AC$28="Menor"),CONCATENATE("R4C",'Mapa final'!$Q$28),"")</f>
        <v/>
      </c>
      <c r="U29" s="53" t="str">
        <f>IF(AND('Mapa final'!$AA$29="Media",'Mapa final'!$AC$29="Menor"),CONCATENATE("R4C",'Mapa final'!$Q$29),"")</f>
        <v/>
      </c>
      <c r="V29" s="51" t="str">
        <f>IF(AND('Mapa final'!$AA$24="Media",'Mapa final'!$AC$24="Moderado"),CONCATENATE("R4C",'Mapa final'!$Q$24),"")</f>
        <v/>
      </c>
      <c r="W29" s="52" t="str">
        <f>IF(AND('Mapa final'!$AA$25="Media",'Mapa final'!$AC$25="Moderado"),CONCATENATE("R4C",'Mapa final'!$Q$25),"")</f>
        <v/>
      </c>
      <c r="X29" s="52" t="str">
        <f>IF(AND('Mapa final'!$AA$26="Media",'Mapa final'!$AC$26="Moderado"),CONCATENATE("R4C",'Mapa final'!$Q$26),"")</f>
        <v/>
      </c>
      <c r="Y29" s="52" t="str">
        <f>IF(AND('Mapa final'!$AA$27="Media",'Mapa final'!$AC$27="Moderado"),CONCATENATE("R4C",'Mapa final'!$Q$27),"")</f>
        <v/>
      </c>
      <c r="Z29" s="52" t="str">
        <f>IF(AND('Mapa final'!$AA$28="Media",'Mapa final'!$AC$28="Moderado"),CONCATENATE("R4C",'Mapa final'!$Q$28),"")</f>
        <v/>
      </c>
      <c r="AA29" s="53" t="str">
        <f>IF(AND('Mapa final'!$AA$29="Media",'Mapa final'!$AC$29="Moderado"),CONCATENATE("R4C",'Mapa final'!$Q$29),"")</f>
        <v/>
      </c>
      <c r="AB29" s="36" t="str">
        <f>IF(AND('Mapa final'!$AA$24="Media",'Mapa final'!$AC$24="Mayor"),CONCATENATE("R4C",'Mapa final'!$Q$24),"")</f>
        <v/>
      </c>
      <c r="AC29" s="37" t="str">
        <f>IF(AND('Mapa final'!$AA$25="Media",'Mapa final'!$AC$25="Mayor"),CONCATENATE("R4C",'Mapa final'!$Q$25),"")</f>
        <v/>
      </c>
      <c r="AD29" s="37" t="str">
        <f>IF(AND('Mapa final'!$AA$26="Media",'Mapa final'!$AC$26="Mayor"),CONCATENATE("R4C",'Mapa final'!$Q$26),"")</f>
        <v/>
      </c>
      <c r="AE29" s="37" t="str">
        <f>IF(AND('Mapa final'!$AA$27="Media",'Mapa final'!$AC$27="Mayor"),CONCATENATE("R4C",'Mapa final'!$Q$27),"")</f>
        <v/>
      </c>
      <c r="AF29" s="37" t="str">
        <f>IF(AND('Mapa final'!$AA$28="Media",'Mapa final'!$AC$28="Mayor"),CONCATENATE("R4C",'Mapa final'!$Q$28),"")</f>
        <v/>
      </c>
      <c r="AG29" s="38" t="str">
        <f>IF(AND('Mapa final'!$AA$29="Media",'Mapa final'!$AC$29="Mayor"),CONCATENATE("R4C",'Mapa final'!$Q$29),"")</f>
        <v/>
      </c>
      <c r="AH29" s="39" t="str">
        <f>IF(AND('Mapa final'!$AA$24="Media",'Mapa final'!$AC$24="Catastrófico"),CONCATENATE("R4C",'Mapa final'!$Q$24),"")</f>
        <v/>
      </c>
      <c r="AI29" s="40" t="str">
        <f>IF(AND('Mapa final'!$AA$25="Media",'Mapa final'!$AC$25="Catastrófico"),CONCATENATE("R4C",'Mapa final'!$Q$25),"")</f>
        <v/>
      </c>
      <c r="AJ29" s="40" t="str">
        <f>IF(AND('Mapa final'!$AA$26="Media",'Mapa final'!$AC$26="Catastrófico"),CONCATENATE("R4C",'Mapa final'!$Q$26),"")</f>
        <v/>
      </c>
      <c r="AK29" s="40" t="str">
        <f>IF(AND('Mapa final'!$AA$27="Media",'Mapa final'!$AC$27="Catastrófico"),CONCATENATE("R4C",'Mapa final'!$Q$27),"")</f>
        <v/>
      </c>
      <c r="AL29" s="40" t="str">
        <f>IF(AND('Mapa final'!$AA$28="Media",'Mapa final'!$AC$28="Catastrófico"),CONCATENATE("R4C",'Mapa final'!$Q$28),"")</f>
        <v/>
      </c>
      <c r="AM29" s="41" t="str">
        <f>IF(AND('Mapa final'!$AA$29="Media",'Mapa final'!$AC$29="Catastrófico"),CONCATENATE("R4C",'Mapa final'!$Q$29),"")</f>
        <v/>
      </c>
      <c r="AN29" s="67"/>
      <c r="AO29" s="428"/>
      <c r="AP29" s="429"/>
      <c r="AQ29" s="429"/>
      <c r="AR29" s="429"/>
      <c r="AS29" s="429"/>
      <c r="AT29" s="430"/>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25">
      <c r="A30" s="67"/>
      <c r="B30" s="347"/>
      <c r="C30" s="347"/>
      <c r="D30" s="348"/>
      <c r="E30" s="388"/>
      <c r="F30" s="389"/>
      <c r="G30" s="389"/>
      <c r="H30" s="389"/>
      <c r="I30" s="390"/>
      <c r="J30" s="51" t="str">
        <f>IF(AND('Mapa final'!$AA$30="Media",'Mapa final'!$AC$30="Leve"),CONCATENATE("R5C",'Mapa final'!$Q$30),"")</f>
        <v/>
      </c>
      <c r="K30" s="52" t="str">
        <f>IF(AND('Mapa final'!$AA$31="Media",'Mapa final'!$AC$31="Leve"),CONCATENATE("R5C",'Mapa final'!$Q$31),"")</f>
        <v/>
      </c>
      <c r="L30" s="52" t="str">
        <f>IF(AND('Mapa final'!$AA$32="Media",'Mapa final'!$AC$32="Leve"),CONCATENATE("R5C",'Mapa final'!$Q$32),"")</f>
        <v/>
      </c>
      <c r="M30" s="52" t="str">
        <f>IF(AND('Mapa final'!$AA$33="Media",'Mapa final'!$AC$33="Leve"),CONCATENATE("R5C",'Mapa final'!$Q$33),"")</f>
        <v/>
      </c>
      <c r="N30" s="52" t="str">
        <f>IF(AND('Mapa final'!$AA$34="Media",'Mapa final'!$AC$34="Leve"),CONCATENATE("R5C",'Mapa final'!$Q$34),"")</f>
        <v/>
      </c>
      <c r="O30" s="53" t="str">
        <f>IF(AND('Mapa final'!$AA$35="Media",'Mapa final'!$AC$35="Leve"),CONCATENATE("R5C",'Mapa final'!$Q$35),"")</f>
        <v/>
      </c>
      <c r="P30" s="51" t="str">
        <f>IF(AND('Mapa final'!$AA$30="Media",'Mapa final'!$AC$30="Menor"),CONCATENATE("R5C",'Mapa final'!$Q$30),"")</f>
        <v/>
      </c>
      <c r="Q30" s="52" t="str">
        <f>IF(AND('Mapa final'!$AA$31="Media",'Mapa final'!$AC$31="Menor"),CONCATENATE("R5C",'Mapa final'!$Q$31),"")</f>
        <v/>
      </c>
      <c r="R30" s="52" t="str">
        <f>IF(AND('Mapa final'!$AA$32="Media",'Mapa final'!$AC$32="Menor"),CONCATENATE("R5C",'Mapa final'!$Q$32),"")</f>
        <v/>
      </c>
      <c r="S30" s="52" t="str">
        <f>IF(AND('Mapa final'!$AA$33="Media",'Mapa final'!$AC$33="Menor"),CONCATENATE("R5C",'Mapa final'!$Q$33),"")</f>
        <v/>
      </c>
      <c r="T30" s="52" t="str">
        <f>IF(AND('Mapa final'!$AA$34="Media",'Mapa final'!$AC$34="Menor"),CONCATENATE("R5C",'Mapa final'!$Q$34),"")</f>
        <v/>
      </c>
      <c r="U30" s="53" t="str">
        <f>IF(AND('Mapa final'!$AA$35="Media",'Mapa final'!$AC$35="Menor"),CONCATENATE("R5C",'Mapa final'!$Q$35),"")</f>
        <v/>
      </c>
      <c r="V30" s="51" t="str">
        <f>IF(AND('Mapa final'!$AA$30="Media",'Mapa final'!$AC$30="Moderado"),CONCATENATE("R5C",'Mapa final'!$Q$30),"")</f>
        <v/>
      </c>
      <c r="W30" s="52" t="str">
        <f>IF(AND('Mapa final'!$AA$31="Media",'Mapa final'!$AC$31="Moderado"),CONCATENATE("R5C",'Mapa final'!$Q$31),"")</f>
        <v/>
      </c>
      <c r="X30" s="52" t="str">
        <f>IF(AND('Mapa final'!$AA$32="Media",'Mapa final'!$AC$32="Moderado"),CONCATENATE("R5C",'Mapa final'!$Q$32),"")</f>
        <v/>
      </c>
      <c r="Y30" s="52" t="str">
        <f>IF(AND('Mapa final'!$AA$33="Media",'Mapa final'!$AC$33="Moderado"),CONCATENATE("R5C",'Mapa final'!$Q$33),"")</f>
        <v/>
      </c>
      <c r="Z30" s="52" t="str">
        <f>IF(AND('Mapa final'!$AA$34="Media",'Mapa final'!$AC$34="Moderado"),CONCATENATE("R5C",'Mapa final'!$Q$34),"")</f>
        <v/>
      </c>
      <c r="AA30" s="53" t="str">
        <f>IF(AND('Mapa final'!$AA$35="Media",'Mapa final'!$AC$35="Moderado"),CONCATENATE("R5C",'Mapa final'!$Q$35),"")</f>
        <v/>
      </c>
      <c r="AB30" s="36" t="str">
        <f>IF(AND('Mapa final'!$AA$30="Media",'Mapa final'!$AC$30="Mayor"),CONCATENATE("R5C",'Mapa final'!$Q$30),"")</f>
        <v/>
      </c>
      <c r="AC30" s="37" t="str">
        <f>IF(AND('Mapa final'!$AA$31="Media",'Mapa final'!$AC$31="Mayor"),CONCATENATE("R5C",'Mapa final'!$Q$31),"")</f>
        <v/>
      </c>
      <c r="AD30" s="37" t="str">
        <f>IF(AND('Mapa final'!$AA$32="Media",'Mapa final'!$AC$32="Mayor"),CONCATENATE("R5C",'Mapa final'!$Q$32),"")</f>
        <v/>
      </c>
      <c r="AE30" s="37" t="str">
        <f>IF(AND('Mapa final'!$AA$33="Media",'Mapa final'!$AC$33="Mayor"),CONCATENATE("R5C",'Mapa final'!$Q$33),"")</f>
        <v/>
      </c>
      <c r="AF30" s="37" t="str">
        <f>IF(AND('Mapa final'!$AA$34="Media",'Mapa final'!$AC$34="Mayor"),CONCATENATE("R5C",'Mapa final'!$Q$34),"")</f>
        <v/>
      </c>
      <c r="AG30" s="38" t="str">
        <f>IF(AND('Mapa final'!$AA$35="Media",'Mapa final'!$AC$35="Mayor"),CONCATENATE("R5C",'Mapa final'!$Q$35),"")</f>
        <v/>
      </c>
      <c r="AH30" s="39" t="str">
        <f>IF(AND('Mapa final'!$AA$30="Media",'Mapa final'!$AC$30="Catastrófico"),CONCATENATE("R5C",'Mapa final'!$Q$30),"")</f>
        <v/>
      </c>
      <c r="AI30" s="40" t="str">
        <f>IF(AND('Mapa final'!$AA$31="Media",'Mapa final'!$AC$31="Catastrófico"),CONCATENATE("R5C",'Mapa final'!$Q$31),"")</f>
        <v/>
      </c>
      <c r="AJ30" s="40" t="str">
        <f>IF(AND('Mapa final'!$AA$32="Media",'Mapa final'!$AC$32="Catastrófico"),CONCATENATE("R5C",'Mapa final'!$Q$32),"")</f>
        <v/>
      </c>
      <c r="AK30" s="40" t="str">
        <f>IF(AND('Mapa final'!$AA$33="Media",'Mapa final'!$AC$33="Catastrófico"),CONCATENATE("R5C",'Mapa final'!$Q$33),"")</f>
        <v/>
      </c>
      <c r="AL30" s="40" t="str">
        <f>IF(AND('Mapa final'!$AA$34="Media",'Mapa final'!$AC$34="Catastrófico"),CONCATENATE("R5C",'Mapa final'!$Q$34),"")</f>
        <v/>
      </c>
      <c r="AM30" s="41" t="str">
        <f>IF(AND('Mapa final'!$AA$35="Media",'Mapa final'!$AC$35="Catastrófico"),CONCATENATE("R5C",'Mapa final'!$Q$35),"")</f>
        <v/>
      </c>
      <c r="AN30" s="67"/>
      <c r="AO30" s="428"/>
      <c r="AP30" s="429"/>
      <c r="AQ30" s="429"/>
      <c r="AR30" s="429"/>
      <c r="AS30" s="429"/>
      <c r="AT30" s="430"/>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25">
      <c r="A31" s="67"/>
      <c r="B31" s="347"/>
      <c r="C31" s="347"/>
      <c r="D31" s="348"/>
      <c r="E31" s="388"/>
      <c r="F31" s="389"/>
      <c r="G31" s="389"/>
      <c r="H31" s="389"/>
      <c r="I31" s="390"/>
      <c r="J31" s="51" t="str">
        <f>IF(AND('Mapa final'!$AA$36="Media",'Mapa final'!$AC$36="Leve"),CONCATENATE("R6C",'Mapa final'!$Q$36),"")</f>
        <v/>
      </c>
      <c r="K31" s="52" t="str">
        <f>IF(AND('Mapa final'!$AA$37="Media",'Mapa final'!$AC$37="Leve"),CONCATENATE("R6C",'Mapa final'!$Q$37),"")</f>
        <v/>
      </c>
      <c r="L31" s="52" t="str">
        <f>IF(AND('Mapa final'!$AA$38="Media",'Mapa final'!$AC$38="Leve"),CONCATENATE("R6C",'Mapa final'!$Q$38),"")</f>
        <v/>
      </c>
      <c r="M31" s="52" t="str">
        <f>IF(AND('Mapa final'!$AA$39="Media",'Mapa final'!$AC$39="Leve"),CONCATENATE("R6C",'Mapa final'!$Q$39),"")</f>
        <v/>
      </c>
      <c r="N31" s="52" t="str">
        <f>IF(AND('Mapa final'!$AA$40="Media",'Mapa final'!$AC$40="Leve"),CONCATENATE("R6C",'Mapa final'!$Q$40),"")</f>
        <v/>
      </c>
      <c r="O31" s="53" t="str">
        <f>IF(AND('Mapa final'!$AA$41="Media",'Mapa final'!$AC$41="Leve"),CONCATENATE("R6C",'Mapa final'!$Q$41),"")</f>
        <v/>
      </c>
      <c r="P31" s="51" t="str">
        <f>IF(AND('Mapa final'!$AA$36="Media",'Mapa final'!$AC$36="Menor"),CONCATENATE("R6C",'Mapa final'!$Q$36),"")</f>
        <v/>
      </c>
      <c r="Q31" s="52" t="str">
        <f>IF(AND('Mapa final'!$AA$37="Media",'Mapa final'!$AC$37="Menor"),CONCATENATE("R6C",'Mapa final'!$Q$37),"")</f>
        <v/>
      </c>
      <c r="R31" s="52" t="str">
        <f>IF(AND('Mapa final'!$AA$38="Media",'Mapa final'!$AC$38="Menor"),CONCATENATE("R6C",'Mapa final'!$Q$38),"")</f>
        <v/>
      </c>
      <c r="S31" s="52" t="str">
        <f>IF(AND('Mapa final'!$AA$39="Media",'Mapa final'!$AC$39="Menor"),CONCATENATE("R6C",'Mapa final'!$Q$39),"")</f>
        <v/>
      </c>
      <c r="T31" s="52" t="str">
        <f>IF(AND('Mapa final'!$AA$40="Media",'Mapa final'!$AC$40="Menor"),CONCATENATE("R6C",'Mapa final'!$Q$40),"")</f>
        <v/>
      </c>
      <c r="U31" s="53" t="str">
        <f>IF(AND('Mapa final'!$AA$41="Media",'Mapa final'!$AC$41="Menor"),CONCATENATE("R6C",'Mapa final'!$Q$41),"")</f>
        <v/>
      </c>
      <c r="V31" s="51" t="str">
        <f>IF(AND('Mapa final'!$AA$36="Media",'Mapa final'!$AC$36="Moderado"),CONCATENATE("R6C",'Mapa final'!$Q$36),"")</f>
        <v/>
      </c>
      <c r="W31" s="52" t="str">
        <f>IF(AND('Mapa final'!$AA$37="Media",'Mapa final'!$AC$37="Moderado"),CONCATENATE("R6C",'Mapa final'!$Q$37),"")</f>
        <v/>
      </c>
      <c r="X31" s="52" t="str">
        <f>IF(AND('Mapa final'!$AA$38="Media",'Mapa final'!$AC$38="Moderado"),CONCATENATE("R6C",'Mapa final'!$Q$38),"")</f>
        <v/>
      </c>
      <c r="Y31" s="52" t="str">
        <f>IF(AND('Mapa final'!$AA$39="Media",'Mapa final'!$AC$39="Moderado"),CONCATENATE("R6C",'Mapa final'!$Q$39),"")</f>
        <v/>
      </c>
      <c r="Z31" s="52" t="str">
        <f>IF(AND('Mapa final'!$AA$40="Media",'Mapa final'!$AC$40="Moderado"),CONCATENATE("R6C",'Mapa final'!$Q$40),"")</f>
        <v/>
      </c>
      <c r="AA31" s="53" t="str">
        <f>IF(AND('Mapa final'!$AA$41="Media",'Mapa final'!$AC$41="Moderado"),CONCATENATE("R6C",'Mapa final'!$Q$41),"")</f>
        <v/>
      </c>
      <c r="AB31" s="36" t="str">
        <f>IF(AND('Mapa final'!$AA$36="Media",'Mapa final'!$AC$36="Mayor"),CONCATENATE("R6C",'Mapa final'!$Q$36),"")</f>
        <v/>
      </c>
      <c r="AC31" s="37" t="str">
        <f>IF(AND('Mapa final'!$AA$37="Media",'Mapa final'!$AC$37="Mayor"),CONCATENATE("R6C",'Mapa final'!$Q$37),"")</f>
        <v/>
      </c>
      <c r="AD31" s="37" t="str">
        <f>IF(AND('Mapa final'!$AA$38="Media",'Mapa final'!$AC$38="Mayor"),CONCATENATE("R6C",'Mapa final'!$Q$38),"")</f>
        <v/>
      </c>
      <c r="AE31" s="37" t="str">
        <f>IF(AND('Mapa final'!$AA$39="Media",'Mapa final'!$AC$39="Mayor"),CONCATENATE("R6C",'Mapa final'!$Q$39),"")</f>
        <v/>
      </c>
      <c r="AF31" s="37" t="str">
        <f>IF(AND('Mapa final'!$AA$40="Media",'Mapa final'!$AC$40="Mayor"),CONCATENATE("R6C",'Mapa final'!$Q$40),"")</f>
        <v/>
      </c>
      <c r="AG31" s="38" t="str">
        <f>IF(AND('Mapa final'!$AA$41="Media",'Mapa final'!$AC$41="Mayor"),CONCATENATE("R6C",'Mapa final'!$Q$41),"")</f>
        <v/>
      </c>
      <c r="AH31" s="39" t="str">
        <f>IF(AND('Mapa final'!$AA$36="Media",'Mapa final'!$AC$36="Catastrófico"),CONCATENATE("R6C",'Mapa final'!$Q$36),"")</f>
        <v/>
      </c>
      <c r="AI31" s="40" t="str">
        <f>IF(AND('Mapa final'!$AA$37="Media",'Mapa final'!$AC$37="Catastrófico"),CONCATENATE("R6C",'Mapa final'!$Q$37),"")</f>
        <v/>
      </c>
      <c r="AJ31" s="40" t="str">
        <f>IF(AND('Mapa final'!$AA$38="Media",'Mapa final'!$AC$38="Catastrófico"),CONCATENATE("R6C",'Mapa final'!$Q$38),"")</f>
        <v/>
      </c>
      <c r="AK31" s="40" t="str">
        <f>IF(AND('Mapa final'!$AA$39="Media",'Mapa final'!$AC$39="Catastrófico"),CONCATENATE("R6C",'Mapa final'!$Q$39),"")</f>
        <v/>
      </c>
      <c r="AL31" s="40" t="str">
        <f>IF(AND('Mapa final'!$AA$40="Media",'Mapa final'!$AC$40="Catastrófico"),CONCATENATE("R6C",'Mapa final'!$Q$40),"")</f>
        <v/>
      </c>
      <c r="AM31" s="41" t="str">
        <f>IF(AND('Mapa final'!$AA$41="Media",'Mapa final'!$AC$41="Catastrófico"),CONCATENATE("R6C",'Mapa final'!$Q$41),"")</f>
        <v/>
      </c>
      <c r="AN31" s="67"/>
      <c r="AO31" s="428"/>
      <c r="AP31" s="429"/>
      <c r="AQ31" s="429"/>
      <c r="AR31" s="429"/>
      <c r="AS31" s="429"/>
      <c r="AT31" s="430"/>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25">
      <c r="A32" s="67"/>
      <c r="B32" s="347"/>
      <c r="C32" s="347"/>
      <c r="D32" s="348"/>
      <c r="E32" s="388"/>
      <c r="F32" s="389"/>
      <c r="G32" s="389"/>
      <c r="H32" s="389"/>
      <c r="I32" s="390"/>
      <c r="J32" s="51" t="str">
        <f>IF(AND('Mapa final'!$AA$42="Media",'Mapa final'!$AC$42="Leve"),CONCATENATE("R7C",'Mapa final'!$Q$42),"")</f>
        <v/>
      </c>
      <c r="K32" s="52" t="str">
        <f>IF(AND('Mapa final'!$AA$43="Media",'Mapa final'!$AC$43="Leve"),CONCATENATE("R7C",'Mapa final'!$Q$43),"")</f>
        <v/>
      </c>
      <c r="L32" s="52" t="str">
        <f>IF(AND('Mapa final'!$AA$44="Media",'Mapa final'!$AC$44="Leve"),CONCATENATE("R7C",'Mapa final'!$Q$44),"")</f>
        <v/>
      </c>
      <c r="M32" s="52" t="str">
        <f>IF(AND('Mapa final'!$AA$45="Media",'Mapa final'!$AC$45="Leve"),CONCATENATE("R7C",'Mapa final'!$Q$45),"")</f>
        <v/>
      </c>
      <c r="N32" s="52" t="str">
        <f>IF(AND('Mapa final'!$AA$46="Media",'Mapa final'!$AC$46="Leve"),CONCATENATE("R7C",'Mapa final'!$Q$46),"")</f>
        <v/>
      </c>
      <c r="O32" s="53" t="str">
        <f>IF(AND('Mapa final'!$AA$47="Media",'Mapa final'!$AC$47="Leve"),CONCATENATE("R7C",'Mapa final'!$Q$47),"")</f>
        <v/>
      </c>
      <c r="P32" s="51" t="str">
        <f>IF(AND('Mapa final'!$AA$42="Media",'Mapa final'!$AC$42="Menor"),CONCATENATE("R7C",'Mapa final'!$Q$42),"")</f>
        <v/>
      </c>
      <c r="Q32" s="52" t="str">
        <f>IF(AND('Mapa final'!$AA$43="Media",'Mapa final'!$AC$43="Menor"),CONCATENATE("R7C",'Mapa final'!$Q$43),"")</f>
        <v/>
      </c>
      <c r="R32" s="52" t="str">
        <f>IF(AND('Mapa final'!$AA$44="Media",'Mapa final'!$AC$44="Menor"),CONCATENATE("R7C",'Mapa final'!$Q$44),"")</f>
        <v/>
      </c>
      <c r="S32" s="52" t="str">
        <f>IF(AND('Mapa final'!$AA$45="Media",'Mapa final'!$AC$45="Menor"),CONCATENATE("R7C",'Mapa final'!$Q$45),"")</f>
        <v/>
      </c>
      <c r="T32" s="52" t="str">
        <f>IF(AND('Mapa final'!$AA$46="Media",'Mapa final'!$AC$46="Menor"),CONCATENATE("R7C",'Mapa final'!$Q$46),"")</f>
        <v/>
      </c>
      <c r="U32" s="53" t="str">
        <f>IF(AND('Mapa final'!$AA$47="Media",'Mapa final'!$AC$47="Menor"),CONCATENATE("R7C",'Mapa final'!$Q$47),"")</f>
        <v/>
      </c>
      <c r="V32" s="51" t="str">
        <f>IF(AND('Mapa final'!$AA$42="Media",'Mapa final'!$AC$42="Moderado"),CONCATENATE("R7C",'Mapa final'!$Q$42),"")</f>
        <v/>
      </c>
      <c r="W32" s="52" t="str">
        <f>IF(AND('Mapa final'!$AA$43="Media",'Mapa final'!$AC$43="Moderado"),CONCATENATE("R7C",'Mapa final'!$Q$43),"")</f>
        <v/>
      </c>
      <c r="X32" s="52" t="str">
        <f>IF(AND('Mapa final'!$AA$44="Media",'Mapa final'!$AC$44="Moderado"),CONCATENATE("R7C",'Mapa final'!$Q$44),"")</f>
        <v/>
      </c>
      <c r="Y32" s="52" t="str">
        <f>IF(AND('Mapa final'!$AA$45="Media",'Mapa final'!$AC$45="Moderado"),CONCATENATE("R7C",'Mapa final'!$Q$45),"")</f>
        <v/>
      </c>
      <c r="Z32" s="52" t="str">
        <f>IF(AND('Mapa final'!$AA$46="Media",'Mapa final'!$AC$46="Moderado"),CONCATENATE("R7C",'Mapa final'!$Q$46),"")</f>
        <v/>
      </c>
      <c r="AA32" s="53" t="str">
        <f>IF(AND('Mapa final'!$AA$47="Media",'Mapa final'!$AC$47="Moderado"),CONCATENATE("R7C",'Mapa final'!$Q$47),"")</f>
        <v/>
      </c>
      <c r="AB32" s="36" t="str">
        <f>IF(AND('Mapa final'!$AA$42="Media",'Mapa final'!$AC$42="Mayor"),CONCATENATE("R7C",'Mapa final'!$Q$42),"")</f>
        <v/>
      </c>
      <c r="AC32" s="37" t="str">
        <f>IF(AND('Mapa final'!$AA$43="Media",'Mapa final'!$AC$43="Mayor"),CONCATENATE("R7C",'Mapa final'!$Q$43),"")</f>
        <v/>
      </c>
      <c r="AD32" s="37" t="str">
        <f>IF(AND('Mapa final'!$AA$44="Media",'Mapa final'!$AC$44="Mayor"),CONCATENATE("R7C",'Mapa final'!$Q$44),"")</f>
        <v/>
      </c>
      <c r="AE32" s="37" t="str">
        <f>IF(AND('Mapa final'!$AA$45="Media",'Mapa final'!$AC$45="Mayor"),CONCATENATE("R7C",'Mapa final'!$Q$45),"")</f>
        <v/>
      </c>
      <c r="AF32" s="37" t="str">
        <f>IF(AND('Mapa final'!$AA$46="Media",'Mapa final'!$AC$46="Mayor"),CONCATENATE("R7C",'Mapa final'!$Q$46),"")</f>
        <v/>
      </c>
      <c r="AG32" s="38" t="str">
        <f>IF(AND('Mapa final'!$AA$47="Media",'Mapa final'!$AC$47="Mayor"),CONCATENATE("R7C",'Mapa final'!$Q$47),"")</f>
        <v/>
      </c>
      <c r="AH32" s="39" t="str">
        <f>IF(AND('Mapa final'!$AA$42="Media",'Mapa final'!$AC$42="Catastrófico"),CONCATENATE("R7C",'Mapa final'!$Q$42),"")</f>
        <v/>
      </c>
      <c r="AI32" s="40" t="str">
        <f>IF(AND('Mapa final'!$AA$43="Media",'Mapa final'!$AC$43="Catastrófico"),CONCATENATE("R7C",'Mapa final'!$Q$43),"")</f>
        <v/>
      </c>
      <c r="AJ32" s="40" t="str">
        <f>IF(AND('Mapa final'!$AA$44="Media",'Mapa final'!$AC$44="Catastrófico"),CONCATENATE("R7C",'Mapa final'!$Q$44),"")</f>
        <v/>
      </c>
      <c r="AK32" s="40" t="str">
        <f>IF(AND('Mapa final'!$AA$45="Media",'Mapa final'!$AC$45="Catastrófico"),CONCATENATE("R7C",'Mapa final'!$Q$45),"")</f>
        <v/>
      </c>
      <c r="AL32" s="40" t="str">
        <f>IF(AND('Mapa final'!$AA$46="Media",'Mapa final'!$AC$46="Catastrófico"),CONCATENATE("R7C",'Mapa final'!$Q$46),"")</f>
        <v/>
      </c>
      <c r="AM32" s="41" t="str">
        <f>IF(AND('Mapa final'!$AA$47="Media",'Mapa final'!$AC$47="Catastrófico"),CONCATENATE("R7C",'Mapa final'!$Q$47),"")</f>
        <v/>
      </c>
      <c r="AN32" s="67"/>
      <c r="AO32" s="428"/>
      <c r="AP32" s="429"/>
      <c r="AQ32" s="429"/>
      <c r="AR32" s="429"/>
      <c r="AS32" s="429"/>
      <c r="AT32" s="430"/>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25">
      <c r="A33" s="67"/>
      <c r="B33" s="347"/>
      <c r="C33" s="347"/>
      <c r="D33" s="348"/>
      <c r="E33" s="388"/>
      <c r="F33" s="389"/>
      <c r="G33" s="389"/>
      <c r="H33" s="389"/>
      <c r="I33" s="390"/>
      <c r="J33" s="51" t="str">
        <f>IF(AND('Mapa final'!$AA$48="Media",'Mapa final'!$AC$48="Leve"),CONCATENATE("R8C",'Mapa final'!$Q$48),"")</f>
        <v/>
      </c>
      <c r="K33" s="52" t="str">
        <f>IF(AND('Mapa final'!$AA$49="Media",'Mapa final'!$AC$49="Leve"),CONCATENATE("R8C",'Mapa final'!$Q$49),"")</f>
        <v/>
      </c>
      <c r="L33" s="52" t="str">
        <f>IF(AND('Mapa final'!$AA$50="Media",'Mapa final'!$AC$50="Leve"),CONCATENATE("R8C",'Mapa final'!$Q$50),"")</f>
        <v/>
      </c>
      <c r="M33" s="52" t="str">
        <f>IF(AND('Mapa final'!$AA$51="Media",'Mapa final'!$AC$51="Leve"),CONCATENATE("R8C",'Mapa final'!$Q$51),"")</f>
        <v/>
      </c>
      <c r="N33" s="52" t="str">
        <f>IF(AND('Mapa final'!$AA$52="Media",'Mapa final'!$AC$52="Leve"),CONCATENATE("R8C",'Mapa final'!$Q$52),"")</f>
        <v/>
      </c>
      <c r="O33" s="53" t="str">
        <f>IF(AND('Mapa final'!$AA$53="Media",'Mapa final'!$AC$53="Leve"),CONCATENATE("R8C",'Mapa final'!$Q$53),"")</f>
        <v/>
      </c>
      <c r="P33" s="51" t="str">
        <f>IF(AND('Mapa final'!$AA$48="Media",'Mapa final'!$AC$48="Menor"),CONCATENATE("R8C",'Mapa final'!$Q$48),"")</f>
        <v/>
      </c>
      <c r="Q33" s="52" t="str">
        <f>IF(AND('Mapa final'!$AA$49="Media",'Mapa final'!$AC$49="Menor"),CONCATENATE("R8C",'Mapa final'!$Q$49),"")</f>
        <v/>
      </c>
      <c r="R33" s="52" t="str">
        <f>IF(AND('Mapa final'!$AA$50="Media",'Mapa final'!$AC$50="Menor"),CONCATENATE("R8C",'Mapa final'!$Q$50),"")</f>
        <v/>
      </c>
      <c r="S33" s="52" t="str">
        <f>IF(AND('Mapa final'!$AA$51="Media",'Mapa final'!$AC$51="Menor"),CONCATENATE("R8C",'Mapa final'!$Q$51),"")</f>
        <v/>
      </c>
      <c r="T33" s="52" t="str">
        <f>IF(AND('Mapa final'!$AA$52="Media",'Mapa final'!$AC$52="Menor"),CONCATENATE("R8C",'Mapa final'!$Q$52),"")</f>
        <v/>
      </c>
      <c r="U33" s="53" t="str">
        <f>IF(AND('Mapa final'!$AA$53="Media",'Mapa final'!$AC$53="Menor"),CONCATENATE("R8C",'Mapa final'!$Q$53),"")</f>
        <v/>
      </c>
      <c r="V33" s="51" t="str">
        <f>IF(AND('Mapa final'!$AA$48="Media",'Mapa final'!$AC$48="Moderado"),CONCATENATE("R8C",'Mapa final'!$Q$48),"")</f>
        <v/>
      </c>
      <c r="W33" s="52" t="str">
        <f>IF(AND('Mapa final'!$AA$49="Media",'Mapa final'!$AC$49="Moderado"),CONCATENATE("R8C",'Mapa final'!$Q$49),"")</f>
        <v/>
      </c>
      <c r="X33" s="52" t="str">
        <f>IF(AND('Mapa final'!$AA$50="Media",'Mapa final'!$AC$50="Moderado"),CONCATENATE("R8C",'Mapa final'!$Q$50),"")</f>
        <v/>
      </c>
      <c r="Y33" s="52" t="str">
        <f>IF(AND('Mapa final'!$AA$51="Media",'Mapa final'!$AC$51="Moderado"),CONCATENATE("R8C",'Mapa final'!$Q$51),"")</f>
        <v/>
      </c>
      <c r="Z33" s="52" t="str">
        <f>IF(AND('Mapa final'!$AA$52="Media",'Mapa final'!$AC$52="Moderado"),CONCATENATE("R8C",'Mapa final'!$Q$52),"")</f>
        <v/>
      </c>
      <c r="AA33" s="53" t="str">
        <f>IF(AND('Mapa final'!$AA$53="Media",'Mapa final'!$AC$53="Moderado"),CONCATENATE("R8C",'Mapa final'!$Q$53),"")</f>
        <v/>
      </c>
      <c r="AB33" s="36" t="str">
        <f>IF(AND('Mapa final'!$AA$48="Media",'Mapa final'!$AC$48="Mayor"),CONCATENATE("R8C",'Mapa final'!$Q$48),"")</f>
        <v/>
      </c>
      <c r="AC33" s="37" t="str">
        <f>IF(AND('Mapa final'!$AA$49="Media",'Mapa final'!$AC$49="Mayor"),CONCATENATE("R8C",'Mapa final'!$Q$49),"")</f>
        <v/>
      </c>
      <c r="AD33" s="37" t="str">
        <f>IF(AND('Mapa final'!$AA$50="Media",'Mapa final'!$AC$50="Mayor"),CONCATENATE("R8C",'Mapa final'!$Q$50),"")</f>
        <v/>
      </c>
      <c r="AE33" s="37" t="str">
        <f>IF(AND('Mapa final'!$AA$51="Media",'Mapa final'!$AC$51="Mayor"),CONCATENATE("R8C",'Mapa final'!$Q$51),"")</f>
        <v/>
      </c>
      <c r="AF33" s="37" t="str">
        <f>IF(AND('Mapa final'!$AA$52="Media",'Mapa final'!$AC$52="Mayor"),CONCATENATE("R8C",'Mapa final'!$Q$52),"")</f>
        <v/>
      </c>
      <c r="AG33" s="38" t="str">
        <f>IF(AND('Mapa final'!$AA$53="Media",'Mapa final'!$AC$53="Mayor"),CONCATENATE("R8C",'Mapa final'!$Q$53),"")</f>
        <v/>
      </c>
      <c r="AH33" s="39" t="str">
        <f>IF(AND('Mapa final'!$AA$48="Media",'Mapa final'!$AC$48="Catastrófico"),CONCATENATE("R8C",'Mapa final'!$Q$48),"")</f>
        <v/>
      </c>
      <c r="AI33" s="40" t="str">
        <f>IF(AND('Mapa final'!$AA$49="Media",'Mapa final'!$AC$49="Catastrófico"),CONCATENATE("R8C",'Mapa final'!$Q$49),"")</f>
        <v/>
      </c>
      <c r="AJ33" s="40" t="str">
        <f>IF(AND('Mapa final'!$AA$50="Media",'Mapa final'!$AC$50="Catastrófico"),CONCATENATE("R8C",'Mapa final'!$Q$50),"")</f>
        <v/>
      </c>
      <c r="AK33" s="40" t="str">
        <f>IF(AND('Mapa final'!$AA$51="Media",'Mapa final'!$AC$51="Catastrófico"),CONCATENATE("R8C",'Mapa final'!$Q$51),"")</f>
        <v/>
      </c>
      <c r="AL33" s="40" t="str">
        <f>IF(AND('Mapa final'!$AA$52="Media",'Mapa final'!$AC$52="Catastrófico"),CONCATENATE("R8C",'Mapa final'!$Q$52),"")</f>
        <v/>
      </c>
      <c r="AM33" s="41" t="str">
        <f>IF(AND('Mapa final'!$AA$53="Media",'Mapa final'!$AC$53="Catastrófico"),CONCATENATE("R8C",'Mapa final'!$Q$53),"")</f>
        <v/>
      </c>
      <c r="AN33" s="67"/>
      <c r="AO33" s="428"/>
      <c r="AP33" s="429"/>
      <c r="AQ33" s="429"/>
      <c r="AR33" s="429"/>
      <c r="AS33" s="429"/>
      <c r="AT33" s="430"/>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25">
      <c r="A34" s="67"/>
      <c r="B34" s="347"/>
      <c r="C34" s="347"/>
      <c r="D34" s="348"/>
      <c r="E34" s="388"/>
      <c r="F34" s="389"/>
      <c r="G34" s="389"/>
      <c r="H34" s="389"/>
      <c r="I34" s="390"/>
      <c r="J34" s="51" t="str">
        <f>IF(AND('Mapa final'!$AA$54="Media",'Mapa final'!$AC$54="Leve"),CONCATENATE("R9C",'Mapa final'!$Q$54),"")</f>
        <v/>
      </c>
      <c r="K34" s="52" t="str">
        <f>IF(AND('Mapa final'!$AA$55="Media",'Mapa final'!$AC$55="Leve"),CONCATENATE("R9C",'Mapa final'!$Q$55),"")</f>
        <v/>
      </c>
      <c r="L34" s="52" t="str">
        <f>IF(AND('Mapa final'!$AA$56="Media",'Mapa final'!$AC$56="Leve"),CONCATENATE("R9C",'Mapa final'!$Q$56),"")</f>
        <v/>
      </c>
      <c r="M34" s="52" t="str">
        <f>IF(AND('Mapa final'!$AA$57="Media",'Mapa final'!$AC$57="Leve"),CONCATENATE("R9C",'Mapa final'!$Q$57),"")</f>
        <v/>
      </c>
      <c r="N34" s="52" t="str">
        <f>IF(AND('Mapa final'!$AA$58="Media",'Mapa final'!$AC$58="Leve"),CONCATENATE("R9C",'Mapa final'!$Q$58),"")</f>
        <v/>
      </c>
      <c r="O34" s="53" t="str">
        <f>IF(AND('Mapa final'!$AA$59="Media",'Mapa final'!$AC$59="Leve"),CONCATENATE("R9C",'Mapa final'!$Q$59),"")</f>
        <v/>
      </c>
      <c r="P34" s="51" t="str">
        <f>IF(AND('Mapa final'!$AA$54="Media",'Mapa final'!$AC$54="Menor"),CONCATENATE("R9C",'Mapa final'!$Q$54),"")</f>
        <v/>
      </c>
      <c r="Q34" s="52" t="str">
        <f>IF(AND('Mapa final'!$AA$55="Media",'Mapa final'!$AC$55="Menor"),CONCATENATE("R9C",'Mapa final'!$Q$55),"")</f>
        <v/>
      </c>
      <c r="R34" s="52" t="str">
        <f>IF(AND('Mapa final'!$AA$56="Media",'Mapa final'!$AC$56="Menor"),CONCATENATE("R9C",'Mapa final'!$Q$56),"")</f>
        <v/>
      </c>
      <c r="S34" s="52" t="str">
        <f>IF(AND('Mapa final'!$AA$57="Media",'Mapa final'!$AC$57="Menor"),CONCATENATE("R9C",'Mapa final'!$Q$57),"")</f>
        <v/>
      </c>
      <c r="T34" s="52" t="str">
        <f>IF(AND('Mapa final'!$AA$58="Media",'Mapa final'!$AC$58="Menor"),CONCATENATE("R9C",'Mapa final'!$Q$58),"")</f>
        <v/>
      </c>
      <c r="U34" s="53" t="str">
        <f>IF(AND('Mapa final'!$AA$59="Media",'Mapa final'!$AC$59="Menor"),CONCATENATE("R9C",'Mapa final'!$Q$59),"")</f>
        <v/>
      </c>
      <c r="V34" s="51" t="str">
        <f>IF(AND('Mapa final'!$AA$54="Media",'Mapa final'!$AC$54="Moderado"),CONCATENATE("R9C",'Mapa final'!$Q$54),"")</f>
        <v/>
      </c>
      <c r="W34" s="52" t="str">
        <f>IF(AND('Mapa final'!$AA$55="Media",'Mapa final'!$AC$55="Moderado"),CONCATENATE("R9C",'Mapa final'!$Q$55),"")</f>
        <v/>
      </c>
      <c r="X34" s="52" t="str">
        <f>IF(AND('Mapa final'!$AA$56="Media",'Mapa final'!$AC$56="Moderado"),CONCATENATE("R9C",'Mapa final'!$Q$56),"")</f>
        <v/>
      </c>
      <c r="Y34" s="52" t="str">
        <f>IF(AND('Mapa final'!$AA$57="Media",'Mapa final'!$AC$57="Moderado"),CONCATENATE("R9C",'Mapa final'!$Q$57),"")</f>
        <v/>
      </c>
      <c r="Z34" s="52" t="str">
        <f>IF(AND('Mapa final'!$AA$58="Media",'Mapa final'!$AC$58="Moderado"),CONCATENATE("R9C",'Mapa final'!$Q$58),"")</f>
        <v/>
      </c>
      <c r="AA34" s="53" t="str">
        <f>IF(AND('Mapa final'!$AA$59="Media",'Mapa final'!$AC$59="Moderado"),CONCATENATE("R9C",'Mapa final'!$Q$59),"")</f>
        <v/>
      </c>
      <c r="AB34" s="36" t="str">
        <f>IF(AND('Mapa final'!$AA$54="Media",'Mapa final'!$AC$54="Mayor"),CONCATENATE("R9C",'Mapa final'!$Q$54),"")</f>
        <v/>
      </c>
      <c r="AC34" s="37" t="str">
        <f>IF(AND('Mapa final'!$AA$55="Media",'Mapa final'!$AC$55="Mayor"),CONCATENATE("R9C",'Mapa final'!$Q$55),"")</f>
        <v/>
      </c>
      <c r="AD34" s="37" t="str">
        <f>IF(AND('Mapa final'!$AA$56="Media",'Mapa final'!$AC$56="Mayor"),CONCATENATE("R9C",'Mapa final'!$Q$56),"")</f>
        <v/>
      </c>
      <c r="AE34" s="37" t="str">
        <f>IF(AND('Mapa final'!$AA$57="Media",'Mapa final'!$AC$57="Mayor"),CONCATENATE("R9C",'Mapa final'!$Q$57),"")</f>
        <v/>
      </c>
      <c r="AF34" s="37" t="str">
        <f>IF(AND('Mapa final'!$AA$58="Media",'Mapa final'!$AC$58="Mayor"),CONCATENATE("R9C",'Mapa final'!$Q$58),"")</f>
        <v/>
      </c>
      <c r="AG34" s="38" t="str">
        <f>IF(AND('Mapa final'!$AA$59="Media",'Mapa final'!$AC$59="Mayor"),CONCATENATE("R9C",'Mapa final'!$Q$59),"")</f>
        <v/>
      </c>
      <c r="AH34" s="39" t="str">
        <f>IF(AND('Mapa final'!$AA$54="Media",'Mapa final'!$AC$54="Catastrófico"),CONCATENATE("R9C",'Mapa final'!$Q$54),"")</f>
        <v/>
      </c>
      <c r="AI34" s="40" t="str">
        <f>IF(AND('Mapa final'!$AA$55="Media",'Mapa final'!$AC$55="Catastrófico"),CONCATENATE("R9C",'Mapa final'!$Q$55),"")</f>
        <v/>
      </c>
      <c r="AJ34" s="40" t="str">
        <f>IF(AND('Mapa final'!$AA$56="Media",'Mapa final'!$AC$56="Catastrófico"),CONCATENATE("R9C",'Mapa final'!$Q$56),"")</f>
        <v/>
      </c>
      <c r="AK34" s="40" t="str">
        <f>IF(AND('Mapa final'!$AA$57="Media",'Mapa final'!$AC$57="Catastrófico"),CONCATENATE("R9C",'Mapa final'!$Q$57),"")</f>
        <v/>
      </c>
      <c r="AL34" s="40" t="str">
        <f>IF(AND('Mapa final'!$AA$58="Media",'Mapa final'!$AC$58="Catastrófico"),CONCATENATE("R9C",'Mapa final'!$Q$58),"")</f>
        <v/>
      </c>
      <c r="AM34" s="41" t="str">
        <f>IF(AND('Mapa final'!$AA$59="Media",'Mapa final'!$AC$59="Catastrófico"),CONCATENATE("R9C",'Mapa final'!$Q$59),"")</f>
        <v/>
      </c>
      <c r="AN34" s="67"/>
      <c r="AO34" s="428"/>
      <c r="AP34" s="429"/>
      <c r="AQ34" s="429"/>
      <c r="AR34" s="429"/>
      <c r="AS34" s="429"/>
      <c r="AT34" s="430"/>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
      <c r="A35" s="67"/>
      <c r="B35" s="347"/>
      <c r="C35" s="347"/>
      <c r="D35" s="348"/>
      <c r="E35" s="391"/>
      <c r="F35" s="392"/>
      <c r="G35" s="392"/>
      <c r="H35" s="392"/>
      <c r="I35" s="393"/>
      <c r="J35" s="51" t="str">
        <f>IF(AND('Mapa final'!$AA$60="Media",'Mapa final'!$AC$60="Leve"),CONCATENATE("R10C",'Mapa final'!$Q$60),"")</f>
        <v/>
      </c>
      <c r="K35" s="52" t="str">
        <f>IF(AND('Mapa final'!$AA$61="Media",'Mapa final'!$AC$61="Leve"),CONCATENATE("R10C",'Mapa final'!$Q$61),"")</f>
        <v/>
      </c>
      <c r="L35" s="52" t="str">
        <f>IF(AND('Mapa final'!$AA$62="Media",'Mapa final'!$AC$62="Leve"),CONCATENATE("R10C",'Mapa final'!$Q$62),"")</f>
        <v/>
      </c>
      <c r="M35" s="52" t="str">
        <f>IF(AND('Mapa final'!$AA$63="Media",'Mapa final'!$AC$63="Leve"),CONCATENATE("R10C",'Mapa final'!$Q$63),"")</f>
        <v/>
      </c>
      <c r="N35" s="52" t="str">
        <f>IF(AND('Mapa final'!$AA$64="Media",'Mapa final'!$AC$64="Leve"),CONCATENATE("R10C",'Mapa final'!$Q$64),"")</f>
        <v/>
      </c>
      <c r="O35" s="53" t="str">
        <f>IF(AND('Mapa final'!$AA$65="Media",'Mapa final'!$AC$65="Leve"),CONCATENATE("R10C",'Mapa final'!$Q$65),"")</f>
        <v/>
      </c>
      <c r="P35" s="51" t="str">
        <f>IF(AND('Mapa final'!$AA$60="Media",'Mapa final'!$AC$60="Menor"),CONCATENATE("R10C",'Mapa final'!$Q$60),"")</f>
        <v/>
      </c>
      <c r="Q35" s="52" t="str">
        <f>IF(AND('Mapa final'!$AA$61="Media",'Mapa final'!$AC$61="Menor"),CONCATENATE("R10C",'Mapa final'!$Q$61),"")</f>
        <v/>
      </c>
      <c r="R35" s="52" t="str">
        <f>IF(AND('Mapa final'!$AA$62="Media",'Mapa final'!$AC$62="Menor"),CONCATENATE("R10C",'Mapa final'!$Q$62),"")</f>
        <v/>
      </c>
      <c r="S35" s="52" t="str">
        <f>IF(AND('Mapa final'!$AA$63="Media",'Mapa final'!$AC$63="Menor"),CONCATENATE("R10C",'Mapa final'!$Q$63),"")</f>
        <v/>
      </c>
      <c r="T35" s="52" t="str">
        <f>IF(AND('Mapa final'!$AA$64="Media",'Mapa final'!$AC$64="Menor"),CONCATENATE("R10C",'Mapa final'!$Q$64),"")</f>
        <v/>
      </c>
      <c r="U35" s="53" t="str">
        <f>IF(AND('Mapa final'!$AA$65="Media",'Mapa final'!$AC$65="Menor"),CONCATENATE("R10C",'Mapa final'!$Q$65),"")</f>
        <v/>
      </c>
      <c r="V35" s="51" t="str">
        <f>IF(AND('Mapa final'!$AA$60="Media",'Mapa final'!$AC$60="Moderado"),CONCATENATE("R10C",'Mapa final'!$Q$60),"")</f>
        <v/>
      </c>
      <c r="W35" s="52" t="str">
        <f>IF(AND('Mapa final'!$AA$61="Media",'Mapa final'!$AC$61="Moderado"),CONCATENATE("R10C",'Mapa final'!$Q$61),"")</f>
        <v/>
      </c>
      <c r="X35" s="52" t="str">
        <f>IF(AND('Mapa final'!$AA$62="Media",'Mapa final'!$AC$62="Moderado"),CONCATENATE("R10C",'Mapa final'!$Q$62),"")</f>
        <v/>
      </c>
      <c r="Y35" s="52" t="str">
        <f>IF(AND('Mapa final'!$AA$63="Media",'Mapa final'!$AC$63="Moderado"),CONCATENATE("R10C",'Mapa final'!$Q$63),"")</f>
        <v/>
      </c>
      <c r="Z35" s="52" t="str">
        <f>IF(AND('Mapa final'!$AA$64="Media",'Mapa final'!$AC$64="Moderado"),CONCATENATE("R10C",'Mapa final'!$Q$64),"")</f>
        <v/>
      </c>
      <c r="AA35" s="53" t="str">
        <f>IF(AND('Mapa final'!$AA$65="Media",'Mapa final'!$AC$65="Moderado"),CONCATENATE("R10C",'Mapa final'!$Q$65),"")</f>
        <v/>
      </c>
      <c r="AB35" s="42" t="str">
        <f>IF(AND('Mapa final'!$AA$60="Media",'Mapa final'!$AC$60="Mayor"),CONCATENATE("R10C",'Mapa final'!$Q$60),"")</f>
        <v/>
      </c>
      <c r="AC35" s="43" t="str">
        <f>IF(AND('Mapa final'!$AA$61="Media",'Mapa final'!$AC$61="Mayor"),CONCATENATE("R10C",'Mapa final'!$Q$61),"")</f>
        <v/>
      </c>
      <c r="AD35" s="43" t="str">
        <f>IF(AND('Mapa final'!$AA$62="Media",'Mapa final'!$AC$62="Mayor"),CONCATENATE("R10C",'Mapa final'!$Q$62),"")</f>
        <v/>
      </c>
      <c r="AE35" s="43" t="str">
        <f>IF(AND('Mapa final'!$AA$63="Media",'Mapa final'!$AC$63="Mayor"),CONCATENATE("R10C",'Mapa final'!$Q$63),"")</f>
        <v/>
      </c>
      <c r="AF35" s="43" t="str">
        <f>IF(AND('Mapa final'!$AA$64="Media",'Mapa final'!$AC$64="Mayor"),CONCATENATE("R10C",'Mapa final'!$Q$64),"")</f>
        <v/>
      </c>
      <c r="AG35" s="44" t="str">
        <f>IF(AND('Mapa final'!$AA$65="Media",'Mapa final'!$AC$65="Mayor"),CONCATENATE("R10C",'Mapa final'!$Q$65),"")</f>
        <v/>
      </c>
      <c r="AH35" s="45" t="str">
        <f>IF(AND('Mapa final'!$AA$60="Media",'Mapa final'!$AC$60="Catastrófico"),CONCATENATE("R10C",'Mapa final'!$Q$60),"")</f>
        <v/>
      </c>
      <c r="AI35" s="46" t="str">
        <f>IF(AND('Mapa final'!$AA$61="Media",'Mapa final'!$AC$61="Catastrófico"),CONCATENATE("R10C",'Mapa final'!$Q$61),"")</f>
        <v/>
      </c>
      <c r="AJ35" s="46" t="str">
        <f>IF(AND('Mapa final'!$AA$62="Media",'Mapa final'!$AC$62="Catastrófico"),CONCATENATE("R10C",'Mapa final'!$Q$62),"")</f>
        <v/>
      </c>
      <c r="AK35" s="46" t="str">
        <f>IF(AND('Mapa final'!$AA$63="Media",'Mapa final'!$AC$63="Catastrófico"),CONCATENATE("R10C",'Mapa final'!$Q$63),"")</f>
        <v/>
      </c>
      <c r="AL35" s="46" t="str">
        <f>IF(AND('Mapa final'!$AA$64="Media",'Mapa final'!$AC$64="Catastrófico"),CONCATENATE("R10C",'Mapa final'!$Q$64),"")</f>
        <v/>
      </c>
      <c r="AM35" s="47" t="str">
        <f>IF(AND('Mapa final'!$AA$65="Media",'Mapa final'!$AC$65="Catastrófico"),CONCATENATE("R10C",'Mapa final'!$Q$65),"")</f>
        <v/>
      </c>
      <c r="AN35" s="67"/>
      <c r="AO35" s="431"/>
      <c r="AP35" s="432"/>
      <c r="AQ35" s="432"/>
      <c r="AR35" s="432"/>
      <c r="AS35" s="432"/>
      <c r="AT35" s="433"/>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25">
      <c r="A36" s="67"/>
      <c r="B36" s="347"/>
      <c r="C36" s="347"/>
      <c r="D36" s="348"/>
      <c r="E36" s="385" t="s">
        <v>108</v>
      </c>
      <c r="F36" s="386"/>
      <c r="G36" s="386"/>
      <c r="H36" s="386"/>
      <c r="I36" s="386"/>
      <c r="J36" s="57" t="str">
        <f ca="1">IF(AND('Mapa final'!$AA$10="Baja",'Mapa final'!$AC$10="Leve"),CONCATENATE("R1C",'Mapa final'!$Q$10),"")</f>
        <v/>
      </c>
      <c r="K36" s="58" t="str">
        <f ca="1">IF(AND('Mapa final'!$AA$11="Baja",'Mapa final'!$AC$11="Leve"),CONCATENATE("R1C",'Mapa final'!$Q$11),"")</f>
        <v/>
      </c>
      <c r="L36" s="58" t="str">
        <f ca="1">IF(AND('Mapa final'!$AA$12="Baja",'Mapa final'!$AC$12="Leve"),CONCATENATE("R1C",'Mapa final'!$Q$12),"")</f>
        <v/>
      </c>
      <c r="M36" s="58" t="e">
        <f>IF(AND('Mapa final'!#REF!="Baja",'Mapa final'!#REF!="Leve"),CONCATENATE("R1C",'Mapa final'!#REF!),"")</f>
        <v>#REF!</v>
      </c>
      <c r="N36" s="58" t="e">
        <f>IF(AND('Mapa final'!#REF!="Baja",'Mapa final'!#REF!="Leve"),CONCATENATE("R1C",'Mapa final'!#REF!),"")</f>
        <v>#REF!</v>
      </c>
      <c r="O36" s="59" t="e">
        <f>IF(AND('Mapa final'!#REF!="Baja",'Mapa final'!#REF!="Leve"),CONCATENATE("R1C",'Mapa final'!#REF!),"")</f>
        <v>#REF!</v>
      </c>
      <c r="P36" s="48" t="str">
        <f ca="1">IF(AND('Mapa final'!$AA$10="Baja",'Mapa final'!$AC$10="Menor"),CONCATENATE("R1C",'Mapa final'!$Q$10),"")</f>
        <v/>
      </c>
      <c r="Q36" s="49" t="str">
        <f ca="1">IF(AND('Mapa final'!$AA$11="Baja",'Mapa final'!$AC$11="Menor"),CONCATENATE("R1C",'Mapa final'!$Q$11),"")</f>
        <v/>
      </c>
      <c r="R36" s="49" t="str">
        <f ca="1">IF(AND('Mapa final'!$AA$12="Baja",'Mapa final'!$AC$12="Menor"),CONCATENATE("R1C",'Mapa final'!$Q$12),"")</f>
        <v/>
      </c>
      <c r="S36" s="49" t="e">
        <f>IF(AND('Mapa final'!#REF!="Baja",'Mapa final'!#REF!="Menor"),CONCATENATE("R1C",'Mapa final'!#REF!),"")</f>
        <v>#REF!</v>
      </c>
      <c r="T36" s="49" t="e">
        <f>IF(AND('Mapa final'!#REF!="Baja",'Mapa final'!#REF!="Menor"),CONCATENATE("R1C",'Mapa final'!#REF!),"")</f>
        <v>#REF!</v>
      </c>
      <c r="U36" s="50" t="e">
        <f>IF(AND('Mapa final'!#REF!="Baja",'Mapa final'!#REF!="Menor"),CONCATENATE("R1C",'Mapa final'!#REF!),"")</f>
        <v>#REF!</v>
      </c>
      <c r="V36" s="48" t="str">
        <f ca="1">IF(AND('Mapa final'!$AA$10="Baja",'Mapa final'!$AC$10="Moderado"),CONCATENATE("R1C",'Mapa final'!$Q$10),"")</f>
        <v/>
      </c>
      <c r="W36" s="49" t="str">
        <f ca="1">IF(AND('Mapa final'!$AA$11="Baja",'Mapa final'!$AC$11="Moderado"),CONCATENATE("R1C",'Mapa final'!$Q$11),"")</f>
        <v/>
      </c>
      <c r="X36" s="49" t="str">
        <f ca="1">IF(AND('Mapa final'!$AA$12="Baja",'Mapa final'!$AC$12="Moderado"),CONCATENATE("R1C",'Mapa final'!$Q$12),"")</f>
        <v/>
      </c>
      <c r="Y36" s="49" t="e">
        <f>IF(AND('Mapa final'!#REF!="Baja",'Mapa final'!#REF!="Moderado"),CONCATENATE("R1C",'Mapa final'!#REF!),"")</f>
        <v>#REF!</v>
      </c>
      <c r="Z36" s="49" t="e">
        <f>IF(AND('Mapa final'!#REF!="Baja",'Mapa final'!#REF!="Moderado"),CONCATENATE("R1C",'Mapa final'!#REF!),"")</f>
        <v>#REF!</v>
      </c>
      <c r="AA36" s="50" t="e">
        <f>IF(AND('Mapa final'!#REF!="Baja",'Mapa final'!#REF!="Moderado"),CONCATENATE("R1C",'Mapa final'!#REF!),"")</f>
        <v>#REF!</v>
      </c>
      <c r="AB36" s="30" t="str">
        <f ca="1">IF(AND('Mapa final'!$AA$10="Baja",'Mapa final'!$AC$10="Mayor"),CONCATENATE("R1C",'Mapa final'!$Q$10),"")</f>
        <v/>
      </c>
      <c r="AC36" s="31" t="str">
        <f ca="1">IF(AND('Mapa final'!$AA$11="Baja",'Mapa final'!$AC$11="Mayor"),CONCATENATE("R1C",'Mapa final'!$Q$11),"")</f>
        <v>R1C2</v>
      </c>
      <c r="AD36" s="31" t="str">
        <f ca="1">IF(AND('Mapa final'!$AA$12="Baja",'Mapa final'!$AC$12="Mayor"),CONCATENATE("R1C",'Mapa final'!$Q$12),"")</f>
        <v>R1C3</v>
      </c>
      <c r="AE36" s="31" t="e">
        <f>IF(AND('Mapa final'!#REF!="Baja",'Mapa final'!#REF!="Mayor"),CONCATENATE("R1C",'Mapa final'!#REF!),"")</f>
        <v>#REF!</v>
      </c>
      <c r="AF36" s="31" t="e">
        <f>IF(AND('Mapa final'!#REF!="Baja",'Mapa final'!#REF!="Mayor"),CONCATENATE("R1C",'Mapa final'!#REF!),"")</f>
        <v>#REF!</v>
      </c>
      <c r="AG36" s="32" t="e">
        <f>IF(AND('Mapa final'!#REF!="Baja",'Mapa final'!#REF!="Mayor"),CONCATENATE("R1C",'Mapa final'!#REF!),"")</f>
        <v>#REF!</v>
      </c>
      <c r="AH36" s="33" t="str">
        <f ca="1">IF(AND('Mapa final'!$AA$10="Baja",'Mapa final'!$AC$10="Catastrófico"),CONCATENATE("R1C",'Mapa final'!$Q$10),"")</f>
        <v/>
      </c>
      <c r="AI36" s="34" t="str">
        <f ca="1">IF(AND('Mapa final'!$AA$11="Baja",'Mapa final'!$AC$11="Catastrófico"),CONCATENATE("R1C",'Mapa final'!$Q$11),"")</f>
        <v/>
      </c>
      <c r="AJ36" s="34" t="str">
        <f ca="1">IF(AND('Mapa final'!$AA$12="Baja",'Mapa final'!$AC$12="Catastrófico"),CONCATENATE("R1C",'Mapa final'!$Q$12),"")</f>
        <v/>
      </c>
      <c r="AK36" s="34" t="e">
        <f>IF(AND('Mapa final'!#REF!="Baja",'Mapa final'!#REF!="Catastrófico"),CONCATENATE("R1C",'Mapa final'!#REF!),"")</f>
        <v>#REF!</v>
      </c>
      <c r="AL36" s="34" t="e">
        <f>IF(AND('Mapa final'!#REF!="Baja",'Mapa final'!#REF!="Catastrófico"),CONCATENATE("R1C",'Mapa final'!#REF!),"")</f>
        <v>#REF!</v>
      </c>
      <c r="AM36" s="35" t="e">
        <f>IF(AND('Mapa final'!#REF!="Baja",'Mapa final'!#REF!="Catastrófico"),CONCATENATE("R1C",'Mapa final'!#REF!),"")</f>
        <v>#REF!</v>
      </c>
      <c r="AN36" s="67"/>
      <c r="AO36" s="416" t="s">
        <v>80</v>
      </c>
      <c r="AP36" s="417"/>
      <c r="AQ36" s="417"/>
      <c r="AR36" s="417"/>
      <c r="AS36" s="417"/>
      <c r="AT36" s="418"/>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25">
      <c r="A37" s="67"/>
      <c r="B37" s="347"/>
      <c r="C37" s="347"/>
      <c r="D37" s="348"/>
      <c r="E37" s="404"/>
      <c r="F37" s="389"/>
      <c r="G37" s="389"/>
      <c r="H37" s="389"/>
      <c r="I37" s="389"/>
      <c r="J37" s="60" t="str">
        <f ca="1">IF(AND('Mapa final'!$AA$14="Baja",'Mapa final'!$AC$14="Leve"),CONCATENATE("R2C",'Mapa final'!$Q$14),"")</f>
        <v/>
      </c>
      <c r="K37" s="61" t="str">
        <f ca="1">IF(AND('Mapa final'!$AA$15="Baja",'Mapa final'!$AC$15="Leve"),CONCATENATE("R2C",'Mapa final'!$Q$15),"")</f>
        <v/>
      </c>
      <c r="L37" s="61" t="e">
        <f>IF(AND('Mapa final'!#REF!="Baja",'Mapa final'!#REF!="Leve"),CONCATENATE("R2C",'Mapa final'!#REF!),"")</f>
        <v>#REF!</v>
      </c>
      <c r="M37" s="61" t="e">
        <f>IF(AND('Mapa final'!#REF!="Baja",'Mapa final'!#REF!="Leve"),CONCATENATE("R2C",'Mapa final'!#REF!),"")</f>
        <v>#REF!</v>
      </c>
      <c r="N37" s="61" t="str">
        <f>IF(AND('Mapa final'!$AA$16="Baja",'Mapa final'!$AC$16="Leve"),CONCATENATE("R2C",'Mapa final'!$Q$16),"")</f>
        <v/>
      </c>
      <c r="O37" s="62" t="str">
        <f>IF(AND('Mapa final'!$AA$17="Baja",'Mapa final'!$AC$17="Leve"),CONCATENATE("R2C",'Mapa final'!$Q$17),"")</f>
        <v/>
      </c>
      <c r="P37" s="51" t="str">
        <f ca="1">IF(AND('Mapa final'!$AA$14="Baja",'Mapa final'!$AC$14="Menor"),CONCATENATE("R2C",'Mapa final'!$Q$14),"")</f>
        <v/>
      </c>
      <c r="Q37" s="52" t="str">
        <f ca="1">IF(AND('Mapa final'!$AA$15="Baja",'Mapa final'!$AC$15="Menor"),CONCATENATE("R2C",'Mapa final'!$Q$15),"")</f>
        <v/>
      </c>
      <c r="R37" s="52" t="e">
        <f>IF(AND('Mapa final'!#REF!="Baja",'Mapa final'!#REF!="Menor"),CONCATENATE("R2C",'Mapa final'!#REF!),"")</f>
        <v>#REF!</v>
      </c>
      <c r="S37" s="52" t="e">
        <f>IF(AND('Mapa final'!#REF!="Baja",'Mapa final'!#REF!="Menor"),CONCATENATE("R2C",'Mapa final'!#REF!),"")</f>
        <v>#REF!</v>
      </c>
      <c r="T37" s="52" t="str">
        <f>IF(AND('Mapa final'!$AA$16="Baja",'Mapa final'!$AC$16="Menor"),CONCATENATE("R2C",'Mapa final'!$Q$16),"")</f>
        <v/>
      </c>
      <c r="U37" s="53" t="str">
        <f>IF(AND('Mapa final'!$AA$17="Baja",'Mapa final'!$AC$17="Menor"),CONCATENATE("R2C",'Mapa final'!$Q$17),"")</f>
        <v/>
      </c>
      <c r="V37" s="51" t="str">
        <f ca="1">IF(AND('Mapa final'!$AA$14="Baja",'Mapa final'!$AC$14="Moderado"),CONCATENATE("R2C",'Mapa final'!$Q$14),"")</f>
        <v/>
      </c>
      <c r="W37" s="52" t="str">
        <f ca="1">IF(AND('Mapa final'!$AA$15="Baja",'Mapa final'!$AC$15="Moderado"),CONCATENATE("R2C",'Mapa final'!$Q$15),"")</f>
        <v/>
      </c>
      <c r="X37" s="52" t="e">
        <f>IF(AND('Mapa final'!#REF!="Baja",'Mapa final'!#REF!="Moderado"),CONCATENATE("R2C",'Mapa final'!#REF!),"")</f>
        <v>#REF!</v>
      </c>
      <c r="Y37" s="52" t="e">
        <f>IF(AND('Mapa final'!#REF!="Baja",'Mapa final'!#REF!="Moderado"),CONCATENATE("R2C",'Mapa final'!#REF!),"")</f>
        <v>#REF!</v>
      </c>
      <c r="Z37" s="52" t="str">
        <f>IF(AND('Mapa final'!$AA$16="Baja",'Mapa final'!$AC$16="Moderado"),CONCATENATE("R2C",'Mapa final'!$Q$16),"")</f>
        <v/>
      </c>
      <c r="AA37" s="53" t="str">
        <f>IF(AND('Mapa final'!$AA$17="Baja",'Mapa final'!$AC$17="Moderado"),CONCATENATE("R2C",'Mapa final'!$Q$17),"")</f>
        <v/>
      </c>
      <c r="AB37" s="36" t="str">
        <f ca="1">IF(AND('Mapa final'!$AA$14="Baja",'Mapa final'!$AC$14="Mayor"),CONCATENATE("R2C",'Mapa final'!$Q$14),"")</f>
        <v/>
      </c>
      <c r="AC37" s="37" t="str">
        <f ca="1">IF(AND('Mapa final'!$AA$15="Baja",'Mapa final'!$AC$15="Mayor"),CONCATENATE("R2C",'Mapa final'!$Q$15),"")</f>
        <v/>
      </c>
      <c r="AD37" s="37" t="e">
        <f>IF(AND('Mapa final'!#REF!="Baja",'Mapa final'!#REF!="Mayor"),CONCATENATE("R2C",'Mapa final'!#REF!),"")</f>
        <v>#REF!</v>
      </c>
      <c r="AE37" s="37" t="e">
        <f>IF(AND('Mapa final'!#REF!="Baja",'Mapa final'!#REF!="Mayor"),CONCATENATE("R2C",'Mapa final'!#REF!),"")</f>
        <v>#REF!</v>
      </c>
      <c r="AF37" s="37" t="str">
        <f>IF(AND('Mapa final'!$AA$16="Baja",'Mapa final'!$AC$16="Mayor"),CONCATENATE("R2C",'Mapa final'!$Q$16),"")</f>
        <v/>
      </c>
      <c r="AG37" s="38" t="str">
        <f>IF(AND('Mapa final'!$AA$17="Baja",'Mapa final'!$AC$17="Mayor"),CONCATENATE("R2C",'Mapa final'!$Q$17),"")</f>
        <v/>
      </c>
      <c r="AH37" s="39" t="str">
        <f ca="1">IF(AND('Mapa final'!$AA$14="Baja",'Mapa final'!$AC$14="Catastrófico"),CONCATENATE("R2C",'Mapa final'!$Q$14),"")</f>
        <v/>
      </c>
      <c r="AI37" s="40" t="str">
        <f ca="1">IF(AND('Mapa final'!$AA$15="Baja",'Mapa final'!$AC$15="Catastrófico"),CONCATENATE("R2C",'Mapa final'!$Q$15),"")</f>
        <v>R2C2</v>
      </c>
      <c r="AJ37" s="40" t="e">
        <f>IF(AND('Mapa final'!#REF!="Baja",'Mapa final'!#REF!="Catastrófico"),CONCATENATE("R2C",'Mapa final'!#REF!),"")</f>
        <v>#REF!</v>
      </c>
      <c r="AK37" s="40" t="e">
        <f>IF(AND('Mapa final'!#REF!="Baja",'Mapa final'!#REF!="Catastrófico"),CONCATENATE("R2C",'Mapa final'!#REF!),"")</f>
        <v>#REF!</v>
      </c>
      <c r="AL37" s="40" t="str">
        <f>IF(AND('Mapa final'!$AA$16="Baja",'Mapa final'!$AC$16="Catastrófico"),CONCATENATE("R2C",'Mapa final'!$Q$16),"")</f>
        <v/>
      </c>
      <c r="AM37" s="41" t="str">
        <f>IF(AND('Mapa final'!$AA$17="Baja",'Mapa final'!$AC$17="Catastrófico"),CONCATENATE("R2C",'Mapa final'!$Q$17),"")</f>
        <v/>
      </c>
      <c r="AN37" s="67"/>
      <c r="AO37" s="419"/>
      <c r="AP37" s="420"/>
      <c r="AQ37" s="420"/>
      <c r="AR37" s="420"/>
      <c r="AS37" s="420"/>
      <c r="AT37" s="421"/>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25">
      <c r="A38" s="67"/>
      <c r="B38" s="347"/>
      <c r="C38" s="347"/>
      <c r="D38" s="348"/>
      <c r="E38" s="388"/>
      <c r="F38" s="389"/>
      <c r="G38" s="389"/>
      <c r="H38" s="389"/>
      <c r="I38" s="389"/>
      <c r="J38" s="60" t="str">
        <f>IF(AND('Mapa final'!$AA$18="Baja",'Mapa final'!$AC$18="Leve"),CONCATENATE("R3C",'Mapa final'!$Q$18),"")</f>
        <v/>
      </c>
      <c r="K38" s="61" t="str">
        <f>IF(AND('Mapa final'!$AA$19="Baja",'Mapa final'!$AC$19="Leve"),CONCATENATE("R3C",'Mapa final'!$Q$19),"")</f>
        <v/>
      </c>
      <c r="L38" s="61" t="str">
        <f>IF(AND('Mapa final'!$AA$20="Baja",'Mapa final'!$AC$20="Leve"),CONCATENATE("R3C",'Mapa final'!$Q$20),"")</f>
        <v/>
      </c>
      <c r="M38" s="61" t="str">
        <f>IF(AND('Mapa final'!$AA$21="Baja",'Mapa final'!$AC$21="Leve"),CONCATENATE("R3C",'Mapa final'!$Q$21),"")</f>
        <v/>
      </c>
      <c r="N38" s="61" t="str">
        <f>IF(AND('Mapa final'!$AA$22="Baja",'Mapa final'!$AC$22="Leve"),CONCATENATE("R3C",'Mapa final'!$Q$22),"")</f>
        <v/>
      </c>
      <c r="O38" s="62" t="str">
        <f>IF(AND('Mapa final'!$AA$23="Baja",'Mapa final'!$AC$23="Leve"),CONCATENATE("R3C",'Mapa final'!$Q$23),"")</f>
        <v/>
      </c>
      <c r="P38" s="51" t="str">
        <f>IF(AND('Mapa final'!$AA$18="Baja",'Mapa final'!$AC$18="Menor"),CONCATENATE("R3C",'Mapa final'!$Q$18),"")</f>
        <v/>
      </c>
      <c r="Q38" s="52" t="str">
        <f>IF(AND('Mapa final'!$AA$19="Baja",'Mapa final'!$AC$19="Menor"),CONCATENATE("R3C",'Mapa final'!$Q$19),"")</f>
        <v/>
      </c>
      <c r="R38" s="52" t="str">
        <f>IF(AND('Mapa final'!$AA$20="Baja",'Mapa final'!$AC$20="Menor"),CONCATENATE("R3C",'Mapa final'!$Q$20),"")</f>
        <v/>
      </c>
      <c r="S38" s="52" t="str">
        <f>IF(AND('Mapa final'!$AA$21="Baja",'Mapa final'!$AC$21="Menor"),CONCATENATE("R3C",'Mapa final'!$Q$21),"")</f>
        <v/>
      </c>
      <c r="T38" s="52" t="str">
        <f>IF(AND('Mapa final'!$AA$22="Baja",'Mapa final'!$AC$22="Menor"),CONCATENATE("R3C",'Mapa final'!$Q$22),"")</f>
        <v/>
      </c>
      <c r="U38" s="53" t="str">
        <f>IF(AND('Mapa final'!$AA$23="Baja",'Mapa final'!$AC$23="Menor"),CONCATENATE("R3C",'Mapa final'!$Q$23),"")</f>
        <v/>
      </c>
      <c r="V38" s="51" t="str">
        <f>IF(AND('Mapa final'!$AA$18="Baja",'Mapa final'!$AC$18="Moderado"),CONCATENATE("R3C",'Mapa final'!$Q$18),"")</f>
        <v/>
      </c>
      <c r="W38" s="52" t="str">
        <f>IF(AND('Mapa final'!$AA$19="Baja",'Mapa final'!$AC$19="Moderado"),CONCATENATE("R3C",'Mapa final'!$Q$19),"")</f>
        <v/>
      </c>
      <c r="X38" s="52" t="str">
        <f>IF(AND('Mapa final'!$AA$20="Baja",'Mapa final'!$AC$20="Moderado"),CONCATENATE("R3C",'Mapa final'!$Q$20),"")</f>
        <v/>
      </c>
      <c r="Y38" s="52" t="str">
        <f>IF(AND('Mapa final'!$AA$21="Baja",'Mapa final'!$AC$21="Moderado"),CONCATENATE("R3C",'Mapa final'!$Q$21),"")</f>
        <v/>
      </c>
      <c r="Z38" s="52" t="str">
        <f>IF(AND('Mapa final'!$AA$22="Baja",'Mapa final'!$AC$22="Moderado"),CONCATENATE("R3C",'Mapa final'!$Q$22),"")</f>
        <v/>
      </c>
      <c r="AA38" s="53" t="str">
        <f>IF(AND('Mapa final'!$AA$23="Baja",'Mapa final'!$AC$23="Moderado"),CONCATENATE("R3C",'Mapa final'!$Q$23),"")</f>
        <v/>
      </c>
      <c r="AB38" s="36" t="str">
        <f>IF(AND('Mapa final'!$AA$18="Baja",'Mapa final'!$AC$18="Mayor"),CONCATENATE("R3C",'Mapa final'!$Q$18),"")</f>
        <v/>
      </c>
      <c r="AC38" s="37" t="str">
        <f>IF(AND('Mapa final'!$AA$19="Baja",'Mapa final'!$AC$19="Mayor"),CONCATENATE("R3C",'Mapa final'!$Q$19),"")</f>
        <v/>
      </c>
      <c r="AD38" s="37" t="str">
        <f>IF(AND('Mapa final'!$AA$20="Baja",'Mapa final'!$AC$20="Mayor"),CONCATENATE("R3C",'Mapa final'!$Q$20),"")</f>
        <v/>
      </c>
      <c r="AE38" s="37" t="str">
        <f>IF(AND('Mapa final'!$AA$21="Baja",'Mapa final'!$AC$21="Mayor"),CONCATENATE("R3C",'Mapa final'!$Q$21),"")</f>
        <v/>
      </c>
      <c r="AF38" s="37" t="str">
        <f>IF(AND('Mapa final'!$AA$22="Baja",'Mapa final'!$AC$22="Mayor"),CONCATENATE("R3C",'Mapa final'!$Q$22),"")</f>
        <v/>
      </c>
      <c r="AG38" s="38" t="str">
        <f>IF(AND('Mapa final'!$AA$23="Baja",'Mapa final'!$AC$23="Mayor"),CONCATENATE("R3C",'Mapa final'!$Q$23),"")</f>
        <v/>
      </c>
      <c r="AH38" s="39" t="str">
        <f>IF(AND('Mapa final'!$AA$18="Baja",'Mapa final'!$AC$18="Catastrófico"),CONCATENATE("R3C",'Mapa final'!$Q$18),"")</f>
        <v/>
      </c>
      <c r="AI38" s="40" t="str">
        <f>IF(AND('Mapa final'!$AA$19="Baja",'Mapa final'!$AC$19="Catastrófico"),CONCATENATE("R3C",'Mapa final'!$Q$19),"")</f>
        <v/>
      </c>
      <c r="AJ38" s="40" t="str">
        <f>IF(AND('Mapa final'!$AA$20="Baja",'Mapa final'!$AC$20="Catastrófico"),CONCATENATE("R3C",'Mapa final'!$Q$20),"")</f>
        <v/>
      </c>
      <c r="AK38" s="40" t="str">
        <f>IF(AND('Mapa final'!$AA$21="Baja",'Mapa final'!$AC$21="Catastrófico"),CONCATENATE("R3C",'Mapa final'!$Q$21),"")</f>
        <v/>
      </c>
      <c r="AL38" s="40" t="str">
        <f>IF(AND('Mapa final'!$AA$22="Baja",'Mapa final'!$AC$22="Catastrófico"),CONCATENATE("R3C",'Mapa final'!$Q$22),"")</f>
        <v/>
      </c>
      <c r="AM38" s="41" t="str">
        <f>IF(AND('Mapa final'!$AA$23="Baja",'Mapa final'!$AC$23="Catastrófico"),CONCATENATE("R3C",'Mapa final'!$Q$23),"")</f>
        <v/>
      </c>
      <c r="AN38" s="67"/>
      <c r="AO38" s="419"/>
      <c r="AP38" s="420"/>
      <c r="AQ38" s="420"/>
      <c r="AR38" s="420"/>
      <c r="AS38" s="420"/>
      <c r="AT38" s="421"/>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25">
      <c r="A39" s="67"/>
      <c r="B39" s="347"/>
      <c r="C39" s="347"/>
      <c r="D39" s="348"/>
      <c r="E39" s="388"/>
      <c r="F39" s="389"/>
      <c r="G39" s="389"/>
      <c r="H39" s="389"/>
      <c r="I39" s="389"/>
      <c r="J39" s="60" t="str">
        <f>IF(AND('Mapa final'!$AA$24="Baja",'Mapa final'!$AC$24="Leve"),CONCATENATE("R4C",'Mapa final'!$Q$24),"")</f>
        <v/>
      </c>
      <c r="K39" s="61" t="str">
        <f>IF(AND('Mapa final'!$AA$25="Baja",'Mapa final'!$AC$25="Leve"),CONCATENATE("R4C",'Mapa final'!$Q$25),"")</f>
        <v/>
      </c>
      <c r="L39" s="61" t="str">
        <f>IF(AND('Mapa final'!$AA$26="Baja",'Mapa final'!$AC$26="Leve"),CONCATENATE("R4C",'Mapa final'!$Q$26),"")</f>
        <v/>
      </c>
      <c r="M39" s="61" t="str">
        <f>IF(AND('Mapa final'!$AA$27="Baja",'Mapa final'!$AC$27="Leve"),CONCATENATE("R4C",'Mapa final'!$Q$27),"")</f>
        <v/>
      </c>
      <c r="N39" s="61" t="str">
        <f>IF(AND('Mapa final'!$AA$28="Baja",'Mapa final'!$AC$28="Leve"),CONCATENATE("R4C",'Mapa final'!$Q$28),"")</f>
        <v/>
      </c>
      <c r="O39" s="62" t="str">
        <f>IF(AND('Mapa final'!$AA$29="Baja",'Mapa final'!$AC$29="Leve"),CONCATENATE("R4C",'Mapa final'!$Q$29),"")</f>
        <v/>
      </c>
      <c r="P39" s="51" t="str">
        <f>IF(AND('Mapa final'!$AA$24="Baja",'Mapa final'!$AC$24="Menor"),CONCATENATE("R4C",'Mapa final'!$Q$24),"")</f>
        <v/>
      </c>
      <c r="Q39" s="52" t="str">
        <f>IF(AND('Mapa final'!$AA$25="Baja",'Mapa final'!$AC$25="Menor"),CONCATENATE("R4C",'Mapa final'!$Q$25),"")</f>
        <v/>
      </c>
      <c r="R39" s="52" t="str">
        <f>IF(AND('Mapa final'!$AA$26="Baja",'Mapa final'!$AC$26="Menor"),CONCATENATE("R4C",'Mapa final'!$Q$26),"")</f>
        <v/>
      </c>
      <c r="S39" s="52" t="str">
        <f>IF(AND('Mapa final'!$AA$27="Baja",'Mapa final'!$AC$27="Menor"),CONCATENATE("R4C",'Mapa final'!$Q$27),"")</f>
        <v/>
      </c>
      <c r="T39" s="52" t="str">
        <f>IF(AND('Mapa final'!$AA$28="Baja",'Mapa final'!$AC$28="Menor"),CONCATENATE("R4C",'Mapa final'!$Q$28),"")</f>
        <v/>
      </c>
      <c r="U39" s="53" t="str">
        <f>IF(AND('Mapa final'!$AA$29="Baja",'Mapa final'!$AC$29="Menor"),CONCATENATE("R4C",'Mapa final'!$Q$29),"")</f>
        <v/>
      </c>
      <c r="V39" s="51" t="str">
        <f>IF(AND('Mapa final'!$AA$24="Baja",'Mapa final'!$AC$24="Moderado"),CONCATENATE("R4C",'Mapa final'!$Q$24),"")</f>
        <v/>
      </c>
      <c r="W39" s="52" t="str">
        <f>IF(AND('Mapa final'!$AA$25="Baja",'Mapa final'!$AC$25="Moderado"),CONCATENATE("R4C",'Mapa final'!$Q$25),"")</f>
        <v/>
      </c>
      <c r="X39" s="52" t="str">
        <f>IF(AND('Mapa final'!$AA$26="Baja",'Mapa final'!$AC$26="Moderado"),CONCATENATE("R4C",'Mapa final'!$Q$26),"")</f>
        <v/>
      </c>
      <c r="Y39" s="52" t="str">
        <f>IF(AND('Mapa final'!$AA$27="Baja",'Mapa final'!$AC$27="Moderado"),CONCATENATE("R4C",'Mapa final'!$Q$27),"")</f>
        <v/>
      </c>
      <c r="Z39" s="52" t="str">
        <f>IF(AND('Mapa final'!$AA$28="Baja",'Mapa final'!$AC$28="Moderado"),CONCATENATE("R4C",'Mapa final'!$Q$28),"")</f>
        <v/>
      </c>
      <c r="AA39" s="53" t="str">
        <f>IF(AND('Mapa final'!$AA$29="Baja",'Mapa final'!$AC$29="Moderado"),CONCATENATE("R4C",'Mapa final'!$Q$29),"")</f>
        <v/>
      </c>
      <c r="AB39" s="36" t="str">
        <f>IF(AND('Mapa final'!$AA$24="Baja",'Mapa final'!$AC$24="Mayor"),CONCATENATE("R4C",'Mapa final'!$Q$24),"")</f>
        <v/>
      </c>
      <c r="AC39" s="37" t="str">
        <f>IF(AND('Mapa final'!$AA$25="Baja",'Mapa final'!$AC$25="Mayor"),CONCATENATE("R4C",'Mapa final'!$Q$25),"")</f>
        <v/>
      </c>
      <c r="AD39" s="37" t="str">
        <f>IF(AND('Mapa final'!$AA$26="Baja",'Mapa final'!$AC$26="Mayor"),CONCATENATE("R4C",'Mapa final'!$Q$26),"")</f>
        <v/>
      </c>
      <c r="AE39" s="37" t="str">
        <f>IF(AND('Mapa final'!$AA$27="Baja",'Mapa final'!$AC$27="Mayor"),CONCATENATE("R4C",'Mapa final'!$Q$27),"")</f>
        <v/>
      </c>
      <c r="AF39" s="37" t="str">
        <f>IF(AND('Mapa final'!$AA$28="Baja",'Mapa final'!$AC$28="Mayor"),CONCATENATE("R4C",'Mapa final'!$Q$28),"")</f>
        <v/>
      </c>
      <c r="AG39" s="38" t="str">
        <f>IF(AND('Mapa final'!$AA$29="Baja",'Mapa final'!$AC$29="Mayor"),CONCATENATE("R4C",'Mapa final'!$Q$29),"")</f>
        <v/>
      </c>
      <c r="AH39" s="39" t="str">
        <f>IF(AND('Mapa final'!$AA$24="Baja",'Mapa final'!$AC$24="Catastrófico"),CONCATENATE("R4C",'Mapa final'!$Q$24),"")</f>
        <v/>
      </c>
      <c r="AI39" s="40" t="str">
        <f>IF(AND('Mapa final'!$AA$25="Baja",'Mapa final'!$AC$25="Catastrófico"),CONCATENATE("R4C",'Mapa final'!$Q$25),"")</f>
        <v/>
      </c>
      <c r="AJ39" s="40" t="str">
        <f>IF(AND('Mapa final'!$AA$26="Baja",'Mapa final'!$AC$26="Catastrófico"),CONCATENATE("R4C",'Mapa final'!$Q$26),"")</f>
        <v/>
      </c>
      <c r="AK39" s="40" t="str">
        <f>IF(AND('Mapa final'!$AA$27="Baja",'Mapa final'!$AC$27="Catastrófico"),CONCATENATE("R4C",'Mapa final'!$Q$27),"")</f>
        <v/>
      </c>
      <c r="AL39" s="40" t="str">
        <f>IF(AND('Mapa final'!$AA$28="Baja",'Mapa final'!$AC$28="Catastrófico"),CONCATENATE("R4C",'Mapa final'!$Q$28),"")</f>
        <v/>
      </c>
      <c r="AM39" s="41" t="str">
        <f>IF(AND('Mapa final'!$AA$29="Baja",'Mapa final'!$AC$29="Catastrófico"),CONCATENATE("R4C",'Mapa final'!$Q$29),"")</f>
        <v/>
      </c>
      <c r="AN39" s="67"/>
      <c r="AO39" s="419"/>
      <c r="AP39" s="420"/>
      <c r="AQ39" s="420"/>
      <c r="AR39" s="420"/>
      <c r="AS39" s="420"/>
      <c r="AT39" s="421"/>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25">
      <c r="A40" s="67"/>
      <c r="B40" s="347"/>
      <c r="C40" s="347"/>
      <c r="D40" s="348"/>
      <c r="E40" s="388"/>
      <c r="F40" s="389"/>
      <c r="G40" s="389"/>
      <c r="H40" s="389"/>
      <c r="I40" s="389"/>
      <c r="J40" s="60" t="str">
        <f>IF(AND('Mapa final'!$AA$30="Baja",'Mapa final'!$AC$30="Leve"),CONCATENATE("R5C",'Mapa final'!$Q$30),"")</f>
        <v/>
      </c>
      <c r="K40" s="61" t="str">
        <f>IF(AND('Mapa final'!$AA$31="Baja",'Mapa final'!$AC$31="Leve"),CONCATENATE("R5C",'Mapa final'!$Q$31),"")</f>
        <v/>
      </c>
      <c r="L40" s="61" t="str">
        <f>IF(AND('Mapa final'!$AA$32="Baja",'Mapa final'!$AC$32="Leve"),CONCATENATE("R5C",'Mapa final'!$Q$32),"")</f>
        <v/>
      </c>
      <c r="M40" s="61" t="str">
        <f>IF(AND('Mapa final'!$AA$33="Baja",'Mapa final'!$AC$33="Leve"),CONCATENATE("R5C",'Mapa final'!$Q$33),"")</f>
        <v/>
      </c>
      <c r="N40" s="61" t="str">
        <f>IF(AND('Mapa final'!$AA$34="Baja",'Mapa final'!$AC$34="Leve"),CONCATENATE("R5C",'Mapa final'!$Q$34),"")</f>
        <v/>
      </c>
      <c r="O40" s="62" t="str">
        <f>IF(AND('Mapa final'!$AA$35="Baja",'Mapa final'!$AC$35="Leve"),CONCATENATE("R5C",'Mapa final'!$Q$35),"")</f>
        <v/>
      </c>
      <c r="P40" s="51" t="str">
        <f>IF(AND('Mapa final'!$AA$30="Baja",'Mapa final'!$AC$30="Menor"),CONCATENATE("R5C",'Mapa final'!$Q$30),"")</f>
        <v/>
      </c>
      <c r="Q40" s="52" t="str">
        <f>IF(AND('Mapa final'!$AA$31="Baja",'Mapa final'!$AC$31="Menor"),CONCATENATE("R5C",'Mapa final'!$Q$31),"")</f>
        <v/>
      </c>
      <c r="R40" s="52" t="str">
        <f>IF(AND('Mapa final'!$AA$32="Baja",'Mapa final'!$AC$32="Menor"),CONCATENATE("R5C",'Mapa final'!$Q$32),"")</f>
        <v/>
      </c>
      <c r="S40" s="52" t="str">
        <f>IF(AND('Mapa final'!$AA$33="Baja",'Mapa final'!$AC$33="Menor"),CONCATENATE("R5C",'Mapa final'!$Q$33),"")</f>
        <v/>
      </c>
      <c r="T40" s="52" t="str">
        <f>IF(AND('Mapa final'!$AA$34="Baja",'Mapa final'!$AC$34="Menor"),CONCATENATE("R5C",'Mapa final'!$Q$34),"")</f>
        <v/>
      </c>
      <c r="U40" s="53" t="str">
        <f>IF(AND('Mapa final'!$AA$35="Baja",'Mapa final'!$AC$35="Menor"),CONCATENATE("R5C",'Mapa final'!$Q$35),"")</f>
        <v/>
      </c>
      <c r="V40" s="51" t="str">
        <f>IF(AND('Mapa final'!$AA$30="Baja",'Mapa final'!$AC$30="Moderado"),CONCATENATE("R5C",'Mapa final'!$Q$30),"")</f>
        <v/>
      </c>
      <c r="W40" s="52" t="str">
        <f>IF(AND('Mapa final'!$AA$31="Baja",'Mapa final'!$AC$31="Moderado"),CONCATENATE("R5C",'Mapa final'!$Q$31),"")</f>
        <v/>
      </c>
      <c r="X40" s="52" t="str">
        <f>IF(AND('Mapa final'!$AA$32="Baja",'Mapa final'!$AC$32="Moderado"),CONCATENATE("R5C",'Mapa final'!$Q$32),"")</f>
        <v/>
      </c>
      <c r="Y40" s="52" t="str">
        <f>IF(AND('Mapa final'!$AA$33="Baja",'Mapa final'!$AC$33="Moderado"),CONCATENATE("R5C",'Mapa final'!$Q$33),"")</f>
        <v/>
      </c>
      <c r="Z40" s="52" t="str">
        <f>IF(AND('Mapa final'!$AA$34="Baja",'Mapa final'!$AC$34="Moderado"),CONCATENATE("R5C",'Mapa final'!$Q$34),"")</f>
        <v/>
      </c>
      <c r="AA40" s="53" t="str">
        <f>IF(AND('Mapa final'!$AA$35="Baja",'Mapa final'!$AC$35="Moderado"),CONCATENATE("R5C",'Mapa final'!$Q$35),"")</f>
        <v/>
      </c>
      <c r="AB40" s="36" t="str">
        <f>IF(AND('Mapa final'!$AA$30="Baja",'Mapa final'!$AC$30="Mayor"),CONCATENATE("R5C",'Mapa final'!$Q$30),"")</f>
        <v/>
      </c>
      <c r="AC40" s="37" t="str">
        <f>IF(AND('Mapa final'!$AA$31="Baja",'Mapa final'!$AC$31="Mayor"),CONCATENATE("R5C",'Mapa final'!$Q$31),"")</f>
        <v/>
      </c>
      <c r="AD40" s="37" t="str">
        <f>IF(AND('Mapa final'!$AA$32="Baja",'Mapa final'!$AC$32="Mayor"),CONCATENATE("R5C",'Mapa final'!$Q$32),"")</f>
        <v/>
      </c>
      <c r="AE40" s="37" t="str">
        <f>IF(AND('Mapa final'!$AA$33="Baja",'Mapa final'!$AC$33="Mayor"),CONCATENATE("R5C",'Mapa final'!$Q$33),"")</f>
        <v/>
      </c>
      <c r="AF40" s="37" t="str">
        <f>IF(AND('Mapa final'!$AA$34="Baja",'Mapa final'!$AC$34="Mayor"),CONCATENATE("R5C",'Mapa final'!$Q$34),"")</f>
        <v/>
      </c>
      <c r="AG40" s="38" t="str">
        <f>IF(AND('Mapa final'!$AA$35="Baja",'Mapa final'!$AC$35="Mayor"),CONCATENATE("R5C",'Mapa final'!$Q$35),"")</f>
        <v/>
      </c>
      <c r="AH40" s="39" t="str">
        <f>IF(AND('Mapa final'!$AA$30="Baja",'Mapa final'!$AC$30="Catastrófico"),CONCATENATE("R5C",'Mapa final'!$Q$30),"")</f>
        <v/>
      </c>
      <c r="AI40" s="40" t="str">
        <f>IF(AND('Mapa final'!$AA$31="Baja",'Mapa final'!$AC$31="Catastrófico"),CONCATENATE("R5C",'Mapa final'!$Q$31),"")</f>
        <v/>
      </c>
      <c r="AJ40" s="40" t="str">
        <f>IF(AND('Mapa final'!$AA$32="Baja",'Mapa final'!$AC$32="Catastrófico"),CONCATENATE("R5C",'Mapa final'!$Q$32),"")</f>
        <v/>
      </c>
      <c r="AK40" s="40" t="str">
        <f>IF(AND('Mapa final'!$AA$33="Baja",'Mapa final'!$AC$33="Catastrófico"),CONCATENATE("R5C",'Mapa final'!$Q$33),"")</f>
        <v/>
      </c>
      <c r="AL40" s="40" t="str">
        <f>IF(AND('Mapa final'!$AA$34="Baja",'Mapa final'!$AC$34="Catastrófico"),CONCATENATE("R5C",'Mapa final'!$Q$34),"")</f>
        <v/>
      </c>
      <c r="AM40" s="41" t="str">
        <f>IF(AND('Mapa final'!$AA$35="Baja",'Mapa final'!$AC$35="Catastrófico"),CONCATENATE("R5C",'Mapa final'!$Q$35),"")</f>
        <v/>
      </c>
      <c r="AN40" s="67"/>
      <c r="AO40" s="419"/>
      <c r="AP40" s="420"/>
      <c r="AQ40" s="420"/>
      <c r="AR40" s="420"/>
      <c r="AS40" s="420"/>
      <c r="AT40" s="421"/>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25">
      <c r="A41" s="67"/>
      <c r="B41" s="347"/>
      <c r="C41" s="347"/>
      <c r="D41" s="348"/>
      <c r="E41" s="388"/>
      <c r="F41" s="389"/>
      <c r="G41" s="389"/>
      <c r="H41" s="389"/>
      <c r="I41" s="389"/>
      <c r="J41" s="60" t="str">
        <f>IF(AND('Mapa final'!$AA$36="Baja",'Mapa final'!$AC$36="Leve"),CONCATENATE("R6C",'Mapa final'!$Q$36),"")</f>
        <v/>
      </c>
      <c r="K41" s="61" t="str">
        <f>IF(AND('Mapa final'!$AA$37="Baja",'Mapa final'!$AC$37="Leve"),CONCATENATE("R6C",'Mapa final'!$Q$37),"")</f>
        <v/>
      </c>
      <c r="L41" s="61" t="str">
        <f>IF(AND('Mapa final'!$AA$38="Baja",'Mapa final'!$AC$38="Leve"),CONCATENATE("R6C",'Mapa final'!$Q$38),"")</f>
        <v/>
      </c>
      <c r="M41" s="61" t="str">
        <f>IF(AND('Mapa final'!$AA$39="Baja",'Mapa final'!$AC$39="Leve"),CONCATENATE("R6C",'Mapa final'!$Q$39),"")</f>
        <v/>
      </c>
      <c r="N41" s="61" t="str">
        <f>IF(AND('Mapa final'!$AA$40="Baja",'Mapa final'!$AC$40="Leve"),CONCATENATE("R6C",'Mapa final'!$Q$40),"")</f>
        <v/>
      </c>
      <c r="O41" s="62" t="str">
        <f>IF(AND('Mapa final'!$AA$41="Baja",'Mapa final'!$AC$41="Leve"),CONCATENATE("R6C",'Mapa final'!$Q$41),"")</f>
        <v/>
      </c>
      <c r="P41" s="51" t="str">
        <f>IF(AND('Mapa final'!$AA$36="Baja",'Mapa final'!$AC$36="Menor"),CONCATENATE("R6C",'Mapa final'!$Q$36),"")</f>
        <v/>
      </c>
      <c r="Q41" s="52" t="str">
        <f>IF(AND('Mapa final'!$AA$37="Baja",'Mapa final'!$AC$37="Menor"),CONCATENATE("R6C",'Mapa final'!$Q$37),"")</f>
        <v/>
      </c>
      <c r="R41" s="52" t="str">
        <f>IF(AND('Mapa final'!$AA$38="Baja",'Mapa final'!$AC$38="Menor"),CONCATENATE("R6C",'Mapa final'!$Q$38),"")</f>
        <v/>
      </c>
      <c r="S41" s="52" t="str">
        <f>IF(AND('Mapa final'!$AA$39="Baja",'Mapa final'!$AC$39="Menor"),CONCATENATE("R6C",'Mapa final'!$Q$39),"")</f>
        <v/>
      </c>
      <c r="T41" s="52" t="str">
        <f>IF(AND('Mapa final'!$AA$40="Baja",'Mapa final'!$AC$40="Menor"),CONCATENATE("R6C",'Mapa final'!$Q$40),"")</f>
        <v/>
      </c>
      <c r="U41" s="53" t="str">
        <f>IF(AND('Mapa final'!$AA$41="Baja",'Mapa final'!$AC$41="Menor"),CONCATENATE("R6C",'Mapa final'!$Q$41),"")</f>
        <v/>
      </c>
      <c r="V41" s="51" t="str">
        <f>IF(AND('Mapa final'!$AA$36="Baja",'Mapa final'!$AC$36="Moderado"),CONCATENATE("R6C",'Mapa final'!$Q$36),"")</f>
        <v/>
      </c>
      <c r="W41" s="52" t="str">
        <f>IF(AND('Mapa final'!$AA$37="Baja",'Mapa final'!$AC$37="Moderado"),CONCATENATE("R6C",'Mapa final'!$Q$37),"")</f>
        <v/>
      </c>
      <c r="X41" s="52" t="str">
        <f>IF(AND('Mapa final'!$AA$38="Baja",'Mapa final'!$AC$38="Moderado"),CONCATENATE("R6C",'Mapa final'!$Q$38),"")</f>
        <v/>
      </c>
      <c r="Y41" s="52" t="str">
        <f>IF(AND('Mapa final'!$AA$39="Baja",'Mapa final'!$AC$39="Moderado"),CONCATENATE("R6C",'Mapa final'!$Q$39),"")</f>
        <v/>
      </c>
      <c r="Z41" s="52" t="str">
        <f>IF(AND('Mapa final'!$AA$40="Baja",'Mapa final'!$AC$40="Moderado"),CONCATENATE("R6C",'Mapa final'!$Q$40),"")</f>
        <v/>
      </c>
      <c r="AA41" s="53" t="str">
        <f>IF(AND('Mapa final'!$AA$41="Baja",'Mapa final'!$AC$41="Moderado"),CONCATENATE("R6C",'Mapa final'!$Q$41),"")</f>
        <v/>
      </c>
      <c r="AB41" s="36" t="str">
        <f>IF(AND('Mapa final'!$AA$36="Baja",'Mapa final'!$AC$36="Mayor"),CONCATENATE("R6C",'Mapa final'!$Q$36),"")</f>
        <v/>
      </c>
      <c r="AC41" s="37" t="str">
        <f>IF(AND('Mapa final'!$AA$37="Baja",'Mapa final'!$AC$37="Mayor"),CONCATENATE("R6C",'Mapa final'!$Q$37),"")</f>
        <v/>
      </c>
      <c r="AD41" s="37" t="str">
        <f>IF(AND('Mapa final'!$AA$38="Baja",'Mapa final'!$AC$38="Mayor"),CONCATENATE("R6C",'Mapa final'!$Q$38),"")</f>
        <v/>
      </c>
      <c r="AE41" s="37" t="str">
        <f>IF(AND('Mapa final'!$AA$39="Baja",'Mapa final'!$AC$39="Mayor"),CONCATENATE("R6C",'Mapa final'!$Q$39),"")</f>
        <v/>
      </c>
      <c r="AF41" s="37" t="str">
        <f>IF(AND('Mapa final'!$AA$40="Baja",'Mapa final'!$AC$40="Mayor"),CONCATENATE("R6C",'Mapa final'!$Q$40),"")</f>
        <v/>
      </c>
      <c r="AG41" s="38" t="str">
        <f>IF(AND('Mapa final'!$AA$41="Baja",'Mapa final'!$AC$41="Mayor"),CONCATENATE("R6C",'Mapa final'!$Q$41),"")</f>
        <v/>
      </c>
      <c r="AH41" s="39" t="str">
        <f>IF(AND('Mapa final'!$AA$36="Baja",'Mapa final'!$AC$36="Catastrófico"),CONCATENATE("R6C",'Mapa final'!$Q$36),"")</f>
        <v/>
      </c>
      <c r="AI41" s="40" t="str">
        <f>IF(AND('Mapa final'!$AA$37="Baja",'Mapa final'!$AC$37="Catastrófico"),CONCATENATE("R6C",'Mapa final'!$Q$37),"")</f>
        <v/>
      </c>
      <c r="AJ41" s="40" t="str">
        <f>IF(AND('Mapa final'!$AA$38="Baja",'Mapa final'!$AC$38="Catastrófico"),CONCATENATE("R6C",'Mapa final'!$Q$38),"")</f>
        <v/>
      </c>
      <c r="AK41" s="40" t="str">
        <f>IF(AND('Mapa final'!$AA$39="Baja",'Mapa final'!$AC$39="Catastrófico"),CONCATENATE("R6C",'Mapa final'!$Q$39),"")</f>
        <v/>
      </c>
      <c r="AL41" s="40" t="str">
        <f>IF(AND('Mapa final'!$AA$40="Baja",'Mapa final'!$AC$40="Catastrófico"),CONCATENATE("R6C",'Mapa final'!$Q$40),"")</f>
        <v/>
      </c>
      <c r="AM41" s="41" t="str">
        <f>IF(AND('Mapa final'!$AA$41="Baja",'Mapa final'!$AC$41="Catastrófico"),CONCATENATE("R6C",'Mapa final'!$Q$41),"")</f>
        <v/>
      </c>
      <c r="AN41" s="67"/>
      <c r="AO41" s="419"/>
      <c r="AP41" s="420"/>
      <c r="AQ41" s="420"/>
      <c r="AR41" s="420"/>
      <c r="AS41" s="420"/>
      <c r="AT41" s="421"/>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25">
      <c r="A42" s="67"/>
      <c r="B42" s="347"/>
      <c r="C42" s="347"/>
      <c r="D42" s="348"/>
      <c r="E42" s="388"/>
      <c r="F42" s="389"/>
      <c r="G42" s="389"/>
      <c r="H42" s="389"/>
      <c r="I42" s="389"/>
      <c r="J42" s="60" t="str">
        <f>IF(AND('Mapa final'!$AA$42="Baja",'Mapa final'!$AC$42="Leve"),CONCATENATE("R7C",'Mapa final'!$Q$42),"")</f>
        <v/>
      </c>
      <c r="K42" s="61" t="str">
        <f>IF(AND('Mapa final'!$AA$43="Baja",'Mapa final'!$AC$43="Leve"),CONCATENATE("R7C",'Mapa final'!$Q$43),"")</f>
        <v/>
      </c>
      <c r="L42" s="61" t="str">
        <f>IF(AND('Mapa final'!$AA$44="Baja",'Mapa final'!$AC$44="Leve"),CONCATENATE("R7C",'Mapa final'!$Q$44),"")</f>
        <v/>
      </c>
      <c r="M42" s="61" t="str">
        <f>IF(AND('Mapa final'!$AA$45="Baja",'Mapa final'!$AC$45="Leve"),CONCATENATE("R7C",'Mapa final'!$Q$45),"")</f>
        <v/>
      </c>
      <c r="N42" s="61" t="str">
        <f>IF(AND('Mapa final'!$AA$46="Baja",'Mapa final'!$AC$46="Leve"),CONCATENATE("R7C",'Mapa final'!$Q$46),"")</f>
        <v/>
      </c>
      <c r="O42" s="62" t="str">
        <f>IF(AND('Mapa final'!$AA$47="Baja",'Mapa final'!$AC$47="Leve"),CONCATENATE("R7C",'Mapa final'!$Q$47),"")</f>
        <v/>
      </c>
      <c r="P42" s="51" t="str">
        <f>IF(AND('Mapa final'!$AA$42="Baja",'Mapa final'!$AC$42="Menor"),CONCATENATE("R7C",'Mapa final'!$Q$42),"")</f>
        <v/>
      </c>
      <c r="Q42" s="52" t="str">
        <f>IF(AND('Mapa final'!$AA$43="Baja",'Mapa final'!$AC$43="Menor"),CONCATENATE("R7C",'Mapa final'!$Q$43),"")</f>
        <v/>
      </c>
      <c r="R42" s="52" t="str">
        <f>IF(AND('Mapa final'!$AA$44="Baja",'Mapa final'!$AC$44="Menor"),CONCATENATE("R7C",'Mapa final'!$Q$44),"")</f>
        <v/>
      </c>
      <c r="S42" s="52" t="str">
        <f>IF(AND('Mapa final'!$AA$45="Baja",'Mapa final'!$AC$45="Menor"),CONCATENATE("R7C",'Mapa final'!$Q$45),"")</f>
        <v/>
      </c>
      <c r="T42" s="52" t="str">
        <f>IF(AND('Mapa final'!$AA$46="Baja",'Mapa final'!$AC$46="Menor"),CONCATENATE("R7C",'Mapa final'!$Q$46),"")</f>
        <v/>
      </c>
      <c r="U42" s="53" t="str">
        <f>IF(AND('Mapa final'!$AA$47="Baja",'Mapa final'!$AC$47="Menor"),CONCATENATE("R7C",'Mapa final'!$Q$47),"")</f>
        <v/>
      </c>
      <c r="V42" s="51" t="str">
        <f>IF(AND('Mapa final'!$AA$42="Baja",'Mapa final'!$AC$42="Moderado"),CONCATENATE("R7C",'Mapa final'!$Q$42),"")</f>
        <v/>
      </c>
      <c r="W42" s="52" t="str">
        <f>IF(AND('Mapa final'!$AA$43="Baja",'Mapa final'!$AC$43="Moderado"),CONCATENATE("R7C",'Mapa final'!$Q$43),"")</f>
        <v/>
      </c>
      <c r="X42" s="52" t="str">
        <f>IF(AND('Mapa final'!$AA$44="Baja",'Mapa final'!$AC$44="Moderado"),CONCATENATE("R7C",'Mapa final'!$Q$44),"")</f>
        <v/>
      </c>
      <c r="Y42" s="52" t="str">
        <f>IF(AND('Mapa final'!$AA$45="Baja",'Mapa final'!$AC$45="Moderado"),CONCATENATE("R7C",'Mapa final'!$Q$45),"")</f>
        <v/>
      </c>
      <c r="Z42" s="52" t="str">
        <f>IF(AND('Mapa final'!$AA$46="Baja",'Mapa final'!$AC$46="Moderado"),CONCATENATE("R7C",'Mapa final'!$Q$46),"")</f>
        <v/>
      </c>
      <c r="AA42" s="53" t="str">
        <f>IF(AND('Mapa final'!$AA$47="Baja",'Mapa final'!$AC$47="Moderado"),CONCATENATE("R7C",'Mapa final'!$Q$47),"")</f>
        <v/>
      </c>
      <c r="AB42" s="36" t="str">
        <f>IF(AND('Mapa final'!$AA$42="Baja",'Mapa final'!$AC$42="Mayor"),CONCATENATE("R7C",'Mapa final'!$Q$42),"")</f>
        <v/>
      </c>
      <c r="AC42" s="37" t="str">
        <f>IF(AND('Mapa final'!$AA$43="Baja",'Mapa final'!$AC$43="Mayor"),CONCATENATE("R7C",'Mapa final'!$Q$43),"")</f>
        <v/>
      </c>
      <c r="AD42" s="37" t="str">
        <f>IF(AND('Mapa final'!$AA$44="Baja",'Mapa final'!$AC$44="Mayor"),CONCATENATE("R7C",'Mapa final'!$Q$44),"")</f>
        <v/>
      </c>
      <c r="AE42" s="37" t="str">
        <f>IF(AND('Mapa final'!$AA$45="Baja",'Mapa final'!$AC$45="Mayor"),CONCATENATE("R7C",'Mapa final'!$Q$45),"")</f>
        <v/>
      </c>
      <c r="AF42" s="37" t="str">
        <f>IF(AND('Mapa final'!$AA$46="Baja",'Mapa final'!$AC$46="Mayor"),CONCATENATE("R7C",'Mapa final'!$Q$46),"")</f>
        <v/>
      </c>
      <c r="AG42" s="38" t="str">
        <f>IF(AND('Mapa final'!$AA$47="Baja",'Mapa final'!$AC$47="Mayor"),CONCATENATE("R7C",'Mapa final'!$Q$47),"")</f>
        <v/>
      </c>
      <c r="AH42" s="39" t="str">
        <f>IF(AND('Mapa final'!$AA$42="Baja",'Mapa final'!$AC$42="Catastrófico"),CONCATENATE("R7C",'Mapa final'!$Q$42),"")</f>
        <v/>
      </c>
      <c r="AI42" s="40" t="str">
        <f>IF(AND('Mapa final'!$AA$43="Baja",'Mapa final'!$AC$43="Catastrófico"),CONCATENATE("R7C",'Mapa final'!$Q$43),"")</f>
        <v/>
      </c>
      <c r="AJ42" s="40" t="str">
        <f>IF(AND('Mapa final'!$AA$44="Baja",'Mapa final'!$AC$44="Catastrófico"),CONCATENATE("R7C",'Mapa final'!$Q$44),"")</f>
        <v/>
      </c>
      <c r="AK42" s="40" t="str">
        <f>IF(AND('Mapa final'!$AA$45="Baja",'Mapa final'!$AC$45="Catastrófico"),CONCATENATE("R7C",'Mapa final'!$Q$45),"")</f>
        <v/>
      </c>
      <c r="AL42" s="40" t="str">
        <f>IF(AND('Mapa final'!$AA$46="Baja",'Mapa final'!$AC$46="Catastrófico"),CONCATENATE("R7C",'Mapa final'!$Q$46),"")</f>
        <v/>
      </c>
      <c r="AM42" s="41" t="str">
        <f>IF(AND('Mapa final'!$AA$47="Baja",'Mapa final'!$AC$47="Catastrófico"),CONCATENATE("R7C",'Mapa final'!$Q$47),"")</f>
        <v/>
      </c>
      <c r="AN42" s="67"/>
      <c r="AO42" s="419"/>
      <c r="AP42" s="420"/>
      <c r="AQ42" s="420"/>
      <c r="AR42" s="420"/>
      <c r="AS42" s="420"/>
      <c r="AT42" s="421"/>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25">
      <c r="A43" s="67"/>
      <c r="B43" s="347"/>
      <c r="C43" s="347"/>
      <c r="D43" s="348"/>
      <c r="E43" s="388"/>
      <c r="F43" s="389"/>
      <c r="G43" s="389"/>
      <c r="H43" s="389"/>
      <c r="I43" s="389"/>
      <c r="J43" s="60" t="str">
        <f>IF(AND('Mapa final'!$AA$48="Baja",'Mapa final'!$AC$48="Leve"),CONCATENATE("R8C",'Mapa final'!$Q$48),"")</f>
        <v/>
      </c>
      <c r="K43" s="61" t="str">
        <f>IF(AND('Mapa final'!$AA$49="Baja",'Mapa final'!$AC$49="Leve"),CONCATENATE("R8C",'Mapa final'!$Q$49),"")</f>
        <v/>
      </c>
      <c r="L43" s="61" t="str">
        <f>IF(AND('Mapa final'!$AA$50="Baja",'Mapa final'!$AC$50="Leve"),CONCATENATE("R8C",'Mapa final'!$Q$50),"")</f>
        <v/>
      </c>
      <c r="M43" s="61" t="str">
        <f>IF(AND('Mapa final'!$AA$51="Baja",'Mapa final'!$AC$51="Leve"),CONCATENATE("R8C",'Mapa final'!$Q$51),"")</f>
        <v/>
      </c>
      <c r="N43" s="61" t="str">
        <f>IF(AND('Mapa final'!$AA$52="Baja",'Mapa final'!$AC$52="Leve"),CONCATENATE("R8C",'Mapa final'!$Q$52),"")</f>
        <v/>
      </c>
      <c r="O43" s="62" t="str">
        <f>IF(AND('Mapa final'!$AA$53="Baja",'Mapa final'!$AC$53="Leve"),CONCATENATE("R8C",'Mapa final'!$Q$53),"")</f>
        <v/>
      </c>
      <c r="P43" s="51" t="str">
        <f>IF(AND('Mapa final'!$AA$48="Baja",'Mapa final'!$AC$48="Menor"),CONCATENATE("R8C",'Mapa final'!$Q$48),"")</f>
        <v/>
      </c>
      <c r="Q43" s="52" t="str">
        <f>IF(AND('Mapa final'!$AA$49="Baja",'Mapa final'!$AC$49="Menor"),CONCATENATE("R8C",'Mapa final'!$Q$49),"")</f>
        <v/>
      </c>
      <c r="R43" s="52" t="str">
        <f>IF(AND('Mapa final'!$AA$50="Baja",'Mapa final'!$AC$50="Menor"),CONCATENATE("R8C",'Mapa final'!$Q$50),"")</f>
        <v/>
      </c>
      <c r="S43" s="52" t="str">
        <f>IF(AND('Mapa final'!$AA$51="Baja",'Mapa final'!$AC$51="Menor"),CONCATENATE("R8C",'Mapa final'!$Q$51),"")</f>
        <v/>
      </c>
      <c r="T43" s="52" t="str">
        <f>IF(AND('Mapa final'!$AA$52="Baja",'Mapa final'!$AC$52="Menor"),CONCATENATE("R8C",'Mapa final'!$Q$52),"")</f>
        <v/>
      </c>
      <c r="U43" s="53" t="str">
        <f>IF(AND('Mapa final'!$AA$53="Baja",'Mapa final'!$AC$53="Menor"),CONCATENATE("R8C",'Mapa final'!$Q$53),"")</f>
        <v/>
      </c>
      <c r="V43" s="51" t="str">
        <f>IF(AND('Mapa final'!$AA$48="Baja",'Mapa final'!$AC$48="Moderado"),CONCATENATE("R8C",'Mapa final'!$Q$48),"")</f>
        <v/>
      </c>
      <c r="W43" s="52" t="str">
        <f>IF(AND('Mapa final'!$AA$49="Baja",'Mapa final'!$AC$49="Moderado"),CONCATENATE("R8C",'Mapa final'!$Q$49),"")</f>
        <v/>
      </c>
      <c r="X43" s="52" t="str">
        <f>IF(AND('Mapa final'!$AA$50="Baja",'Mapa final'!$AC$50="Moderado"),CONCATENATE("R8C",'Mapa final'!$Q$50),"")</f>
        <v/>
      </c>
      <c r="Y43" s="52" t="str">
        <f>IF(AND('Mapa final'!$AA$51="Baja",'Mapa final'!$AC$51="Moderado"),CONCATENATE("R8C",'Mapa final'!$Q$51),"")</f>
        <v/>
      </c>
      <c r="Z43" s="52" t="str">
        <f>IF(AND('Mapa final'!$AA$52="Baja",'Mapa final'!$AC$52="Moderado"),CONCATENATE("R8C",'Mapa final'!$Q$52),"")</f>
        <v/>
      </c>
      <c r="AA43" s="53" t="str">
        <f>IF(AND('Mapa final'!$AA$53="Baja",'Mapa final'!$AC$53="Moderado"),CONCATENATE("R8C",'Mapa final'!$Q$53),"")</f>
        <v/>
      </c>
      <c r="AB43" s="36" t="str">
        <f>IF(AND('Mapa final'!$AA$48="Baja",'Mapa final'!$AC$48="Mayor"),CONCATENATE("R8C",'Mapa final'!$Q$48),"")</f>
        <v/>
      </c>
      <c r="AC43" s="37" t="str">
        <f>IF(AND('Mapa final'!$AA$49="Baja",'Mapa final'!$AC$49="Mayor"),CONCATENATE("R8C",'Mapa final'!$Q$49),"")</f>
        <v/>
      </c>
      <c r="AD43" s="37" t="str">
        <f>IF(AND('Mapa final'!$AA$50="Baja",'Mapa final'!$AC$50="Mayor"),CONCATENATE("R8C",'Mapa final'!$Q$50),"")</f>
        <v/>
      </c>
      <c r="AE43" s="37" t="str">
        <f>IF(AND('Mapa final'!$AA$51="Baja",'Mapa final'!$AC$51="Mayor"),CONCATENATE("R8C",'Mapa final'!$Q$51),"")</f>
        <v/>
      </c>
      <c r="AF43" s="37" t="str">
        <f>IF(AND('Mapa final'!$AA$52="Baja",'Mapa final'!$AC$52="Mayor"),CONCATENATE("R8C",'Mapa final'!$Q$52),"")</f>
        <v/>
      </c>
      <c r="AG43" s="38" t="str">
        <f>IF(AND('Mapa final'!$AA$53="Baja",'Mapa final'!$AC$53="Mayor"),CONCATENATE("R8C",'Mapa final'!$Q$53),"")</f>
        <v/>
      </c>
      <c r="AH43" s="39" t="str">
        <f>IF(AND('Mapa final'!$AA$48="Baja",'Mapa final'!$AC$48="Catastrófico"),CONCATENATE("R8C",'Mapa final'!$Q$48),"")</f>
        <v/>
      </c>
      <c r="AI43" s="40" t="str">
        <f>IF(AND('Mapa final'!$AA$49="Baja",'Mapa final'!$AC$49="Catastrófico"),CONCATENATE("R8C",'Mapa final'!$Q$49),"")</f>
        <v/>
      </c>
      <c r="AJ43" s="40" t="str">
        <f>IF(AND('Mapa final'!$AA$50="Baja",'Mapa final'!$AC$50="Catastrófico"),CONCATENATE("R8C",'Mapa final'!$Q$50),"")</f>
        <v/>
      </c>
      <c r="AK43" s="40" t="str">
        <f>IF(AND('Mapa final'!$AA$51="Baja",'Mapa final'!$AC$51="Catastrófico"),CONCATENATE("R8C",'Mapa final'!$Q$51),"")</f>
        <v/>
      </c>
      <c r="AL43" s="40" t="str">
        <f>IF(AND('Mapa final'!$AA$52="Baja",'Mapa final'!$AC$52="Catastrófico"),CONCATENATE("R8C",'Mapa final'!$Q$52),"")</f>
        <v/>
      </c>
      <c r="AM43" s="41" t="str">
        <f>IF(AND('Mapa final'!$AA$53="Baja",'Mapa final'!$AC$53="Catastrófico"),CONCATENATE("R8C",'Mapa final'!$Q$53),"")</f>
        <v/>
      </c>
      <c r="AN43" s="67"/>
      <c r="AO43" s="419"/>
      <c r="AP43" s="420"/>
      <c r="AQ43" s="420"/>
      <c r="AR43" s="420"/>
      <c r="AS43" s="420"/>
      <c r="AT43" s="421"/>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25">
      <c r="A44" s="67"/>
      <c r="B44" s="347"/>
      <c r="C44" s="347"/>
      <c r="D44" s="348"/>
      <c r="E44" s="388"/>
      <c r="F44" s="389"/>
      <c r="G44" s="389"/>
      <c r="H44" s="389"/>
      <c r="I44" s="389"/>
      <c r="J44" s="60" t="str">
        <f>IF(AND('Mapa final'!$AA$54="Baja",'Mapa final'!$AC$54="Leve"),CONCATENATE("R9C",'Mapa final'!$Q$54),"")</f>
        <v/>
      </c>
      <c r="K44" s="61" t="str">
        <f>IF(AND('Mapa final'!$AA$55="Baja",'Mapa final'!$AC$55="Leve"),CONCATENATE("R9C",'Mapa final'!$Q$55),"")</f>
        <v/>
      </c>
      <c r="L44" s="61" t="str">
        <f>IF(AND('Mapa final'!$AA$56="Baja",'Mapa final'!$AC$56="Leve"),CONCATENATE("R9C",'Mapa final'!$Q$56),"")</f>
        <v/>
      </c>
      <c r="M44" s="61" t="str">
        <f>IF(AND('Mapa final'!$AA$57="Baja",'Mapa final'!$AC$57="Leve"),CONCATENATE("R9C",'Mapa final'!$Q$57),"")</f>
        <v/>
      </c>
      <c r="N44" s="61" t="str">
        <f>IF(AND('Mapa final'!$AA$58="Baja",'Mapa final'!$AC$58="Leve"),CONCATENATE("R9C",'Mapa final'!$Q$58),"")</f>
        <v/>
      </c>
      <c r="O44" s="62" t="str">
        <f>IF(AND('Mapa final'!$AA$59="Baja",'Mapa final'!$AC$59="Leve"),CONCATENATE("R9C",'Mapa final'!$Q$59),"")</f>
        <v/>
      </c>
      <c r="P44" s="51" t="str">
        <f>IF(AND('Mapa final'!$AA$54="Baja",'Mapa final'!$AC$54="Menor"),CONCATENATE("R9C",'Mapa final'!$Q$54),"")</f>
        <v/>
      </c>
      <c r="Q44" s="52" t="str">
        <f>IF(AND('Mapa final'!$AA$55="Baja",'Mapa final'!$AC$55="Menor"),CONCATENATE("R9C",'Mapa final'!$Q$55),"")</f>
        <v/>
      </c>
      <c r="R44" s="52" t="str">
        <f>IF(AND('Mapa final'!$AA$56="Baja",'Mapa final'!$AC$56="Menor"),CONCATENATE("R9C",'Mapa final'!$Q$56),"")</f>
        <v/>
      </c>
      <c r="S44" s="52" t="str">
        <f>IF(AND('Mapa final'!$AA$57="Baja",'Mapa final'!$AC$57="Menor"),CONCATENATE("R9C",'Mapa final'!$Q$57),"")</f>
        <v/>
      </c>
      <c r="T44" s="52" t="str">
        <f>IF(AND('Mapa final'!$AA$58="Baja",'Mapa final'!$AC$58="Menor"),CONCATENATE("R9C",'Mapa final'!$Q$58),"")</f>
        <v/>
      </c>
      <c r="U44" s="53" t="str">
        <f>IF(AND('Mapa final'!$AA$59="Baja",'Mapa final'!$AC$59="Menor"),CONCATENATE("R9C",'Mapa final'!$Q$59),"")</f>
        <v/>
      </c>
      <c r="V44" s="51" t="str">
        <f>IF(AND('Mapa final'!$AA$54="Baja",'Mapa final'!$AC$54="Moderado"),CONCATENATE("R9C",'Mapa final'!$Q$54),"")</f>
        <v/>
      </c>
      <c r="W44" s="52" t="str">
        <f>IF(AND('Mapa final'!$AA$55="Baja",'Mapa final'!$AC$55="Moderado"),CONCATENATE("R9C",'Mapa final'!$Q$55),"")</f>
        <v/>
      </c>
      <c r="X44" s="52" t="str">
        <f>IF(AND('Mapa final'!$AA$56="Baja",'Mapa final'!$AC$56="Moderado"),CONCATENATE("R9C",'Mapa final'!$Q$56),"")</f>
        <v/>
      </c>
      <c r="Y44" s="52" t="str">
        <f>IF(AND('Mapa final'!$AA$57="Baja",'Mapa final'!$AC$57="Moderado"),CONCATENATE("R9C",'Mapa final'!$Q$57),"")</f>
        <v/>
      </c>
      <c r="Z44" s="52" t="str">
        <f>IF(AND('Mapa final'!$AA$58="Baja",'Mapa final'!$AC$58="Moderado"),CONCATENATE("R9C",'Mapa final'!$Q$58),"")</f>
        <v/>
      </c>
      <c r="AA44" s="53" t="str">
        <f>IF(AND('Mapa final'!$AA$59="Baja",'Mapa final'!$AC$59="Moderado"),CONCATENATE("R9C",'Mapa final'!$Q$59),"")</f>
        <v/>
      </c>
      <c r="AB44" s="36" t="str">
        <f>IF(AND('Mapa final'!$AA$54="Baja",'Mapa final'!$AC$54="Mayor"),CONCATENATE("R9C",'Mapa final'!$Q$54),"")</f>
        <v/>
      </c>
      <c r="AC44" s="37" t="str">
        <f>IF(AND('Mapa final'!$AA$55="Baja",'Mapa final'!$AC$55="Mayor"),CONCATENATE("R9C",'Mapa final'!$Q$55),"")</f>
        <v/>
      </c>
      <c r="AD44" s="37" t="str">
        <f>IF(AND('Mapa final'!$AA$56="Baja",'Mapa final'!$AC$56="Mayor"),CONCATENATE("R9C",'Mapa final'!$Q$56),"")</f>
        <v/>
      </c>
      <c r="AE44" s="37" t="str">
        <f>IF(AND('Mapa final'!$AA$57="Baja",'Mapa final'!$AC$57="Mayor"),CONCATENATE("R9C",'Mapa final'!$Q$57),"")</f>
        <v/>
      </c>
      <c r="AF44" s="37" t="str">
        <f>IF(AND('Mapa final'!$AA$58="Baja",'Mapa final'!$AC$58="Mayor"),CONCATENATE("R9C",'Mapa final'!$Q$58),"")</f>
        <v/>
      </c>
      <c r="AG44" s="38" t="str">
        <f>IF(AND('Mapa final'!$AA$59="Baja",'Mapa final'!$AC$59="Mayor"),CONCATENATE("R9C",'Mapa final'!$Q$59),"")</f>
        <v/>
      </c>
      <c r="AH44" s="39" t="str">
        <f>IF(AND('Mapa final'!$AA$54="Baja",'Mapa final'!$AC$54="Catastrófico"),CONCATENATE("R9C",'Mapa final'!$Q$54),"")</f>
        <v/>
      </c>
      <c r="AI44" s="40" t="str">
        <f>IF(AND('Mapa final'!$AA$55="Baja",'Mapa final'!$AC$55="Catastrófico"),CONCATENATE("R9C",'Mapa final'!$Q$55),"")</f>
        <v/>
      </c>
      <c r="AJ44" s="40" t="str">
        <f>IF(AND('Mapa final'!$AA$56="Baja",'Mapa final'!$AC$56="Catastrófico"),CONCATENATE("R9C",'Mapa final'!$Q$56),"")</f>
        <v/>
      </c>
      <c r="AK44" s="40" t="str">
        <f>IF(AND('Mapa final'!$AA$57="Baja",'Mapa final'!$AC$57="Catastrófico"),CONCATENATE("R9C",'Mapa final'!$Q$57),"")</f>
        <v/>
      </c>
      <c r="AL44" s="40" t="str">
        <f>IF(AND('Mapa final'!$AA$58="Baja",'Mapa final'!$AC$58="Catastrófico"),CONCATENATE("R9C",'Mapa final'!$Q$58),"")</f>
        <v/>
      </c>
      <c r="AM44" s="41" t="str">
        <f>IF(AND('Mapa final'!$AA$59="Baja",'Mapa final'!$AC$59="Catastrófico"),CONCATENATE("R9C",'Mapa final'!$Q$59),"")</f>
        <v/>
      </c>
      <c r="AN44" s="67"/>
      <c r="AO44" s="419"/>
      <c r="AP44" s="420"/>
      <c r="AQ44" s="420"/>
      <c r="AR44" s="420"/>
      <c r="AS44" s="420"/>
      <c r="AT44" s="421"/>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
      <c r="A45" s="67"/>
      <c r="B45" s="347"/>
      <c r="C45" s="347"/>
      <c r="D45" s="348"/>
      <c r="E45" s="391"/>
      <c r="F45" s="392"/>
      <c r="G45" s="392"/>
      <c r="H45" s="392"/>
      <c r="I45" s="392"/>
      <c r="J45" s="63" t="str">
        <f>IF(AND('Mapa final'!$AA$60="Baja",'Mapa final'!$AC$60="Leve"),CONCATENATE("R10C",'Mapa final'!$Q$60),"")</f>
        <v/>
      </c>
      <c r="K45" s="64" t="str">
        <f>IF(AND('Mapa final'!$AA$61="Baja",'Mapa final'!$AC$61="Leve"),CONCATENATE("R10C",'Mapa final'!$Q$61),"")</f>
        <v/>
      </c>
      <c r="L45" s="64" t="str">
        <f>IF(AND('Mapa final'!$AA$62="Baja",'Mapa final'!$AC$62="Leve"),CONCATENATE("R10C",'Mapa final'!$Q$62),"")</f>
        <v/>
      </c>
      <c r="M45" s="64" t="str">
        <f>IF(AND('Mapa final'!$AA$63="Baja",'Mapa final'!$AC$63="Leve"),CONCATENATE("R10C",'Mapa final'!$Q$63),"")</f>
        <v/>
      </c>
      <c r="N45" s="64" t="str">
        <f>IF(AND('Mapa final'!$AA$64="Baja",'Mapa final'!$AC$64="Leve"),CONCATENATE("R10C",'Mapa final'!$Q$64),"")</f>
        <v/>
      </c>
      <c r="O45" s="65" t="str">
        <f>IF(AND('Mapa final'!$AA$65="Baja",'Mapa final'!$AC$65="Leve"),CONCATENATE("R10C",'Mapa final'!$Q$65),"")</f>
        <v/>
      </c>
      <c r="P45" s="51" t="str">
        <f>IF(AND('Mapa final'!$AA$60="Baja",'Mapa final'!$AC$60="Menor"),CONCATENATE("R10C",'Mapa final'!$Q$60),"")</f>
        <v/>
      </c>
      <c r="Q45" s="52" t="str">
        <f>IF(AND('Mapa final'!$AA$61="Baja",'Mapa final'!$AC$61="Menor"),CONCATENATE("R10C",'Mapa final'!$Q$61),"")</f>
        <v/>
      </c>
      <c r="R45" s="52" t="str">
        <f>IF(AND('Mapa final'!$AA$62="Baja",'Mapa final'!$AC$62="Menor"),CONCATENATE("R10C",'Mapa final'!$Q$62),"")</f>
        <v/>
      </c>
      <c r="S45" s="52" t="str">
        <f>IF(AND('Mapa final'!$AA$63="Baja",'Mapa final'!$AC$63="Menor"),CONCATENATE("R10C",'Mapa final'!$Q$63),"")</f>
        <v/>
      </c>
      <c r="T45" s="52" t="str">
        <f>IF(AND('Mapa final'!$AA$64="Baja",'Mapa final'!$AC$64="Menor"),CONCATENATE("R10C",'Mapa final'!$Q$64),"")</f>
        <v/>
      </c>
      <c r="U45" s="53" t="str">
        <f>IF(AND('Mapa final'!$AA$65="Baja",'Mapa final'!$AC$65="Menor"),CONCATENATE("R10C",'Mapa final'!$Q$65),"")</f>
        <v/>
      </c>
      <c r="V45" s="54" t="str">
        <f>IF(AND('Mapa final'!$AA$60="Baja",'Mapa final'!$AC$60="Moderado"),CONCATENATE("R10C",'Mapa final'!$Q$60),"")</f>
        <v/>
      </c>
      <c r="W45" s="55" t="str">
        <f>IF(AND('Mapa final'!$AA$61="Baja",'Mapa final'!$AC$61="Moderado"),CONCATENATE("R10C",'Mapa final'!$Q$61),"")</f>
        <v/>
      </c>
      <c r="X45" s="55" t="str">
        <f>IF(AND('Mapa final'!$AA$62="Baja",'Mapa final'!$AC$62="Moderado"),CONCATENATE("R10C",'Mapa final'!$Q$62),"")</f>
        <v/>
      </c>
      <c r="Y45" s="55" t="str">
        <f>IF(AND('Mapa final'!$AA$63="Baja",'Mapa final'!$AC$63="Moderado"),CONCATENATE("R10C",'Mapa final'!$Q$63),"")</f>
        <v/>
      </c>
      <c r="Z45" s="55" t="str">
        <f>IF(AND('Mapa final'!$AA$64="Baja",'Mapa final'!$AC$64="Moderado"),CONCATENATE("R10C",'Mapa final'!$Q$64),"")</f>
        <v/>
      </c>
      <c r="AA45" s="56" t="str">
        <f>IF(AND('Mapa final'!$AA$65="Baja",'Mapa final'!$AC$65="Moderado"),CONCATENATE("R10C",'Mapa final'!$Q$65),"")</f>
        <v/>
      </c>
      <c r="AB45" s="42" t="str">
        <f>IF(AND('Mapa final'!$AA$60="Baja",'Mapa final'!$AC$60="Mayor"),CONCATENATE("R10C",'Mapa final'!$Q$60),"")</f>
        <v/>
      </c>
      <c r="AC45" s="43" t="str">
        <f>IF(AND('Mapa final'!$AA$61="Baja",'Mapa final'!$AC$61="Mayor"),CONCATENATE("R10C",'Mapa final'!$Q$61),"")</f>
        <v/>
      </c>
      <c r="AD45" s="43" t="str">
        <f>IF(AND('Mapa final'!$AA$62="Baja",'Mapa final'!$AC$62="Mayor"),CONCATENATE("R10C",'Mapa final'!$Q$62),"")</f>
        <v/>
      </c>
      <c r="AE45" s="43" t="str">
        <f>IF(AND('Mapa final'!$AA$63="Baja",'Mapa final'!$AC$63="Mayor"),CONCATENATE("R10C",'Mapa final'!$Q$63),"")</f>
        <v/>
      </c>
      <c r="AF45" s="43" t="str">
        <f>IF(AND('Mapa final'!$AA$64="Baja",'Mapa final'!$AC$64="Mayor"),CONCATENATE("R10C",'Mapa final'!$Q$64),"")</f>
        <v/>
      </c>
      <c r="AG45" s="44" t="str">
        <f>IF(AND('Mapa final'!$AA$65="Baja",'Mapa final'!$AC$65="Mayor"),CONCATENATE("R10C",'Mapa final'!$Q$65),"")</f>
        <v/>
      </c>
      <c r="AH45" s="45" t="str">
        <f>IF(AND('Mapa final'!$AA$60="Baja",'Mapa final'!$AC$60="Catastrófico"),CONCATENATE("R10C",'Mapa final'!$Q$60),"")</f>
        <v/>
      </c>
      <c r="AI45" s="46" t="str">
        <f>IF(AND('Mapa final'!$AA$61="Baja",'Mapa final'!$AC$61="Catastrófico"),CONCATENATE("R10C",'Mapa final'!$Q$61),"")</f>
        <v/>
      </c>
      <c r="AJ45" s="46" t="str">
        <f>IF(AND('Mapa final'!$AA$62="Baja",'Mapa final'!$AC$62="Catastrófico"),CONCATENATE("R10C",'Mapa final'!$Q$62),"")</f>
        <v/>
      </c>
      <c r="AK45" s="46" t="str">
        <f>IF(AND('Mapa final'!$AA$63="Baja",'Mapa final'!$AC$63="Catastrófico"),CONCATENATE("R10C",'Mapa final'!$Q$63),"")</f>
        <v/>
      </c>
      <c r="AL45" s="46" t="str">
        <f>IF(AND('Mapa final'!$AA$64="Baja",'Mapa final'!$AC$64="Catastrófico"),CONCATENATE("R10C",'Mapa final'!$Q$64),"")</f>
        <v/>
      </c>
      <c r="AM45" s="47" t="str">
        <f>IF(AND('Mapa final'!$AA$65="Baja",'Mapa final'!$AC$65="Catastrófico"),CONCATENATE("R10C",'Mapa final'!$Q$65),"")</f>
        <v/>
      </c>
      <c r="AN45" s="67"/>
      <c r="AO45" s="422"/>
      <c r="AP45" s="423"/>
      <c r="AQ45" s="423"/>
      <c r="AR45" s="423"/>
      <c r="AS45" s="423"/>
      <c r="AT45" s="424"/>
    </row>
    <row r="46" spans="1:80" ht="46.5" customHeight="1" x14ac:dyDescent="0.35">
      <c r="A46" s="67"/>
      <c r="B46" s="347"/>
      <c r="C46" s="347"/>
      <c r="D46" s="348"/>
      <c r="E46" s="385" t="s">
        <v>107</v>
      </c>
      <c r="F46" s="386"/>
      <c r="G46" s="386"/>
      <c r="H46" s="386"/>
      <c r="I46" s="387"/>
      <c r="J46" s="57" t="str">
        <f ca="1">IF(AND('Mapa final'!$AA$10="Muy Baja",'Mapa final'!$AC$10="Leve"),CONCATENATE("R1C",'Mapa final'!$Q$10),"")</f>
        <v/>
      </c>
      <c r="K46" s="58" t="str">
        <f ca="1">IF(AND('Mapa final'!$AA$11="Muy Baja",'Mapa final'!$AC$11="Leve"),CONCATENATE("R1C",'Mapa final'!$Q$11),"")</f>
        <v/>
      </c>
      <c r="L46" s="58" t="str">
        <f ca="1">IF(AND('Mapa final'!$AA$12="Muy Baja",'Mapa final'!$AC$12="Leve"),CONCATENATE("R1C",'Mapa final'!$Q$12),"")</f>
        <v/>
      </c>
      <c r="M46" s="58" t="e">
        <f>IF(AND('Mapa final'!#REF!="Muy Baja",'Mapa final'!#REF!="Leve"),CONCATENATE("R1C",'Mapa final'!#REF!),"")</f>
        <v>#REF!</v>
      </c>
      <c r="N46" s="58" t="e">
        <f>IF(AND('Mapa final'!#REF!="Muy Baja",'Mapa final'!#REF!="Leve"),CONCATENATE("R1C",'Mapa final'!#REF!),"")</f>
        <v>#REF!</v>
      </c>
      <c r="O46" s="59" t="e">
        <f>IF(AND('Mapa final'!#REF!="Muy Baja",'Mapa final'!#REF!="Leve"),CONCATENATE("R1C",'Mapa final'!#REF!),"")</f>
        <v>#REF!</v>
      </c>
      <c r="P46" s="57" t="str">
        <f ca="1">IF(AND('Mapa final'!$AA$10="Muy Baja",'Mapa final'!$AC$10="Menor"),CONCATENATE("R1C",'Mapa final'!$Q$10),"")</f>
        <v/>
      </c>
      <c r="Q46" s="58" t="str">
        <f ca="1">IF(AND('Mapa final'!$AA$11="Muy Baja",'Mapa final'!$AC$11="Menor"),CONCATENATE("R1C",'Mapa final'!$Q$11),"")</f>
        <v/>
      </c>
      <c r="R46" s="58" t="str">
        <f ca="1">IF(AND('Mapa final'!$AA$12="Muy Baja",'Mapa final'!$AC$12="Menor"),CONCATENATE("R1C",'Mapa final'!$Q$12),"")</f>
        <v/>
      </c>
      <c r="S46" s="58" t="e">
        <f>IF(AND('Mapa final'!#REF!="Muy Baja",'Mapa final'!#REF!="Menor"),CONCATENATE("R1C",'Mapa final'!#REF!),"")</f>
        <v>#REF!</v>
      </c>
      <c r="T46" s="58" t="e">
        <f>IF(AND('Mapa final'!#REF!="Muy Baja",'Mapa final'!#REF!="Menor"),CONCATENATE("R1C",'Mapa final'!#REF!),"")</f>
        <v>#REF!</v>
      </c>
      <c r="U46" s="59" t="e">
        <f>IF(AND('Mapa final'!#REF!="Muy Baja",'Mapa final'!#REF!="Menor"),CONCATENATE("R1C",'Mapa final'!#REF!),"")</f>
        <v>#REF!</v>
      </c>
      <c r="V46" s="48" t="str">
        <f ca="1">IF(AND('Mapa final'!$AA$10="Muy Baja",'Mapa final'!$AC$10="Moderado"),CONCATENATE("R1C",'Mapa final'!$Q$10),"")</f>
        <v/>
      </c>
      <c r="W46" s="66" t="str">
        <f ca="1">IF(AND('Mapa final'!$AA$11="Muy Baja",'Mapa final'!$AC$11="Moderado"),CONCATENATE("R1C",'Mapa final'!$Q$11),"")</f>
        <v/>
      </c>
      <c r="X46" s="49" t="str">
        <f ca="1">IF(AND('Mapa final'!$AA$12="Muy Baja",'Mapa final'!$AC$12="Moderado"),CONCATENATE("R1C",'Mapa final'!$Q$12),"")</f>
        <v/>
      </c>
      <c r="Y46" s="49" t="e">
        <f>IF(AND('Mapa final'!#REF!="Muy Baja",'Mapa final'!#REF!="Moderado"),CONCATENATE("R1C",'Mapa final'!#REF!),"")</f>
        <v>#REF!</v>
      </c>
      <c r="Z46" s="49" t="e">
        <f>IF(AND('Mapa final'!#REF!="Muy Baja",'Mapa final'!#REF!="Moderado"),CONCATENATE("R1C",'Mapa final'!#REF!),"")</f>
        <v>#REF!</v>
      </c>
      <c r="AA46" s="50" t="e">
        <f>IF(AND('Mapa final'!#REF!="Muy Baja",'Mapa final'!#REF!="Moderado"),CONCATENATE("R1C",'Mapa final'!#REF!),"")</f>
        <v>#REF!</v>
      </c>
      <c r="AB46" s="30" t="str">
        <f ca="1">IF(AND('Mapa final'!$AA$10="Muy Baja",'Mapa final'!$AC$10="Mayor"),CONCATENATE("R1C",'Mapa final'!$Q$10),"")</f>
        <v/>
      </c>
      <c r="AC46" s="31" t="str">
        <f ca="1">IF(AND('Mapa final'!$AA$11="Muy Baja",'Mapa final'!$AC$11="Mayor"),CONCATENATE("R1C",'Mapa final'!$Q$11),"")</f>
        <v/>
      </c>
      <c r="AD46" s="31" t="str">
        <f ca="1">IF(AND('Mapa final'!$AA$12="Muy Baja",'Mapa final'!$AC$12="Mayor"),CONCATENATE("R1C",'Mapa final'!$Q$12),"")</f>
        <v/>
      </c>
      <c r="AE46" s="31" t="e">
        <f>IF(AND('Mapa final'!#REF!="Muy Baja",'Mapa final'!#REF!="Mayor"),CONCATENATE("R1C",'Mapa final'!#REF!),"")</f>
        <v>#REF!</v>
      </c>
      <c r="AF46" s="31" t="e">
        <f>IF(AND('Mapa final'!#REF!="Muy Baja",'Mapa final'!#REF!="Mayor"),CONCATENATE("R1C",'Mapa final'!#REF!),"")</f>
        <v>#REF!</v>
      </c>
      <c r="AG46" s="32" t="e">
        <f>IF(AND('Mapa final'!#REF!="Muy Baja",'Mapa final'!#REF!="Mayor"),CONCATENATE("R1C",'Mapa final'!#REF!),"")</f>
        <v>#REF!</v>
      </c>
      <c r="AH46" s="33" t="str">
        <f ca="1">IF(AND('Mapa final'!$AA$10="Muy Baja",'Mapa final'!$AC$10="Catastrófico"),CONCATENATE("R1C",'Mapa final'!$Q$10),"")</f>
        <v/>
      </c>
      <c r="AI46" s="34" t="str">
        <f ca="1">IF(AND('Mapa final'!$AA$11="Muy Baja",'Mapa final'!$AC$11="Catastrófico"),CONCATENATE("R1C",'Mapa final'!$Q$11),"")</f>
        <v/>
      </c>
      <c r="AJ46" s="34" t="str">
        <f ca="1">IF(AND('Mapa final'!$AA$12="Muy Baja",'Mapa final'!$AC$12="Catastrófico"),CONCATENATE("R1C",'Mapa final'!$Q$12),"")</f>
        <v/>
      </c>
      <c r="AK46" s="34" t="e">
        <f>IF(AND('Mapa final'!#REF!="Muy Baja",'Mapa final'!#REF!="Catastrófico"),CONCATENATE("R1C",'Mapa final'!#REF!),"")</f>
        <v>#REF!</v>
      </c>
      <c r="AL46" s="34" t="e">
        <f>IF(AND('Mapa final'!#REF!="Muy Baja",'Mapa final'!#REF!="Catastrófico"),CONCATENATE("R1C",'Mapa final'!#REF!),"")</f>
        <v>#REF!</v>
      </c>
      <c r="AM46" s="35" t="e">
        <f>IF(AND('Mapa final'!#REF!="Muy Baja",'Mapa final'!#REF!="Catastrófico"),CONCATENATE("R1C",'Mapa final'!#REF!),"")</f>
        <v>#REF!</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25">
      <c r="A47" s="67"/>
      <c r="B47" s="347"/>
      <c r="C47" s="347"/>
      <c r="D47" s="348"/>
      <c r="E47" s="404"/>
      <c r="F47" s="389"/>
      <c r="G47" s="389"/>
      <c r="H47" s="389"/>
      <c r="I47" s="390"/>
      <c r="J47" s="60" t="str">
        <f ca="1">IF(AND('Mapa final'!$AA$14="Muy Baja",'Mapa final'!$AC$14="Leve"),CONCATENATE("R2C",'Mapa final'!$Q$14),"")</f>
        <v/>
      </c>
      <c r="K47" s="61" t="str">
        <f ca="1">IF(AND('Mapa final'!$AA$15="Muy Baja",'Mapa final'!$AC$15="Leve"),CONCATENATE("R2C",'Mapa final'!$Q$15),"")</f>
        <v/>
      </c>
      <c r="L47" s="61" t="e">
        <f>IF(AND('Mapa final'!#REF!="Muy Baja",'Mapa final'!#REF!="Leve"),CONCATENATE("R2C",'Mapa final'!#REF!),"")</f>
        <v>#REF!</v>
      </c>
      <c r="M47" s="61" t="e">
        <f>IF(AND('Mapa final'!#REF!="Muy Baja",'Mapa final'!#REF!="Leve"),CONCATENATE("R2C",'Mapa final'!#REF!),"")</f>
        <v>#REF!</v>
      </c>
      <c r="N47" s="61" t="str">
        <f>IF(AND('Mapa final'!$AA$16="Muy Baja",'Mapa final'!$AC$16="Leve"),CONCATENATE("R2C",'Mapa final'!$Q$16),"")</f>
        <v/>
      </c>
      <c r="O47" s="62" t="str">
        <f>IF(AND('Mapa final'!$AA$17="Muy Baja",'Mapa final'!$AC$17="Leve"),CONCATENATE("R2C",'Mapa final'!$Q$17),"")</f>
        <v/>
      </c>
      <c r="P47" s="60" t="str">
        <f ca="1">IF(AND('Mapa final'!$AA$14="Muy Baja",'Mapa final'!$AC$14="Menor"),CONCATENATE("R2C",'Mapa final'!$Q$14),"")</f>
        <v/>
      </c>
      <c r="Q47" s="61" t="str">
        <f ca="1">IF(AND('Mapa final'!$AA$15="Muy Baja",'Mapa final'!$AC$15="Menor"),CONCATENATE("R2C",'Mapa final'!$Q$15),"")</f>
        <v/>
      </c>
      <c r="R47" s="61" t="e">
        <f>IF(AND('Mapa final'!#REF!="Muy Baja",'Mapa final'!#REF!="Menor"),CONCATENATE("R2C",'Mapa final'!#REF!),"")</f>
        <v>#REF!</v>
      </c>
      <c r="S47" s="61" t="e">
        <f>IF(AND('Mapa final'!#REF!="Muy Baja",'Mapa final'!#REF!="Menor"),CONCATENATE("R2C",'Mapa final'!#REF!),"")</f>
        <v>#REF!</v>
      </c>
      <c r="T47" s="61" t="str">
        <f>IF(AND('Mapa final'!$AA$16="Muy Baja",'Mapa final'!$AC$16="Menor"),CONCATENATE("R2C",'Mapa final'!$Q$16),"")</f>
        <v/>
      </c>
      <c r="U47" s="62" t="str">
        <f>IF(AND('Mapa final'!$AA$17="Muy Baja",'Mapa final'!$AC$17="Menor"),CONCATENATE("R2C",'Mapa final'!$Q$17),"")</f>
        <v/>
      </c>
      <c r="V47" s="51" t="str">
        <f ca="1">IF(AND('Mapa final'!$AA$14="Muy Baja",'Mapa final'!$AC$14="Moderado"),CONCATENATE("R2C",'Mapa final'!$Q$14),"")</f>
        <v/>
      </c>
      <c r="W47" s="52" t="str">
        <f ca="1">IF(AND('Mapa final'!$AA$15="Muy Baja",'Mapa final'!$AC$15="Moderado"),CONCATENATE("R2C",'Mapa final'!$Q$15),"")</f>
        <v/>
      </c>
      <c r="X47" s="52" t="e">
        <f>IF(AND('Mapa final'!#REF!="Muy Baja",'Mapa final'!#REF!="Moderado"),CONCATENATE("R2C",'Mapa final'!#REF!),"")</f>
        <v>#REF!</v>
      </c>
      <c r="Y47" s="52" t="e">
        <f>IF(AND('Mapa final'!#REF!="Muy Baja",'Mapa final'!#REF!="Moderado"),CONCATENATE("R2C",'Mapa final'!#REF!),"")</f>
        <v>#REF!</v>
      </c>
      <c r="Z47" s="52" t="str">
        <f>IF(AND('Mapa final'!$AA$16="Muy Baja",'Mapa final'!$AC$16="Moderado"),CONCATENATE("R2C",'Mapa final'!$Q$16),"")</f>
        <v/>
      </c>
      <c r="AA47" s="53" t="str">
        <f>IF(AND('Mapa final'!$AA$17="Muy Baja",'Mapa final'!$AC$17="Moderado"),CONCATENATE("R2C",'Mapa final'!$Q$17),"")</f>
        <v/>
      </c>
      <c r="AB47" s="36" t="str">
        <f ca="1">IF(AND('Mapa final'!$AA$14="Muy Baja",'Mapa final'!$AC$14="Mayor"),CONCATENATE("R2C",'Mapa final'!$Q$14),"")</f>
        <v/>
      </c>
      <c r="AC47" s="37" t="str">
        <f ca="1">IF(AND('Mapa final'!$AA$15="Muy Baja",'Mapa final'!$AC$15="Mayor"),CONCATENATE("R2C",'Mapa final'!$Q$15),"")</f>
        <v/>
      </c>
      <c r="AD47" s="37" t="e">
        <f>IF(AND('Mapa final'!#REF!="Muy Baja",'Mapa final'!#REF!="Mayor"),CONCATENATE("R2C",'Mapa final'!#REF!),"")</f>
        <v>#REF!</v>
      </c>
      <c r="AE47" s="37" t="e">
        <f>IF(AND('Mapa final'!#REF!="Muy Baja",'Mapa final'!#REF!="Mayor"),CONCATENATE("R2C",'Mapa final'!#REF!),"")</f>
        <v>#REF!</v>
      </c>
      <c r="AF47" s="37" t="str">
        <f>IF(AND('Mapa final'!$AA$16="Muy Baja",'Mapa final'!$AC$16="Mayor"),CONCATENATE("R2C",'Mapa final'!$Q$16),"")</f>
        <v/>
      </c>
      <c r="AG47" s="38" t="str">
        <f>IF(AND('Mapa final'!$AA$17="Muy Baja",'Mapa final'!$AC$17="Mayor"),CONCATENATE("R2C",'Mapa final'!$Q$17),"")</f>
        <v/>
      </c>
      <c r="AH47" s="39" t="str">
        <f ca="1">IF(AND('Mapa final'!$AA$14="Muy Baja",'Mapa final'!$AC$14="Catastrófico"),CONCATENATE("R2C",'Mapa final'!$Q$14),"")</f>
        <v/>
      </c>
      <c r="AI47" s="40" t="str">
        <f ca="1">IF(AND('Mapa final'!$AA$15="Muy Baja",'Mapa final'!$AC$15="Catastrófico"),CONCATENATE("R2C",'Mapa final'!$Q$15),"")</f>
        <v/>
      </c>
      <c r="AJ47" s="40" t="e">
        <f>IF(AND('Mapa final'!#REF!="Muy Baja",'Mapa final'!#REF!="Catastrófico"),CONCATENATE("R2C",'Mapa final'!#REF!),"")</f>
        <v>#REF!</v>
      </c>
      <c r="AK47" s="40" t="e">
        <f>IF(AND('Mapa final'!#REF!="Muy Baja",'Mapa final'!#REF!="Catastrófico"),CONCATENATE("R2C",'Mapa final'!#REF!),"")</f>
        <v>#REF!</v>
      </c>
      <c r="AL47" s="40" t="str">
        <f>IF(AND('Mapa final'!$AA$16="Muy Baja",'Mapa final'!$AC$16="Catastrófico"),CONCATENATE("R2C",'Mapa final'!$Q$16),"")</f>
        <v/>
      </c>
      <c r="AM47" s="41" t="str">
        <f>IF(AND('Mapa final'!$AA$17="Muy Baja",'Mapa final'!$AC$17="Catastrófico"),CONCATENATE("R2C",'Mapa final'!$Q$17),"")</f>
        <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25">
      <c r="A48" s="67"/>
      <c r="B48" s="347"/>
      <c r="C48" s="347"/>
      <c r="D48" s="348"/>
      <c r="E48" s="404"/>
      <c r="F48" s="389"/>
      <c r="G48" s="389"/>
      <c r="H48" s="389"/>
      <c r="I48" s="390"/>
      <c r="J48" s="60" t="str">
        <f>IF(AND('Mapa final'!$AA$18="Muy Baja",'Mapa final'!$AC$18="Leve"),CONCATENATE("R3C",'Mapa final'!$Q$18),"")</f>
        <v/>
      </c>
      <c r="K48" s="61" t="str">
        <f>IF(AND('Mapa final'!$AA$19="Muy Baja",'Mapa final'!$AC$19="Leve"),CONCATENATE("R3C",'Mapa final'!$Q$19),"")</f>
        <v/>
      </c>
      <c r="L48" s="61" t="str">
        <f>IF(AND('Mapa final'!$AA$20="Muy Baja",'Mapa final'!$AC$20="Leve"),CONCATENATE("R3C",'Mapa final'!$Q$20),"")</f>
        <v/>
      </c>
      <c r="M48" s="61" t="str">
        <f>IF(AND('Mapa final'!$AA$21="Muy Baja",'Mapa final'!$AC$21="Leve"),CONCATENATE("R3C",'Mapa final'!$Q$21),"")</f>
        <v/>
      </c>
      <c r="N48" s="61" t="str">
        <f>IF(AND('Mapa final'!$AA$22="Muy Baja",'Mapa final'!$AC$22="Leve"),CONCATENATE("R3C",'Mapa final'!$Q$22),"")</f>
        <v/>
      </c>
      <c r="O48" s="62" t="str">
        <f>IF(AND('Mapa final'!$AA$23="Muy Baja",'Mapa final'!$AC$23="Leve"),CONCATENATE("R3C",'Mapa final'!$Q$23),"")</f>
        <v/>
      </c>
      <c r="P48" s="60" t="str">
        <f>IF(AND('Mapa final'!$AA$18="Muy Baja",'Mapa final'!$AC$18="Menor"),CONCATENATE("R3C",'Mapa final'!$Q$18),"")</f>
        <v/>
      </c>
      <c r="Q48" s="61" t="str">
        <f>IF(AND('Mapa final'!$AA$19="Muy Baja",'Mapa final'!$AC$19="Menor"),CONCATENATE("R3C",'Mapa final'!$Q$19),"")</f>
        <v/>
      </c>
      <c r="R48" s="61" t="str">
        <f>IF(AND('Mapa final'!$AA$20="Muy Baja",'Mapa final'!$AC$20="Menor"),CONCATENATE("R3C",'Mapa final'!$Q$20),"")</f>
        <v/>
      </c>
      <c r="S48" s="61" t="str">
        <f>IF(AND('Mapa final'!$AA$21="Muy Baja",'Mapa final'!$AC$21="Menor"),CONCATENATE("R3C",'Mapa final'!$Q$21),"")</f>
        <v/>
      </c>
      <c r="T48" s="61" t="str">
        <f>IF(AND('Mapa final'!$AA$22="Muy Baja",'Mapa final'!$AC$22="Menor"),CONCATENATE("R3C",'Mapa final'!$Q$22),"")</f>
        <v/>
      </c>
      <c r="U48" s="62" t="str">
        <f>IF(AND('Mapa final'!$AA$23="Muy Baja",'Mapa final'!$AC$23="Menor"),CONCATENATE("R3C",'Mapa final'!$Q$23),"")</f>
        <v/>
      </c>
      <c r="V48" s="51" t="str">
        <f>IF(AND('Mapa final'!$AA$18="Muy Baja",'Mapa final'!$AC$18="Moderado"),CONCATENATE("R3C",'Mapa final'!$Q$18),"")</f>
        <v/>
      </c>
      <c r="W48" s="52" t="str">
        <f>IF(AND('Mapa final'!$AA$19="Muy Baja",'Mapa final'!$AC$19="Moderado"),CONCATENATE("R3C",'Mapa final'!$Q$19),"")</f>
        <v/>
      </c>
      <c r="X48" s="52" t="str">
        <f>IF(AND('Mapa final'!$AA$20="Muy Baja",'Mapa final'!$AC$20="Moderado"),CONCATENATE("R3C",'Mapa final'!$Q$20),"")</f>
        <v/>
      </c>
      <c r="Y48" s="52" t="str">
        <f>IF(AND('Mapa final'!$AA$21="Muy Baja",'Mapa final'!$AC$21="Moderado"),CONCATENATE("R3C",'Mapa final'!$Q$21),"")</f>
        <v/>
      </c>
      <c r="Z48" s="52" t="str">
        <f>IF(AND('Mapa final'!$AA$22="Muy Baja",'Mapa final'!$AC$22="Moderado"),CONCATENATE("R3C",'Mapa final'!$Q$22),"")</f>
        <v/>
      </c>
      <c r="AA48" s="53" t="str">
        <f>IF(AND('Mapa final'!$AA$23="Muy Baja",'Mapa final'!$AC$23="Moderado"),CONCATENATE("R3C",'Mapa final'!$Q$23),"")</f>
        <v/>
      </c>
      <c r="AB48" s="36" t="str">
        <f>IF(AND('Mapa final'!$AA$18="Muy Baja",'Mapa final'!$AC$18="Mayor"),CONCATENATE("R3C",'Mapa final'!$Q$18),"")</f>
        <v/>
      </c>
      <c r="AC48" s="37" t="str">
        <f>IF(AND('Mapa final'!$AA$19="Muy Baja",'Mapa final'!$AC$19="Mayor"),CONCATENATE("R3C",'Mapa final'!$Q$19),"")</f>
        <v/>
      </c>
      <c r="AD48" s="37" t="str">
        <f>IF(AND('Mapa final'!$AA$20="Muy Baja",'Mapa final'!$AC$20="Mayor"),CONCATENATE("R3C",'Mapa final'!$Q$20),"")</f>
        <v/>
      </c>
      <c r="AE48" s="37" t="str">
        <f>IF(AND('Mapa final'!$AA$21="Muy Baja",'Mapa final'!$AC$21="Mayor"),CONCATENATE("R3C",'Mapa final'!$Q$21),"")</f>
        <v/>
      </c>
      <c r="AF48" s="37" t="str">
        <f>IF(AND('Mapa final'!$AA$22="Muy Baja",'Mapa final'!$AC$22="Mayor"),CONCATENATE("R3C",'Mapa final'!$Q$22),"")</f>
        <v/>
      </c>
      <c r="AG48" s="38" t="str">
        <f>IF(AND('Mapa final'!$AA$23="Muy Baja",'Mapa final'!$AC$23="Mayor"),CONCATENATE("R3C",'Mapa final'!$Q$23),"")</f>
        <v/>
      </c>
      <c r="AH48" s="39" t="str">
        <f>IF(AND('Mapa final'!$AA$18="Muy Baja",'Mapa final'!$AC$18="Catastrófico"),CONCATENATE("R3C",'Mapa final'!$Q$18),"")</f>
        <v/>
      </c>
      <c r="AI48" s="40" t="str">
        <f>IF(AND('Mapa final'!$AA$19="Muy Baja",'Mapa final'!$AC$19="Catastrófico"),CONCATENATE("R3C",'Mapa final'!$Q$19),"")</f>
        <v/>
      </c>
      <c r="AJ48" s="40" t="str">
        <f>IF(AND('Mapa final'!$AA$20="Muy Baja",'Mapa final'!$AC$20="Catastrófico"),CONCATENATE("R3C",'Mapa final'!$Q$20),"")</f>
        <v/>
      </c>
      <c r="AK48" s="40" t="str">
        <f>IF(AND('Mapa final'!$AA$21="Muy Baja",'Mapa final'!$AC$21="Catastrófico"),CONCATENATE("R3C",'Mapa final'!$Q$21),"")</f>
        <v/>
      </c>
      <c r="AL48" s="40" t="str">
        <f>IF(AND('Mapa final'!$AA$22="Muy Baja",'Mapa final'!$AC$22="Catastrófico"),CONCATENATE("R3C",'Mapa final'!$Q$22),"")</f>
        <v/>
      </c>
      <c r="AM48" s="41" t="str">
        <f>IF(AND('Mapa final'!$AA$23="Muy Baja",'Mapa final'!$AC$23="Catastrófico"),CONCATENATE("R3C",'Mapa final'!$Q$23),"")</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25">
      <c r="A49" s="67"/>
      <c r="B49" s="347"/>
      <c r="C49" s="347"/>
      <c r="D49" s="348"/>
      <c r="E49" s="388"/>
      <c r="F49" s="389"/>
      <c r="G49" s="389"/>
      <c r="H49" s="389"/>
      <c r="I49" s="390"/>
      <c r="J49" s="60" t="str">
        <f>IF(AND('Mapa final'!$AA$24="Muy Baja",'Mapa final'!$AC$24="Leve"),CONCATENATE("R4C",'Mapa final'!$Q$24),"")</f>
        <v/>
      </c>
      <c r="K49" s="61" t="str">
        <f>IF(AND('Mapa final'!$AA$25="Muy Baja",'Mapa final'!$AC$25="Leve"),CONCATENATE("R4C",'Mapa final'!$Q$25),"")</f>
        <v/>
      </c>
      <c r="L49" s="61" t="str">
        <f>IF(AND('Mapa final'!$AA$26="Muy Baja",'Mapa final'!$AC$26="Leve"),CONCATENATE("R4C",'Mapa final'!$Q$26),"")</f>
        <v/>
      </c>
      <c r="M49" s="61" t="str">
        <f>IF(AND('Mapa final'!$AA$27="Muy Baja",'Mapa final'!$AC$27="Leve"),CONCATENATE("R4C",'Mapa final'!$Q$27),"")</f>
        <v/>
      </c>
      <c r="N49" s="61" t="str">
        <f>IF(AND('Mapa final'!$AA$28="Muy Baja",'Mapa final'!$AC$28="Leve"),CONCATENATE("R4C",'Mapa final'!$Q$28),"")</f>
        <v/>
      </c>
      <c r="O49" s="62" t="str">
        <f>IF(AND('Mapa final'!$AA$29="Muy Baja",'Mapa final'!$AC$29="Leve"),CONCATENATE("R4C",'Mapa final'!$Q$29),"")</f>
        <v/>
      </c>
      <c r="P49" s="60" t="str">
        <f>IF(AND('Mapa final'!$AA$24="Muy Baja",'Mapa final'!$AC$24="Menor"),CONCATENATE("R4C",'Mapa final'!$Q$24),"")</f>
        <v/>
      </c>
      <c r="Q49" s="61" t="str">
        <f>IF(AND('Mapa final'!$AA$25="Muy Baja",'Mapa final'!$AC$25="Menor"),CONCATENATE("R4C",'Mapa final'!$Q$25),"")</f>
        <v/>
      </c>
      <c r="R49" s="61" t="str">
        <f>IF(AND('Mapa final'!$AA$26="Muy Baja",'Mapa final'!$AC$26="Menor"),CONCATENATE("R4C",'Mapa final'!$Q$26),"")</f>
        <v/>
      </c>
      <c r="S49" s="61" t="str">
        <f>IF(AND('Mapa final'!$AA$27="Muy Baja",'Mapa final'!$AC$27="Menor"),CONCATENATE("R4C",'Mapa final'!$Q$27),"")</f>
        <v/>
      </c>
      <c r="T49" s="61" t="str">
        <f>IF(AND('Mapa final'!$AA$28="Muy Baja",'Mapa final'!$AC$28="Menor"),CONCATENATE("R4C",'Mapa final'!$Q$28),"")</f>
        <v/>
      </c>
      <c r="U49" s="62" t="str">
        <f>IF(AND('Mapa final'!$AA$29="Muy Baja",'Mapa final'!$AC$29="Menor"),CONCATENATE("R4C",'Mapa final'!$Q$29),"")</f>
        <v/>
      </c>
      <c r="V49" s="51" t="str">
        <f>IF(AND('Mapa final'!$AA$24="Muy Baja",'Mapa final'!$AC$24="Moderado"),CONCATENATE("R4C",'Mapa final'!$Q$24),"")</f>
        <v/>
      </c>
      <c r="W49" s="52" t="str">
        <f>IF(AND('Mapa final'!$AA$25="Muy Baja",'Mapa final'!$AC$25="Moderado"),CONCATENATE("R4C",'Mapa final'!$Q$25),"")</f>
        <v/>
      </c>
      <c r="X49" s="52" t="str">
        <f>IF(AND('Mapa final'!$AA$26="Muy Baja",'Mapa final'!$AC$26="Moderado"),CONCATENATE("R4C",'Mapa final'!$Q$26),"")</f>
        <v/>
      </c>
      <c r="Y49" s="52" t="str">
        <f>IF(AND('Mapa final'!$AA$27="Muy Baja",'Mapa final'!$AC$27="Moderado"),CONCATENATE("R4C",'Mapa final'!$Q$27),"")</f>
        <v/>
      </c>
      <c r="Z49" s="52" t="str">
        <f>IF(AND('Mapa final'!$AA$28="Muy Baja",'Mapa final'!$AC$28="Moderado"),CONCATENATE("R4C",'Mapa final'!$Q$28),"")</f>
        <v/>
      </c>
      <c r="AA49" s="53" t="str">
        <f>IF(AND('Mapa final'!$AA$29="Muy Baja",'Mapa final'!$AC$29="Moderado"),CONCATENATE("R4C",'Mapa final'!$Q$29),"")</f>
        <v/>
      </c>
      <c r="AB49" s="36" t="str">
        <f>IF(AND('Mapa final'!$AA$24="Muy Baja",'Mapa final'!$AC$24="Mayor"),CONCATENATE("R4C",'Mapa final'!$Q$24),"")</f>
        <v/>
      </c>
      <c r="AC49" s="37" t="str">
        <f>IF(AND('Mapa final'!$AA$25="Muy Baja",'Mapa final'!$AC$25="Mayor"),CONCATENATE("R4C",'Mapa final'!$Q$25),"")</f>
        <v/>
      </c>
      <c r="AD49" s="37" t="str">
        <f>IF(AND('Mapa final'!$AA$26="Muy Baja",'Mapa final'!$AC$26="Mayor"),CONCATENATE("R4C",'Mapa final'!$Q$26),"")</f>
        <v/>
      </c>
      <c r="AE49" s="37" t="str">
        <f>IF(AND('Mapa final'!$AA$27="Muy Baja",'Mapa final'!$AC$27="Mayor"),CONCATENATE("R4C",'Mapa final'!$Q$27),"")</f>
        <v/>
      </c>
      <c r="AF49" s="37" t="str">
        <f>IF(AND('Mapa final'!$AA$28="Muy Baja",'Mapa final'!$AC$28="Mayor"),CONCATENATE("R4C",'Mapa final'!$Q$28),"")</f>
        <v/>
      </c>
      <c r="AG49" s="38" t="str">
        <f>IF(AND('Mapa final'!$AA$29="Muy Baja",'Mapa final'!$AC$29="Mayor"),CONCATENATE("R4C",'Mapa final'!$Q$29),"")</f>
        <v/>
      </c>
      <c r="AH49" s="39" t="str">
        <f>IF(AND('Mapa final'!$AA$24="Muy Baja",'Mapa final'!$AC$24="Catastrófico"),CONCATENATE("R4C",'Mapa final'!$Q$24),"")</f>
        <v/>
      </c>
      <c r="AI49" s="40" t="str">
        <f>IF(AND('Mapa final'!$AA$25="Muy Baja",'Mapa final'!$AC$25="Catastrófico"),CONCATENATE("R4C",'Mapa final'!$Q$25),"")</f>
        <v/>
      </c>
      <c r="AJ49" s="40" t="str">
        <f>IF(AND('Mapa final'!$AA$26="Muy Baja",'Mapa final'!$AC$26="Catastrófico"),CONCATENATE("R4C",'Mapa final'!$Q$26),"")</f>
        <v/>
      </c>
      <c r="AK49" s="40" t="str">
        <f>IF(AND('Mapa final'!$AA$27="Muy Baja",'Mapa final'!$AC$27="Catastrófico"),CONCATENATE("R4C",'Mapa final'!$Q$27),"")</f>
        <v/>
      </c>
      <c r="AL49" s="40" t="str">
        <f>IF(AND('Mapa final'!$AA$28="Muy Baja",'Mapa final'!$AC$28="Catastrófico"),CONCATENATE("R4C",'Mapa final'!$Q$28),"")</f>
        <v/>
      </c>
      <c r="AM49" s="41" t="str">
        <f>IF(AND('Mapa final'!$AA$29="Muy Baja",'Mapa final'!$AC$29="Catastrófico"),CONCATENATE("R4C",'Mapa final'!$Q$29),"")</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25">
      <c r="A50" s="67"/>
      <c r="B50" s="347"/>
      <c r="C50" s="347"/>
      <c r="D50" s="348"/>
      <c r="E50" s="388"/>
      <c r="F50" s="389"/>
      <c r="G50" s="389"/>
      <c r="H50" s="389"/>
      <c r="I50" s="390"/>
      <c r="J50" s="60" t="str">
        <f>IF(AND('Mapa final'!$AA$30="Muy Baja",'Mapa final'!$AC$30="Leve"),CONCATENATE("R5C",'Mapa final'!$Q$30),"")</f>
        <v/>
      </c>
      <c r="K50" s="61" t="str">
        <f>IF(AND('Mapa final'!$AA$31="Muy Baja",'Mapa final'!$AC$31="Leve"),CONCATENATE("R5C",'Mapa final'!$Q$31),"")</f>
        <v/>
      </c>
      <c r="L50" s="61" t="str">
        <f>IF(AND('Mapa final'!$AA$32="Muy Baja",'Mapa final'!$AC$32="Leve"),CONCATENATE("R5C",'Mapa final'!$Q$32),"")</f>
        <v/>
      </c>
      <c r="M50" s="61" t="str">
        <f>IF(AND('Mapa final'!$AA$33="Muy Baja",'Mapa final'!$AC$33="Leve"),CONCATENATE("R5C",'Mapa final'!$Q$33),"")</f>
        <v/>
      </c>
      <c r="N50" s="61" t="str">
        <f>IF(AND('Mapa final'!$AA$34="Muy Baja",'Mapa final'!$AC$34="Leve"),CONCATENATE("R5C",'Mapa final'!$Q$34),"")</f>
        <v/>
      </c>
      <c r="O50" s="62" t="str">
        <f>IF(AND('Mapa final'!$AA$35="Muy Baja",'Mapa final'!$AC$35="Leve"),CONCATENATE("R5C",'Mapa final'!$Q$35),"")</f>
        <v/>
      </c>
      <c r="P50" s="60" t="str">
        <f>IF(AND('Mapa final'!$AA$30="Muy Baja",'Mapa final'!$AC$30="Menor"),CONCATENATE("R5C",'Mapa final'!$Q$30),"")</f>
        <v/>
      </c>
      <c r="Q50" s="61" t="str">
        <f>IF(AND('Mapa final'!$AA$31="Muy Baja",'Mapa final'!$AC$31="Menor"),CONCATENATE("R5C",'Mapa final'!$Q$31),"")</f>
        <v/>
      </c>
      <c r="R50" s="61" t="str">
        <f>IF(AND('Mapa final'!$AA$32="Muy Baja",'Mapa final'!$AC$32="Menor"),CONCATENATE("R5C",'Mapa final'!$Q$32),"")</f>
        <v/>
      </c>
      <c r="S50" s="61" t="str">
        <f>IF(AND('Mapa final'!$AA$33="Muy Baja",'Mapa final'!$AC$33="Menor"),CONCATENATE("R5C",'Mapa final'!$Q$33),"")</f>
        <v/>
      </c>
      <c r="T50" s="61" t="str">
        <f>IF(AND('Mapa final'!$AA$34="Muy Baja",'Mapa final'!$AC$34="Menor"),CONCATENATE("R5C",'Mapa final'!$Q$34),"")</f>
        <v/>
      </c>
      <c r="U50" s="62" t="str">
        <f>IF(AND('Mapa final'!$AA$35="Muy Baja",'Mapa final'!$AC$35="Menor"),CONCATENATE("R5C",'Mapa final'!$Q$35),"")</f>
        <v/>
      </c>
      <c r="V50" s="51" t="str">
        <f>IF(AND('Mapa final'!$AA$30="Muy Baja",'Mapa final'!$AC$30="Moderado"),CONCATENATE("R5C",'Mapa final'!$Q$30),"")</f>
        <v/>
      </c>
      <c r="W50" s="52" t="str">
        <f>IF(AND('Mapa final'!$AA$31="Muy Baja",'Mapa final'!$AC$31="Moderado"),CONCATENATE("R5C",'Mapa final'!$Q$31),"")</f>
        <v/>
      </c>
      <c r="X50" s="52" t="str">
        <f>IF(AND('Mapa final'!$AA$32="Muy Baja",'Mapa final'!$AC$32="Moderado"),CONCATENATE("R5C",'Mapa final'!$Q$32),"")</f>
        <v/>
      </c>
      <c r="Y50" s="52" t="str">
        <f>IF(AND('Mapa final'!$AA$33="Muy Baja",'Mapa final'!$AC$33="Moderado"),CONCATENATE("R5C",'Mapa final'!$Q$33),"")</f>
        <v/>
      </c>
      <c r="Z50" s="52" t="str">
        <f>IF(AND('Mapa final'!$AA$34="Muy Baja",'Mapa final'!$AC$34="Moderado"),CONCATENATE("R5C",'Mapa final'!$Q$34),"")</f>
        <v/>
      </c>
      <c r="AA50" s="53" t="str">
        <f>IF(AND('Mapa final'!$AA$35="Muy Baja",'Mapa final'!$AC$35="Moderado"),CONCATENATE("R5C",'Mapa final'!$Q$35),"")</f>
        <v/>
      </c>
      <c r="AB50" s="36" t="str">
        <f>IF(AND('Mapa final'!$AA$30="Muy Baja",'Mapa final'!$AC$30="Mayor"),CONCATENATE("R5C",'Mapa final'!$Q$30),"")</f>
        <v/>
      </c>
      <c r="AC50" s="37" t="str">
        <f>IF(AND('Mapa final'!$AA$31="Muy Baja",'Mapa final'!$AC$31="Mayor"),CONCATENATE("R5C",'Mapa final'!$Q$31),"")</f>
        <v/>
      </c>
      <c r="AD50" s="37" t="str">
        <f>IF(AND('Mapa final'!$AA$32="Muy Baja",'Mapa final'!$AC$32="Mayor"),CONCATENATE("R5C",'Mapa final'!$Q$32),"")</f>
        <v/>
      </c>
      <c r="AE50" s="37" t="str">
        <f>IF(AND('Mapa final'!$AA$33="Muy Baja",'Mapa final'!$AC$33="Mayor"),CONCATENATE("R5C",'Mapa final'!$Q$33),"")</f>
        <v/>
      </c>
      <c r="AF50" s="37" t="str">
        <f>IF(AND('Mapa final'!$AA$34="Muy Baja",'Mapa final'!$AC$34="Mayor"),CONCATENATE("R5C",'Mapa final'!$Q$34),"")</f>
        <v/>
      </c>
      <c r="AG50" s="38" t="str">
        <f>IF(AND('Mapa final'!$AA$35="Muy Baja",'Mapa final'!$AC$35="Mayor"),CONCATENATE("R5C",'Mapa final'!$Q$35),"")</f>
        <v/>
      </c>
      <c r="AH50" s="39" t="str">
        <f>IF(AND('Mapa final'!$AA$30="Muy Baja",'Mapa final'!$AC$30="Catastrófico"),CONCATENATE("R5C",'Mapa final'!$Q$30),"")</f>
        <v/>
      </c>
      <c r="AI50" s="40" t="str">
        <f>IF(AND('Mapa final'!$AA$31="Muy Baja",'Mapa final'!$AC$31="Catastrófico"),CONCATENATE("R5C",'Mapa final'!$Q$31),"")</f>
        <v/>
      </c>
      <c r="AJ50" s="40" t="str">
        <f>IF(AND('Mapa final'!$AA$32="Muy Baja",'Mapa final'!$AC$32="Catastrófico"),CONCATENATE("R5C",'Mapa final'!$Q$32),"")</f>
        <v/>
      </c>
      <c r="AK50" s="40" t="str">
        <f>IF(AND('Mapa final'!$AA$33="Muy Baja",'Mapa final'!$AC$33="Catastrófico"),CONCATENATE("R5C",'Mapa final'!$Q$33),"")</f>
        <v/>
      </c>
      <c r="AL50" s="40" t="str">
        <f>IF(AND('Mapa final'!$AA$34="Muy Baja",'Mapa final'!$AC$34="Catastrófico"),CONCATENATE("R5C",'Mapa final'!$Q$34),"")</f>
        <v/>
      </c>
      <c r="AM50" s="41" t="str">
        <f>IF(AND('Mapa final'!$AA$35="Muy Baja",'Mapa final'!$AC$35="Catastrófico"),CONCATENATE("R5C",'Mapa final'!$Q$35),"")</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25">
      <c r="A51" s="67"/>
      <c r="B51" s="347"/>
      <c r="C51" s="347"/>
      <c r="D51" s="348"/>
      <c r="E51" s="388"/>
      <c r="F51" s="389"/>
      <c r="G51" s="389"/>
      <c r="H51" s="389"/>
      <c r="I51" s="390"/>
      <c r="J51" s="60" t="str">
        <f>IF(AND('Mapa final'!$AA$36="Muy Baja",'Mapa final'!$AC$36="Leve"),CONCATENATE("R6C",'Mapa final'!$Q$36),"")</f>
        <v/>
      </c>
      <c r="K51" s="61" t="str">
        <f>IF(AND('Mapa final'!$AA$37="Muy Baja",'Mapa final'!$AC$37="Leve"),CONCATENATE("R6C",'Mapa final'!$Q$37),"")</f>
        <v/>
      </c>
      <c r="L51" s="61" t="str">
        <f>IF(AND('Mapa final'!$AA$38="Muy Baja",'Mapa final'!$AC$38="Leve"),CONCATENATE("R6C",'Mapa final'!$Q$38),"")</f>
        <v/>
      </c>
      <c r="M51" s="61" t="str">
        <f>IF(AND('Mapa final'!$AA$39="Muy Baja",'Mapa final'!$AC$39="Leve"),CONCATENATE("R6C",'Mapa final'!$Q$39),"")</f>
        <v/>
      </c>
      <c r="N51" s="61" t="str">
        <f>IF(AND('Mapa final'!$AA$40="Muy Baja",'Mapa final'!$AC$40="Leve"),CONCATENATE("R6C",'Mapa final'!$Q$40),"")</f>
        <v/>
      </c>
      <c r="O51" s="62" t="str">
        <f>IF(AND('Mapa final'!$AA$41="Muy Baja",'Mapa final'!$AC$41="Leve"),CONCATENATE("R6C",'Mapa final'!$Q$41),"")</f>
        <v/>
      </c>
      <c r="P51" s="60" t="str">
        <f>IF(AND('Mapa final'!$AA$36="Muy Baja",'Mapa final'!$AC$36="Menor"),CONCATENATE("R6C",'Mapa final'!$Q$36),"")</f>
        <v/>
      </c>
      <c r="Q51" s="61" t="str">
        <f>IF(AND('Mapa final'!$AA$37="Muy Baja",'Mapa final'!$AC$37="Menor"),CONCATENATE("R6C",'Mapa final'!$Q$37),"")</f>
        <v/>
      </c>
      <c r="R51" s="61" t="str">
        <f>IF(AND('Mapa final'!$AA$38="Muy Baja",'Mapa final'!$AC$38="Menor"),CONCATENATE("R6C",'Mapa final'!$Q$38),"")</f>
        <v/>
      </c>
      <c r="S51" s="61" t="str">
        <f>IF(AND('Mapa final'!$AA$39="Muy Baja",'Mapa final'!$AC$39="Menor"),CONCATENATE("R6C",'Mapa final'!$Q$39),"")</f>
        <v/>
      </c>
      <c r="T51" s="61" t="str">
        <f>IF(AND('Mapa final'!$AA$40="Muy Baja",'Mapa final'!$AC$40="Menor"),CONCATENATE("R6C",'Mapa final'!$Q$40),"")</f>
        <v/>
      </c>
      <c r="U51" s="62" t="str">
        <f>IF(AND('Mapa final'!$AA$41="Muy Baja",'Mapa final'!$AC$41="Menor"),CONCATENATE("R6C",'Mapa final'!$Q$41),"")</f>
        <v/>
      </c>
      <c r="V51" s="51" t="str">
        <f>IF(AND('Mapa final'!$AA$36="Muy Baja",'Mapa final'!$AC$36="Moderado"),CONCATENATE("R6C",'Mapa final'!$Q$36),"")</f>
        <v/>
      </c>
      <c r="W51" s="52" t="str">
        <f>IF(AND('Mapa final'!$AA$37="Muy Baja",'Mapa final'!$AC$37="Moderado"),CONCATENATE("R6C",'Mapa final'!$Q$37),"")</f>
        <v/>
      </c>
      <c r="X51" s="52" t="str">
        <f>IF(AND('Mapa final'!$AA$38="Muy Baja",'Mapa final'!$AC$38="Moderado"),CONCATENATE("R6C",'Mapa final'!$Q$38),"")</f>
        <v/>
      </c>
      <c r="Y51" s="52" t="str">
        <f>IF(AND('Mapa final'!$AA$39="Muy Baja",'Mapa final'!$AC$39="Moderado"),CONCATENATE("R6C",'Mapa final'!$Q$39),"")</f>
        <v/>
      </c>
      <c r="Z51" s="52" t="str">
        <f>IF(AND('Mapa final'!$AA$40="Muy Baja",'Mapa final'!$AC$40="Moderado"),CONCATENATE("R6C",'Mapa final'!$Q$40),"")</f>
        <v/>
      </c>
      <c r="AA51" s="53" t="str">
        <f>IF(AND('Mapa final'!$AA$41="Muy Baja",'Mapa final'!$AC$41="Moderado"),CONCATENATE("R6C",'Mapa final'!$Q$41),"")</f>
        <v/>
      </c>
      <c r="AB51" s="36" t="str">
        <f>IF(AND('Mapa final'!$AA$36="Muy Baja",'Mapa final'!$AC$36="Mayor"),CONCATENATE("R6C",'Mapa final'!$Q$36),"")</f>
        <v/>
      </c>
      <c r="AC51" s="37" t="str">
        <f>IF(AND('Mapa final'!$AA$37="Muy Baja",'Mapa final'!$AC$37="Mayor"),CONCATENATE("R6C",'Mapa final'!$Q$37),"")</f>
        <v/>
      </c>
      <c r="AD51" s="37" t="str">
        <f>IF(AND('Mapa final'!$AA$38="Muy Baja",'Mapa final'!$AC$38="Mayor"),CONCATENATE("R6C",'Mapa final'!$Q$38),"")</f>
        <v/>
      </c>
      <c r="AE51" s="37" t="str">
        <f>IF(AND('Mapa final'!$AA$39="Muy Baja",'Mapa final'!$AC$39="Mayor"),CONCATENATE("R6C",'Mapa final'!$Q$39),"")</f>
        <v/>
      </c>
      <c r="AF51" s="37" t="str">
        <f>IF(AND('Mapa final'!$AA$40="Muy Baja",'Mapa final'!$AC$40="Mayor"),CONCATENATE("R6C",'Mapa final'!$Q$40),"")</f>
        <v/>
      </c>
      <c r="AG51" s="38" t="str">
        <f>IF(AND('Mapa final'!$AA$41="Muy Baja",'Mapa final'!$AC$41="Mayor"),CONCATENATE("R6C",'Mapa final'!$Q$41),"")</f>
        <v/>
      </c>
      <c r="AH51" s="39" t="str">
        <f>IF(AND('Mapa final'!$AA$36="Muy Baja",'Mapa final'!$AC$36="Catastrófico"),CONCATENATE("R6C",'Mapa final'!$Q$36),"")</f>
        <v/>
      </c>
      <c r="AI51" s="40" t="str">
        <f>IF(AND('Mapa final'!$AA$37="Muy Baja",'Mapa final'!$AC$37="Catastrófico"),CONCATENATE("R6C",'Mapa final'!$Q$37),"")</f>
        <v/>
      </c>
      <c r="AJ51" s="40" t="str">
        <f>IF(AND('Mapa final'!$AA$38="Muy Baja",'Mapa final'!$AC$38="Catastrófico"),CONCATENATE("R6C",'Mapa final'!$Q$38),"")</f>
        <v/>
      </c>
      <c r="AK51" s="40" t="str">
        <f>IF(AND('Mapa final'!$AA$39="Muy Baja",'Mapa final'!$AC$39="Catastrófico"),CONCATENATE("R6C",'Mapa final'!$Q$39),"")</f>
        <v/>
      </c>
      <c r="AL51" s="40" t="str">
        <f>IF(AND('Mapa final'!$AA$40="Muy Baja",'Mapa final'!$AC$40="Catastrófico"),CONCATENATE("R6C",'Mapa final'!$Q$40),"")</f>
        <v/>
      </c>
      <c r="AM51" s="41" t="str">
        <f>IF(AND('Mapa final'!$AA$41="Muy Baja",'Mapa final'!$AC$41="Catastrófico"),CONCATENATE("R6C",'Mapa final'!$Q$41),"")</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25">
      <c r="A52" s="67"/>
      <c r="B52" s="347"/>
      <c r="C52" s="347"/>
      <c r="D52" s="348"/>
      <c r="E52" s="388"/>
      <c r="F52" s="389"/>
      <c r="G52" s="389"/>
      <c r="H52" s="389"/>
      <c r="I52" s="390"/>
      <c r="J52" s="60" t="str">
        <f>IF(AND('Mapa final'!$AA$42="Muy Baja",'Mapa final'!$AC$42="Leve"),CONCATENATE("R7C",'Mapa final'!$Q$42),"")</f>
        <v/>
      </c>
      <c r="K52" s="61" t="str">
        <f>IF(AND('Mapa final'!$AA$43="Muy Baja",'Mapa final'!$AC$43="Leve"),CONCATENATE("R7C",'Mapa final'!$Q$43),"")</f>
        <v/>
      </c>
      <c r="L52" s="61" t="str">
        <f>IF(AND('Mapa final'!$AA$44="Muy Baja",'Mapa final'!$AC$44="Leve"),CONCATENATE("R7C",'Mapa final'!$Q$44),"")</f>
        <v/>
      </c>
      <c r="M52" s="61" t="str">
        <f>IF(AND('Mapa final'!$AA$45="Muy Baja",'Mapa final'!$AC$45="Leve"),CONCATENATE("R7C",'Mapa final'!$Q$45),"")</f>
        <v/>
      </c>
      <c r="N52" s="61" t="str">
        <f>IF(AND('Mapa final'!$AA$46="Muy Baja",'Mapa final'!$AC$46="Leve"),CONCATENATE("R7C",'Mapa final'!$Q$46),"")</f>
        <v/>
      </c>
      <c r="O52" s="62" t="str">
        <f>IF(AND('Mapa final'!$AA$47="Muy Baja",'Mapa final'!$AC$47="Leve"),CONCATENATE("R7C",'Mapa final'!$Q$47),"")</f>
        <v/>
      </c>
      <c r="P52" s="60" t="str">
        <f>IF(AND('Mapa final'!$AA$42="Muy Baja",'Mapa final'!$AC$42="Menor"),CONCATENATE("R7C",'Mapa final'!$Q$42),"")</f>
        <v/>
      </c>
      <c r="Q52" s="61" t="str">
        <f>IF(AND('Mapa final'!$AA$43="Muy Baja",'Mapa final'!$AC$43="Menor"),CONCATENATE("R7C",'Mapa final'!$Q$43),"")</f>
        <v/>
      </c>
      <c r="R52" s="61" t="str">
        <f>IF(AND('Mapa final'!$AA$44="Muy Baja",'Mapa final'!$AC$44="Menor"),CONCATENATE("R7C",'Mapa final'!$Q$44),"")</f>
        <v/>
      </c>
      <c r="S52" s="61" t="str">
        <f>IF(AND('Mapa final'!$AA$45="Muy Baja",'Mapa final'!$AC$45="Menor"),CONCATENATE("R7C",'Mapa final'!$Q$45),"")</f>
        <v/>
      </c>
      <c r="T52" s="61" t="str">
        <f>IF(AND('Mapa final'!$AA$46="Muy Baja",'Mapa final'!$AC$46="Menor"),CONCATENATE("R7C",'Mapa final'!$Q$46),"")</f>
        <v/>
      </c>
      <c r="U52" s="62" t="str">
        <f>IF(AND('Mapa final'!$AA$47="Muy Baja",'Mapa final'!$AC$47="Menor"),CONCATENATE("R7C",'Mapa final'!$Q$47),"")</f>
        <v/>
      </c>
      <c r="V52" s="51" t="str">
        <f>IF(AND('Mapa final'!$AA$42="Muy Baja",'Mapa final'!$AC$42="Moderado"),CONCATENATE("R7C",'Mapa final'!$Q$42),"")</f>
        <v/>
      </c>
      <c r="W52" s="52" t="str">
        <f>IF(AND('Mapa final'!$AA$43="Muy Baja",'Mapa final'!$AC$43="Moderado"),CONCATENATE("R7C",'Mapa final'!$Q$43),"")</f>
        <v/>
      </c>
      <c r="X52" s="52" t="str">
        <f>IF(AND('Mapa final'!$AA$44="Muy Baja",'Mapa final'!$AC$44="Moderado"),CONCATENATE("R7C",'Mapa final'!$Q$44),"")</f>
        <v/>
      </c>
      <c r="Y52" s="52" t="str">
        <f>IF(AND('Mapa final'!$AA$45="Muy Baja",'Mapa final'!$AC$45="Moderado"),CONCATENATE("R7C",'Mapa final'!$Q$45),"")</f>
        <v/>
      </c>
      <c r="Z52" s="52" t="str">
        <f>IF(AND('Mapa final'!$AA$46="Muy Baja",'Mapa final'!$AC$46="Moderado"),CONCATENATE("R7C",'Mapa final'!$Q$46),"")</f>
        <v/>
      </c>
      <c r="AA52" s="53" t="str">
        <f>IF(AND('Mapa final'!$AA$47="Muy Baja",'Mapa final'!$AC$47="Moderado"),CONCATENATE("R7C",'Mapa final'!$Q$47),"")</f>
        <v/>
      </c>
      <c r="AB52" s="36" t="str">
        <f>IF(AND('Mapa final'!$AA$42="Muy Baja",'Mapa final'!$AC$42="Mayor"),CONCATENATE("R7C",'Mapa final'!$Q$42),"")</f>
        <v/>
      </c>
      <c r="AC52" s="37" t="str">
        <f>IF(AND('Mapa final'!$AA$43="Muy Baja",'Mapa final'!$AC$43="Mayor"),CONCATENATE("R7C",'Mapa final'!$Q$43),"")</f>
        <v/>
      </c>
      <c r="AD52" s="37" t="str">
        <f>IF(AND('Mapa final'!$AA$44="Muy Baja",'Mapa final'!$AC$44="Mayor"),CONCATENATE("R7C",'Mapa final'!$Q$44),"")</f>
        <v/>
      </c>
      <c r="AE52" s="37" t="str">
        <f>IF(AND('Mapa final'!$AA$45="Muy Baja",'Mapa final'!$AC$45="Mayor"),CONCATENATE("R7C",'Mapa final'!$Q$45),"")</f>
        <v/>
      </c>
      <c r="AF52" s="37" t="str">
        <f>IF(AND('Mapa final'!$AA$46="Muy Baja",'Mapa final'!$AC$46="Mayor"),CONCATENATE("R7C",'Mapa final'!$Q$46),"")</f>
        <v/>
      </c>
      <c r="AG52" s="38" t="str">
        <f>IF(AND('Mapa final'!$AA$47="Muy Baja",'Mapa final'!$AC$47="Mayor"),CONCATENATE("R7C",'Mapa final'!$Q$47),"")</f>
        <v/>
      </c>
      <c r="AH52" s="39" t="str">
        <f>IF(AND('Mapa final'!$AA$42="Muy Baja",'Mapa final'!$AC$42="Catastrófico"),CONCATENATE("R7C",'Mapa final'!$Q$42),"")</f>
        <v/>
      </c>
      <c r="AI52" s="40" t="str">
        <f>IF(AND('Mapa final'!$AA$43="Muy Baja",'Mapa final'!$AC$43="Catastrófico"),CONCATENATE("R7C",'Mapa final'!$Q$43),"")</f>
        <v/>
      </c>
      <c r="AJ52" s="40" t="str">
        <f>IF(AND('Mapa final'!$AA$44="Muy Baja",'Mapa final'!$AC$44="Catastrófico"),CONCATENATE("R7C",'Mapa final'!$Q$44),"")</f>
        <v/>
      </c>
      <c r="AK52" s="40" t="str">
        <f>IF(AND('Mapa final'!$AA$45="Muy Baja",'Mapa final'!$AC$45="Catastrófico"),CONCATENATE("R7C",'Mapa final'!$Q$45),"")</f>
        <v/>
      </c>
      <c r="AL52" s="40" t="str">
        <f>IF(AND('Mapa final'!$AA$46="Muy Baja",'Mapa final'!$AC$46="Catastrófico"),CONCATENATE("R7C",'Mapa final'!$Q$46),"")</f>
        <v/>
      </c>
      <c r="AM52" s="41" t="str">
        <f>IF(AND('Mapa final'!$AA$47="Muy Baja",'Mapa final'!$AC$47="Catastrófico"),CONCATENATE("R7C",'Mapa final'!$Q$47),"")</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25">
      <c r="A53" s="67"/>
      <c r="B53" s="347"/>
      <c r="C53" s="347"/>
      <c r="D53" s="348"/>
      <c r="E53" s="388"/>
      <c r="F53" s="389"/>
      <c r="G53" s="389"/>
      <c r="H53" s="389"/>
      <c r="I53" s="390"/>
      <c r="J53" s="60" t="str">
        <f>IF(AND('Mapa final'!$AA$48="Muy Baja",'Mapa final'!$AC$48="Leve"),CONCATENATE("R8C",'Mapa final'!$Q$48),"")</f>
        <v/>
      </c>
      <c r="K53" s="61" t="str">
        <f>IF(AND('Mapa final'!$AA$49="Muy Baja",'Mapa final'!$AC$49="Leve"),CONCATENATE("R8C",'Mapa final'!$Q$49),"")</f>
        <v/>
      </c>
      <c r="L53" s="61" t="str">
        <f>IF(AND('Mapa final'!$AA$50="Muy Baja",'Mapa final'!$AC$50="Leve"),CONCATENATE("R8C",'Mapa final'!$Q$50),"")</f>
        <v/>
      </c>
      <c r="M53" s="61" t="str">
        <f>IF(AND('Mapa final'!$AA$51="Muy Baja",'Mapa final'!$AC$51="Leve"),CONCATENATE("R8C",'Mapa final'!$Q$51),"")</f>
        <v/>
      </c>
      <c r="N53" s="61" t="str">
        <f>IF(AND('Mapa final'!$AA$52="Muy Baja",'Mapa final'!$AC$52="Leve"),CONCATENATE("R8C",'Mapa final'!$Q$52),"")</f>
        <v/>
      </c>
      <c r="O53" s="62" t="str">
        <f>IF(AND('Mapa final'!$AA$53="Muy Baja",'Mapa final'!$AC$53="Leve"),CONCATENATE("R8C",'Mapa final'!$Q$53),"")</f>
        <v/>
      </c>
      <c r="P53" s="60" t="str">
        <f>IF(AND('Mapa final'!$AA$48="Muy Baja",'Mapa final'!$AC$48="Menor"),CONCATENATE("R8C",'Mapa final'!$Q$48),"")</f>
        <v/>
      </c>
      <c r="Q53" s="61" t="str">
        <f>IF(AND('Mapa final'!$AA$49="Muy Baja",'Mapa final'!$AC$49="Menor"),CONCATENATE("R8C",'Mapa final'!$Q$49),"")</f>
        <v/>
      </c>
      <c r="R53" s="61" t="str">
        <f>IF(AND('Mapa final'!$AA$50="Muy Baja",'Mapa final'!$AC$50="Menor"),CONCATENATE("R8C",'Mapa final'!$Q$50),"")</f>
        <v/>
      </c>
      <c r="S53" s="61" t="str">
        <f>IF(AND('Mapa final'!$AA$51="Muy Baja",'Mapa final'!$AC$51="Menor"),CONCATENATE("R8C",'Mapa final'!$Q$51),"")</f>
        <v/>
      </c>
      <c r="T53" s="61" t="str">
        <f>IF(AND('Mapa final'!$AA$52="Muy Baja",'Mapa final'!$AC$52="Menor"),CONCATENATE("R8C",'Mapa final'!$Q$52),"")</f>
        <v/>
      </c>
      <c r="U53" s="62" t="str">
        <f>IF(AND('Mapa final'!$AA$53="Muy Baja",'Mapa final'!$AC$53="Menor"),CONCATENATE("R8C",'Mapa final'!$Q$53),"")</f>
        <v/>
      </c>
      <c r="V53" s="51" t="str">
        <f>IF(AND('Mapa final'!$AA$48="Muy Baja",'Mapa final'!$AC$48="Moderado"),CONCATENATE("R8C",'Mapa final'!$Q$48),"")</f>
        <v/>
      </c>
      <c r="W53" s="52" t="str">
        <f>IF(AND('Mapa final'!$AA$49="Muy Baja",'Mapa final'!$AC$49="Moderado"),CONCATENATE("R8C",'Mapa final'!$Q$49),"")</f>
        <v/>
      </c>
      <c r="X53" s="52" t="str">
        <f>IF(AND('Mapa final'!$AA$50="Muy Baja",'Mapa final'!$AC$50="Moderado"),CONCATENATE("R8C",'Mapa final'!$Q$50),"")</f>
        <v/>
      </c>
      <c r="Y53" s="52" t="str">
        <f>IF(AND('Mapa final'!$AA$51="Muy Baja",'Mapa final'!$AC$51="Moderado"),CONCATENATE("R8C",'Mapa final'!$Q$51),"")</f>
        <v/>
      </c>
      <c r="Z53" s="52" t="str">
        <f>IF(AND('Mapa final'!$AA$52="Muy Baja",'Mapa final'!$AC$52="Moderado"),CONCATENATE("R8C",'Mapa final'!$Q$52),"")</f>
        <v/>
      </c>
      <c r="AA53" s="53" t="str">
        <f>IF(AND('Mapa final'!$AA$53="Muy Baja",'Mapa final'!$AC$53="Moderado"),CONCATENATE("R8C",'Mapa final'!$Q$53),"")</f>
        <v/>
      </c>
      <c r="AB53" s="36" t="str">
        <f>IF(AND('Mapa final'!$AA$48="Muy Baja",'Mapa final'!$AC$48="Mayor"),CONCATENATE("R8C",'Mapa final'!$Q$48),"")</f>
        <v/>
      </c>
      <c r="AC53" s="37" t="str">
        <f>IF(AND('Mapa final'!$AA$49="Muy Baja",'Mapa final'!$AC$49="Mayor"),CONCATENATE("R8C",'Mapa final'!$Q$49),"")</f>
        <v/>
      </c>
      <c r="AD53" s="37" t="str">
        <f>IF(AND('Mapa final'!$AA$50="Muy Baja",'Mapa final'!$AC$50="Mayor"),CONCATENATE("R8C",'Mapa final'!$Q$50),"")</f>
        <v/>
      </c>
      <c r="AE53" s="37" t="str">
        <f>IF(AND('Mapa final'!$AA$51="Muy Baja",'Mapa final'!$AC$51="Mayor"),CONCATENATE("R8C",'Mapa final'!$Q$51),"")</f>
        <v/>
      </c>
      <c r="AF53" s="37" t="str">
        <f>IF(AND('Mapa final'!$AA$52="Muy Baja",'Mapa final'!$AC$52="Mayor"),CONCATENATE("R8C",'Mapa final'!$Q$52),"")</f>
        <v/>
      </c>
      <c r="AG53" s="38" t="str">
        <f>IF(AND('Mapa final'!$AA$53="Muy Baja",'Mapa final'!$AC$53="Mayor"),CONCATENATE("R8C",'Mapa final'!$Q$53),"")</f>
        <v/>
      </c>
      <c r="AH53" s="39" t="str">
        <f>IF(AND('Mapa final'!$AA$48="Muy Baja",'Mapa final'!$AC$48="Catastrófico"),CONCATENATE("R8C",'Mapa final'!$Q$48),"")</f>
        <v/>
      </c>
      <c r="AI53" s="40" t="str">
        <f>IF(AND('Mapa final'!$AA$49="Muy Baja",'Mapa final'!$AC$49="Catastrófico"),CONCATENATE("R8C",'Mapa final'!$Q$49),"")</f>
        <v/>
      </c>
      <c r="AJ53" s="40" t="str">
        <f>IF(AND('Mapa final'!$AA$50="Muy Baja",'Mapa final'!$AC$50="Catastrófico"),CONCATENATE("R8C",'Mapa final'!$Q$50),"")</f>
        <v/>
      </c>
      <c r="AK53" s="40" t="str">
        <f>IF(AND('Mapa final'!$AA$51="Muy Baja",'Mapa final'!$AC$51="Catastrófico"),CONCATENATE("R8C",'Mapa final'!$Q$51),"")</f>
        <v/>
      </c>
      <c r="AL53" s="40" t="str">
        <f>IF(AND('Mapa final'!$AA$52="Muy Baja",'Mapa final'!$AC$52="Catastrófico"),CONCATENATE("R8C",'Mapa final'!$Q$52),"")</f>
        <v/>
      </c>
      <c r="AM53" s="41" t="str">
        <f>IF(AND('Mapa final'!$AA$53="Muy Baja",'Mapa final'!$AC$53="Catastrófico"),CONCATENATE("R8C",'Mapa final'!$Q$53),"")</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25">
      <c r="A54" s="67"/>
      <c r="B54" s="347"/>
      <c r="C54" s="347"/>
      <c r="D54" s="348"/>
      <c r="E54" s="388"/>
      <c r="F54" s="389"/>
      <c r="G54" s="389"/>
      <c r="H54" s="389"/>
      <c r="I54" s="390"/>
      <c r="J54" s="60" t="str">
        <f>IF(AND('Mapa final'!$AA$54="Muy Baja",'Mapa final'!$AC$54="Leve"),CONCATENATE("R9C",'Mapa final'!$Q$54),"")</f>
        <v/>
      </c>
      <c r="K54" s="61" t="str">
        <f>IF(AND('Mapa final'!$AA$55="Muy Baja",'Mapa final'!$AC$55="Leve"),CONCATENATE("R9C",'Mapa final'!$Q$55),"")</f>
        <v/>
      </c>
      <c r="L54" s="61" t="str">
        <f>IF(AND('Mapa final'!$AA$56="Muy Baja",'Mapa final'!$AC$56="Leve"),CONCATENATE("R9C",'Mapa final'!$Q$56),"")</f>
        <v/>
      </c>
      <c r="M54" s="61" t="str">
        <f>IF(AND('Mapa final'!$AA$57="Muy Baja",'Mapa final'!$AC$57="Leve"),CONCATENATE("R9C",'Mapa final'!$Q$57),"")</f>
        <v/>
      </c>
      <c r="N54" s="61" t="str">
        <f>IF(AND('Mapa final'!$AA$58="Muy Baja",'Mapa final'!$AC$58="Leve"),CONCATENATE("R9C",'Mapa final'!$Q$58),"")</f>
        <v/>
      </c>
      <c r="O54" s="62" t="str">
        <f>IF(AND('Mapa final'!$AA$59="Muy Baja",'Mapa final'!$AC$59="Leve"),CONCATENATE("R9C",'Mapa final'!$Q$59),"")</f>
        <v/>
      </c>
      <c r="P54" s="60" t="str">
        <f>IF(AND('Mapa final'!$AA$54="Muy Baja",'Mapa final'!$AC$54="Menor"),CONCATENATE("R9C",'Mapa final'!$Q$54),"")</f>
        <v/>
      </c>
      <c r="Q54" s="61" t="str">
        <f>IF(AND('Mapa final'!$AA$55="Muy Baja",'Mapa final'!$AC$55="Menor"),CONCATENATE("R9C",'Mapa final'!$Q$55),"")</f>
        <v/>
      </c>
      <c r="R54" s="61" t="str">
        <f>IF(AND('Mapa final'!$AA$56="Muy Baja",'Mapa final'!$AC$56="Menor"),CONCATENATE("R9C",'Mapa final'!$Q$56),"")</f>
        <v/>
      </c>
      <c r="S54" s="61" t="str">
        <f>IF(AND('Mapa final'!$AA$57="Muy Baja",'Mapa final'!$AC$57="Menor"),CONCATENATE("R9C",'Mapa final'!$Q$57),"")</f>
        <v/>
      </c>
      <c r="T54" s="61" t="str">
        <f>IF(AND('Mapa final'!$AA$58="Muy Baja",'Mapa final'!$AC$58="Menor"),CONCATENATE("R9C",'Mapa final'!$Q$58),"")</f>
        <v/>
      </c>
      <c r="U54" s="62" t="str">
        <f>IF(AND('Mapa final'!$AA$59="Muy Baja",'Mapa final'!$AC$59="Menor"),CONCATENATE("R9C",'Mapa final'!$Q$59),"")</f>
        <v/>
      </c>
      <c r="V54" s="51" t="str">
        <f>IF(AND('Mapa final'!$AA$54="Muy Baja",'Mapa final'!$AC$54="Moderado"),CONCATENATE("R9C",'Mapa final'!$Q$54),"")</f>
        <v/>
      </c>
      <c r="W54" s="52" t="str">
        <f>IF(AND('Mapa final'!$AA$55="Muy Baja",'Mapa final'!$AC$55="Moderado"),CONCATENATE("R9C",'Mapa final'!$Q$55),"")</f>
        <v/>
      </c>
      <c r="X54" s="52" t="str">
        <f>IF(AND('Mapa final'!$AA$56="Muy Baja",'Mapa final'!$AC$56="Moderado"),CONCATENATE("R9C",'Mapa final'!$Q$56),"")</f>
        <v/>
      </c>
      <c r="Y54" s="52" t="str">
        <f>IF(AND('Mapa final'!$AA$57="Muy Baja",'Mapa final'!$AC$57="Moderado"),CONCATENATE("R9C",'Mapa final'!$Q$57),"")</f>
        <v/>
      </c>
      <c r="Z54" s="52" t="str">
        <f>IF(AND('Mapa final'!$AA$58="Muy Baja",'Mapa final'!$AC$58="Moderado"),CONCATENATE("R9C",'Mapa final'!$Q$58),"")</f>
        <v/>
      </c>
      <c r="AA54" s="53" t="str">
        <f>IF(AND('Mapa final'!$AA$59="Muy Baja",'Mapa final'!$AC$59="Moderado"),CONCATENATE("R9C",'Mapa final'!$Q$59),"")</f>
        <v/>
      </c>
      <c r="AB54" s="36" t="str">
        <f>IF(AND('Mapa final'!$AA$54="Muy Baja",'Mapa final'!$AC$54="Mayor"),CONCATENATE("R9C",'Mapa final'!$Q$54),"")</f>
        <v/>
      </c>
      <c r="AC54" s="37" t="str">
        <f>IF(AND('Mapa final'!$AA$55="Muy Baja",'Mapa final'!$AC$55="Mayor"),CONCATENATE("R9C",'Mapa final'!$Q$55),"")</f>
        <v/>
      </c>
      <c r="AD54" s="37" t="str">
        <f>IF(AND('Mapa final'!$AA$56="Muy Baja",'Mapa final'!$AC$56="Mayor"),CONCATENATE("R9C",'Mapa final'!$Q$56),"")</f>
        <v/>
      </c>
      <c r="AE54" s="37" t="str">
        <f>IF(AND('Mapa final'!$AA$57="Muy Baja",'Mapa final'!$AC$57="Mayor"),CONCATENATE("R9C",'Mapa final'!$Q$57),"")</f>
        <v/>
      </c>
      <c r="AF54" s="37" t="str">
        <f>IF(AND('Mapa final'!$AA$58="Muy Baja",'Mapa final'!$AC$58="Mayor"),CONCATENATE("R9C",'Mapa final'!$Q$58),"")</f>
        <v/>
      </c>
      <c r="AG54" s="38" t="str">
        <f>IF(AND('Mapa final'!$AA$59="Muy Baja",'Mapa final'!$AC$59="Mayor"),CONCATENATE("R9C",'Mapa final'!$Q$59),"")</f>
        <v/>
      </c>
      <c r="AH54" s="39" t="str">
        <f>IF(AND('Mapa final'!$AA$54="Muy Baja",'Mapa final'!$AC$54="Catastrófico"),CONCATENATE("R9C",'Mapa final'!$Q$54),"")</f>
        <v/>
      </c>
      <c r="AI54" s="40" t="str">
        <f>IF(AND('Mapa final'!$AA$55="Muy Baja",'Mapa final'!$AC$55="Catastrófico"),CONCATENATE("R9C",'Mapa final'!$Q$55),"")</f>
        <v/>
      </c>
      <c r="AJ54" s="40" t="str">
        <f>IF(AND('Mapa final'!$AA$56="Muy Baja",'Mapa final'!$AC$56="Catastrófico"),CONCATENATE("R9C",'Mapa final'!$Q$56),"")</f>
        <v/>
      </c>
      <c r="AK54" s="40" t="str">
        <f>IF(AND('Mapa final'!$AA$57="Muy Baja",'Mapa final'!$AC$57="Catastrófico"),CONCATENATE("R9C",'Mapa final'!$Q$57),"")</f>
        <v/>
      </c>
      <c r="AL54" s="40" t="str">
        <f>IF(AND('Mapa final'!$AA$58="Muy Baja",'Mapa final'!$AC$58="Catastrófico"),CONCATENATE("R9C",'Mapa final'!$Q$58),"")</f>
        <v/>
      </c>
      <c r="AM54" s="41" t="str">
        <f>IF(AND('Mapa final'!$AA$59="Muy Baja",'Mapa final'!$AC$59="Catastrófico"),CONCATENATE("R9C",'Mapa final'!$Q$59),"")</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
      <c r="A55" s="67"/>
      <c r="B55" s="347"/>
      <c r="C55" s="347"/>
      <c r="D55" s="348"/>
      <c r="E55" s="391"/>
      <c r="F55" s="392"/>
      <c r="G55" s="392"/>
      <c r="H55" s="392"/>
      <c r="I55" s="393"/>
      <c r="J55" s="63" t="str">
        <f>IF(AND('Mapa final'!$AA$60="Muy Baja",'Mapa final'!$AC$60="Leve"),CONCATENATE("R10C",'Mapa final'!$Q$60),"")</f>
        <v/>
      </c>
      <c r="K55" s="64" t="str">
        <f>IF(AND('Mapa final'!$AA$61="Muy Baja",'Mapa final'!$AC$61="Leve"),CONCATENATE("R10C",'Mapa final'!$Q$61),"")</f>
        <v/>
      </c>
      <c r="L55" s="64" t="str">
        <f>IF(AND('Mapa final'!$AA$62="Muy Baja",'Mapa final'!$AC$62="Leve"),CONCATENATE("R10C",'Mapa final'!$Q$62),"")</f>
        <v/>
      </c>
      <c r="M55" s="64" t="str">
        <f>IF(AND('Mapa final'!$AA$63="Muy Baja",'Mapa final'!$AC$63="Leve"),CONCATENATE("R10C",'Mapa final'!$Q$63),"")</f>
        <v/>
      </c>
      <c r="N55" s="64" t="str">
        <f>IF(AND('Mapa final'!$AA$64="Muy Baja",'Mapa final'!$AC$64="Leve"),CONCATENATE("R10C",'Mapa final'!$Q$64),"")</f>
        <v/>
      </c>
      <c r="O55" s="65" t="str">
        <f>IF(AND('Mapa final'!$AA$65="Muy Baja",'Mapa final'!$AC$65="Leve"),CONCATENATE("R10C",'Mapa final'!$Q$65),"")</f>
        <v/>
      </c>
      <c r="P55" s="63" t="str">
        <f>IF(AND('Mapa final'!$AA$60="Muy Baja",'Mapa final'!$AC$60="Menor"),CONCATENATE("R10C",'Mapa final'!$Q$60),"")</f>
        <v/>
      </c>
      <c r="Q55" s="64" t="str">
        <f>IF(AND('Mapa final'!$AA$61="Muy Baja",'Mapa final'!$AC$61="Menor"),CONCATENATE("R10C",'Mapa final'!$Q$61),"")</f>
        <v/>
      </c>
      <c r="R55" s="64" t="str">
        <f>IF(AND('Mapa final'!$AA$62="Muy Baja",'Mapa final'!$AC$62="Menor"),CONCATENATE("R10C",'Mapa final'!$Q$62),"")</f>
        <v/>
      </c>
      <c r="S55" s="64" t="str">
        <f>IF(AND('Mapa final'!$AA$63="Muy Baja",'Mapa final'!$AC$63="Menor"),CONCATENATE("R10C",'Mapa final'!$Q$63),"")</f>
        <v/>
      </c>
      <c r="T55" s="64" t="str">
        <f>IF(AND('Mapa final'!$AA$64="Muy Baja",'Mapa final'!$AC$64="Menor"),CONCATENATE("R10C",'Mapa final'!$Q$64),"")</f>
        <v/>
      </c>
      <c r="U55" s="65" t="str">
        <f>IF(AND('Mapa final'!$AA$65="Muy Baja",'Mapa final'!$AC$65="Menor"),CONCATENATE("R10C",'Mapa final'!$Q$65),"")</f>
        <v/>
      </c>
      <c r="V55" s="54" t="str">
        <f>IF(AND('Mapa final'!$AA$60="Muy Baja",'Mapa final'!$AC$60="Moderado"),CONCATENATE("R10C",'Mapa final'!$Q$60),"")</f>
        <v/>
      </c>
      <c r="W55" s="55" t="str">
        <f>IF(AND('Mapa final'!$AA$61="Muy Baja",'Mapa final'!$AC$61="Moderado"),CONCATENATE("R10C",'Mapa final'!$Q$61),"")</f>
        <v/>
      </c>
      <c r="X55" s="55" t="str">
        <f>IF(AND('Mapa final'!$AA$62="Muy Baja",'Mapa final'!$AC$62="Moderado"),CONCATENATE("R10C",'Mapa final'!$Q$62),"")</f>
        <v/>
      </c>
      <c r="Y55" s="55" t="str">
        <f>IF(AND('Mapa final'!$AA$63="Muy Baja",'Mapa final'!$AC$63="Moderado"),CONCATENATE("R10C",'Mapa final'!$Q$63),"")</f>
        <v/>
      </c>
      <c r="Z55" s="55" t="str">
        <f>IF(AND('Mapa final'!$AA$64="Muy Baja",'Mapa final'!$AC$64="Moderado"),CONCATENATE("R10C",'Mapa final'!$Q$64),"")</f>
        <v/>
      </c>
      <c r="AA55" s="56" t="str">
        <f>IF(AND('Mapa final'!$AA$65="Muy Baja",'Mapa final'!$AC$65="Moderado"),CONCATENATE("R10C",'Mapa final'!$Q$65),"")</f>
        <v/>
      </c>
      <c r="AB55" s="42" t="str">
        <f>IF(AND('Mapa final'!$AA$60="Muy Baja",'Mapa final'!$AC$60="Mayor"),CONCATENATE("R10C",'Mapa final'!$Q$60),"")</f>
        <v/>
      </c>
      <c r="AC55" s="43" t="str">
        <f>IF(AND('Mapa final'!$AA$61="Muy Baja",'Mapa final'!$AC$61="Mayor"),CONCATENATE("R10C",'Mapa final'!$Q$61),"")</f>
        <v/>
      </c>
      <c r="AD55" s="43" t="str">
        <f>IF(AND('Mapa final'!$AA$62="Muy Baja",'Mapa final'!$AC$62="Mayor"),CONCATENATE("R10C",'Mapa final'!$Q$62),"")</f>
        <v/>
      </c>
      <c r="AE55" s="43" t="str">
        <f>IF(AND('Mapa final'!$AA$63="Muy Baja",'Mapa final'!$AC$63="Mayor"),CONCATENATE("R10C",'Mapa final'!$Q$63),"")</f>
        <v/>
      </c>
      <c r="AF55" s="43" t="str">
        <f>IF(AND('Mapa final'!$AA$64="Muy Baja",'Mapa final'!$AC$64="Mayor"),CONCATENATE("R10C",'Mapa final'!$Q$64),"")</f>
        <v/>
      </c>
      <c r="AG55" s="44" t="str">
        <f>IF(AND('Mapa final'!$AA$65="Muy Baja",'Mapa final'!$AC$65="Mayor"),CONCATENATE("R10C",'Mapa final'!$Q$65),"")</f>
        <v/>
      </c>
      <c r="AH55" s="45" t="str">
        <f>IF(AND('Mapa final'!$AA$60="Muy Baja",'Mapa final'!$AC$60="Catastrófico"),CONCATENATE("R10C",'Mapa final'!$Q$60),"")</f>
        <v/>
      </c>
      <c r="AI55" s="46" t="str">
        <f>IF(AND('Mapa final'!$AA$61="Muy Baja",'Mapa final'!$AC$61="Catastrófico"),CONCATENATE("R10C",'Mapa final'!$Q$61),"")</f>
        <v/>
      </c>
      <c r="AJ55" s="46" t="str">
        <f>IF(AND('Mapa final'!$AA$62="Muy Baja",'Mapa final'!$AC$62="Catastrófico"),CONCATENATE("R10C",'Mapa final'!$Q$62),"")</f>
        <v/>
      </c>
      <c r="AK55" s="46" t="str">
        <f>IF(AND('Mapa final'!$AA$63="Muy Baja",'Mapa final'!$AC$63="Catastrófico"),CONCATENATE("R10C",'Mapa final'!$Q$63),"")</f>
        <v/>
      </c>
      <c r="AL55" s="46" t="str">
        <f>IF(AND('Mapa final'!$AA$64="Muy Baja",'Mapa final'!$AC$64="Catastrófico"),CONCATENATE("R10C",'Mapa final'!$Q$64),"")</f>
        <v/>
      </c>
      <c r="AM55" s="47" t="str">
        <f>IF(AND('Mapa final'!$AA$65="Muy Baja",'Mapa final'!$AC$65="Catastrófico"),CONCATENATE("R10C",'Mapa final'!$Q$65),"")</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25">
      <c r="A56" s="67"/>
      <c r="B56" s="67"/>
      <c r="C56" s="67"/>
      <c r="D56" s="67"/>
      <c r="E56" s="67"/>
      <c r="F56" s="67"/>
      <c r="G56" s="67"/>
      <c r="H56" s="67"/>
      <c r="I56" s="67"/>
      <c r="J56" s="385" t="s">
        <v>106</v>
      </c>
      <c r="K56" s="386"/>
      <c r="L56" s="386"/>
      <c r="M56" s="386"/>
      <c r="N56" s="386"/>
      <c r="O56" s="387"/>
      <c r="P56" s="385" t="s">
        <v>105</v>
      </c>
      <c r="Q56" s="386"/>
      <c r="R56" s="386"/>
      <c r="S56" s="386"/>
      <c r="T56" s="386"/>
      <c r="U56" s="387"/>
      <c r="V56" s="385" t="s">
        <v>104</v>
      </c>
      <c r="W56" s="386"/>
      <c r="X56" s="386"/>
      <c r="Y56" s="386"/>
      <c r="Z56" s="386"/>
      <c r="AA56" s="387"/>
      <c r="AB56" s="385" t="s">
        <v>103</v>
      </c>
      <c r="AC56" s="394"/>
      <c r="AD56" s="386"/>
      <c r="AE56" s="386"/>
      <c r="AF56" s="386"/>
      <c r="AG56" s="387"/>
      <c r="AH56" s="385" t="s">
        <v>102</v>
      </c>
      <c r="AI56" s="386"/>
      <c r="AJ56" s="386"/>
      <c r="AK56" s="386"/>
      <c r="AL56" s="386"/>
      <c r="AM56" s="38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25">
      <c r="A57" s="67"/>
      <c r="B57" s="67"/>
      <c r="C57" s="67"/>
      <c r="D57" s="67"/>
      <c r="E57" s="67"/>
      <c r="F57" s="67"/>
      <c r="G57" s="67"/>
      <c r="H57" s="67"/>
      <c r="I57" s="67"/>
      <c r="J57" s="388"/>
      <c r="K57" s="389"/>
      <c r="L57" s="389"/>
      <c r="M57" s="389"/>
      <c r="N57" s="389"/>
      <c r="O57" s="390"/>
      <c r="P57" s="388"/>
      <c r="Q57" s="389"/>
      <c r="R57" s="389"/>
      <c r="S57" s="389"/>
      <c r="T57" s="389"/>
      <c r="U57" s="390"/>
      <c r="V57" s="388"/>
      <c r="W57" s="389"/>
      <c r="X57" s="389"/>
      <c r="Y57" s="389"/>
      <c r="Z57" s="389"/>
      <c r="AA57" s="390"/>
      <c r="AB57" s="388"/>
      <c r="AC57" s="389"/>
      <c r="AD57" s="389"/>
      <c r="AE57" s="389"/>
      <c r="AF57" s="389"/>
      <c r="AG57" s="390"/>
      <c r="AH57" s="388"/>
      <c r="AI57" s="389"/>
      <c r="AJ57" s="389"/>
      <c r="AK57" s="389"/>
      <c r="AL57" s="389"/>
      <c r="AM57" s="390"/>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25">
      <c r="A58" s="67"/>
      <c r="B58" s="67"/>
      <c r="C58" s="67"/>
      <c r="D58" s="67"/>
      <c r="E58" s="67"/>
      <c r="F58" s="67"/>
      <c r="G58" s="67"/>
      <c r="H58" s="67"/>
      <c r="I58" s="67"/>
      <c r="J58" s="388"/>
      <c r="K58" s="389"/>
      <c r="L58" s="389"/>
      <c r="M58" s="389"/>
      <c r="N58" s="389"/>
      <c r="O58" s="390"/>
      <c r="P58" s="388"/>
      <c r="Q58" s="389"/>
      <c r="R58" s="389"/>
      <c r="S58" s="389"/>
      <c r="T58" s="389"/>
      <c r="U58" s="390"/>
      <c r="V58" s="388"/>
      <c r="W58" s="389"/>
      <c r="X58" s="389"/>
      <c r="Y58" s="389"/>
      <c r="Z58" s="389"/>
      <c r="AA58" s="390"/>
      <c r="AB58" s="388"/>
      <c r="AC58" s="389"/>
      <c r="AD58" s="389"/>
      <c r="AE58" s="389"/>
      <c r="AF58" s="389"/>
      <c r="AG58" s="390"/>
      <c r="AH58" s="388"/>
      <c r="AI58" s="389"/>
      <c r="AJ58" s="389"/>
      <c r="AK58" s="389"/>
      <c r="AL58" s="389"/>
      <c r="AM58" s="390"/>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25">
      <c r="A59" s="67"/>
      <c r="B59" s="67"/>
      <c r="C59" s="67"/>
      <c r="D59" s="67"/>
      <c r="E59" s="67"/>
      <c r="F59" s="67"/>
      <c r="G59" s="67"/>
      <c r="H59" s="67"/>
      <c r="I59" s="67"/>
      <c r="J59" s="388"/>
      <c r="K59" s="389"/>
      <c r="L59" s="389"/>
      <c r="M59" s="389"/>
      <c r="N59" s="389"/>
      <c r="O59" s="390"/>
      <c r="P59" s="388"/>
      <c r="Q59" s="389"/>
      <c r="R59" s="389"/>
      <c r="S59" s="389"/>
      <c r="T59" s="389"/>
      <c r="U59" s="390"/>
      <c r="V59" s="388"/>
      <c r="W59" s="389"/>
      <c r="X59" s="389"/>
      <c r="Y59" s="389"/>
      <c r="Z59" s="389"/>
      <c r="AA59" s="390"/>
      <c r="AB59" s="388"/>
      <c r="AC59" s="389"/>
      <c r="AD59" s="389"/>
      <c r="AE59" s="389"/>
      <c r="AF59" s="389"/>
      <c r="AG59" s="390"/>
      <c r="AH59" s="388"/>
      <c r="AI59" s="389"/>
      <c r="AJ59" s="389"/>
      <c r="AK59" s="389"/>
      <c r="AL59" s="389"/>
      <c r="AM59" s="390"/>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25">
      <c r="A60" s="67"/>
      <c r="B60" s="67"/>
      <c r="C60" s="67"/>
      <c r="D60" s="67"/>
      <c r="E60" s="67"/>
      <c r="F60" s="67"/>
      <c r="G60" s="67"/>
      <c r="H60" s="67"/>
      <c r="I60" s="67"/>
      <c r="J60" s="388"/>
      <c r="K60" s="389"/>
      <c r="L60" s="389"/>
      <c r="M60" s="389"/>
      <c r="N60" s="389"/>
      <c r="O60" s="390"/>
      <c r="P60" s="388"/>
      <c r="Q60" s="389"/>
      <c r="R60" s="389"/>
      <c r="S60" s="389"/>
      <c r="T60" s="389"/>
      <c r="U60" s="390"/>
      <c r="V60" s="388"/>
      <c r="W60" s="389"/>
      <c r="X60" s="389"/>
      <c r="Y60" s="389"/>
      <c r="Z60" s="389"/>
      <c r="AA60" s="390"/>
      <c r="AB60" s="388"/>
      <c r="AC60" s="389"/>
      <c r="AD60" s="389"/>
      <c r="AE60" s="389"/>
      <c r="AF60" s="389"/>
      <c r="AG60" s="390"/>
      <c r="AH60" s="388"/>
      <c r="AI60" s="389"/>
      <c r="AJ60" s="389"/>
      <c r="AK60" s="389"/>
      <c r="AL60" s="389"/>
      <c r="AM60" s="390"/>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75" thickBot="1" x14ac:dyDescent="0.3">
      <c r="A61" s="67"/>
      <c r="B61" s="67"/>
      <c r="C61" s="67"/>
      <c r="D61" s="67"/>
      <c r="E61" s="67"/>
      <c r="F61" s="67"/>
      <c r="G61" s="67"/>
      <c r="H61" s="67"/>
      <c r="I61" s="67"/>
      <c r="J61" s="391"/>
      <c r="K61" s="392"/>
      <c r="L61" s="392"/>
      <c r="M61" s="392"/>
      <c r="N61" s="392"/>
      <c r="O61" s="393"/>
      <c r="P61" s="391"/>
      <c r="Q61" s="392"/>
      <c r="R61" s="392"/>
      <c r="S61" s="392"/>
      <c r="T61" s="392"/>
      <c r="U61" s="393"/>
      <c r="V61" s="391"/>
      <c r="W61" s="392"/>
      <c r="X61" s="392"/>
      <c r="Y61" s="392"/>
      <c r="Z61" s="392"/>
      <c r="AA61" s="393"/>
      <c r="AB61" s="391"/>
      <c r="AC61" s="392"/>
      <c r="AD61" s="392"/>
      <c r="AE61" s="392"/>
      <c r="AF61" s="392"/>
      <c r="AG61" s="393"/>
      <c r="AH61" s="391"/>
      <c r="AI61" s="392"/>
      <c r="AJ61" s="392"/>
      <c r="AK61" s="392"/>
      <c r="AL61" s="392"/>
      <c r="AM61" s="393"/>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25">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25">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25">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25">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25">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2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25">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25">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25">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25">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25">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25">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25">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25">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2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2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25">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25">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25">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25">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25">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25">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25">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25">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25">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25">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25">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25">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25">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25">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25">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25">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25">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25">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25">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25">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25">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25">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25">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25">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25">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25">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25">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25">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25">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25">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25">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25">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25">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25">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25">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25">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25">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25">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25">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25">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25">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25">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25">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25">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25">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25">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25">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25">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25">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25">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25">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25">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25">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25">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25">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25">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25">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25">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25">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25">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25">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25">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25">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25">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25">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25">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25">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25">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25">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25">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25">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25">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25">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25">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25">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25">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25">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25">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25">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25">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25">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25">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25">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25">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25">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25">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25">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25">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25">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25">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25">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25">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25">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25">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25">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25">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25">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25">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25">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25">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25">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25">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25">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25">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25">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25">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25">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25">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25">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25">
      <c r="A245" s="67"/>
    </row>
    <row r="246" spans="1:60" x14ac:dyDescent="0.25">
      <c r="A246" s="67"/>
    </row>
    <row r="247" spans="1:60" x14ac:dyDescent="0.25">
      <c r="A247" s="67"/>
    </row>
    <row r="248" spans="1:60" x14ac:dyDescent="0.25">
      <c r="A248" s="67"/>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topLeftCell="A4" workbookViewId="0"/>
  </sheetViews>
  <sheetFormatPr baseColWidth="10" defaultRowHeight="15" x14ac:dyDescent="0.25"/>
  <cols>
    <col min="2" max="2" width="24.140625" customWidth="1"/>
    <col min="3" max="3" width="70.140625" customWidth="1"/>
    <col min="4" max="4" width="29.85546875" customWidth="1"/>
  </cols>
  <sheetData>
    <row r="1" spans="1:37" ht="23.25" x14ac:dyDescent="0.25">
      <c r="A1" s="67"/>
      <c r="B1" s="434" t="s">
        <v>54</v>
      </c>
      <c r="C1" s="434"/>
      <c r="D1" s="434"/>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2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5" x14ac:dyDescent="0.25">
      <c r="A3" s="67"/>
      <c r="B3" s="11"/>
      <c r="C3" s="12" t="s">
        <v>51</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1" x14ac:dyDescent="0.25">
      <c r="A4" s="67"/>
      <c r="B4" s="13" t="s">
        <v>50</v>
      </c>
      <c r="C4" s="14" t="s">
        <v>96</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1" x14ac:dyDescent="0.25">
      <c r="A5" s="67"/>
      <c r="B5" s="16" t="s">
        <v>52</v>
      </c>
      <c r="C5" s="17" t="s">
        <v>97</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1" x14ac:dyDescent="0.25">
      <c r="A6" s="67"/>
      <c r="B6" s="19" t="s">
        <v>101</v>
      </c>
      <c r="C6" s="17" t="s">
        <v>98</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6.5" x14ac:dyDescent="0.25">
      <c r="A7" s="67"/>
      <c r="B7" s="20" t="s">
        <v>6</v>
      </c>
      <c r="C7" s="17" t="s">
        <v>99</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1" x14ac:dyDescent="0.25">
      <c r="A8" s="67"/>
      <c r="B8" s="21" t="s">
        <v>53</v>
      </c>
      <c r="C8" s="17" t="s">
        <v>100</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25">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ht="16.5" x14ac:dyDescent="0.25">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25">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25">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25">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25">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25">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25">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25">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25">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25">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25">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25">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25">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25">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25">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25">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25">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25">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25">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25">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25">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25">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25">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25">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25">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25">
      <c r="A35" s="67"/>
    </row>
    <row r="36" spans="1:31" x14ac:dyDescent="0.25">
      <c r="A36" s="67"/>
    </row>
    <row r="37" spans="1:31" x14ac:dyDescent="0.25">
      <c r="A37" s="67"/>
    </row>
    <row r="38" spans="1:31" x14ac:dyDescent="0.25">
      <c r="A38" s="67"/>
    </row>
    <row r="39" spans="1:31" x14ac:dyDescent="0.25">
      <c r="A39" s="67"/>
    </row>
    <row r="40" spans="1:31" x14ac:dyDescent="0.25">
      <c r="A40" s="67"/>
    </row>
    <row r="41" spans="1:31" x14ac:dyDescent="0.25">
      <c r="A41" s="67"/>
    </row>
    <row r="42" spans="1:31" x14ac:dyDescent="0.25">
      <c r="A42" s="67"/>
    </row>
    <row r="43" spans="1:31" x14ac:dyDescent="0.25">
      <c r="A43" s="67"/>
    </row>
    <row r="44" spans="1:31" x14ac:dyDescent="0.25">
      <c r="A44" s="67"/>
    </row>
    <row r="45" spans="1:31" x14ac:dyDescent="0.25">
      <c r="A45" s="67"/>
    </row>
    <row r="46" spans="1:31" x14ac:dyDescent="0.25">
      <c r="A46" s="67"/>
    </row>
    <row r="47" spans="1:31" x14ac:dyDescent="0.25">
      <c r="A47" s="67"/>
    </row>
    <row r="48" spans="1:31" x14ac:dyDescent="0.25">
      <c r="A48" s="67"/>
    </row>
    <row r="49" spans="1:1" x14ac:dyDescent="0.25">
      <c r="A49" s="67"/>
    </row>
    <row r="50" spans="1:1" x14ac:dyDescent="0.25">
      <c r="A50" s="67"/>
    </row>
    <row r="51" spans="1:1" x14ac:dyDescent="0.25">
      <c r="A51" s="67"/>
    </row>
    <row r="52" spans="1:1" x14ac:dyDescent="0.25">
      <c r="A52" s="67"/>
    </row>
    <row r="53" spans="1:1" x14ac:dyDescent="0.25">
      <c r="A53" s="67"/>
    </row>
    <row r="54" spans="1:1" x14ac:dyDescent="0.25">
      <c r="A54" s="67"/>
    </row>
    <row r="55" spans="1:1" x14ac:dyDescent="0.25">
      <c r="A55" s="67"/>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24"/>
  <sheetViews>
    <sheetView zoomScale="70" zoomScaleNormal="70" workbookViewId="0">
      <selection activeCell="C15" sqref="C15"/>
    </sheetView>
  </sheetViews>
  <sheetFormatPr baseColWidth="10" defaultColWidth="11.42578125" defaultRowHeight="15" x14ac:dyDescent="0.25"/>
  <cols>
    <col min="1" max="1" width="11.42578125" style="22"/>
    <col min="2" max="2" width="40.42578125" style="22" customWidth="1"/>
    <col min="3" max="3" width="74.85546875" style="22" customWidth="1"/>
    <col min="4" max="4" width="135" style="22" bestFit="1" customWidth="1"/>
    <col min="5" max="5" width="137.85546875" style="22" customWidth="1"/>
    <col min="6" max="16384" width="11.42578125" style="22"/>
  </cols>
  <sheetData>
    <row r="1" spans="1:21" ht="33.75" x14ac:dyDescent="0.25">
      <c r="A1" s="89"/>
      <c r="B1" s="435" t="s">
        <v>61</v>
      </c>
      <c r="C1" s="435"/>
      <c r="D1" s="435"/>
      <c r="E1" s="89"/>
      <c r="F1" s="89"/>
      <c r="G1" s="89"/>
      <c r="H1" s="89"/>
      <c r="I1" s="89"/>
      <c r="J1" s="89"/>
      <c r="K1" s="89"/>
      <c r="L1" s="89"/>
      <c r="M1" s="89"/>
      <c r="N1" s="89"/>
      <c r="O1" s="89"/>
      <c r="P1" s="89"/>
      <c r="Q1" s="89"/>
      <c r="R1" s="89"/>
      <c r="S1" s="89"/>
      <c r="T1" s="89"/>
      <c r="U1" s="89"/>
    </row>
    <row r="2" spans="1:21" x14ac:dyDescent="0.25">
      <c r="A2" s="89"/>
      <c r="B2" s="89"/>
      <c r="C2" s="89"/>
      <c r="D2" s="89"/>
      <c r="E2" s="89"/>
      <c r="F2" s="89"/>
      <c r="G2" s="89"/>
      <c r="H2" s="89"/>
      <c r="I2" s="89"/>
      <c r="J2" s="89"/>
      <c r="K2" s="89"/>
      <c r="L2" s="89"/>
      <c r="M2" s="89"/>
      <c r="N2" s="89"/>
      <c r="O2" s="89"/>
      <c r="P2" s="89"/>
      <c r="Q2" s="89"/>
      <c r="R2" s="89"/>
      <c r="S2" s="89"/>
      <c r="T2" s="89"/>
      <c r="U2" s="89"/>
    </row>
    <row r="3" spans="1:21" ht="30" x14ac:dyDescent="0.25">
      <c r="A3" s="89"/>
      <c r="B3" s="88"/>
      <c r="C3" s="135" t="s">
        <v>55</v>
      </c>
      <c r="D3" s="135" t="s">
        <v>56</v>
      </c>
      <c r="E3" s="89"/>
      <c r="F3" s="89"/>
      <c r="G3" s="89"/>
      <c r="H3" s="89"/>
      <c r="I3" s="89"/>
      <c r="J3" s="89"/>
      <c r="K3" s="89"/>
      <c r="L3" s="89"/>
      <c r="M3" s="89"/>
      <c r="N3" s="89"/>
      <c r="O3" s="89"/>
      <c r="P3" s="89"/>
      <c r="Q3" s="89"/>
      <c r="R3" s="89"/>
      <c r="S3" s="89"/>
      <c r="T3" s="89"/>
      <c r="U3" s="89"/>
    </row>
    <row r="4" spans="1:21" ht="33.75" x14ac:dyDescent="0.25">
      <c r="A4" s="89" t="s">
        <v>81</v>
      </c>
      <c r="B4" s="136" t="s">
        <v>95</v>
      </c>
      <c r="C4" s="137" t="s">
        <v>204</v>
      </c>
      <c r="D4" s="138" t="s">
        <v>91</v>
      </c>
      <c r="E4" s="89"/>
      <c r="F4" s="89"/>
      <c r="G4" s="89"/>
      <c r="H4" s="89"/>
      <c r="I4" s="89"/>
      <c r="J4" s="89"/>
      <c r="K4" s="89"/>
      <c r="L4" s="89"/>
      <c r="M4" s="89"/>
      <c r="N4" s="89"/>
      <c r="O4" s="89"/>
      <c r="P4" s="89"/>
      <c r="Q4" s="89"/>
      <c r="R4" s="89"/>
      <c r="S4" s="89"/>
      <c r="T4" s="89"/>
      <c r="U4" s="89"/>
    </row>
    <row r="5" spans="1:21" ht="67.5" x14ac:dyDescent="0.25">
      <c r="A5" s="89" t="s">
        <v>82</v>
      </c>
      <c r="B5" s="139" t="s">
        <v>57</v>
      </c>
      <c r="C5" s="140" t="s">
        <v>205</v>
      </c>
      <c r="D5" s="141" t="s">
        <v>92</v>
      </c>
      <c r="E5" s="89"/>
      <c r="F5" s="89"/>
      <c r="G5" s="89"/>
      <c r="H5" s="89"/>
      <c r="I5" s="89"/>
      <c r="J5" s="89"/>
      <c r="K5" s="89"/>
      <c r="L5" s="89"/>
      <c r="M5" s="89"/>
      <c r="N5" s="89"/>
      <c r="O5" s="89"/>
      <c r="P5" s="89"/>
      <c r="Q5" s="89"/>
      <c r="R5" s="89"/>
      <c r="S5" s="89"/>
      <c r="T5" s="89"/>
      <c r="U5" s="89"/>
    </row>
    <row r="6" spans="1:21" ht="67.5" x14ac:dyDescent="0.25">
      <c r="A6" s="89" t="s">
        <v>79</v>
      </c>
      <c r="B6" s="142" t="s">
        <v>58</v>
      </c>
      <c r="C6" s="140" t="s">
        <v>209</v>
      </c>
      <c r="D6" s="141" t="s">
        <v>94</v>
      </c>
      <c r="E6" s="89"/>
      <c r="F6" s="89"/>
      <c r="G6" s="89"/>
      <c r="H6" s="89"/>
      <c r="I6" s="89"/>
      <c r="J6" s="89"/>
      <c r="K6" s="89"/>
      <c r="L6" s="89"/>
      <c r="M6" s="89"/>
      <c r="N6" s="89"/>
      <c r="O6" s="89"/>
      <c r="P6" s="89"/>
      <c r="Q6" s="89"/>
      <c r="R6" s="89"/>
      <c r="S6" s="89"/>
      <c r="T6" s="89"/>
      <c r="U6" s="89"/>
    </row>
    <row r="7" spans="1:21" ht="101.25" x14ac:dyDescent="0.25">
      <c r="A7" s="89" t="s">
        <v>7</v>
      </c>
      <c r="B7" s="143" t="s">
        <v>59</v>
      </c>
      <c r="C7" s="140" t="s">
        <v>210</v>
      </c>
      <c r="D7" s="141" t="s">
        <v>93</v>
      </c>
      <c r="E7" s="89"/>
      <c r="F7" s="89"/>
      <c r="G7" s="89"/>
      <c r="H7" s="89"/>
      <c r="I7" s="89"/>
      <c r="J7" s="89"/>
      <c r="K7" s="89"/>
      <c r="L7" s="89"/>
      <c r="M7" s="89"/>
      <c r="N7" s="89"/>
      <c r="O7" s="89"/>
      <c r="P7" s="89"/>
      <c r="Q7" s="89"/>
      <c r="R7" s="89"/>
      <c r="S7" s="89"/>
      <c r="T7" s="89"/>
      <c r="U7" s="89"/>
    </row>
    <row r="8" spans="1:21" ht="67.5" x14ac:dyDescent="0.25">
      <c r="A8" s="89" t="s">
        <v>83</v>
      </c>
      <c r="B8" s="144" t="s">
        <v>60</v>
      </c>
      <c r="C8" s="140" t="s">
        <v>206</v>
      </c>
      <c r="D8" s="141" t="s">
        <v>112</v>
      </c>
      <c r="E8" s="89"/>
      <c r="F8" s="89"/>
      <c r="G8" s="89"/>
      <c r="H8" s="89"/>
      <c r="I8" s="89"/>
      <c r="J8" s="89"/>
      <c r="K8" s="89"/>
      <c r="L8" s="89"/>
      <c r="M8" s="89"/>
      <c r="N8" s="89"/>
      <c r="O8" s="89"/>
      <c r="P8" s="89"/>
      <c r="Q8" s="89"/>
      <c r="R8" s="89"/>
      <c r="S8" s="89"/>
      <c r="T8" s="89"/>
      <c r="U8" s="89"/>
    </row>
    <row r="9" spans="1:21" s="23" customFormat="1" ht="20.25" x14ac:dyDescent="0.25">
      <c r="A9" s="87"/>
      <c r="B9" s="87"/>
      <c r="C9" s="149"/>
      <c r="D9" s="149"/>
      <c r="E9" s="87"/>
      <c r="F9" s="87"/>
      <c r="G9" s="87"/>
      <c r="H9" s="87"/>
      <c r="I9" s="87"/>
      <c r="J9" s="87"/>
      <c r="K9" s="87"/>
      <c r="L9" s="87"/>
      <c r="M9" s="87"/>
      <c r="N9" s="87"/>
      <c r="O9" s="87"/>
      <c r="P9" s="87"/>
      <c r="Q9" s="87"/>
      <c r="R9" s="87"/>
      <c r="S9" s="87"/>
      <c r="T9" s="87"/>
      <c r="U9" s="87"/>
    </row>
    <row r="10" spans="1:21" s="23" customFormat="1" ht="16.5" x14ac:dyDescent="0.25">
      <c r="A10" s="87"/>
      <c r="B10" s="150"/>
      <c r="C10" s="150"/>
      <c r="D10" s="150"/>
      <c r="E10" s="87"/>
      <c r="F10" s="87"/>
      <c r="G10" s="87"/>
      <c r="H10" s="87"/>
      <c r="I10" s="87"/>
      <c r="J10" s="87"/>
      <c r="K10" s="87"/>
      <c r="L10" s="87"/>
      <c r="M10" s="87"/>
      <c r="N10" s="87"/>
      <c r="O10" s="87"/>
      <c r="P10" s="87"/>
      <c r="Q10" s="87"/>
      <c r="R10" s="87"/>
      <c r="S10" s="87"/>
      <c r="T10" s="87"/>
      <c r="U10" s="87"/>
    </row>
    <row r="11" spans="1:21" s="23" customFormat="1" x14ac:dyDescent="0.25">
      <c r="A11" s="87"/>
      <c r="B11" s="87" t="s">
        <v>89</v>
      </c>
      <c r="C11" s="87" t="s">
        <v>208</v>
      </c>
      <c r="D11" s="87" t="s">
        <v>142</v>
      </c>
      <c r="E11" s="87"/>
      <c r="F11" s="87"/>
      <c r="G11" s="87"/>
      <c r="H11" s="87"/>
      <c r="I11" s="87"/>
      <c r="J11" s="87"/>
      <c r="K11" s="87"/>
      <c r="L11" s="87"/>
      <c r="M11" s="87"/>
      <c r="N11" s="87"/>
      <c r="O11" s="87"/>
      <c r="P11" s="87"/>
      <c r="Q11" s="87"/>
      <c r="R11" s="87"/>
      <c r="S11" s="87"/>
      <c r="T11" s="87"/>
      <c r="U11" s="87"/>
    </row>
    <row r="12" spans="1:21" s="23" customFormat="1" x14ac:dyDescent="0.25">
      <c r="A12" s="87"/>
      <c r="B12" s="87" t="s">
        <v>87</v>
      </c>
      <c r="C12" s="87" t="s">
        <v>207</v>
      </c>
      <c r="D12" s="87" t="s">
        <v>143</v>
      </c>
      <c r="E12" s="87"/>
      <c r="F12" s="87"/>
      <c r="G12" s="87"/>
      <c r="H12" s="87"/>
      <c r="I12" s="87"/>
      <c r="J12" s="87"/>
      <c r="K12" s="87"/>
      <c r="L12" s="87"/>
      <c r="M12" s="87"/>
      <c r="N12" s="87"/>
      <c r="O12" s="87"/>
      <c r="P12" s="87"/>
      <c r="Q12" s="87"/>
      <c r="R12" s="87"/>
      <c r="S12" s="87"/>
      <c r="T12" s="87"/>
      <c r="U12" s="87"/>
    </row>
    <row r="13" spans="1:21" s="23" customFormat="1" x14ac:dyDescent="0.25">
      <c r="A13" s="87"/>
      <c r="B13" s="87"/>
      <c r="C13" s="87" t="s">
        <v>211</v>
      </c>
      <c r="D13" s="87" t="s">
        <v>144</v>
      </c>
      <c r="E13" s="87"/>
      <c r="F13" s="87"/>
      <c r="G13" s="87"/>
      <c r="H13" s="87"/>
      <c r="I13" s="87"/>
      <c r="J13" s="87"/>
      <c r="K13" s="87"/>
      <c r="L13" s="87"/>
      <c r="M13" s="87"/>
      <c r="N13" s="87"/>
      <c r="O13" s="87"/>
      <c r="P13" s="87"/>
      <c r="Q13" s="87"/>
      <c r="R13" s="87"/>
      <c r="S13" s="87"/>
      <c r="T13" s="87"/>
      <c r="U13" s="87"/>
    </row>
    <row r="14" spans="1:21" s="23" customFormat="1" x14ac:dyDescent="0.25">
      <c r="A14" s="87"/>
      <c r="B14" s="87"/>
      <c r="C14" s="87" t="s">
        <v>213</v>
      </c>
      <c r="D14" s="87" t="s">
        <v>145</v>
      </c>
      <c r="E14" s="87"/>
      <c r="F14" s="87"/>
      <c r="G14" s="87"/>
      <c r="H14" s="87"/>
      <c r="I14" s="87"/>
      <c r="J14" s="87"/>
      <c r="K14" s="87"/>
      <c r="L14" s="87"/>
      <c r="M14" s="87"/>
      <c r="N14" s="87"/>
      <c r="O14" s="87"/>
      <c r="P14" s="87"/>
      <c r="Q14" s="87"/>
      <c r="R14" s="87"/>
      <c r="S14" s="87"/>
      <c r="T14" s="87"/>
      <c r="U14" s="87"/>
    </row>
    <row r="15" spans="1:21" s="23" customFormat="1" x14ac:dyDescent="0.25">
      <c r="A15" s="87"/>
      <c r="B15" s="87"/>
      <c r="C15" s="87" t="s">
        <v>212</v>
      </c>
      <c r="D15" s="87" t="s">
        <v>146</v>
      </c>
      <c r="E15" s="87"/>
      <c r="F15" s="87"/>
      <c r="G15" s="87"/>
      <c r="H15" s="87"/>
      <c r="I15" s="87"/>
      <c r="J15" s="87"/>
      <c r="K15" s="87"/>
      <c r="L15" s="87"/>
      <c r="M15" s="87"/>
      <c r="N15" s="87"/>
      <c r="O15" s="87"/>
      <c r="P15" s="87"/>
      <c r="Q15" s="87"/>
      <c r="R15" s="87"/>
      <c r="S15" s="87"/>
      <c r="T15" s="87"/>
      <c r="U15" s="87"/>
    </row>
    <row r="16" spans="1:21" s="23" customFormat="1" x14ac:dyDescent="0.25">
      <c r="A16" s="87"/>
      <c r="B16" s="87"/>
      <c r="C16" s="87"/>
      <c r="D16" s="87"/>
      <c r="E16" s="87"/>
      <c r="F16" s="87"/>
      <c r="G16" s="87"/>
      <c r="H16" s="87"/>
      <c r="I16" s="87"/>
      <c r="J16" s="87"/>
      <c r="K16" s="87"/>
      <c r="L16" s="87"/>
      <c r="M16" s="87"/>
      <c r="N16" s="87"/>
      <c r="O16" s="87"/>
    </row>
    <row r="17" spans="1:15" s="23" customFormat="1" x14ac:dyDescent="0.25">
      <c r="A17" s="87"/>
      <c r="B17" s="87"/>
      <c r="C17" s="87"/>
      <c r="D17" s="87"/>
      <c r="E17" s="87"/>
      <c r="F17" s="87"/>
      <c r="G17" s="87"/>
      <c r="H17" s="87"/>
      <c r="I17" s="87"/>
      <c r="J17" s="87"/>
      <c r="K17" s="87"/>
      <c r="L17" s="87"/>
      <c r="M17" s="87"/>
      <c r="N17" s="87"/>
      <c r="O17" s="87"/>
    </row>
    <row r="18" spans="1:15" s="23" customFormat="1" x14ac:dyDescent="0.25">
      <c r="A18" s="87"/>
      <c r="B18" s="87"/>
      <c r="C18" s="87"/>
      <c r="D18" s="87"/>
      <c r="E18" s="87"/>
      <c r="F18" s="87"/>
      <c r="G18" s="87"/>
      <c r="H18" s="87"/>
      <c r="I18" s="87"/>
      <c r="J18" s="87"/>
      <c r="K18" s="87"/>
      <c r="L18" s="87"/>
      <c r="M18" s="87"/>
      <c r="N18" s="87"/>
      <c r="O18" s="87"/>
    </row>
    <row r="19" spans="1:15" s="23" customFormat="1" x14ac:dyDescent="0.25">
      <c r="A19" s="87"/>
      <c r="B19" s="87"/>
      <c r="C19" s="87"/>
      <c r="D19" s="87"/>
      <c r="E19" s="87"/>
      <c r="F19" s="87"/>
      <c r="G19" s="87"/>
      <c r="H19" s="87"/>
      <c r="I19" s="87"/>
      <c r="J19" s="87"/>
      <c r="K19" s="87"/>
      <c r="L19" s="87"/>
      <c r="M19" s="87"/>
      <c r="N19" s="87"/>
      <c r="O19" s="87"/>
    </row>
    <row r="20" spans="1:15" s="23" customFormat="1" x14ac:dyDescent="0.25">
      <c r="A20" s="87"/>
      <c r="B20" s="87"/>
      <c r="C20" s="87"/>
      <c r="D20" s="87"/>
      <c r="E20" s="87"/>
      <c r="F20" s="87"/>
      <c r="G20" s="87"/>
      <c r="H20" s="87"/>
      <c r="I20" s="87"/>
      <c r="J20" s="87"/>
      <c r="K20" s="87"/>
      <c r="L20" s="87"/>
      <c r="M20" s="87"/>
      <c r="N20" s="87"/>
      <c r="O20" s="87"/>
    </row>
    <row r="21" spans="1:15" s="23" customFormat="1" x14ac:dyDescent="0.25">
      <c r="A21" s="87"/>
      <c r="B21" s="87"/>
      <c r="C21" s="87"/>
      <c r="D21" s="87"/>
      <c r="E21" s="87"/>
      <c r="F21" s="87"/>
      <c r="G21" s="87"/>
      <c r="H21" s="87"/>
      <c r="I21" s="87"/>
      <c r="J21" s="87"/>
      <c r="K21" s="87"/>
      <c r="L21" s="87"/>
      <c r="M21" s="87"/>
      <c r="N21" s="87"/>
      <c r="O21" s="87"/>
    </row>
    <row r="22" spans="1:15" s="23" customFormat="1" ht="20.25" x14ac:dyDescent="0.25">
      <c r="A22" s="87"/>
      <c r="B22" s="87"/>
      <c r="C22" s="149"/>
      <c r="D22" s="149"/>
      <c r="E22" s="87"/>
      <c r="F22" s="87"/>
      <c r="G22" s="87"/>
      <c r="H22" s="87"/>
      <c r="I22" s="87"/>
      <c r="J22" s="87"/>
      <c r="K22" s="87"/>
      <c r="L22" s="87"/>
      <c r="M22" s="87"/>
      <c r="N22" s="87"/>
      <c r="O22" s="87"/>
    </row>
    <row r="23" spans="1:15" s="23" customFormat="1" ht="20.25" x14ac:dyDescent="0.25">
      <c r="A23" s="87"/>
      <c r="B23" s="87"/>
      <c r="C23" s="149"/>
      <c r="D23" s="149"/>
      <c r="E23" s="87"/>
      <c r="F23" s="87"/>
      <c r="G23" s="87"/>
      <c r="H23" s="87"/>
      <c r="I23" s="87"/>
      <c r="J23" s="87"/>
      <c r="K23" s="87"/>
      <c r="L23" s="87"/>
      <c r="M23" s="87"/>
      <c r="N23" s="87"/>
      <c r="O23" s="87"/>
    </row>
    <row r="24" spans="1:15" s="23" customFormat="1" ht="20.25" x14ac:dyDescent="0.25">
      <c r="A24" s="87"/>
      <c r="B24" s="87"/>
      <c r="C24" s="149"/>
      <c r="D24" s="149"/>
      <c r="E24" s="87"/>
      <c r="F24" s="87"/>
      <c r="G24" s="87"/>
      <c r="H24" s="87"/>
      <c r="I24" s="87"/>
      <c r="J24" s="87"/>
      <c r="K24" s="87"/>
      <c r="L24" s="87"/>
      <c r="M24" s="87"/>
      <c r="N24" s="87"/>
      <c r="O24" s="87"/>
    </row>
    <row r="25" spans="1:15" s="23" customFormat="1" ht="20.25" x14ac:dyDescent="0.25">
      <c r="A25" s="87"/>
      <c r="B25" s="87"/>
      <c r="C25" s="149"/>
      <c r="D25" s="149"/>
      <c r="E25" s="87"/>
      <c r="F25" s="87"/>
      <c r="G25" s="87"/>
      <c r="H25" s="87"/>
      <c r="I25" s="87"/>
      <c r="J25" s="87"/>
      <c r="K25" s="87"/>
      <c r="L25" s="87"/>
      <c r="M25" s="87"/>
      <c r="N25" s="87"/>
      <c r="O25" s="87"/>
    </row>
    <row r="26" spans="1:15" s="23" customFormat="1" ht="20.25" x14ac:dyDescent="0.25">
      <c r="A26" s="87"/>
      <c r="B26" s="87"/>
      <c r="C26" s="149"/>
      <c r="D26" s="149"/>
      <c r="E26" s="87"/>
      <c r="F26" s="87"/>
      <c r="G26" s="87"/>
      <c r="H26" s="87"/>
      <c r="I26" s="87"/>
      <c r="J26" s="87"/>
      <c r="K26" s="87"/>
      <c r="L26" s="87"/>
      <c r="M26" s="87"/>
      <c r="N26" s="87"/>
      <c r="O26" s="87"/>
    </row>
    <row r="27" spans="1:15" s="23" customFormat="1" ht="20.25" x14ac:dyDescent="0.25">
      <c r="A27" s="87"/>
      <c r="B27" s="87"/>
      <c r="C27" s="149"/>
      <c r="D27" s="149"/>
      <c r="E27" s="87"/>
      <c r="F27" s="87"/>
      <c r="G27" s="87"/>
      <c r="H27" s="87"/>
      <c r="I27" s="87"/>
      <c r="J27" s="87"/>
      <c r="K27" s="87"/>
      <c r="L27" s="87"/>
      <c r="M27" s="87"/>
      <c r="N27" s="87"/>
      <c r="O27" s="87"/>
    </row>
    <row r="28" spans="1:15" s="23" customFormat="1" ht="20.25" x14ac:dyDescent="0.25">
      <c r="A28" s="87"/>
      <c r="B28" s="87"/>
      <c r="C28" s="149"/>
      <c r="D28" s="149"/>
      <c r="E28" s="87"/>
      <c r="F28" s="87"/>
      <c r="G28" s="87"/>
      <c r="H28" s="87"/>
      <c r="I28" s="87"/>
      <c r="J28" s="87"/>
      <c r="K28" s="87"/>
      <c r="L28" s="87"/>
      <c r="M28" s="87"/>
      <c r="N28" s="87"/>
      <c r="O28" s="87"/>
    </row>
    <row r="29" spans="1:15" s="23" customFormat="1" ht="20.25" x14ac:dyDescent="0.25">
      <c r="A29" s="87"/>
      <c r="B29" s="87"/>
      <c r="C29" s="149"/>
      <c r="D29" s="149"/>
      <c r="E29" s="87"/>
      <c r="F29" s="87"/>
      <c r="G29" s="87"/>
      <c r="H29" s="87"/>
      <c r="I29" s="87"/>
      <c r="J29" s="87"/>
      <c r="K29" s="87"/>
      <c r="L29" s="87"/>
      <c r="M29" s="87"/>
      <c r="N29" s="87"/>
      <c r="O29" s="87"/>
    </row>
    <row r="30" spans="1:15" s="23" customFormat="1" ht="20.25" x14ac:dyDescent="0.25">
      <c r="A30" s="87"/>
      <c r="B30" s="87"/>
      <c r="C30" s="149"/>
      <c r="D30" s="149"/>
      <c r="E30" s="87"/>
      <c r="F30" s="87"/>
      <c r="G30" s="87"/>
      <c r="H30" s="87"/>
      <c r="I30" s="87"/>
      <c r="J30" s="87"/>
      <c r="K30" s="87"/>
      <c r="L30" s="87"/>
      <c r="M30" s="87"/>
      <c r="N30" s="87"/>
      <c r="O30" s="87"/>
    </row>
    <row r="31" spans="1:15" s="23" customFormat="1" ht="20.25" x14ac:dyDescent="0.25">
      <c r="A31" s="87"/>
      <c r="B31" s="87"/>
      <c r="C31" s="149"/>
      <c r="D31" s="149"/>
      <c r="E31" s="87"/>
      <c r="F31" s="87"/>
      <c r="G31" s="87"/>
      <c r="H31" s="87"/>
      <c r="I31" s="87"/>
      <c r="J31" s="87"/>
      <c r="K31" s="87"/>
      <c r="L31" s="87"/>
      <c r="M31" s="87"/>
      <c r="N31" s="87"/>
      <c r="O31" s="87"/>
    </row>
    <row r="32" spans="1:15" s="23" customFormat="1" ht="20.25" x14ac:dyDescent="0.25">
      <c r="A32" s="87"/>
      <c r="B32" s="87"/>
      <c r="C32" s="149"/>
      <c r="D32" s="149"/>
      <c r="E32" s="87"/>
      <c r="F32" s="87"/>
      <c r="G32" s="87"/>
      <c r="H32" s="87"/>
      <c r="I32" s="87"/>
      <c r="J32" s="87"/>
      <c r="K32" s="87"/>
      <c r="L32" s="87"/>
      <c r="M32" s="87"/>
      <c r="N32" s="87"/>
      <c r="O32" s="87"/>
    </row>
    <row r="33" spans="1:15" s="23" customFormat="1" ht="20.25" x14ac:dyDescent="0.25">
      <c r="A33" s="87"/>
      <c r="B33" s="87"/>
      <c r="C33" s="149"/>
      <c r="D33" s="149"/>
      <c r="E33" s="87"/>
      <c r="F33" s="87"/>
      <c r="G33" s="87"/>
      <c r="H33" s="87"/>
      <c r="I33" s="87"/>
      <c r="J33" s="87"/>
      <c r="K33" s="87"/>
      <c r="L33" s="87"/>
      <c r="M33" s="87"/>
      <c r="N33" s="87"/>
      <c r="O33" s="87"/>
    </row>
    <row r="34" spans="1:15" s="23" customFormat="1" ht="20.25" x14ac:dyDescent="0.25">
      <c r="A34" s="87"/>
      <c r="B34" s="87"/>
      <c r="C34" s="149"/>
      <c r="D34" s="149"/>
      <c r="E34" s="87"/>
      <c r="F34" s="87"/>
      <c r="G34" s="87"/>
      <c r="H34" s="87"/>
      <c r="I34" s="87"/>
      <c r="J34" s="87"/>
      <c r="K34" s="87"/>
      <c r="L34" s="87"/>
      <c r="M34" s="87"/>
      <c r="N34" s="87"/>
      <c r="O34" s="87"/>
    </row>
    <row r="35" spans="1:15" s="23" customFormat="1" ht="20.25" x14ac:dyDescent="0.25">
      <c r="A35" s="87"/>
      <c r="B35" s="87"/>
      <c r="C35" s="149"/>
      <c r="D35" s="149"/>
      <c r="E35" s="87"/>
      <c r="F35" s="87"/>
      <c r="G35" s="87"/>
      <c r="H35" s="87"/>
      <c r="I35" s="87"/>
      <c r="J35" s="87"/>
      <c r="K35" s="87"/>
      <c r="L35" s="87"/>
      <c r="M35" s="87"/>
      <c r="N35" s="87"/>
      <c r="O35" s="87"/>
    </row>
    <row r="36" spans="1:15" s="23" customFormat="1" ht="20.25" x14ac:dyDescent="0.25">
      <c r="A36" s="87"/>
      <c r="B36" s="87"/>
      <c r="C36" s="149"/>
      <c r="D36" s="149"/>
      <c r="E36" s="87"/>
      <c r="F36" s="87"/>
      <c r="G36" s="87"/>
      <c r="H36" s="87"/>
      <c r="I36" s="87"/>
      <c r="J36" s="87"/>
      <c r="K36" s="87"/>
      <c r="L36" s="87"/>
      <c r="M36" s="87"/>
      <c r="N36" s="87"/>
      <c r="O36" s="87"/>
    </row>
    <row r="37" spans="1:15" s="23" customFormat="1" ht="20.25" x14ac:dyDescent="0.25">
      <c r="A37" s="87"/>
      <c r="B37" s="87"/>
      <c r="C37" s="149"/>
      <c r="D37" s="149"/>
      <c r="E37" s="87"/>
      <c r="F37" s="87"/>
      <c r="G37" s="87"/>
      <c r="H37" s="87"/>
      <c r="I37" s="87"/>
      <c r="J37" s="87"/>
      <c r="K37" s="87"/>
      <c r="L37" s="87"/>
      <c r="M37" s="87"/>
      <c r="N37" s="87"/>
      <c r="O37" s="87"/>
    </row>
    <row r="38" spans="1:15" s="23" customFormat="1" ht="20.25" x14ac:dyDescent="0.25">
      <c r="A38" s="87"/>
      <c r="B38" s="87"/>
      <c r="C38" s="149"/>
      <c r="D38" s="149"/>
      <c r="E38" s="87"/>
      <c r="F38" s="87"/>
      <c r="G38" s="87"/>
      <c r="H38" s="87"/>
      <c r="I38" s="87"/>
      <c r="J38" s="87"/>
      <c r="K38" s="87"/>
      <c r="L38" s="87"/>
      <c r="M38" s="87"/>
      <c r="N38" s="87"/>
      <c r="O38" s="87"/>
    </row>
    <row r="39" spans="1:15" s="23" customFormat="1" ht="20.25" x14ac:dyDescent="0.25">
      <c r="A39" s="87"/>
      <c r="B39" s="87"/>
      <c r="C39" s="149"/>
      <c r="D39" s="149"/>
      <c r="E39" s="87"/>
      <c r="F39" s="87"/>
      <c r="G39" s="87"/>
      <c r="H39" s="87"/>
      <c r="I39" s="87"/>
      <c r="J39" s="87"/>
      <c r="K39" s="87"/>
      <c r="L39" s="87"/>
      <c r="M39" s="87"/>
      <c r="N39" s="87"/>
      <c r="O39" s="87"/>
    </row>
    <row r="40" spans="1:15" s="23" customFormat="1" ht="20.25" x14ac:dyDescent="0.25">
      <c r="A40" s="87"/>
      <c r="B40" s="87"/>
      <c r="C40" s="149"/>
      <c r="D40" s="149"/>
      <c r="E40" s="87"/>
      <c r="F40" s="87"/>
      <c r="G40" s="87"/>
      <c r="H40" s="87"/>
      <c r="I40" s="87"/>
      <c r="J40" s="87"/>
      <c r="K40" s="87"/>
      <c r="L40" s="87"/>
      <c r="M40" s="87"/>
      <c r="N40" s="87"/>
      <c r="O40" s="87"/>
    </row>
    <row r="41" spans="1:15" s="23" customFormat="1" ht="20.25" x14ac:dyDescent="0.25">
      <c r="A41" s="87"/>
      <c r="B41" s="87"/>
      <c r="C41" s="149"/>
      <c r="D41" s="149"/>
      <c r="E41" s="87"/>
      <c r="F41" s="87"/>
      <c r="G41" s="87"/>
      <c r="H41" s="87"/>
      <c r="I41" s="87"/>
      <c r="J41" s="87"/>
      <c r="K41" s="87"/>
      <c r="L41" s="87"/>
      <c r="M41" s="87"/>
      <c r="N41" s="87"/>
      <c r="O41" s="87"/>
    </row>
    <row r="42" spans="1:15" s="23" customFormat="1" ht="20.25" x14ac:dyDescent="0.25">
      <c r="A42" s="87"/>
      <c r="B42" s="87"/>
      <c r="C42" s="149"/>
      <c r="D42" s="149"/>
      <c r="E42" s="87"/>
      <c r="F42" s="87"/>
      <c r="G42" s="87"/>
      <c r="H42" s="87"/>
      <c r="I42" s="87"/>
      <c r="J42" s="87"/>
      <c r="K42" s="87"/>
      <c r="L42" s="87"/>
      <c r="M42" s="87"/>
      <c r="N42" s="87"/>
      <c r="O42" s="87"/>
    </row>
    <row r="43" spans="1:15" s="23" customFormat="1" ht="20.25" x14ac:dyDescent="0.25">
      <c r="A43" s="87"/>
      <c r="B43" s="87"/>
      <c r="C43" s="149"/>
      <c r="D43" s="149"/>
      <c r="E43" s="87"/>
      <c r="F43" s="87"/>
      <c r="G43" s="87"/>
      <c r="H43" s="87"/>
      <c r="I43" s="87"/>
      <c r="J43" s="87"/>
      <c r="K43" s="87"/>
      <c r="L43" s="87"/>
      <c r="M43" s="87"/>
      <c r="N43" s="87"/>
      <c r="O43" s="87"/>
    </row>
    <row r="44" spans="1:15" s="23" customFormat="1" ht="20.25" x14ac:dyDescent="0.25">
      <c r="A44" s="87"/>
      <c r="B44" s="87"/>
      <c r="C44" s="149"/>
      <c r="D44" s="149"/>
      <c r="E44" s="87"/>
      <c r="F44" s="87"/>
      <c r="G44" s="87"/>
      <c r="H44" s="87"/>
      <c r="I44" s="87"/>
      <c r="J44" s="87"/>
      <c r="K44" s="87"/>
      <c r="L44" s="87"/>
      <c r="M44" s="87"/>
      <c r="N44" s="87"/>
      <c r="O44" s="87"/>
    </row>
    <row r="45" spans="1:15" s="23" customFormat="1" ht="20.25" x14ac:dyDescent="0.25">
      <c r="A45" s="87"/>
      <c r="B45" s="87"/>
      <c r="C45" s="149"/>
      <c r="D45" s="149"/>
      <c r="E45" s="87"/>
      <c r="F45" s="87"/>
      <c r="G45" s="87"/>
      <c r="H45" s="87"/>
      <c r="I45" s="87"/>
      <c r="J45" s="87"/>
      <c r="K45" s="87"/>
      <c r="L45" s="87"/>
      <c r="M45" s="87"/>
      <c r="N45" s="87"/>
      <c r="O45" s="87"/>
    </row>
    <row r="46" spans="1:15" s="23" customFormat="1" ht="20.25" x14ac:dyDescent="0.25">
      <c r="A46" s="87"/>
      <c r="B46" s="87"/>
      <c r="C46" s="149"/>
      <c r="D46" s="149"/>
      <c r="E46" s="87"/>
      <c r="F46" s="87"/>
      <c r="G46" s="87"/>
      <c r="H46" s="87"/>
      <c r="I46" s="87"/>
      <c r="J46" s="87"/>
      <c r="K46" s="87"/>
      <c r="L46" s="87"/>
      <c r="M46" s="87"/>
      <c r="N46" s="87"/>
      <c r="O46" s="87"/>
    </row>
    <row r="47" spans="1:15" s="23" customFormat="1" ht="20.25" x14ac:dyDescent="0.25">
      <c r="A47" s="87"/>
      <c r="B47" s="87"/>
      <c r="C47" s="149"/>
      <c r="D47" s="149"/>
      <c r="E47" s="87"/>
      <c r="F47" s="87"/>
      <c r="G47" s="87"/>
      <c r="H47" s="87"/>
      <c r="I47" s="87"/>
      <c r="J47" s="87"/>
      <c r="K47" s="87"/>
      <c r="L47" s="87"/>
      <c r="M47" s="87"/>
      <c r="N47" s="87"/>
      <c r="O47" s="87"/>
    </row>
    <row r="48" spans="1:15" s="23" customFormat="1" ht="20.25" x14ac:dyDescent="0.25">
      <c r="A48" s="87"/>
      <c r="B48" s="87"/>
      <c r="C48" s="149"/>
      <c r="D48" s="149"/>
      <c r="E48" s="87"/>
      <c r="F48" s="87"/>
      <c r="G48" s="87"/>
      <c r="H48" s="87"/>
      <c r="I48" s="87"/>
      <c r="J48" s="87"/>
      <c r="K48" s="87"/>
      <c r="L48" s="87"/>
      <c r="M48" s="87"/>
      <c r="N48" s="87"/>
      <c r="O48" s="87"/>
    </row>
    <row r="49" spans="1:15" s="23" customFormat="1" ht="20.25" x14ac:dyDescent="0.25">
      <c r="A49" s="87"/>
      <c r="B49" s="87"/>
      <c r="C49" s="149"/>
      <c r="D49" s="149"/>
      <c r="E49" s="87"/>
      <c r="F49" s="87"/>
      <c r="G49" s="87"/>
      <c r="H49" s="87"/>
      <c r="I49" s="87"/>
      <c r="J49" s="87"/>
      <c r="K49" s="87"/>
      <c r="L49" s="87"/>
      <c r="M49" s="87"/>
      <c r="N49" s="87"/>
      <c r="O49" s="87"/>
    </row>
    <row r="50" spans="1:15" s="23" customFormat="1" ht="20.25" x14ac:dyDescent="0.25">
      <c r="A50" s="87"/>
      <c r="B50" s="87"/>
      <c r="C50" s="149"/>
      <c r="D50" s="149"/>
      <c r="E50" s="87"/>
      <c r="F50" s="87"/>
      <c r="G50" s="87"/>
      <c r="H50" s="87"/>
      <c r="I50" s="87"/>
      <c r="J50" s="87"/>
      <c r="K50" s="87"/>
      <c r="L50" s="87"/>
      <c r="M50" s="87"/>
      <c r="N50" s="87"/>
      <c r="O50" s="87"/>
    </row>
    <row r="51" spans="1:15" s="23" customFormat="1" ht="20.25" x14ac:dyDescent="0.25">
      <c r="A51" s="87"/>
      <c r="B51" s="87"/>
      <c r="C51" s="149"/>
      <c r="D51" s="149"/>
      <c r="E51" s="87"/>
      <c r="F51" s="87"/>
      <c r="G51" s="87"/>
      <c r="H51" s="87"/>
      <c r="I51" s="87"/>
      <c r="J51" s="87"/>
      <c r="K51" s="87"/>
      <c r="L51" s="87"/>
      <c r="M51" s="87"/>
      <c r="N51" s="87"/>
      <c r="O51" s="87"/>
    </row>
    <row r="52" spans="1:15" s="23" customFormat="1" ht="20.25" x14ac:dyDescent="0.25">
      <c r="A52" s="87"/>
      <c r="C52" s="151"/>
      <c r="D52" s="151"/>
    </row>
    <row r="53" spans="1:15" s="23" customFormat="1" ht="20.25" x14ac:dyDescent="0.25">
      <c r="A53" s="87"/>
      <c r="C53" s="151"/>
      <c r="D53" s="151"/>
    </row>
    <row r="54" spans="1:15" s="23" customFormat="1" ht="20.25" x14ac:dyDescent="0.25">
      <c r="A54" s="87"/>
      <c r="C54" s="151"/>
      <c r="D54" s="151"/>
    </row>
    <row r="55" spans="1:15" s="23" customFormat="1" ht="20.25" x14ac:dyDescent="0.25">
      <c r="A55" s="87"/>
      <c r="C55" s="151"/>
      <c r="D55" s="151"/>
    </row>
    <row r="56" spans="1:15" s="23" customFormat="1" ht="20.25" x14ac:dyDescent="0.25">
      <c r="A56" s="87"/>
      <c r="C56" s="151"/>
      <c r="D56" s="151"/>
    </row>
    <row r="57" spans="1:15" s="23" customFormat="1" ht="20.25" x14ac:dyDescent="0.25">
      <c r="A57" s="87"/>
      <c r="C57" s="151"/>
      <c r="D57" s="151"/>
    </row>
    <row r="58" spans="1:15" s="23" customFormat="1" ht="20.25" x14ac:dyDescent="0.25">
      <c r="A58" s="87"/>
      <c r="C58" s="151"/>
      <c r="D58" s="151"/>
    </row>
    <row r="59" spans="1:15" s="23" customFormat="1" ht="20.25" x14ac:dyDescent="0.25">
      <c r="A59" s="87"/>
      <c r="C59" s="151"/>
      <c r="D59" s="151"/>
    </row>
    <row r="60" spans="1:15" s="23" customFormat="1" ht="20.25" x14ac:dyDescent="0.25">
      <c r="A60" s="87"/>
      <c r="C60" s="151"/>
      <c r="D60" s="151"/>
    </row>
    <row r="61" spans="1:15" s="23" customFormat="1" ht="20.25" x14ac:dyDescent="0.25">
      <c r="A61" s="87"/>
      <c r="C61" s="151"/>
      <c r="D61" s="151"/>
    </row>
    <row r="62" spans="1:15" s="23" customFormat="1" ht="20.25" x14ac:dyDescent="0.25">
      <c r="A62" s="87"/>
      <c r="C62" s="151"/>
      <c r="D62" s="151"/>
    </row>
    <row r="63" spans="1:15" s="23" customFormat="1" ht="20.25" x14ac:dyDescent="0.25">
      <c r="A63" s="87"/>
      <c r="C63" s="151"/>
      <c r="D63" s="151"/>
    </row>
    <row r="64" spans="1:15" s="23" customFormat="1" ht="20.25" x14ac:dyDescent="0.25">
      <c r="A64" s="87"/>
      <c r="C64" s="151"/>
      <c r="D64" s="151"/>
    </row>
    <row r="65" spans="1:4" s="23" customFormat="1" ht="20.25" x14ac:dyDescent="0.25">
      <c r="A65" s="87"/>
      <c r="C65" s="151"/>
      <c r="D65" s="151"/>
    </row>
    <row r="66" spans="1:4" s="23" customFormat="1" ht="20.25" x14ac:dyDescent="0.25">
      <c r="A66" s="87"/>
      <c r="C66" s="151"/>
      <c r="D66" s="151"/>
    </row>
    <row r="67" spans="1:4" s="23" customFormat="1" ht="20.25" x14ac:dyDescent="0.25">
      <c r="A67" s="87"/>
      <c r="C67" s="151"/>
      <c r="D67" s="151"/>
    </row>
    <row r="68" spans="1:4" s="23" customFormat="1" ht="20.25" x14ac:dyDescent="0.25">
      <c r="A68" s="87"/>
      <c r="C68" s="151"/>
      <c r="D68" s="151"/>
    </row>
    <row r="69" spans="1:4" s="23" customFormat="1" ht="20.25" x14ac:dyDescent="0.25">
      <c r="A69" s="87"/>
      <c r="C69" s="151"/>
      <c r="D69" s="151"/>
    </row>
    <row r="70" spans="1:4" s="23" customFormat="1" ht="20.25" x14ac:dyDescent="0.25">
      <c r="A70" s="87"/>
      <c r="C70" s="151"/>
      <c r="D70" s="151"/>
    </row>
    <row r="71" spans="1:4" s="23" customFormat="1" ht="20.25" x14ac:dyDescent="0.25">
      <c r="A71" s="87"/>
      <c r="C71" s="151"/>
      <c r="D71" s="151"/>
    </row>
    <row r="72" spans="1:4" s="23" customFormat="1" ht="20.25" x14ac:dyDescent="0.25">
      <c r="A72" s="87"/>
      <c r="C72" s="151"/>
      <c r="D72" s="151"/>
    </row>
    <row r="73" spans="1:4" s="23" customFormat="1" ht="20.25" x14ac:dyDescent="0.25">
      <c r="A73" s="87"/>
      <c r="C73" s="151"/>
      <c r="D73" s="151"/>
    </row>
    <row r="74" spans="1:4" s="23" customFormat="1" ht="20.25" x14ac:dyDescent="0.25">
      <c r="A74" s="87"/>
      <c r="C74" s="151"/>
      <c r="D74" s="151"/>
    </row>
    <row r="75" spans="1:4" s="23" customFormat="1" ht="20.25" x14ac:dyDescent="0.25">
      <c r="A75" s="87"/>
      <c r="C75" s="151"/>
      <c r="D75" s="151"/>
    </row>
    <row r="76" spans="1:4" s="23" customFormat="1" ht="20.25" x14ac:dyDescent="0.25">
      <c r="A76" s="87"/>
      <c r="C76" s="151"/>
      <c r="D76" s="151"/>
    </row>
    <row r="77" spans="1:4" s="23" customFormat="1" ht="20.25" x14ac:dyDescent="0.25">
      <c r="A77" s="87"/>
      <c r="C77" s="151"/>
      <c r="D77" s="151"/>
    </row>
    <row r="78" spans="1:4" s="23" customFormat="1" ht="20.25" x14ac:dyDescent="0.25">
      <c r="A78" s="87"/>
      <c r="C78" s="151"/>
      <c r="D78" s="151"/>
    </row>
    <row r="79" spans="1:4" s="23" customFormat="1" ht="20.25" x14ac:dyDescent="0.25">
      <c r="A79" s="87"/>
      <c r="C79" s="151"/>
      <c r="D79" s="151"/>
    </row>
    <row r="80" spans="1:4" s="23" customFormat="1" ht="20.25" x14ac:dyDescent="0.25">
      <c r="A80" s="87"/>
      <c r="C80" s="151"/>
      <c r="D80" s="151"/>
    </row>
    <row r="81" spans="1:4" s="23" customFormat="1" ht="20.25" x14ac:dyDescent="0.25">
      <c r="A81" s="87"/>
      <c r="C81" s="151"/>
      <c r="D81" s="151"/>
    </row>
    <row r="82" spans="1:4" s="23" customFormat="1" ht="20.25" x14ac:dyDescent="0.25">
      <c r="A82" s="87"/>
      <c r="C82" s="151"/>
      <c r="D82" s="151"/>
    </row>
    <row r="83" spans="1:4" s="23" customFormat="1" ht="20.25" x14ac:dyDescent="0.25">
      <c r="A83" s="87"/>
      <c r="C83" s="151"/>
      <c r="D83" s="151"/>
    </row>
    <row r="84" spans="1:4" s="23" customFormat="1" ht="20.25" x14ac:dyDescent="0.25">
      <c r="A84" s="87"/>
      <c r="C84" s="151"/>
      <c r="D84" s="151"/>
    </row>
    <row r="85" spans="1:4" s="23" customFormat="1" ht="20.25" x14ac:dyDescent="0.25">
      <c r="A85" s="87"/>
      <c r="C85" s="151"/>
      <c r="D85" s="151"/>
    </row>
    <row r="86" spans="1:4" s="23" customFormat="1" ht="20.25" x14ac:dyDescent="0.25">
      <c r="A86" s="87"/>
      <c r="C86" s="151"/>
      <c r="D86" s="151"/>
    </row>
    <row r="87" spans="1:4" s="23" customFormat="1" ht="20.25" x14ac:dyDescent="0.25">
      <c r="A87" s="87"/>
      <c r="C87" s="151"/>
      <c r="D87" s="151"/>
    </row>
    <row r="88" spans="1:4" s="23" customFormat="1" ht="20.25" x14ac:dyDescent="0.25">
      <c r="A88" s="87"/>
      <c r="C88" s="151"/>
      <c r="D88" s="151"/>
    </row>
    <row r="89" spans="1:4" s="23" customFormat="1" ht="20.25" x14ac:dyDescent="0.25">
      <c r="A89" s="87"/>
      <c r="C89" s="151"/>
      <c r="D89" s="151"/>
    </row>
    <row r="90" spans="1:4" s="23" customFormat="1" ht="20.25" x14ac:dyDescent="0.25">
      <c r="A90" s="87"/>
      <c r="C90" s="151"/>
      <c r="D90" s="151"/>
    </row>
    <row r="91" spans="1:4" s="23" customFormat="1" ht="20.25" x14ac:dyDescent="0.25">
      <c r="A91" s="87"/>
      <c r="C91" s="151"/>
      <c r="D91" s="151"/>
    </row>
    <row r="92" spans="1:4" s="23" customFormat="1" ht="20.25" x14ac:dyDescent="0.25">
      <c r="A92" s="87"/>
      <c r="C92" s="151"/>
      <c r="D92" s="151"/>
    </row>
    <row r="93" spans="1:4" s="23" customFormat="1" ht="20.25" x14ac:dyDescent="0.25">
      <c r="A93" s="87"/>
      <c r="C93" s="151"/>
      <c r="D93" s="151"/>
    </row>
    <row r="94" spans="1:4" s="23" customFormat="1" ht="20.25" x14ac:dyDescent="0.25">
      <c r="A94" s="87"/>
      <c r="C94" s="151"/>
      <c r="D94" s="151"/>
    </row>
    <row r="95" spans="1:4" s="23" customFormat="1" ht="20.25" x14ac:dyDescent="0.25">
      <c r="A95" s="87"/>
      <c r="C95" s="151"/>
      <c r="D95" s="151"/>
    </row>
    <row r="96" spans="1:4" s="23" customFormat="1" ht="20.25" x14ac:dyDescent="0.25">
      <c r="A96" s="87"/>
      <c r="C96" s="151"/>
      <c r="D96" s="151"/>
    </row>
    <row r="97" spans="1:4" s="23" customFormat="1" ht="20.25" x14ac:dyDescent="0.25">
      <c r="A97" s="87"/>
      <c r="C97" s="151"/>
      <c r="D97" s="151"/>
    </row>
    <row r="98" spans="1:4" s="23" customFormat="1" ht="20.25" x14ac:dyDescent="0.25">
      <c r="A98" s="87"/>
      <c r="C98" s="151"/>
      <c r="D98" s="151"/>
    </row>
    <row r="99" spans="1:4" s="23" customFormat="1" ht="20.25" x14ac:dyDescent="0.25">
      <c r="A99" s="87"/>
      <c r="C99" s="151"/>
      <c r="D99" s="151"/>
    </row>
    <row r="100" spans="1:4" s="23" customFormat="1" ht="20.25" x14ac:dyDescent="0.25">
      <c r="A100" s="87"/>
      <c r="C100" s="151"/>
      <c r="D100" s="151"/>
    </row>
    <row r="101" spans="1:4" s="23" customFormat="1" ht="20.25" x14ac:dyDescent="0.25">
      <c r="A101" s="87"/>
      <c r="C101" s="151"/>
      <c r="D101" s="151"/>
    </row>
    <row r="102" spans="1:4" s="23" customFormat="1" ht="20.25" x14ac:dyDescent="0.25">
      <c r="A102" s="87"/>
      <c r="C102" s="151"/>
      <c r="D102" s="151"/>
    </row>
    <row r="103" spans="1:4" s="23" customFormat="1" ht="20.25" x14ac:dyDescent="0.25">
      <c r="A103" s="87"/>
      <c r="C103" s="151"/>
      <c r="D103" s="151"/>
    </row>
    <row r="104" spans="1:4" s="23" customFormat="1" ht="20.25" x14ac:dyDescent="0.25">
      <c r="A104" s="87"/>
      <c r="C104" s="151"/>
      <c r="D104" s="151"/>
    </row>
    <row r="105" spans="1:4" s="23" customFormat="1" ht="20.25" x14ac:dyDescent="0.25">
      <c r="A105" s="87"/>
      <c r="C105" s="151"/>
      <c r="D105" s="151"/>
    </row>
    <row r="106" spans="1:4" s="23" customFormat="1" ht="20.25" x14ac:dyDescent="0.25">
      <c r="A106" s="87"/>
      <c r="C106" s="151"/>
      <c r="D106" s="151"/>
    </row>
    <row r="107" spans="1:4" s="23" customFormat="1" ht="20.25" x14ac:dyDescent="0.25">
      <c r="A107" s="87"/>
      <c r="C107" s="151"/>
      <c r="D107" s="151"/>
    </row>
    <row r="108" spans="1:4" s="23" customFormat="1" ht="20.25" x14ac:dyDescent="0.25">
      <c r="A108" s="87"/>
      <c r="C108" s="151"/>
      <c r="D108" s="151"/>
    </row>
    <row r="109" spans="1:4" s="23" customFormat="1" ht="20.25" x14ac:dyDescent="0.25">
      <c r="A109" s="87"/>
      <c r="C109" s="151"/>
      <c r="D109" s="151"/>
    </row>
    <row r="110" spans="1:4" s="23" customFormat="1" ht="20.25" x14ac:dyDescent="0.25">
      <c r="A110" s="87"/>
      <c r="C110" s="151"/>
      <c r="D110" s="151"/>
    </row>
    <row r="111" spans="1:4" s="23" customFormat="1" ht="20.25" x14ac:dyDescent="0.25">
      <c r="A111" s="87"/>
      <c r="C111" s="151"/>
      <c r="D111" s="151"/>
    </row>
    <row r="112" spans="1:4" s="23" customFormat="1" ht="20.25" x14ac:dyDescent="0.25">
      <c r="A112" s="87"/>
      <c r="C112" s="151"/>
      <c r="D112" s="151"/>
    </row>
    <row r="113" spans="1:4" s="23" customFormat="1" ht="20.25" x14ac:dyDescent="0.25">
      <c r="A113" s="87"/>
      <c r="C113" s="151"/>
      <c r="D113" s="151"/>
    </row>
    <row r="114" spans="1:4" s="23" customFormat="1" ht="20.25" x14ac:dyDescent="0.25">
      <c r="A114" s="87"/>
      <c r="C114" s="151"/>
      <c r="D114" s="151"/>
    </row>
    <row r="115" spans="1:4" s="23" customFormat="1" ht="20.25" x14ac:dyDescent="0.25">
      <c r="A115" s="87"/>
      <c r="C115" s="151"/>
      <c r="D115" s="151"/>
    </row>
    <row r="116" spans="1:4" s="23" customFormat="1" ht="20.25" x14ac:dyDescent="0.25">
      <c r="A116" s="87"/>
      <c r="C116" s="151"/>
      <c r="D116" s="151"/>
    </row>
    <row r="117" spans="1:4" s="23" customFormat="1" ht="20.25" x14ac:dyDescent="0.25">
      <c r="A117" s="87"/>
      <c r="C117" s="151"/>
      <c r="D117" s="151"/>
    </row>
    <row r="118" spans="1:4" s="23" customFormat="1" ht="20.25" x14ac:dyDescent="0.25">
      <c r="A118" s="87"/>
      <c r="C118" s="151"/>
      <c r="D118" s="151"/>
    </row>
    <row r="119" spans="1:4" s="23" customFormat="1" ht="20.25" x14ac:dyDescent="0.25">
      <c r="A119" s="87"/>
      <c r="C119" s="151"/>
      <c r="D119" s="151"/>
    </row>
    <row r="120" spans="1:4" s="23" customFormat="1" ht="20.25" x14ac:dyDescent="0.25">
      <c r="A120" s="87"/>
      <c r="C120" s="151"/>
      <c r="D120" s="151"/>
    </row>
    <row r="121" spans="1:4" s="23" customFormat="1" ht="20.25" x14ac:dyDescent="0.25">
      <c r="A121" s="87"/>
      <c r="C121" s="151"/>
      <c r="D121" s="151"/>
    </row>
    <row r="122" spans="1:4" s="23" customFormat="1" ht="20.25" x14ac:dyDescent="0.25">
      <c r="A122" s="87"/>
      <c r="C122" s="151"/>
      <c r="D122" s="151"/>
    </row>
    <row r="123" spans="1:4" s="23" customFormat="1" ht="20.25" x14ac:dyDescent="0.25">
      <c r="A123" s="87"/>
      <c r="C123" s="151"/>
      <c r="D123" s="151"/>
    </row>
    <row r="124" spans="1:4" s="23" customFormat="1" ht="20.25" x14ac:dyDescent="0.25">
      <c r="A124" s="87"/>
      <c r="C124" s="151"/>
      <c r="D124" s="151"/>
    </row>
    <row r="125" spans="1:4" s="23" customFormat="1" ht="20.25" x14ac:dyDescent="0.25">
      <c r="A125" s="87"/>
      <c r="C125" s="151"/>
      <c r="D125" s="151"/>
    </row>
    <row r="126" spans="1:4" s="23" customFormat="1" ht="20.25" x14ac:dyDescent="0.25">
      <c r="A126" s="87"/>
      <c r="C126" s="151"/>
      <c r="D126" s="151"/>
    </row>
    <row r="127" spans="1:4" s="23" customFormat="1" ht="20.25" x14ac:dyDescent="0.25">
      <c r="A127" s="87"/>
      <c r="C127" s="151"/>
      <c r="D127" s="151"/>
    </row>
    <row r="128" spans="1:4" s="23" customFormat="1" ht="20.25" x14ac:dyDescent="0.25">
      <c r="A128" s="87"/>
      <c r="C128" s="151"/>
      <c r="D128" s="151"/>
    </row>
    <row r="129" spans="1:4" s="23" customFormat="1" ht="20.25" x14ac:dyDescent="0.25">
      <c r="A129" s="87"/>
      <c r="C129" s="151"/>
      <c r="D129" s="151"/>
    </row>
    <row r="130" spans="1:4" s="23" customFormat="1" ht="20.25" x14ac:dyDescent="0.25">
      <c r="A130" s="87"/>
      <c r="C130" s="151"/>
      <c r="D130" s="151"/>
    </row>
    <row r="131" spans="1:4" s="23" customFormat="1" ht="20.25" x14ac:dyDescent="0.25">
      <c r="A131" s="87"/>
      <c r="C131" s="151"/>
      <c r="D131" s="151"/>
    </row>
    <row r="132" spans="1:4" s="23" customFormat="1" ht="20.25" x14ac:dyDescent="0.25">
      <c r="A132" s="87"/>
      <c r="C132" s="151"/>
      <c r="D132" s="151"/>
    </row>
    <row r="133" spans="1:4" s="23" customFormat="1" ht="20.25" x14ac:dyDescent="0.25">
      <c r="A133" s="87"/>
      <c r="C133" s="151"/>
      <c r="D133" s="151"/>
    </row>
    <row r="134" spans="1:4" s="23" customFormat="1" ht="20.25" x14ac:dyDescent="0.25">
      <c r="A134" s="87"/>
      <c r="C134" s="151"/>
      <c r="D134" s="151"/>
    </row>
    <row r="135" spans="1:4" s="23" customFormat="1" ht="20.25" x14ac:dyDescent="0.25">
      <c r="A135" s="87"/>
      <c r="C135" s="151"/>
      <c r="D135" s="151"/>
    </row>
    <row r="136" spans="1:4" s="23" customFormat="1" ht="20.25" x14ac:dyDescent="0.25">
      <c r="A136" s="87"/>
      <c r="C136" s="151"/>
      <c r="D136" s="151"/>
    </row>
    <row r="137" spans="1:4" s="23" customFormat="1" ht="20.25" x14ac:dyDescent="0.25">
      <c r="A137" s="87"/>
      <c r="C137" s="151"/>
      <c r="D137" s="151"/>
    </row>
    <row r="138" spans="1:4" s="23" customFormat="1" ht="20.25" x14ac:dyDescent="0.25">
      <c r="A138" s="87"/>
      <c r="C138" s="151"/>
      <c r="D138" s="151"/>
    </row>
    <row r="139" spans="1:4" s="23" customFormat="1" ht="20.25" x14ac:dyDescent="0.25">
      <c r="A139" s="87"/>
      <c r="C139" s="151"/>
      <c r="D139" s="151"/>
    </row>
    <row r="140" spans="1:4" s="23" customFormat="1" ht="20.25" x14ac:dyDescent="0.25">
      <c r="A140" s="87"/>
      <c r="C140" s="151"/>
      <c r="D140" s="151"/>
    </row>
    <row r="141" spans="1:4" s="23" customFormat="1" ht="20.25" x14ac:dyDescent="0.25">
      <c r="A141" s="87"/>
      <c r="C141" s="151"/>
      <c r="D141" s="151"/>
    </row>
    <row r="142" spans="1:4" s="23" customFormat="1" ht="20.25" x14ac:dyDescent="0.25">
      <c r="A142" s="87"/>
      <c r="C142" s="151"/>
      <c r="D142" s="151"/>
    </row>
    <row r="143" spans="1:4" s="23" customFormat="1" ht="20.25" x14ac:dyDescent="0.25">
      <c r="A143" s="87"/>
      <c r="C143" s="151"/>
      <c r="D143" s="151"/>
    </row>
    <row r="144" spans="1:4" s="23" customFormat="1" ht="20.25" x14ac:dyDescent="0.25">
      <c r="A144" s="87"/>
      <c r="C144" s="151"/>
      <c r="D144" s="151"/>
    </row>
    <row r="145" spans="1:4" s="23" customFormat="1" ht="20.25" x14ac:dyDescent="0.25">
      <c r="A145" s="87"/>
      <c r="C145" s="151"/>
      <c r="D145" s="151"/>
    </row>
    <row r="146" spans="1:4" s="23" customFormat="1" ht="20.25" x14ac:dyDescent="0.25">
      <c r="A146" s="87"/>
      <c r="C146" s="151"/>
      <c r="D146" s="151"/>
    </row>
    <row r="147" spans="1:4" s="23" customFormat="1" ht="20.25" x14ac:dyDescent="0.25">
      <c r="A147" s="87"/>
      <c r="C147" s="151"/>
      <c r="D147" s="151"/>
    </row>
    <row r="148" spans="1:4" s="23" customFormat="1" ht="20.25" x14ac:dyDescent="0.25">
      <c r="A148" s="87"/>
      <c r="C148" s="151"/>
      <c r="D148" s="151"/>
    </row>
    <row r="149" spans="1:4" s="23" customFormat="1" ht="20.25" x14ac:dyDescent="0.25">
      <c r="A149" s="87"/>
      <c r="C149" s="151"/>
      <c r="D149" s="151"/>
    </row>
    <row r="150" spans="1:4" s="23" customFormat="1" ht="20.25" x14ac:dyDescent="0.25">
      <c r="A150" s="87"/>
      <c r="C150" s="151"/>
      <c r="D150" s="151"/>
    </row>
    <row r="151" spans="1:4" s="23" customFormat="1" ht="20.25" x14ac:dyDescent="0.25">
      <c r="A151" s="87"/>
      <c r="C151" s="151"/>
      <c r="D151" s="151"/>
    </row>
    <row r="152" spans="1:4" s="23" customFormat="1" ht="20.25" x14ac:dyDescent="0.25">
      <c r="A152" s="87"/>
      <c r="C152" s="151"/>
      <c r="D152" s="151"/>
    </row>
    <row r="153" spans="1:4" s="23" customFormat="1" ht="20.25" x14ac:dyDescent="0.25">
      <c r="A153" s="87"/>
      <c r="C153" s="151"/>
      <c r="D153" s="151"/>
    </row>
    <row r="154" spans="1:4" s="23" customFormat="1" ht="20.25" x14ac:dyDescent="0.25">
      <c r="A154" s="87"/>
      <c r="C154" s="151"/>
      <c r="D154" s="151"/>
    </row>
    <row r="155" spans="1:4" s="23" customFormat="1" ht="20.25" x14ac:dyDescent="0.25">
      <c r="A155" s="87"/>
      <c r="C155" s="151"/>
      <c r="D155" s="151"/>
    </row>
    <row r="156" spans="1:4" s="23" customFormat="1" ht="20.25" x14ac:dyDescent="0.25">
      <c r="A156" s="87"/>
      <c r="C156" s="151"/>
      <c r="D156" s="151"/>
    </row>
    <row r="157" spans="1:4" s="23" customFormat="1" ht="20.25" x14ac:dyDescent="0.25">
      <c r="A157" s="87"/>
      <c r="C157" s="151"/>
      <c r="D157" s="151"/>
    </row>
    <row r="158" spans="1:4" s="23" customFormat="1" ht="20.25" x14ac:dyDescent="0.25">
      <c r="A158" s="87"/>
      <c r="C158" s="151"/>
      <c r="D158" s="151"/>
    </row>
    <row r="159" spans="1:4" s="23" customFormat="1" ht="20.25" x14ac:dyDescent="0.25">
      <c r="A159" s="87"/>
      <c r="C159" s="151"/>
      <c r="D159" s="151"/>
    </row>
    <row r="160" spans="1:4" s="23" customFormat="1" ht="20.25" x14ac:dyDescent="0.25">
      <c r="A160" s="87"/>
      <c r="C160" s="151"/>
      <c r="D160" s="151"/>
    </row>
    <row r="161" spans="1:4" s="23" customFormat="1" ht="20.25" x14ac:dyDescent="0.25">
      <c r="A161" s="87"/>
      <c r="C161" s="151"/>
      <c r="D161" s="151"/>
    </row>
    <row r="162" spans="1:4" s="23" customFormat="1" ht="20.25" x14ac:dyDescent="0.25">
      <c r="A162" s="87"/>
      <c r="C162" s="151"/>
      <c r="D162" s="151"/>
    </row>
    <row r="163" spans="1:4" s="23" customFormat="1" ht="20.25" x14ac:dyDescent="0.25">
      <c r="A163" s="87"/>
      <c r="C163" s="151"/>
      <c r="D163" s="151"/>
    </row>
    <row r="164" spans="1:4" s="23" customFormat="1" ht="20.25" x14ac:dyDescent="0.25">
      <c r="A164" s="87"/>
      <c r="C164" s="151"/>
      <c r="D164" s="151"/>
    </row>
    <row r="165" spans="1:4" s="23" customFormat="1" ht="20.25" x14ac:dyDescent="0.25">
      <c r="A165" s="87"/>
      <c r="C165" s="151"/>
      <c r="D165" s="151"/>
    </row>
    <row r="166" spans="1:4" s="23" customFormat="1" ht="20.25" x14ac:dyDescent="0.25">
      <c r="A166" s="87"/>
      <c r="C166" s="151"/>
      <c r="D166" s="151"/>
    </row>
    <row r="167" spans="1:4" s="23" customFormat="1" ht="20.25" x14ac:dyDescent="0.25">
      <c r="A167" s="87"/>
      <c r="C167" s="151"/>
      <c r="D167" s="151"/>
    </row>
    <row r="168" spans="1:4" s="23" customFormat="1" ht="20.25" x14ac:dyDescent="0.25">
      <c r="A168" s="87"/>
      <c r="C168" s="151"/>
      <c r="D168" s="151"/>
    </row>
    <row r="169" spans="1:4" s="23" customFormat="1" ht="20.25" x14ac:dyDescent="0.25">
      <c r="A169" s="87"/>
      <c r="C169" s="151"/>
      <c r="D169" s="151"/>
    </row>
    <row r="170" spans="1:4" s="23" customFormat="1" ht="20.25" x14ac:dyDescent="0.25">
      <c r="A170" s="87"/>
      <c r="C170" s="151"/>
      <c r="D170" s="151"/>
    </row>
    <row r="171" spans="1:4" s="23" customFormat="1" ht="20.25" x14ac:dyDescent="0.25">
      <c r="A171" s="87"/>
      <c r="C171" s="151"/>
      <c r="D171" s="151"/>
    </row>
    <row r="172" spans="1:4" s="23" customFormat="1" ht="20.25" x14ac:dyDescent="0.25">
      <c r="A172" s="87"/>
      <c r="C172" s="151"/>
      <c r="D172" s="151"/>
    </row>
    <row r="173" spans="1:4" s="23" customFormat="1" ht="20.25" x14ac:dyDescent="0.25">
      <c r="A173" s="87"/>
      <c r="C173" s="151"/>
      <c r="D173" s="151"/>
    </row>
    <row r="174" spans="1:4" s="23" customFormat="1" ht="20.25" x14ac:dyDescent="0.25">
      <c r="A174" s="87"/>
      <c r="C174" s="151"/>
      <c r="D174" s="151"/>
    </row>
    <row r="175" spans="1:4" s="23" customFormat="1" ht="20.25" x14ac:dyDescent="0.25">
      <c r="A175" s="87"/>
      <c r="C175" s="151"/>
      <c r="D175" s="151"/>
    </row>
    <row r="176" spans="1:4" s="23" customFormat="1" ht="20.25" x14ac:dyDescent="0.25">
      <c r="A176" s="87"/>
      <c r="C176" s="151"/>
      <c r="D176" s="151"/>
    </row>
    <row r="177" spans="1:4" s="23" customFormat="1" ht="20.25" x14ac:dyDescent="0.25">
      <c r="A177" s="87"/>
      <c r="C177" s="151"/>
      <c r="D177" s="151"/>
    </row>
    <row r="178" spans="1:4" s="23" customFormat="1" ht="20.25" x14ac:dyDescent="0.25">
      <c r="A178" s="87"/>
      <c r="C178" s="151"/>
      <c r="D178" s="151"/>
    </row>
    <row r="179" spans="1:4" s="23" customFormat="1" ht="20.25" x14ac:dyDescent="0.25">
      <c r="A179" s="87"/>
      <c r="C179" s="151"/>
      <c r="D179" s="151"/>
    </row>
    <row r="180" spans="1:4" s="23" customFormat="1" ht="20.25" x14ac:dyDescent="0.25">
      <c r="A180" s="87"/>
      <c r="C180" s="151"/>
      <c r="D180" s="151"/>
    </row>
    <row r="181" spans="1:4" s="23" customFormat="1" ht="20.25" x14ac:dyDescent="0.25">
      <c r="A181" s="87"/>
      <c r="C181" s="151"/>
      <c r="D181" s="151"/>
    </row>
    <row r="182" spans="1:4" s="23" customFormat="1" ht="20.25" x14ac:dyDescent="0.25">
      <c r="A182" s="87"/>
      <c r="C182" s="151"/>
      <c r="D182" s="151"/>
    </row>
    <row r="183" spans="1:4" s="23" customFormat="1" ht="20.25" x14ac:dyDescent="0.25">
      <c r="A183" s="87"/>
      <c r="C183" s="151"/>
      <c r="D183" s="151"/>
    </row>
    <row r="184" spans="1:4" s="23" customFormat="1" ht="20.25" x14ac:dyDescent="0.25">
      <c r="A184" s="87"/>
      <c r="C184" s="151"/>
      <c r="D184" s="151"/>
    </row>
    <row r="185" spans="1:4" s="23" customFormat="1" ht="20.25" x14ac:dyDescent="0.25">
      <c r="A185" s="87"/>
      <c r="C185" s="151"/>
      <c r="D185" s="151"/>
    </row>
    <row r="186" spans="1:4" s="23" customFormat="1" ht="20.25" x14ac:dyDescent="0.25">
      <c r="A186" s="87"/>
      <c r="C186" s="151"/>
      <c r="D186" s="151"/>
    </row>
    <row r="187" spans="1:4" s="23" customFormat="1" ht="20.25" x14ac:dyDescent="0.25">
      <c r="A187" s="87"/>
      <c r="C187" s="151"/>
      <c r="D187" s="151"/>
    </row>
    <row r="188" spans="1:4" s="23" customFormat="1" ht="20.25" x14ac:dyDescent="0.25">
      <c r="A188" s="87"/>
      <c r="C188" s="151"/>
      <c r="D188" s="151"/>
    </row>
    <row r="189" spans="1:4" s="23" customFormat="1" ht="20.25" x14ac:dyDescent="0.25">
      <c r="A189" s="87"/>
      <c r="C189" s="151"/>
      <c r="D189" s="151"/>
    </row>
    <row r="190" spans="1:4" s="23" customFormat="1" ht="20.25" x14ac:dyDescent="0.25">
      <c r="A190" s="87"/>
      <c r="C190" s="151"/>
      <c r="D190" s="151"/>
    </row>
    <row r="191" spans="1:4" s="23" customFormat="1" ht="20.25" x14ac:dyDescent="0.25">
      <c r="A191" s="87"/>
      <c r="C191" s="151"/>
      <c r="D191" s="151"/>
    </row>
    <row r="192" spans="1:4" s="23" customFormat="1" ht="20.25" x14ac:dyDescent="0.25">
      <c r="A192" s="87"/>
      <c r="C192" s="151"/>
      <c r="D192" s="151"/>
    </row>
    <row r="193" spans="1:4" s="23" customFormat="1" ht="20.25" x14ac:dyDescent="0.25">
      <c r="A193" s="87"/>
      <c r="C193" s="151"/>
      <c r="D193" s="151"/>
    </row>
    <row r="194" spans="1:4" s="23" customFormat="1" ht="20.25" x14ac:dyDescent="0.25">
      <c r="A194" s="87"/>
      <c r="C194" s="151"/>
      <c r="D194" s="151"/>
    </row>
    <row r="195" spans="1:4" s="23" customFormat="1" ht="20.25" x14ac:dyDescent="0.25">
      <c r="A195" s="87"/>
      <c r="C195" s="151"/>
      <c r="D195" s="151"/>
    </row>
    <row r="196" spans="1:4" s="23" customFormat="1" ht="20.25" x14ac:dyDescent="0.25">
      <c r="A196" s="87"/>
      <c r="C196" s="151"/>
      <c r="D196" s="151"/>
    </row>
    <row r="197" spans="1:4" s="23" customFormat="1" ht="20.25" x14ac:dyDescent="0.25">
      <c r="A197" s="87"/>
      <c r="C197" s="151"/>
      <c r="D197" s="151"/>
    </row>
    <row r="198" spans="1:4" s="23" customFormat="1" ht="20.25" x14ac:dyDescent="0.25">
      <c r="A198" s="87"/>
      <c r="C198" s="151"/>
      <c r="D198" s="151"/>
    </row>
    <row r="199" spans="1:4" s="23" customFormat="1" ht="20.25" x14ac:dyDescent="0.25">
      <c r="A199" s="87"/>
      <c r="C199" s="151"/>
      <c r="D199" s="151"/>
    </row>
    <row r="200" spans="1:4" s="23" customFormat="1" ht="20.25" x14ac:dyDescent="0.25">
      <c r="A200" s="87"/>
      <c r="C200" s="151"/>
      <c r="D200" s="151"/>
    </row>
    <row r="201" spans="1:4" s="23" customFormat="1" ht="20.25" x14ac:dyDescent="0.25">
      <c r="A201" s="87"/>
      <c r="C201" s="151"/>
      <c r="D201" s="151"/>
    </row>
    <row r="202" spans="1:4" s="23" customFormat="1" ht="20.25" x14ac:dyDescent="0.25">
      <c r="A202" s="87"/>
      <c r="C202" s="151"/>
      <c r="D202" s="151"/>
    </row>
    <row r="203" spans="1:4" s="23" customFormat="1" ht="20.25" x14ac:dyDescent="0.25">
      <c r="A203" s="87"/>
      <c r="C203" s="151"/>
      <c r="D203" s="151"/>
    </row>
    <row r="204" spans="1:4" s="23" customFormat="1" ht="20.25" x14ac:dyDescent="0.25">
      <c r="A204" s="87"/>
      <c r="C204" s="151"/>
      <c r="D204" s="151"/>
    </row>
    <row r="205" spans="1:4" s="23" customFormat="1" ht="20.25" x14ac:dyDescent="0.25">
      <c r="A205" s="87"/>
      <c r="C205" s="151"/>
      <c r="D205" s="151"/>
    </row>
    <row r="206" spans="1:4" s="23" customFormat="1" ht="20.25" x14ac:dyDescent="0.25">
      <c r="A206" s="87"/>
      <c r="C206" s="151"/>
      <c r="D206" s="151"/>
    </row>
    <row r="207" spans="1:4" s="23" customFormat="1" ht="20.25" x14ac:dyDescent="0.25">
      <c r="A207" s="87"/>
      <c r="C207" s="151"/>
      <c r="D207" s="151"/>
    </row>
    <row r="208" spans="1:4" s="23" customFormat="1" x14ac:dyDescent="0.25">
      <c r="A208" s="87"/>
    </row>
    <row r="209" spans="1:8" s="23" customFormat="1" ht="20.25" x14ac:dyDescent="0.25">
      <c r="A209" s="87"/>
      <c r="B209" s="152" t="s">
        <v>86</v>
      </c>
      <c r="C209" s="152" t="s">
        <v>139</v>
      </c>
      <c r="D209" s="153" t="s">
        <v>86</v>
      </c>
      <c r="E209" s="153" t="s">
        <v>139</v>
      </c>
    </row>
    <row r="210" spans="1:8" s="23" customFormat="1" ht="42" x14ac:dyDescent="0.35">
      <c r="A210" s="87"/>
      <c r="B210" s="154" t="s">
        <v>88</v>
      </c>
      <c r="C210" s="154" t="s">
        <v>204</v>
      </c>
      <c r="D210" s="23" t="s">
        <v>88</v>
      </c>
      <c r="F210" s="23" t="str">
        <f>IF(NOT(ISBLANK(D210)),D210,IF(NOT(ISBLANK(E210)),"     "&amp;E210,FALSE))</f>
        <v>Afectación Económica o presupuestal</v>
      </c>
      <c r="G210" s="23" t="s">
        <v>88</v>
      </c>
      <c r="H210" s="23" t="str">
        <f ca="1">IF(NOT(ISERROR(MATCH(G210,_xlfn.ANCHORARRAY(B221),0))),F223&amp;"Por favor no seleccionar los criterios de impacto",G210)</f>
        <v>Afectación Económica o presupuestal</v>
      </c>
    </row>
    <row r="211" spans="1:8" s="23" customFormat="1" ht="42" x14ac:dyDescent="0.35">
      <c r="A211" s="87"/>
      <c r="B211" s="154" t="s">
        <v>88</v>
      </c>
      <c r="C211" s="154" t="s">
        <v>205</v>
      </c>
      <c r="E211" s="23" t="s">
        <v>204</v>
      </c>
      <c r="F211" s="23" t="str">
        <f t="shared" ref="F211:F221" si="0">IF(NOT(ISBLANK(D211)),D211,IF(NOT(ISBLANK(E211)),"     "&amp;E211,FALSE))</f>
        <v xml:space="preserve">     Afectación menor a 200 SMLMV</v>
      </c>
    </row>
    <row r="212" spans="1:8" s="23" customFormat="1" ht="42" x14ac:dyDescent="0.35">
      <c r="A212" s="87"/>
      <c r="B212" s="154" t="s">
        <v>88</v>
      </c>
      <c r="C212" s="154" t="s">
        <v>209</v>
      </c>
      <c r="E212" s="23" t="s">
        <v>205</v>
      </c>
      <c r="F212" s="23" t="str">
        <f t="shared" si="0"/>
        <v xml:space="preserve">     Entre 200 y 1000 SMLMV</v>
      </c>
    </row>
    <row r="213" spans="1:8" s="23" customFormat="1" ht="42" x14ac:dyDescent="0.35">
      <c r="A213" s="87"/>
      <c r="B213" s="154" t="s">
        <v>88</v>
      </c>
      <c r="C213" s="154" t="s">
        <v>210</v>
      </c>
      <c r="E213" s="23" t="s">
        <v>209</v>
      </c>
      <c r="F213" s="23" t="str">
        <f t="shared" si="0"/>
        <v xml:space="preserve">     Entre 1000 y 5000 SMLMV </v>
      </c>
    </row>
    <row r="214" spans="1:8" s="23" customFormat="1" ht="42" x14ac:dyDescent="0.35">
      <c r="A214" s="87"/>
      <c r="B214" s="154" t="s">
        <v>88</v>
      </c>
      <c r="C214" s="154" t="s">
        <v>206</v>
      </c>
      <c r="E214" s="23" t="s">
        <v>210</v>
      </c>
      <c r="F214" s="23" t="str">
        <f t="shared" si="0"/>
        <v xml:space="preserve">     Entre 5000 y 10000 SMLMV</v>
      </c>
    </row>
    <row r="215" spans="1:8" s="23" customFormat="1" ht="42" x14ac:dyDescent="0.35">
      <c r="A215" s="87"/>
      <c r="B215" s="154" t="s">
        <v>56</v>
      </c>
      <c r="C215" s="154" t="s">
        <v>91</v>
      </c>
      <c r="E215" s="23" t="s">
        <v>206</v>
      </c>
      <c r="F215" s="23" t="str">
        <f t="shared" si="0"/>
        <v xml:space="preserve">     Mayor a 10000 SMLMV</v>
      </c>
    </row>
    <row r="216" spans="1:8" s="23" customFormat="1" ht="63" x14ac:dyDescent="0.35">
      <c r="A216" s="87"/>
      <c r="B216" s="154" t="s">
        <v>56</v>
      </c>
      <c r="C216" s="154" t="s">
        <v>92</v>
      </c>
      <c r="D216" s="23" t="s">
        <v>56</v>
      </c>
      <c r="F216" s="23" t="str">
        <f t="shared" si="0"/>
        <v>Pérdida Reputacional</v>
      </c>
    </row>
    <row r="217" spans="1:8" s="23" customFormat="1" ht="42" x14ac:dyDescent="0.35">
      <c r="A217" s="87"/>
      <c r="B217" s="154" t="s">
        <v>56</v>
      </c>
      <c r="C217" s="154" t="s">
        <v>94</v>
      </c>
      <c r="E217" s="23" t="s">
        <v>91</v>
      </c>
      <c r="F217" s="23" t="str">
        <f>IF(NOT(ISBLANK(D217)),D217,IF(NOT(ISBLANK(E217)),"     "&amp;E217,FALSE))</f>
        <v xml:space="preserve">     El riesgo afecta la imagen de alguna área de la organización</v>
      </c>
    </row>
    <row r="218" spans="1:8" s="23" customFormat="1" ht="63" x14ac:dyDescent="0.35">
      <c r="A218" s="87"/>
      <c r="B218" s="154" t="s">
        <v>56</v>
      </c>
      <c r="C218" s="154" t="s">
        <v>93</v>
      </c>
      <c r="E218" s="23" t="s">
        <v>92</v>
      </c>
      <c r="F218" s="23" t="str">
        <f t="shared" si="0"/>
        <v xml:space="preserve">     El riesgo afecta la imagen de la entidad internamente, de conocimiento general, nivel interno, de junta dircetiva y accionistas y/o de provedores</v>
      </c>
    </row>
    <row r="219" spans="1:8" s="23" customFormat="1" ht="42" x14ac:dyDescent="0.35">
      <c r="A219" s="87"/>
      <c r="B219" s="154" t="s">
        <v>56</v>
      </c>
      <c r="C219" s="154" t="s">
        <v>112</v>
      </c>
      <c r="E219" s="23" t="s">
        <v>94</v>
      </c>
      <c r="F219" s="23" t="str">
        <f t="shared" si="0"/>
        <v xml:space="preserve">     El riesgo afecta la imagen de la entidad con algunos usuarios de relevancia frente al logro de los objetivos</v>
      </c>
    </row>
    <row r="220" spans="1:8" s="23" customFormat="1" x14ac:dyDescent="0.25">
      <c r="A220" s="87"/>
      <c r="E220" s="23" t="s">
        <v>93</v>
      </c>
      <c r="F220" s="23" t="str">
        <f t="shared" si="0"/>
        <v xml:space="preserve">     El riesgo afecta la imagen de de la entidad con efecto publicitario sostenido a nivel de sector administrativo, nivel departamental o municipal</v>
      </c>
    </row>
    <row r="221" spans="1:8" s="23" customFormat="1" x14ac:dyDescent="0.25">
      <c r="A221" s="87"/>
      <c r="B221" s="23" t="e" cm="1">
        <f t="array" aca="1" ref="B221:B223" ca="1">_xlfn.UNIQUE(Tabla1[[#All],[Criterios]])</f>
        <v>#NAME?</v>
      </c>
      <c r="E221" s="23" t="s">
        <v>112</v>
      </c>
      <c r="F221" s="23" t="str">
        <f t="shared" si="0"/>
        <v xml:space="preserve">     El riesgo afecta la imagen de la entidad a nivel nacional, con efecto publicitarios sostenible a nivel país</v>
      </c>
    </row>
    <row r="222" spans="1:8" s="23" customFormat="1" x14ac:dyDescent="0.25">
      <c r="A222" s="87"/>
      <c r="B222" s="23" t="e">
        <f ca="1"/>
        <v>#NAME?</v>
      </c>
    </row>
    <row r="223" spans="1:8" s="23" customFormat="1" x14ac:dyDescent="0.25">
      <c r="B223" s="23" t="e">
        <f ca="1"/>
        <v>#NAME?</v>
      </c>
      <c r="F223" s="155" t="s">
        <v>140</v>
      </c>
    </row>
    <row r="224" spans="1:8" s="23" customFormat="1" x14ac:dyDescent="0.25">
      <c r="F224" s="155" t="s">
        <v>141</v>
      </c>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72"/>
    <col min="3" max="3" width="17" style="72" customWidth="1"/>
    <col min="4" max="4" width="14.28515625" style="72"/>
    <col min="5" max="5" width="46" style="72" customWidth="1"/>
    <col min="6" max="16384" width="14.28515625" style="72"/>
  </cols>
  <sheetData>
    <row r="1" spans="2:6" ht="24" customHeight="1" thickBot="1" x14ac:dyDescent="0.25">
      <c r="B1" s="436" t="s">
        <v>76</v>
      </c>
      <c r="C1" s="437"/>
      <c r="D1" s="437"/>
      <c r="E1" s="437"/>
      <c r="F1" s="438"/>
    </row>
    <row r="2" spans="2:6" ht="16.5" thickBot="1" x14ac:dyDescent="0.3">
      <c r="B2" s="73"/>
      <c r="C2" s="73"/>
      <c r="D2" s="73"/>
      <c r="E2" s="73"/>
      <c r="F2" s="73"/>
    </row>
    <row r="3" spans="2:6" ht="16.5" thickBot="1" x14ac:dyDescent="0.25">
      <c r="B3" s="440" t="s">
        <v>62</v>
      </c>
      <c r="C3" s="441"/>
      <c r="D3" s="441"/>
      <c r="E3" s="85" t="s">
        <v>63</v>
      </c>
      <c r="F3" s="86" t="s">
        <v>64</v>
      </c>
    </row>
    <row r="4" spans="2:6" ht="31.5" x14ac:dyDescent="0.2">
      <c r="B4" s="442" t="s">
        <v>65</v>
      </c>
      <c r="C4" s="444" t="s">
        <v>13</v>
      </c>
      <c r="D4" s="74" t="s">
        <v>14</v>
      </c>
      <c r="E4" s="75" t="s">
        <v>66</v>
      </c>
      <c r="F4" s="76">
        <v>0.25</v>
      </c>
    </row>
    <row r="5" spans="2:6" ht="47.25" x14ac:dyDescent="0.2">
      <c r="B5" s="443"/>
      <c r="C5" s="445"/>
      <c r="D5" s="77" t="s">
        <v>15</v>
      </c>
      <c r="E5" s="78" t="s">
        <v>67</v>
      </c>
      <c r="F5" s="79">
        <v>0.15</v>
      </c>
    </row>
    <row r="6" spans="2:6" ht="47.25" x14ac:dyDescent="0.2">
      <c r="B6" s="443"/>
      <c r="C6" s="445"/>
      <c r="D6" s="77" t="s">
        <v>16</v>
      </c>
      <c r="E6" s="78" t="s">
        <v>68</v>
      </c>
      <c r="F6" s="79">
        <v>0.1</v>
      </c>
    </row>
    <row r="7" spans="2:6" ht="63" x14ac:dyDescent="0.2">
      <c r="B7" s="443"/>
      <c r="C7" s="445" t="s">
        <v>17</v>
      </c>
      <c r="D7" s="77" t="s">
        <v>10</v>
      </c>
      <c r="E7" s="78" t="s">
        <v>69</v>
      </c>
      <c r="F7" s="79">
        <v>0.25</v>
      </c>
    </row>
    <row r="8" spans="2:6" ht="31.5" x14ac:dyDescent="0.2">
      <c r="B8" s="443"/>
      <c r="C8" s="445"/>
      <c r="D8" s="77" t="s">
        <v>9</v>
      </c>
      <c r="E8" s="78" t="s">
        <v>70</v>
      </c>
      <c r="F8" s="79">
        <v>0.15</v>
      </c>
    </row>
    <row r="9" spans="2:6" ht="47.25" x14ac:dyDescent="0.2">
      <c r="B9" s="443" t="s">
        <v>150</v>
      </c>
      <c r="C9" s="445" t="s">
        <v>18</v>
      </c>
      <c r="D9" s="77" t="s">
        <v>19</v>
      </c>
      <c r="E9" s="78" t="s">
        <v>71</v>
      </c>
      <c r="F9" s="80" t="s">
        <v>72</v>
      </c>
    </row>
    <row r="10" spans="2:6" ht="63" x14ac:dyDescent="0.2">
      <c r="B10" s="443"/>
      <c r="C10" s="445"/>
      <c r="D10" s="77" t="s">
        <v>20</v>
      </c>
      <c r="E10" s="78" t="s">
        <v>73</v>
      </c>
      <c r="F10" s="80" t="s">
        <v>72</v>
      </c>
    </row>
    <row r="11" spans="2:6" ht="47.25" x14ac:dyDescent="0.2">
      <c r="B11" s="443"/>
      <c r="C11" s="445" t="s">
        <v>21</v>
      </c>
      <c r="D11" s="77" t="s">
        <v>22</v>
      </c>
      <c r="E11" s="78" t="s">
        <v>74</v>
      </c>
      <c r="F11" s="80" t="s">
        <v>72</v>
      </c>
    </row>
    <row r="12" spans="2:6" ht="47.25" x14ac:dyDescent="0.2">
      <c r="B12" s="443"/>
      <c r="C12" s="445"/>
      <c r="D12" s="77" t="s">
        <v>23</v>
      </c>
      <c r="E12" s="78" t="s">
        <v>75</v>
      </c>
      <c r="F12" s="80" t="s">
        <v>72</v>
      </c>
    </row>
    <row r="13" spans="2:6" ht="31.5" x14ac:dyDescent="0.2">
      <c r="B13" s="443"/>
      <c r="C13" s="445" t="s">
        <v>24</v>
      </c>
      <c r="D13" s="77" t="s">
        <v>113</v>
      </c>
      <c r="E13" s="78" t="s">
        <v>116</v>
      </c>
      <c r="F13" s="80" t="s">
        <v>72</v>
      </c>
    </row>
    <row r="14" spans="2:6" ht="32.25" thickBot="1" x14ac:dyDescent="0.25">
      <c r="B14" s="446"/>
      <c r="C14" s="447"/>
      <c r="D14" s="81" t="s">
        <v>114</v>
      </c>
      <c r="E14" s="82" t="s">
        <v>115</v>
      </c>
      <c r="F14" s="83" t="s">
        <v>72</v>
      </c>
    </row>
    <row r="15" spans="2:6" ht="49.5" customHeight="1" x14ac:dyDescent="0.2">
      <c r="B15" s="439" t="s">
        <v>147</v>
      </c>
      <c r="C15" s="439"/>
      <c r="D15" s="439"/>
      <c r="E15" s="439"/>
      <c r="F15" s="439"/>
    </row>
    <row r="16" spans="2:6" ht="27" customHeight="1" x14ac:dyDescent="0.25">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heetViews>
  <sheetFormatPr baseColWidth="10" defaultRowHeight="15" x14ac:dyDescent="0.25"/>
  <sheetData>
    <row r="2" spans="2:5" x14ac:dyDescent="0.25">
      <c r="B2" t="s">
        <v>31</v>
      </c>
      <c r="E2" t="s">
        <v>127</v>
      </c>
    </row>
    <row r="3" spans="2:5" x14ac:dyDescent="0.25">
      <c r="B3" t="s">
        <v>32</v>
      </c>
      <c r="E3" t="s">
        <v>126</v>
      </c>
    </row>
    <row r="4" spans="2:5" x14ac:dyDescent="0.25">
      <c r="B4" t="s">
        <v>131</v>
      </c>
      <c r="E4" t="s">
        <v>128</v>
      </c>
    </row>
    <row r="5" spans="2:5" x14ac:dyDescent="0.25">
      <c r="B5" t="s">
        <v>130</v>
      </c>
    </row>
    <row r="8" spans="2:5" x14ac:dyDescent="0.25">
      <c r="B8" t="s">
        <v>84</v>
      </c>
    </row>
    <row r="9" spans="2:5" x14ac:dyDescent="0.25">
      <c r="B9" t="s">
        <v>39</v>
      </c>
    </row>
    <row r="10" spans="2:5" x14ac:dyDescent="0.25">
      <c r="B10" t="s">
        <v>40</v>
      </c>
    </row>
    <row r="13" spans="2:5" x14ac:dyDescent="0.25">
      <c r="B13" t="s">
        <v>123</v>
      </c>
    </row>
    <row r="14" spans="2:5" x14ac:dyDescent="0.25">
      <c r="B14" t="s">
        <v>117</v>
      </c>
    </row>
    <row r="15" spans="2:5" x14ac:dyDescent="0.25">
      <c r="B15" t="s">
        <v>120</v>
      </c>
    </row>
    <row r="16" spans="2:5" x14ac:dyDescent="0.25">
      <c r="B16" t="s">
        <v>118</v>
      </c>
    </row>
    <row r="17" spans="2:2" x14ac:dyDescent="0.25">
      <c r="B17" t="s">
        <v>119</v>
      </c>
    </row>
    <row r="18" spans="2:2" x14ac:dyDescent="0.25">
      <c r="B18" t="s">
        <v>121</v>
      </c>
    </row>
    <row r="19" spans="2:2" x14ac:dyDescent="0.25">
      <c r="B19" t="s">
        <v>122</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39</v>
      </c>
    </row>
    <row r="21" spans="1:1" x14ac:dyDescent="0.2">
      <c r="A21" s="10"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Sandy Poveda Vargas</cp:lastModifiedBy>
  <cp:lastPrinted>2020-05-13T01:12:22Z</cp:lastPrinted>
  <dcterms:created xsi:type="dcterms:W3CDTF">2020-03-24T23:12:47Z</dcterms:created>
  <dcterms:modified xsi:type="dcterms:W3CDTF">2023-04-26T15:47:13Z</dcterms:modified>
</cp:coreProperties>
</file>